
<file path=[Content_Types].xml><?xml version="1.0" encoding="utf-8"?>
<Types xmlns="http://schemas.openxmlformats.org/package/2006/content-types">
  <Override PartName="/xl/worksheets/sheet24.xml" ContentType="application/vnd.openxmlformats-officedocument.spreadsheetml.worksheet+xml"/>
  <Override PartName="/xl/worksheets/sheet35.xml" ContentType="application/vnd.openxmlformats-officedocument.spreadsheetml.worksheet+xml"/>
  <Override PartName="/xl/worksheets/sheet71.xml" ContentType="application/vnd.openxmlformats-officedocument.spreadsheetml.worksheet+xml"/>
  <Override PartName="/xl/worksheets/sheet82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13.xml" ContentType="application/vnd.openxmlformats-officedocument.spreadsheetml.worksheet+xml"/>
  <Override PartName="/xl/worksheets/sheet60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60.xml" ContentType="application/vnd.openxmlformats-officedocument.spreadsheetml.worksheet+xml"/>
  <Override PartName="/xl/styles.xml" ContentType="application/vnd.openxmlformats-officedocument.spreadsheetml.styles+xml"/>
  <Override PartName="/xl/worksheets/sheet139.xml" ContentType="application/vnd.openxmlformats-officedocument.spreadsheetml.worksheet+xml"/>
  <Override PartName="/xl/worksheets/sheet197.xml" ContentType="application/vnd.openxmlformats-officedocument.spreadsheetml.worksheet+xml"/>
  <Override PartName="/xl/worksheets/sheet202.xml" ContentType="application/vnd.openxmlformats-officedocument.spreadsheetml.worksheet+xml"/>
  <Default Extension="xml" ContentType="application/xml"/>
  <Override PartName="/xl/worksheets/sheet128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3.xml" ContentType="application/vnd.openxmlformats-officedocument.spreadsheetml.worksheet+xml"/>
  <Override PartName="/xl/worksheets/sheet98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64.xml" ContentType="application/vnd.openxmlformats-officedocument.spreadsheetml.worksheet+xml"/>
  <Override PartName="/xl/worksheets/sheet87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53.xml" ContentType="application/vnd.openxmlformats-officedocument.spreadsheetml.worksheet+xml"/>
  <Override PartName="/xl/worksheets/sheet29.xml" ContentType="application/vnd.openxmlformats-officedocument.spreadsheetml.worksheet+xml"/>
  <Override PartName="/xl/worksheets/sheet76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229.xml" ContentType="application/vnd.openxmlformats-officedocument.spreadsheetml.worksheet+xml"/>
  <Override PartName="/xl/worksheets/sheet18.xml" ContentType="application/vnd.openxmlformats-officedocument.spreadsheetml.worksheet+xml"/>
  <Override PartName="/xl/worksheets/sheet54.xml" ContentType="application/vnd.openxmlformats-officedocument.spreadsheetml.worksheet+xml"/>
  <Override PartName="/xl/worksheets/sheet65.xml" ContentType="application/vnd.openxmlformats-officedocument.spreadsheetml.worksheet+xml"/>
  <Override PartName="/xl/worksheets/sheet120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43.xml" ContentType="application/vnd.openxmlformats-officedocument.spreadsheetml.worksheet+xml"/>
  <Override PartName="/xl/worksheets/sheet90.xml" ContentType="application/vnd.openxmlformats-officedocument.spreadsheetml.worksheet+xml"/>
  <Override PartName="/xl/worksheets/sheet243.xml" ContentType="application/vnd.openxmlformats-officedocument.spreadsheetml.worksheet+xml"/>
  <Override PartName="/xl/worksheets/sheet32.xml" ContentType="application/vnd.openxmlformats-officedocument.spreadsheetml.worksheet+xml"/>
  <Override PartName="/xl/worksheets/sheet232.xml" ContentType="application/vnd.openxmlformats-officedocument.spreadsheetml.worksheet+xml"/>
  <Override PartName="/xl/worksheets/sheet8.xml" ContentType="application/vnd.openxmlformats-officedocument.spreadsheetml.worksheet+xml"/>
  <Override PartName="/xl/worksheets/sheet21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22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94.xml" ContentType="application/vnd.openxmlformats-officedocument.spreadsheetml.worksheet+xml"/>
  <Override PartName="/xl/worksheets/sheet210.xml" ContentType="application/vnd.openxmlformats-officedocument.spreadsheetml.worksheet+xml"/>
  <Override PartName="/docProps/app.xml" ContentType="application/vnd.openxmlformats-officedocument.extended-properties+xml"/>
  <Override PartName="/xl/worksheets/sheet136.xml" ContentType="application/vnd.openxmlformats-officedocument.spreadsheetml.worksheet+xml"/>
  <Override PartName="/xl/worksheets/sheet183.xml" ContentType="application/vnd.openxmlformats-officedocument.spreadsheetml.worksheet+xml"/>
  <Override PartName="/xl/worksheets/sheet59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259.xml" ContentType="application/vnd.openxmlformats-officedocument.spreadsheetml.worksheet+xml"/>
  <Override PartName="/xl/calcChain.xml" ContentType="application/vnd.openxmlformats-officedocument.spreadsheetml.calcChain+xml"/>
  <Override PartName="/xl/worksheets/sheet19.xml" ContentType="application/vnd.openxmlformats-officedocument.spreadsheetml.worksheet+xml"/>
  <Override PartName="/xl/worksheets/sheet48.xml" ContentType="application/vnd.openxmlformats-officedocument.spreadsheetml.worksheet+xml"/>
  <Override PartName="/xl/worksheets/sheet66.xml" ContentType="application/vnd.openxmlformats-officedocument.spreadsheetml.worksheet+xml"/>
  <Override PartName="/xl/worksheets/sheet95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50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6.xml" ContentType="application/vnd.openxmlformats-officedocument.spreadsheetml.worksheet+xml"/>
  <Override PartName="/xl/worksheets/sheet37.xml" ContentType="application/vnd.openxmlformats-officedocument.spreadsheetml.worksheet+xml"/>
  <Override PartName="/xl/worksheets/sheet55.xml" ContentType="application/vnd.openxmlformats-officedocument.spreadsheetml.worksheet+xml"/>
  <Override PartName="/xl/worksheets/sheet73.xml" ContentType="application/vnd.openxmlformats-officedocument.spreadsheetml.worksheet+xml"/>
  <Override PartName="/xl/worksheets/sheet84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55.xml" ContentType="application/vnd.openxmlformats-officedocument.spreadsheetml.worksheet+xml"/>
  <Override PartName="/docProps/core.xml" ContentType="application/vnd.openxmlformats-package.core-properties+xml"/>
  <Override PartName="/xl/worksheets/sheet15.xml" ContentType="application/vnd.openxmlformats-officedocument.spreadsheetml.worksheet+xml"/>
  <Override PartName="/xl/worksheets/sheet44.xml" ContentType="application/vnd.openxmlformats-officedocument.spreadsheetml.worksheet+xml"/>
  <Override PartName="/xl/worksheets/sheet62.xml" ContentType="application/vnd.openxmlformats-officedocument.spreadsheetml.worksheet+xml"/>
  <Override PartName="/xl/worksheets/sheet91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62.xml" ContentType="application/vnd.openxmlformats-officedocument.spreadsheetml.worksheet+xml"/>
  <Override PartName="/xl/worksheets/sheet9.xml" ContentType="application/vnd.openxmlformats-officedocument.spreadsheetml.worksheet+xml"/>
  <Override PartName="/xl/worksheets/sheet22.xml" ContentType="application/vnd.openxmlformats-officedocument.spreadsheetml.worksheet+xml"/>
  <Override PartName="/xl/worksheets/sheet33.xml" ContentType="application/vnd.openxmlformats-officedocument.spreadsheetml.worksheet+xml"/>
  <Override PartName="/xl/worksheets/sheet51.xml" ContentType="application/vnd.openxmlformats-officedocument.spreadsheetml.worksheet+xml"/>
  <Override PartName="/xl/worksheets/sheet80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51.xml" ContentType="application/vnd.openxmlformats-officedocument.spreadsheetml.worksheet+xml"/>
  <Override PartName="/xl/theme/theme1.xml" ContentType="application/vnd.openxmlformats-officedocument.theme+xml"/>
  <Override PartName="/xl/worksheets/sheet11.xml" ContentType="application/vnd.openxmlformats-officedocument.spreadsheetml.worksheet+xml"/>
  <Override PartName="/xl/worksheets/sheet40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40.xml" ContentType="application/vnd.openxmlformats-officedocument.spreadsheetml.worksheet+xml"/>
  <Default Extension="rels" ContentType="application/vnd.openxmlformats-package.relationships+xml"/>
  <Override PartName="/xl/worksheets/sheet5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200.xml" ContentType="application/vnd.openxmlformats-officedocument.spreadsheetml.worksheet+xml"/>
  <Override PartName="/xl/worksheets/sheet89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.xml" ContentType="application/vnd.openxmlformats-officedocument.spreadsheetml.worksheet+xml"/>
  <Override PartName="/xl/worksheets/sheet49.xml" ContentType="application/vnd.openxmlformats-officedocument.spreadsheetml.worksheet+xml"/>
  <Override PartName="/xl/worksheets/sheet78.xml" ContentType="application/vnd.openxmlformats-officedocument.spreadsheetml.worksheet+xml"/>
  <Override PartName="/xl/worksheets/sheet96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249.xml" ContentType="application/vnd.openxmlformats-officedocument.spreadsheetml.worksheet+xml"/>
  <Override PartName="/xl/worksheets/sheet38.xml" ContentType="application/vnd.openxmlformats-officedocument.spreadsheetml.worksheet+xml"/>
  <Override PartName="/xl/worksheets/sheet67.xml" ContentType="application/vnd.openxmlformats-officedocument.spreadsheetml.worksheet+xml"/>
  <Override PartName="/xl/worksheets/sheet85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51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7.xml" ContentType="application/vnd.openxmlformats-officedocument.spreadsheetml.worksheet+xml"/>
  <Override PartName="/xl/worksheets/sheet45.xml" ContentType="application/vnd.openxmlformats-officedocument.spreadsheetml.worksheet+xml"/>
  <Override PartName="/xl/worksheets/sheet56.xml" ContentType="application/vnd.openxmlformats-officedocument.spreadsheetml.worksheet+xml"/>
  <Override PartName="/xl/worksheets/sheet74.xml" ContentType="application/vnd.openxmlformats-officedocument.spreadsheetml.worksheet+xml"/>
  <Override PartName="/xl/worksheets/sheet92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40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16.xml" ContentType="application/vnd.openxmlformats-officedocument.spreadsheetml.worksheet+xml"/>
  <Override PartName="/xl/worksheets/sheet34.xml" ContentType="application/vnd.openxmlformats-officedocument.spreadsheetml.worksheet+xml"/>
  <Override PartName="/xl/worksheets/sheet52.xml" ContentType="application/vnd.openxmlformats-officedocument.spreadsheetml.worksheet+xml"/>
  <Override PartName="/xl/worksheets/sheet63.xml" ContentType="application/vnd.openxmlformats-officedocument.spreadsheetml.worksheet+xml"/>
  <Override PartName="/xl/worksheets/sheet81.xml" ContentType="application/vnd.openxmlformats-officedocument.spreadsheetml.worksheet+xml"/>
  <Override PartName="/xl/worksheets/sheet100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3.xml" ContentType="application/vnd.openxmlformats-officedocument.spreadsheetml.worksheet+xml"/>
  <Override PartName="/xl/worksheets/sheet41.xml" ContentType="application/vnd.openxmlformats-officedocument.spreadsheetml.worksheet+xml"/>
  <Override PartName="/xl/worksheets/sheet70.xml" ContentType="application/vnd.openxmlformats-officedocument.spreadsheetml.worksheet+xml"/>
  <Override PartName="/xl/worksheets/sheet189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41.xml" ContentType="application/vnd.openxmlformats-officedocument.spreadsheetml.worksheet+xml"/>
  <Override PartName="/xl/worksheets/sheet6.xml" ContentType="application/vnd.openxmlformats-officedocument.spreadsheetml.worksheet+xml"/>
  <Override PartName="/xl/worksheets/sheet12.xml" ContentType="application/vnd.openxmlformats-officedocument.spreadsheetml.worksheet+xml"/>
  <Override PartName="/xl/worksheets/sheet30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96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30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85.xml" ContentType="application/vnd.openxmlformats-officedocument.spreadsheetml.worksheet+xml"/>
  <Override PartName="/xl/worksheets/sheet2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92.xml" ContentType="application/vnd.openxmlformats-officedocument.spreadsheetml.worksheet+xml"/>
  <Override PartName="/xl/worksheets/sheet68.xml" ContentType="application/vnd.openxmlformats-officedocument.spreadsheetml.worksheet+xml"/>
  <Override PartName="/xl/worksheets/sheet79.xml" ContentType="application/vnd.openxmlformats-officedocument.spreadsheetml.worksheet+xml"/>
  <Override PartName="/xl/worksheets/sheet97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81.xml" ContentType="application/vnd.openxmlformats-officedocument.spreadsheetml.worksheet+xml"/>
  <Override PartName="/xl/worksheets/sheet28.xml" ContentType="application/vnd.openxmlformats-officedocument.spreadsheetml.worksheet+xml"/>
  <Override PartName="/xl/worksheets/sheet39.xml" ContentType="application/vnd.openxmlformats-officedocument.spreadsheetml.worksheet+xml"/>
  <Override PartName="/xl/worksheets/sheet57.xml" ContentType="application/vnd.openxmlformats-officedocument.spreadsheetml.worksheet+xml"/>
  <Override PartName="/xl/worksheets/sheet75.xml" ContentType="application/vnd.openxmlformats-officedocument.spreadsheetml.worksheet+xml"/>
  <Override PartName="/xl/worksheets/sheet86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70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57.xml" ContentType="application/vnd.openxmlformats-officedocument.spreadsheetml.worksheet+xml"/>
  <Override PartName="/xl/worksheets/sheet17.xml" ContentType="application/vnd.openxmlformats-officedocument.spreadsheetml.worksheet+xml"/>
  <Override PartName="/xl/worksheets/sheet46.xml" ContentType="application/vnd.openxmlformats-officedocument.spreadsheetml.worksheet+xml"/>
  <Override PartName="/xl/worksheets/sheet64.xml" ContentType="application/vnd.openxmlformats-officedocument.spreadsheetml.worksheet+xml"/>
  <Override PartName="/xl/worksheets/sheet93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30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64.xml" ContentType="application/vnd.openxmlformats-officedocument.spreadsheetml.worksheet+xml"/>
  <Override PartName="/xl/worksheets/sheet53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53.xml" ContentType="application/vnd.openxmlformats-officedocument.spreadsheetml.worksheet+xml"/>
  <Override PartName="/xl/worksheets/sheet42.xml" ContentType="application/vnd.openxmlformats-officedocument.spreadsheetml.worksheet+xml"/>
  <Override PartName="/xl/worksheets/sheet179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7.xml" ContentType="application/vnd.openxmlformats-officedocument.spreadsheetml.worksheet+xml"/>
  <Override PartName="/xl/worksheets/sheet20.xml" ContentType="application/vnd.openxmlformats-officedocument.spreadsheetml.worksheet+xml"/>
  <Override PartName="/xl/worksheets/sheet31.xml" ContentType="application/vnd.openxmlformats-officedocument.spreadsheetml.worksheet+xml"/>
  <Override PartName="/xl/worksheets/sheet168.xml" ContentType="application/vnd.openxmlformats-officedocument.spreadsheetml.worksheet+xml"/>
  <Override PartName="/xl/worksheets/sheet220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69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71.xml" ContentType="application/vnd.openxmlformats-officedocument.spreadsheetml.worksheet+xml"/>
  <Override PartName="/xl/worksheets/sheet47.xml" ContentType="application/vnd.openxmlformats-officedocument.spreadsheetml.worksheet+xml"/>
  <Override PartName="/xl/worksheets/sheet58.xml" ContentType="application/vnd.openxmlformats-officedocument.spreadsheetml.worksheet+xml"/>
  <Override PartName="/xl/worksheets/sheet94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60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58.xml" ContentType="application/vnd.openxmlformats-officedocument.spreadsheetml.worksheet+xml"/>
  <Override PartName="/xl/sharedStrings.xml" ContentType="application/vnd.openxmlformats-officedocument.spreadsheetml.sharedStrings+xml"/>
  <Override PartName="/xl/worksheets/sheet36.xml" ContentType="application/vnd.openxmlformats-officedocument.spreadsheetml.worksheet+xml"/>
  <Override PartName="/xl/worksheets/sheet83.xml" ContentType="application/vnd.openxmlformats-officedocument.spreadsheetml.worksheet+xml"/>
  <Override PartName="/xl/worksheets/sheet102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5.xml" ContentType="application/vnd.openxmlformats-officedocument.spreadsheetml.worksheet+xml"/>
  <Override PartName="/xl/worksheets/sheet72.xml" ContentType="application/vnd.openxmlformats-officedocument.spreadsheetml.worksheet+xml"/>
  <Override PartName="/xl/worksheets/sheet225.xml" ContentType="application/vnd.openxmlformats-officedocument.spreadsheetml.worksheet+xml"/>
  <Default Extension="bin" ContentType="application/vnd.openxmlformats-officedocument.spreadsheetml.printerSettings"/>
  <Override PartName="/xl/worksheets/sheet14.xml" ContentType="application/vnd.openxmlformats-officedocument.spreadsheetml.worksheet+xml"/>
  <Override PartName="/xl/worksheets/sheet50.xml" ContentType="application/vnd.openxmlformats-officedocument.spreadsheetml.worksheet+xml"/>
  <Override PartName="/xl/worksheets/sheet61.xml" ContentType="application/vnd.openxmlformats-officedocument.spreadsheetml.worksheet+xml"/>
  <Override PartName="/xl/worksheets/sheet198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187.xml" ContentType="application/vnd.openxmlformats-officedocument.spreadsheetml.worksheet+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76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77.xml" ContentType="application/vnd.openxmlformats-officedocument.spreadsheetml.worksheet+xml"/>
  <Override PartName="/xl/worksheets/sheet88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90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60" windowWidth="19416" windowHeight="7956" tabRatio="880"/>
  </bookViews>
  <sheets>
    <sheet name="RM Received" sheetId="9" r:id="rId1"/>
    <sheet name="Shahin Pulm oil" sheetId="10" r:id="rId2"/>
    <sheet name="Zaman-Diesel" sheetId="27" r:id="rId3"/>
    <sheet name="Local-Diesel" sheetId="62" r:id="rId4"/>
    <sheet name="Ambea-Maize" sheetId="26" r:id="rId5"/>
    <sheet name="M A-Maize" sheetId="28" r:id="rId6"/>
    <sheet name="KFL(Ababil)-Maize" sheetId="40" r:id="rId7"/>
    <sheet name="Hazi-Maize" sheetId="41" r:id="rId8"/>
    <sheet name="Five-Maize" sheetId="42" r:id="rId9"/>
    <sheet name="Mugda-Maize" sheetId="47" r:id="rId10"/>
    <sheet name="SH-Maize" sheetId="79" r:id="rId11"/>
    <sheet name="Lotus-Maize" sheetId="113" r:id="rId12"/>
    <sheet name="Modina-Maize" sheetId="86" r:id="rId13"/>
    <sheet name="LC(KFL)-Maize" sheetId="125" r:id="rId14"/>
    <sheet name="Khadiza-Maize" sheetId="130" r:id="rId15"/>
    <sheet name="K Trad-Maize" sheetId="144" r:id="rId16"/>
    <sheet name="J M-Maize" sheetId="151" r:id="rId17"/>
    <sheet name="Abdullah-Maize" sheetId="155" r:id="rId18"/>
    <sheet name="Konabari-Maize" sheetId="156" r:id="rId19"/>
    <sheet name="Bonik-Maize" sheetId="157" r:id="rId20"/>
    <sheet name="Mondol-Maize" sheetId="163" r:id="rId21"/>
    <sheet name="Samayla-Maize" sheetId="166" r:id="rId22"/>
    <sheet name="Shahriar-Maize" sheetId="168" r:id="rId23"/>
    <sheet name="Rejwan-Maize" sheetId="172" r:id="rId24"/>
    <sheet name="Fariha-Maize" sheetId="197" r:id="rId25"/>
    <sheet name="Shimul-Maize" sheetId="198" r:id="rId26"/>
    <sheet name="Nurun-Maize" sheetId="203" r:id="rId27"/>
    <sheet name="Reduanur-Maize" sheetId="208" r:id="rId28"/>
    <sheet name="Aden-Maize" sheetId="209" r:id="rId29"/>
    <sheet name="Al Haj-Maize" sheetId="212" r:id="rId30"/>
    <sheet name="Oppo-Maize" sheetId="215" r:id="rId31"/>
    <sheet name="Siyam-Maize" sheetId="219" r:id="rId32"/>
    <sheet name="Arifa-Maize" sheetId="234" r:id="rId33"/>
    <sheet name="MHK-Maize" sheetId="236" r:id="rId34"/>
    <sheet name="MMN-Maize" sheetId="238" r:id="rId35"/>
    <sheet name="Al Modina-Maize" sheetId="241" r:id="rId36"/>
    <sheet name="Shodesh-Maize" sheetId="243" r:id="rId37"/>
    <sheet name="Rahmot -Maize" sheetId="248" r:id="rId38"/>
    <sheet name="Gold -Maize" sheetId="252" r:id="rId39"/>
    <sheet name="SR -Maize" sheetId="257" r:id="rId40"/>
    <sheet name="Bismilla -Maize" sheetId="264" r:id="rId41"/>
    <sheet name="Bishal -Maize" sheetId="268" r:id="rId42"/>
    <sheet name="MS -Maize" sheetId="275" r:id="rId43"/>
    <sheet name="Nishat-Maize" sheetId="228" r:id="rId44"/>
    <sheet name="MM-Maize" sheetId="222" r:id="rId45"/>
    <sheet name="LC (KFL)-RS" sheetId="11" r:id="rId46"/>
    <sheet name="LC (KFL)-RS (2)" sheetId="54" r:id="rId47"/>
    <sheet name="K Trading-RS" sheetId="115" r:id="rId48"/>
    <sheet name="Alal-RS" sheetId="160" r:id="rId49"/>
    <sheet name="A K-RS" sheetId="273" r:id="rId50"/>
    <sheet name="Dulal-FF" sheetId="12" r:id="rId51"/>
    <sheet name="J M T-FF" sheetId="55" r:id="rId52"/>
    <sheet name="Aden-FF" sheetId="61" r:id="rId53"/>
    <sheet name="Jaker-FF" sheetId="103" r:id="rId54"/>
    <sheet name="Aziz-FF" sheetId="190" r:id="rId55"/>
    <sheet name="K Trading-FF" sheetId="199" r:id="rId56"/>
    <sheet name="Shahin-SBM" sheetId="13" r:id="rId57"/>
    <sheet name="J M-SBM" sheetId="45" r:id="rId58"/>
    <sheet name="K.Firm-SBM" sheetId="14" r:id="rId59"/>
    <sheet name="MM-SBM" sheetId="20" r:id="rId60"/>
    <sheet name="KFL(Cash)-SBM" sheetId="50" r:id="rId61"/>
    <sheet name="Alal-SBM" sheetId="60" r:id="rId62"/>
    <sheet name="Shimul-SBM" sheetId="56" r:id="rId63"/>
    <sheet name="MH-SBM" sheetId="63" r:id="rId64"/>
    <sheet name="PCF-SBM" sheetId="64" r:id="rId65"/>
    <sheet name="K Trading-SBM" sheetId="87" r:id="rId66"/>
    <sheet name="Uniq Trading-SBM" sheetId="240" r:id="rId67"/>
    <sheet name="Modina-SBM" sheetId="105" r:id="rId68"/>
    <sheet name="Santa-SBM" sheetId="118" r:id="rId69"/>
    <sheet name="SMC-SBM" sheetId="119" r:id="rId70"/>
    <sheet name="Shahed-SBM" sheetId="120" r:id="rId71"/>
    <sheet name="Abdullah-SBM" sheetId="124" r:id="rId72"/>
    <sheet name="Salauddin-SBM" sheetId="129" r:id="rId73"/>
    <sheet name="Tomal-SBM" sheetId="138" r:id="rId74"/>
    <sheet name="Shaheen-SBM" sheetId="148" r:id="rId75"/>
    <sheet name="Nurnahar-SBM" sheetId="150" r:id="rId76"/>
    <sheet name="Mokka-SBM " sheetId="167" r:id="rId77"/>
    <sheet name="Gazi-SBM" sheetId="170" r:id="rId78"/>
    <sheet name="ESEL-SBM" sheetId="174" r:id="rId79"/>
    <sheet name="Sanjoy-SBM" sheetId="183" r:id="rId80"/>
    <sheet name="Dobir-SBM" sheetId="193" r:id="rId81"/>
    <sheet name="Reduanur-SBM" sheetId="211" r:id="rId82"/>
    <sheet name="Bonik-SBM " sheetId="221" r:id="rId83"/>
    <sheet name="MHK-SBM" sheetId="230" r:id="rId84"/>
    <sheet name="Shah-SBM" sheetId="271" r:id="rId85"/>
    <sheet name="A K-SBM" sheetId="274" r:id="rId86"/>
    <sheet name="Five-DORB" sheetId="22" r:id="rId87"/>
    <sheet name="MHK-DORB" sheetId="58" r:id="rId88"/>
    <sheet name="Lotus-DORB" sheetId="109" r:id="rId89"/>
    <sheet name="Alal-DORB" sheetId="65" r:id="rId90"/>
    <sheet name="MY-DORB" sheetId="72" r:id="rId91"/>
    <sheet name="Uttra-DORB" sheetId="76" r:id="rId92"/>
    <sheet name="MM-DORB" sheetId="80" r:id="rId93"/>
    <sheet name="PCF-DORB" sheetId="85" r:id="rId94"/>
    <sheet name="Salah-DORB" sheetId="93" r:id="rId95"/>
    <sheet name="K Trading-DORB" sheetId="99" r:id="rId96"/>
    <sheet name="LC (KFL)-DORB" sheetId="110" r:id="rId97"/>
    <sheet name="Abdullah-DORB" sheetId="169" r:id="rId98"/>
    <sheet name="MHK T-DORB" sheetId="226" r:id="rId99"/>
    <sheet name="Shefat-DORB" sheetId="265" r:id="rId100"/>
    <sheet name="J M-DORB" sheetId="255" r:id="rId101"/>
    <sheet name="LC(KFL)-DDGS" sheetId="59" r:id="rId102"/>
    <sheet name="KTrading-DDGS" sheetId="102" r:id="rId103"/>
    <sheet name="Modina-DDGS" sheetId="141" r:id="rId104"/>
    <sheet name="Modina p-DDGS" sheetId="179" r:id="rId105"/>
    <sheet name="SMC-DDGS" sheetId="165" r:id="rId106"/>
    <sheet name="ESEL-DDGS" sheetId="180" r:id="rId107"/>
    <sheet name="Sala-DDGS" sheetId="188" r:id="rId108"/>
    <sheet name="Sohodor-DDGS" sheetId="210" r:id="rId109"/>
    <sheet name="Sifat-DDGS" sheetId="224" r:id="rId110"/>
    <sheet name="MHK-DDGS" sheetId="231" r:id="rId111"/>
    <sheet name="MM-DDGS" sheetId="233" r:id="rId112"/>
    <sheet name="Chowdhury-DDGS" sheetId="242" r:id="rId113"/>
    <sheet name="P&amp;P DDGS" sheetId="261" r:id="rId114"/>
    <sheet name="LC-DDGS" sheetId="270" r:id="rId115"/>
    <sheet name="Gold-DDGS" sheetId="229" r:id="rId116"/>
    <sheet name="Alal-DDGS" sheetId="213" r:id="rId117"/>
    <sheet name="M A Haque-Atta" sheetId="29" r:id="rId118"/>
    <sheet name="MM-Atta" sheetId="32" r:id="rId119"/>
    <sheet name="Sultan-Atta" sheetId="66" r:id="rId120"/>
    <sheet name="National-Atta" sheetId="69" r:id="rId121"/>
    <sheet name="Shajal-Atta" sheetId="70" r:id="rId122"/>
    <sheet name="Lotus-Atta" sheetId="74" r:id="rId123"/>
    <sheet name="SH-Atta" sheetId="84" r:id="rId124"/>
    <sheet name="Ambea-Atta" sheetId="77" r:id="rId125"/>
    <sheet name="Uttra-Atta" sheetId="97" r:id="rId126"/>
    <sheet name="K Trading-Atta" sheetId="98" r:id="rId127"/>
    <sheet name="Abdullah-Atta" sheetId="149" r:id="rId128"/>
    <sheet name="Sonarbangla-Atta" sheetId="205" r:id="rId129"/>
    <sheet name="Mondol-Filter" sheetId="162" r:id="rId130"/>
    <sheet name="MM-MBM" sheetId="44" r:id="rId131"/>
    <sheet name="Gold-MBM" sheetId="53" r:id="rId132"/>
    <sheet name="Gold age-MBM" sheetId="83" r:id="rId133"/>
    <sheet name="Taquwa-MBM" sheetId="57" r:id="rId134"/>
    <sheet name="K Trading-vMBM" sheetId="107" r:id="rId135"/>
    <sheet name="Abdullah-MBM" sheetId="122" r:id="rId136"/>
    <sheet name="Nil-MBM" sheetId="176" r:id="rId137"/>
    <sheet name="ESEL-MBM" sheetId="192" r:id="rId138"/>
    <sheet name="Seaco-MBM" sheetId="196" r:id="rId139"/>
    <sheet name="Uttra Poultry" sheetId="96" r:id="rId140"/>
    <sheet name="K Trading Poultry" sheetId="106" r:id="rId141"/>
    <sheet name="Rana-P Meal" sheetId="111" r:id="rId142"/>
    <sheet name="Bay-Fish Meal" sheetId="128" r:id="rId143"/>
    <sheet name="Gold-Fish Meal" sheetId="220" r:id="rId144"/>
    <sheet name="LC(KFL)-CGM" sheetId="35" r:id="rId145"/>
    <sheet name="K Trading-CGM" sheetId="116" r:id="rId146"/>
    <sheet name="Uniq-CGM" sheetId="117" r:id="rId147"/>
    <sheet name="Naaf-CGM" sheetId="237" r:id="rId148"/>
    <sheet name="Gold-CGM" sheetId="239" r:id="rId149"/>
    <sheet name="Brother-CGM" sheetId="256" r:id="rId150"/>
    <sheet name="Abdullah- RP" sheetId="145" r:id="rId151"/>
    <sheet name="Khan- RP" sheetId="147" r:id="rId152"/>
    <sheet name="Konabari RP" sheetId="171" r:id="rId153"/>
    <sheet name="K T -RP" sheetId="173" r:id="rId154"/>
    <sheet name="ESEL -RP" sheetId="182" r:id="rId155"/>
    <sheet name="Ashia -RP" sheetId="195" r:id="rId156"/>
    <sheet name="Seaco -RP" sheetId="201" r:id="rId157"/>
    <sheet name="Mohamadia-LSP" sheetId="36" r:id="rId158"/>
    <sheet name="Mokka-LSP" sheetId="78" r:id="rId159"/>
    <sheet name="Lotus-LSP " sheetId="81" r:id="rId160"/>
    <sheet name="PK-LSP" sheetId="269" r:id="rId161"/>
    <sheet name="Mokka- LSG" sheetId="127" r:id="rId162"/>
    <sheet name="Shaharia- LSG " sheetId="134" r:id="rId163"/>
    <sheet name="Thouci- LSG" sheetId="137" r:id="rId164"/>
    <sheet name="Modina- LSG" sheetId="140" r:id="rId165"/>
    <sheet name="PK- LSG" sheetId="225" r:id="rId166"/>
    <sheet name="Tazan- LSG" sheetId="249" r:id="rId167"/>
    <sheet name="Gold- LSG" sheetId="245" r:id="rId168"/>
    <sheet name="KT- LSG" sheetId="227" r:id="rId169"/>
    <sheet name="LC- LSG" sheetId="143" r:id="rId170"/>
    <sheet name="City-molasses" sheetId="49" r:id="rId171"/>
    <sheet name="Shanta-molasses" sheetId="68" r:id="rId172"/>
    <sheet name="Orin-molasses" sheetId="89" r:id="rId173"/>
    <sheet name="LC(KFL)-Lysine" sheetId="15" r:id="rId174"/>
    <sheet name="Al Amin-Lysine" sheetId="247" r:id="rId175"/>
    <sheet name="Islam-Lysine" sheetId="258" r:id="rId176"/>
    <sheet name="Century-Zympex" sheetId="17" r:id="rId177"/>
    <sheet name="M A S-Intest" sheetId="18" r:id="rId178"/>
    <sheet name="LC-L Tryptophan" sheetId="19" r:id="rId179"/>
    <sheet name="LC-L Threonine" sheetId="37" r:id="rId180"/>
    <sheet name="LC-L Valine" sheetId="38" r:id="rId181"/>
    <sheet name="LC-MCP" sheetId="39" r:id="rId182"/>
    <sheet name="K Trading-MCP" sheetId="104" r:id="rId183"/>
    <sheet name="PCF-MCP" sheetId="112" r:id="rId184"/>
    <sheet name="Eon-MCP" sheetId="123" r:id="rId185"/>
    <sheet name="ACI-MCP" sheetId="158" r:id="rId186"/>
    <sheet name="Vet-DCP" sheetId="191" r:id="rId187"/>
    <sheet name="AR-DCP" sheetId="194" r:id="rId188"/>
    <sheet name="Nafco-MCP " sheetId="207" r:id="rId189"/>
    <sheet name="Modina Tra-MCP" sheetId="223" r:id="rId190"/>
    <sheet name="ACE-Immune" sheetId="21" r:id="rId191"/>
    <sheet name="Biopharma-C.Vitamin" sheetId="24" r:id="rId192"/>
    <sheet name="Jimes-Phytase" sheetId="25" r:id="rId193"/>
    <sheet name="Hoovers-Quantum" sheetId="121" r:id="rId194"/>
    <sheet name="Pharma-CC" sheetId="30" r:id="rId195"/>
    <sheet name="Kemin-Mold" sheetId="48" r:id="rId196"/>
    <sheet name="Sigma-Nutri" sheetId="52" r:id="rId197"/>
    <sheet name="Sigma-Mycocub" sheetId="88" r:id="rId198"/>
    <sheet name="Tazan-P Binder" sheetId="71" r:id="rId199"/>
    <sheet name="ACE-Immunowall" sheetId="73" r:id="rId200"/>
    <sheet name="AR-CC" sheetId="67" r:id="rId201"/>
    <sheet name="Phrarma-CC" sheetId="82" r:id="rId202"/>
    <sheet name="3 Option CC" sheetId="142" r:id="rId203"/>
    <sheet name="Breantic- Toxin" sheetId="75" r:id="rId204"/>
    <sheet name="LC- Toxin" sheetId="94" r:id="rId205"/>
    <sheet name="Payra- L.Vitamin" sheetId="90" r:id="rId206"/>
    <sheet name="Ample-Lipidol" sheetId="91" r:id="rId207"/>
    <sheet name="Innova-Natupro &amp; Natufact" sheetId="100" r:id="rId208"/>
    <sheet name="Doctor-Zycox" sheetId="101" r:id="rId209"/>
    <sheet name="Kazi-Antamix" sheetId="131" r:id="rId210"/>
    <sheet name="Century-Anti" sheetId="108" r:id="rId211"/>
    <sheet name="Adyan-Robabiotic" sheetId="132" r:id="rId212"/>
    <sheet name="Argon-Lipidin" sheetId="133" r:id="rId213"/>
    <sheet name="Modina-DL" sheetId="135" r:id="rId214"/>
    <sheet name="ACI-DL" sheetId="139" r:id="rId215"/>
    <sheet name="LC-DL" sheetId="146" r:id="rId216"/>
    <sheet name="Alltech- Mold" sheetId="159" r:id="rId217"/>
    <sheet name="Arif Bang- Hemicel" sheetId="161" r:id="rId218"/>
    <sheet name="Test Primix" sheetId="164" r:id="rId219"/>
    <sheet name="Arma-Magnesium" sheetId="175" r:id="rId220"/>
    <sheet name="Pabna-Magnesium" sheetId="184" r:id="rId221"/>
    <sheet name="JNS-Madura" sheetId="177" r:id="rId222"/>
    <sheet name="Bengl-Colistin" sheetId="185" r:id="rId223"/>
    <sheet name="Aver-Feed Like" sheetId="186" r:id="rId224"/>
    <sheet name="Propac" sheetId="187" r:id="rId225"/>
    <sheet name="Arif Propac" sheetId="189" r:id="rId226"/>
    <sheet name="ESEL Stafac" sheetId="200" r:id="rId227"/>
    <sheet name="Nature-Egg Extra" sheetId="235" r:id="rId228"/>
    <sheet name="Omecron CC &amp; Mold" sheetId="202" r:id="rId229"/>
    <sheet name="Bengal-Cattle P" sheetId="206" r:id="rId230"/>
    <sheet name="Biolab-Choline" sheetId="214" r:id="rId231"/>
    <sheet name="Islam-DL" sheetId="216" r:id="rId232"/>
    <sheet name="Modina t-DL" sheetId="217" r:id="rId233"/>
    <sheet name="Zuelig-Milk Boost" sheetId="218" r:id="rId234"/>
    <sheet name="Al Amin-Sodium" sheetId="232" r:id="rId235"/>
    <sheet name="Nutrihealth-Anti" sheetId="250" r:id="rId236"/>
    <sheet name="RE-Osmo Fat" sheetId="251" r:id="rId237"/>
    <sheet name="Silo-Lyso" sheetId="253" r:id="rId238"/>
    <sheet name="Avon-Hal Q" sheetId="254" r:id="rId239"/>
    <sheet name="ACI-Vigarol" sheetId="259" r:id="rId240"/>
    <sheet name="-Singla Cel" sheetId="260" r:id="rId241"/>
    <sheet name="Resha -AD3" sheetId="266" r:id="rId242"/>
    <sheet name="Arena -Biosol" sheetId="272" r:id="rId243"/>
    <sheet name="Modina-Bag" sheetId="244" r:id="rId244"/>
    <sheet name="Zumar-Bag" sheetId="23" r:id="rId245"/>
    <sheet name="Local-Salt" sheetId="16" r:id="rId246"/>
    <sheet name="Khan-Soya Oil" sheetId="126" r:id="rId247"/>
    <sheet name="Mitali-Salt" sheetId="95" r:id="rId248"/>
    <sheet name="K Feed-Salt" sheetId="154" r:id="rId249"/>
    <sheet name="K Salt-Dry Fish" sheetId="153" r:id="rId250"/>
    <sheet name="Local-Urea" sheetId="43" r:id="rId251"/>
    <sheet name="Badol-Pulm" sheetId="31" r:id="rId252"/>
    <sheet name="Shaheen-Pulm Oil" sheetId="34" r:id="rId253"/>
    <sheet name="Rafit-Soya Oil" sheetId="152" r:id="rId254"/>
    <sheet name="LC (KFL)-Animal Oil" sheetId="46" r:id="rId255"/>
    <sheet name="Vi Vi-Pulm" sheetId="33" r:id="rId256"/>
    <sheet name="S A Int-Mobil" sheetId="51" r:id="rId257"/>
    <sheet name="Shomadan-Sewing" sheetId="92" r:id="rId258"/>
    <sheet name="Amin BWTC" sheetId="178" r:id="rId259"/>
    <sheet name="Trading " sheetId="114" r:id="rId260"/>
    <sheet name="Readisha &amp;Haqu - Biscuit" sheetId="204" r:id="rId261"/>
    <sheet name="Ma Baba WBhusi" sheetId="246" r:id="rId262"/>
    <sheet name="Al Modina-Chira Vusi" sheetId="262" r:id="rId263"/>
    <sheet name="Al Amin-Chira Vusi" sheetId="263" r:id="rId264"/>
    <sheet name="Shoath-Paddy" sheetId="267" r:id="rId265"/>
  </sheets>
  <definedNames>
    <definedName name="_xlnm._FilterDatabase" localSheetId="0" hidden="1">'RM Received'!$C$1:$C$7</definedName>
  </definedNames>
  <calcPr calcId="124519"/>
</workbook>
</file>

<file path=xl/calcChain.xml><?xml version="1.0" encoding="utf-8"?>
<calcChain xmlns="http://schemas.openxmlformats.org/spreadsheetml/2006/main">
  <c r="O291" i="9"/>
  <c r="N291"/>
  <c r="L291"/>
  <c r="R291" s="1"/>
  <c r="K291"/>
  <c r="K284"/>
  <c r="L284" s="1"/>
  <c r="R284" s="1"/>
  <c r="O284"/>
  <c r="K285"/>
  <c r="L285" s="1"/>
  <c r="O285"/>
  <c r="K286"/>
  <c r="L286" s="1"/>
  <c r="K287"/>
  <c r="L287" s="1"/>
  <c r="K288"/>
  <c r="L288" s="1"/>
  <c r="R288" s="1"/>
  <c r="K289"/>
  <c r="L289" s="1"/>
  <c r="O289"/>
  <c r="K290"/>
  <c r="L290" s="1"/>
  <c r="O290"/>
  <c r="K292"/>
  <c r="L292"/>
  <c r="R292" s="1"/>
  <c r="O292"/>
  <c r="K293"/>
  <c r="L293" s="1"/>
  <c r="O293"/>
  <c r="K294"/>
  <c r="L294" s="1"/>
  <c r="O294"/>
  <c r="K295"/>
  <c r="L295" s="1"/>
  <c r="O295"/>
  <c r="K296"/>
  <c r="L296"/>
  <c r="R296" s="1"/>
  <c r="O296"/>
  <c r="K297"/>
  <c r="L297" s="1"/>
  <c r="O297"/>
  <c r="K298"/>
  <c r="L298" s="1"/>
  <c r="O298"/>
  <c r="O283"/>
  <c r="N283"/>
  <c r="L283"/>
  <c r="R283" s="1"/>
  <c r="K283"/>
  <c r="O39" i="150"/>
  <c r="K39"/>
  <c r="L39" s="1"/>
  <c r="O38"/>
  <c r="L38"/>
  <c r="N38" s="1"/>
  <c r="K38"/>
  <c r="O37"/>
  <c r="K37"/>
  <c r="L37" s="1"/>
  <c r="Q27" i="267"/>
  <c r="N27"/>
  <c r="L27"/>
  <c r="R27" s="1"/>
  <c r="K27"/>
  <c r="O28" i="275"/>
  <c r="N28"/>
  <c r="L28"/>
  <c r="R28" s="1"/>
  <c r="K28"/>
  <c r="O27"/>
  <c r="K27"/>
  <c r="L27" s="1"/>
  <c r="O26"/>
  <c r="L26"/>
  <c r="N26" s="1"/>
  <c r="K26"/>
  <c r="O18" i="273"/>
  <c r="K18"/>
  <c r="L18" s="1"/>
  <c r="N35" i="204"/>
  <c r="L35"/>
  <c r="R35" s="1"/>
  <c r="K35"/>
  <c r="O148" i="105"/>
  <c r="K148"/>
  <c r="L148" s="1"/>
  <c r="O147"/>
  <c r="K147"/>
  <c r="L147" s="1"/>
  <c r="Q33" i="204"/>
  <c r="I33"/>
  <c r="K33" s="1"/>
  <c r="L33" s="1"/>
  <c r="K32"/>
  <c r="L32" s="1"/>
  <c r="O33" i="151"/>
  <c r="N33"/>
  <c r="L33"/>
  <c r="R33" s="1"/>
  <c r="K33"/>
  <c r="O32"/>
  <c r="K32"/>
  <c r="L32" s="1"/>
  <c r="O31"/>
  <c r="K31"/>
  <c r="L31" s="1"/>
  <c r="O282" i="9"/>
  <c r="K282"/>
  <c r="L282" s="1"/>
  <c r="Q281"/>
  <c r="O274"/>
  <c r="K274"/>
  <c r="L274" s="1"/>
  <c r="Q268"/>
  <c r="I268"/>
  <c r="K268" s="1"/>
  <c r="L268" s="1"/>
  <c r="O265"/>
  <c r="O266"/>
  <c r="O269"/>
  <c r="O270"/>
  <c r="O271"/>
  <c r="O272"/>
  <c r="O273"/>
  <c r="O275"/>
  <c r="O277"/>
  <c r="O278"/>
  <c r="O279"/>
  <c r="O280"/>
  <c r="O264"/>
  <c r="K265"/>
  <c r="L265" s="1"/>
  <c r="R265" s="1"/>
  <c r="K266"/>
  <c r="L266"/>
  <c r="R266" s="1"/>
  <c r="K267"/>
  <c r="L267" s="1"/>
  <c r="R267" s="1"/>
  <c r="K269"/>
  <c r="L269" s="1"/>
  <c r="R269" s="1"/>
  <c r="K270"/>
  <c r="L270"/>
  <c r="R270" s="1"/>
  <c r="K271"/>
  <c r="L271" s="1"/>
  <c r="R271" s="1"/>
  <c r="K272"/>
  <c r="L272" s="1"/>
  <c r="R272" s="1"/>
  <c r="K273"/>
  <c r="L273"/>
  <c r="R273" s="1"/>
  <c r="K275"/>
  <c r="L275"/>
  <c r="R275" s="1"/>
  <c r="K276"/>
  <c r="L276"/>
  <c r="R276" s="1"/>
  <c r="K277"/>
  <c r="L277" s="1"/>
  <c r="R277" s="1"/>
  <c r="K278"/>
  <c r="L278"/>
  <c r="R278" s="1"/>
  <c r="K279"/>
  <c r="L279" s="1"/>
  <c r="R279" s="1"/>
  <c r="K280"/>
  <c r="L280" s="1"/>
  <c r="R280" s="1"/>
  <c r="K281"/>
  <c r="L281"/>
  <c r="N264"/>
  <c r="L264"/>
  <c r="R264" s="1"/>
  <c r="K264"/>
  <c r="Q124" i="43"/>
  <c r="N124"/>
  <c r="L124"/>
  <c r="R124" s="1"/>
  <c r="K124"/>
  <c r="N12" i="263"/>
  <c r="L12"/>
  <c r="R12" s="1"/>
  <c r="K12"/>
  <c r="O213" i="23"/>
  <c r="N213"/>
  <c r="L213"/>
  <c r="R213" s="1"/>
  <c r="K213"/>
  <c r="K30" i="204"/>
  <c r="L30" s="1"/>
  <c r="O17" i="273"/>
  <c r="N17"/>
  <c r="L17"/>
  <c r="R17" s="1"/>
  <c r="K17"/>
  <c r="O16"/>
  <c r="K16"/>
  <c r="L16" s="1"/>
  <c r="O15"/>
  <c r="L15"/>
  <c r="N15" s="1"/>
  <c r="K15"/>
  <c r="O85" i="34"/>
  <c r="N85"/>
  <c r="L85"/>
  <c r="R85" s="1"/>
  <c r="K85"/>
  <c r="N65" i="130"/>
  <c r="L65"/>
  <c r="R65" s="1"/>
  <c r="K65"/>
  <c r="N64"/>
  <c r="L64"/>
  <c r="R64" s="1"/>
  <c r="K64"/>
  <c r="N26" i="267"/>
  <c r="L26"/>
  <c r="R26" s="1"/>
  <c r="K26"/>
  <c r="N25"/>
  <c r="L25"/>
  <c r="R25" s="1"/>
  <c r="K25"/>
  <c r="N24"/>
  <c r="L24"/>
  <c r="R24" s="1"/>
  <c r="K24"/>
  <c r="O262" i="9"/>
  <c r="L262"/>
  <c r="N262" s="1"/>
  <c r="K262"/>
  <c r="R261"/>
  <c r="Q261"/>
  <c r="K261"/>
  <c r="L261" s="1"/>
  <c r="N261" s="1"/>
  <c r="K260"/>
  <c r="L260"/>
  <c r="R260" s="1"/>
  <c r="O145" i="105"/>
  <c r="N145"/>
  <c r="L145"/>
  <c r="R145" s="1"/>
  <c r="K145"/>
  <c r="N31" i="262"/>
  <c r="L31"/>
  <c r="R31" s="1"/>
  <c r="K31"/>
  <c r="O53" i="236"/>
  <c r="N53"/>
  <c r="L53"/>
  <c r="R53" s="1"/>
  <c r="K53"/>
  <c r="O212" i="23"/>
  <c r="K212"/>
  <c r="L212" s="1"/>
  <c r="O14" i="273"/>
  <c r="N14"/>
  <c r="L14"/>
  <c r="R14" s="1"/>
  <c r="K14"/>
  <c r="O13"/>
  <c r="K13"/>
  <c r="L13" s="1"/>
  <c r="N28" i="204"/>
  <c r="L28"/>
  <c r="R28" s="1"/>
  <c r="K28"/>
  <c r="O83" i="144"/>
  <c r="N83"/>
  <c r="L83"/>
  <c r="R83" s="1"/>
  <c r="K83"/>
  <c r="K256" i="9"/>
  <c r="L256" s="1"/>
  <c r="R256" s="1"/>
  <c r="O256"/>
  <c r="K257"/>
  <c r="L257" s="1"/>
  <c r="O257"/>
  <c r="K258"/>
  <c r="L258" s="1"/>
  <c r="O247"/>
  <c r="N247"/>
  <c r="L247"/>
  <c r="R247" s="1"/>
  <c r="K247"/>
  <c r="O242"/>
  <c r="N242"/>
  <c r="L242"/>
  <c r="R242" s="1"/>
  <c r="K242"/>
  <c r="Z233"/>
  <c r="Y233"/>
  <c r="Y229"/>
  <c r="O103" i="270"/>
  <c r="K103"/>
  <c r="L103" s="1"/>
  <c r="O102"/>
  <c r="L102"/>
  <c r="N102" s="1"/>
  <c r="K102"/>
  <c r="O17" i="274"/>
  <c r="N17"/>
  <c r="L17"/>
  <c r="R17" s="1"/>
  <c r="K17"/>
  <c r="O16"/>
  <c r="K16"/>
  <c r="L16" s="1"/>
  <c r="O15"/>
  <c r="L15"/>
  <c r="N15" s="1"/>
  <c r="K15"/>
  <c r="O14"/>
  <c r="N14"/>
  <c r="L14"/>
  <c r="R14" s="1"/>
  <c r="K14"/>
  <c r="O101" i="270"/>
  <c r="K101"/>
  <c r="L101" s="1"/>
  <c r="O100"/>
  <c r="L100"/>
  <c r="N100" s="1"/>
  <c r="K100"/>
  <c r="O99"/>
  <c r="N99"/>
  <c r="L99"/>
  <c r="R99" s="1"/>
  <c r="K99"/>
  <c r="O98"/>
  <c r="K98"/>
  <c r="L98" s="1"/>
  <c r="O97"/>
  <c r="K97"/>
  <c r="L97" s="1"/>
  <c r="O96"/>
  <c r="L96"/>
  <c r="N96" s="1"/>
  <c r="K96"/>
  <c r="O95"/>
  <c r="N95"/>
  <c r="L95"/>
  <c r="R95" s="1"/>
  <c r="K95"/>
  <c r="O94"/>
  <c r="K94"/>
  <c r="L94" s="1"/>
  <c r="O93"/>
  <c r="K93"/>
  <c r="L93" s="1"/>
  <c r="O92"/>
  <c r="L92"/>
  <c r="N92" s="1"/>
  <c r="K92"/>
  <c r="O91"/>
  <c r="N91"/>
  <c r="L91"/>
  <c r="R91" s="1"/>
  <c r="K91"/>
  <c r="O90"/>
  <c r="K90"/>
  <c r="L90" s="1"/>
  <c r="O89"/>
  <c r="K89"/>
  <c r="L89" s="1"/>
  <c r="O88"/>
  <c r="L88"/>
  <c r="N88" s="1"/>
  <c r="K88"/>
  <c r="O211" i="23"/>
  <c r="L211"/>
  <c r="N211" s="1"/>
  <c r="K211"/>
  <c r="O143" i="105"/>
  <c r="K143"/>
  <c r="L143" s="1"/>
  <c r="N26" i="204"/>
  <c r="L26"/>
  <c r="R26" s="1"/>
  <c r="K26"/>
  <c r="O12" i="273"/>
  <c r="N12"/>
  <c r="L12"/>
  <c r="R12" s="1"/>
  <c r="K12"/>
  <c r="O11"/>
  <c r="K11"/>
  <c r="L11" s="1"/>
  <c r="O142" i="105"/>
  <c r="K142"/>
  <c r="L142" s="1"/>
  <c r="O20" i="218"/>
  <c r="N20"/>
  <c r="L20"/>
  <c r="R20" s="1"/>
  <c r="K20"/>
  <c r="N29" i="262"/>
  <c r="L29"/>
  <c r="R29" s="1"/>
  <c r="K29"/>
  <c r="O235" i="9"/>
  <c r="K235"/>
  <c r="L235" s="1"/>
  <c r="O225"/>
  <c r="K225"/>
  <c r="L225" s="1"/>
  <c r="O205"/>
  <c r="N205"/>
  <c r="L205"/>
  <c r="R205" s="1"/>
  <c r="K205"/>
  <c r="O200"/>
  <c r="N200"/>
  <c r="L200"/>
  <c r="R200" s="1"/>
  <c r="K200"/>
  <c r="O178" i="28"/>
  <c r="N178"/>
  <c r="L178"/>
  <c r="R178" s="1"/>
  <c r="K178"/>
  <c r="O10" i="273"/>
  <c r="K10"/>
  <c r="L10" s="1"/>
  <c r="O9"/>
  <c r="K9"/>
  <c r="L9" s="1"/>
  <c r="O195" i="9"/>
  <c r="N195"/>
  <c r="L195"/>
  <c r="R195" s="1"/>
  <c r="K195"/>
  <c r="O190"/>
  <c r="K190"/>
  <c r="L190" s="1"/>
  <c r="O23" i="259"/>
  <c r="L23"/>
  <c r="R23" s="1"/>
  <c r="K23"/>
  <c r="O39" i="18"/>
  <c r="K39"/>
  <c r="L39" s="1"/>
  <c r="O53" i="159"/>
  <c r="K53"/>
  <c r="L53" s="1"/>
  <c r="O52"/>
  <c r="L52"/>
  <c r="N52" s="1"/>
  <c r="K52"/>
  <c r="O36" i="257"/>
  <c r="N36"/>
  <c r="L36"/>
  <c r="R36" s="1"/>
  <c r="K36"/>
  <c r="O30" i="151"/>
  <c r="N30"/>
  <c r="L30"/>
  <c r="R30" s="1"/>
  <c r="K30"/>
  <c r="O29"/>
  <c r="K29"/>
  <c r="L29" s="1"/>
  <c r="O96" i="156"/>
  <c r="N96"/>
  <c r="L96"/>
  <c r="R96" s="1"/>
  <c r="K96"/>
  <c r="O186" i="9"/>
  <c r="N186"/>
  <c r="L186"/>
  <c r="R186" s="1"/>
  <c r="K186"/>
  <c r="K123" i="43"/>
  <c r="L123" s="1"/>
  <c r="K81" i="270"/>
  <c r="L81" s="1"/>
  <c r="O81"/>
  <c r="K82"/>
  <c r="L82" s="1"/>
  <c r="O82"/>
  <c r="O45" i="235"/>
  <c r="N45"/>
  <c r="L45"/>
  <c r="R45" s="1"/>
  <c r="K45"/>
  <c r="O177" i="28"/>
  <c r="L177"/>
  <c r="N177" s="1"/>
  <c r="K177"/>
  <c r="O176"/>
  <c r="N176"/>
  <c r="L176"/>
  <c r="R176" s="1"/>
  <c r="K176"/>
  <c r="O176" i="9"/>
  <c r="L176"/>
  <c r="R176" s="1"/>
  <c r="K176"/>
  <c r="I86" i="270"/>
  <c r="J86"/>
  <c r="L86"/>
  <c r="H86"/>
  <c r="K73"/>
  <c r="L73" s="1"/>
  <c r="O73"/>
  <c r="K74"/>
  <c r="L74" s="1"/>
  <c r="O74"/>
  <c r="K75"/>
  <c r="L75" s="1"/>
  <c r="O75"/>
  <c r="K76"/>
  <c r="L76"/>
  <c r="R76" s="1"/>
  <c r="O76"/>
  <c r="K77"/>
  <c r="L77" s="1"/>
  <c r="O77"/>
  <c r="K78"/>
  <c r="L78" s="1"/>
  <c r="O78"/>
  <c r="K79"/>
  <c r="L79" s="1"/>
  <c r="O79"/>
  <c r="K80"/>
  <c r="L80" s="1"/>
  <c r="R80" s="1"/>
  <c r="O80"/>
  <c r="O76" i="24"/>
  <c r="K76"/>
  <c r="L76" s="1"/>
  <c r="O75"/>
  <c r="L75"/>
  <c r="N75" s="1"/>
  <c r="K75"/>
  <c r="O34" i="257"/>
  <c r="K34"/>
  <c r="L34" s="1"/>
  <c r="O168" i="9"/>
  <c r="L168"/>
  <c r="N168" s="1"/>
  <c r="K168"/>
  <c r="N293" l="1"/>
  <c r="R293"/>
  <c r="N286"/>
  <c r="R286"/>
  <c r="N297"/>
  <c r="R297"/>
  <c r="N290"/>
  <c r="R290"/>
  <c r="N298"/>
  <c r="R298"/>
  <c r="N289"/>
  <c r="R289"/>
  <c r="R295"/>
  <c r="N295"/>
  <c r="N294"/>
  <c r="R294"/>
  <c r="R287"/>
  <c r="N287"/>
  <c r="N285"/>
  <c r="R285"/>
  <c r="N296"/>
  <c r="N292"/>
  <c r="N288"/>
  <c r="N284"/>
  <c r="R147" i="105"/>
  <c r="N147"/>
  <c r="R148"/>
  <c r="N148"/>
  <c r="R37" i="150"/>
  <c r="N37"/>
  <c r="N39"/>
  <c r="R39"/>
  <c r="R38"/>
  <c r="N27" i="275"/>
  <c r="R27"/>
  <c r="R26"/>
  <c r="L44"/>
  <c r="R18" i="273"/>
  <c r="N18"/>
  <c r="R33" i="204"/>
  <c r="N33"/>
  <c r="N32"/>
  <c r="R32"/>
  <c r="R32" i="151"/>
  <c r="N32"/>
  <c r="R31"/>
  <c r="N31"/>
  <c r="R282" i="9"/>
  <c r="N282"/>
  <c r="R281"/>
  <c r="N274"/>
  <c r="R274"/>
  <c r="R268"/>
  <c r="N281"/>
  <c r="N280"/>
  <c r="N279"/>
  <c r="N278"/>
  <c r="N277"/>
  <c r="N276"/>
  <c r="N275"/>
  <c r="N273"/>
  <c r="N272"/>
  <c r="N271"/>
  <c r="N270"/>
  <c r="N269"/>
  <c r="N268"/>
  <c r="N267"/>
  <c r="N266"/>
  <c r="N265"/>
  <c r="N30" i="204"/>
  <c r="R30"/>
  <c r="N16" i="273"/>
  <c r="R16"/>
  <c r="R15"/>
  <c r="R262" i="9"/>
  <c r="N260"/>
  <c r="R212" i="23"/>
  <c r="N212"/>
  <c r="N13" i="273"/>
  <c r="R13"/>
  <c r="N258" i="9"/>
  <c r="R258"/>
  <c r="N257"/>
  <c r="R257"/>
  <c r="N256"/>
  <c r="N103" i="270"/>
  <c r="R103"/>
  <c r="R102"/>
  <c r="N16" i="274"/>
  <c r="R16"/>
  <c r="R15"/>
  <c r="N93" i="270"/>
  <c r="R93"/>
  <c r="R90"/>
  <c r="N90"/>
  <c r="N97"/>
  <c r="R97"/>
  <c r="R94"/>
  <c r="N94"/>
  <c r="N101"/>
  <c r="R101"/>
  <c r="N89"/>
  <c r="R89"/>
  <c r="R98"/>
  <c r="N98"/>
  <c r="R88"/>
  <c r="R92"/>
  <c r="R96"/>
  <c r="R100"/>
  <c r="R211" i="23"/>
  <c r="R143" i="105"/>
  <c r="N143"/>
  <c r="N11" i="273"/>
  <c r="R11"/>
  <c r="R142" i="105"/>
  <c r="N142"/>
  <c r="N235" i="9"/>
  <c r="R235"/>
  <c r="N225"/>
  <c r="R225"/>
  <c r="N9" i="273"/>
  <c r="R9"/>
  <c r="N10"/>
  <c r="R10"/>
  <c r="N190" i="9"/>
  <c r="R190"/>
  <c r="N23" i="259"/>
  <c r="N39" i="18"/>
  <c r="R39"/>
  <c r="N53" i="159"/>
  <c r="R53"/>
  <c r="R52"/>
  <c r="N29" i="151"/>
  <c r="R29"/>
  <c r="N123" i="43"/>
  <c r="R123"/>
  <c r="K86" i="270"/>
  <c r="N81"/>
  <c r="R81"/>
  <c r="M86"/>
  <c r="N82"/>
  <c r="R82"/>
  <c r="R177" i="28"/>
  <c r="N176" i="9"/>
  <c r="N79" i="270"/>
  <c r="R79"/>
  <c r="R77"/>
  <c r="N77"/>
  <c r="N74"/>
  <c r="R74"/>
  <c r="N78"/>
  <c r="R78"/>
  <c r="R75"/>
  <c r="N75"/>
  <c r="R73"/>
  <c r="N73"/>
  <c r="N80"/>
  <c r="N76"/>
  <c r="R76" i="24"/>
  <c r="N76"/>
  <c r="R75"/>
  <c r="N34" i="257"/>
  <c r="R34"/>
  <c r="R168" i="9"/>
  <c r="O63" i="35"/>
  <c r="K63"/>
  <c r="L63" s="1"/>
  <c r="O62"/>
  <c r="L62"/>
  <c r="N62" s="1"/>
  <c r="K62"/>
  <c r="O32" i="257"/>
  <c r="N32"/>
  <c r="L32"/>
  <c r="R32" s="1"/>
  <c r="K32"/>
  <c r="O140" i="105"/>
  <c r="N140"/>
  <c r="L140"/>
  <c r="R140" s="1"/>
  <c r="K140"/>
  <c r="O139"/>
  <c r="K139"/>
  <c r="L139" s="1"/>
  <c r="O138"/>
  <c r="K138"/>
  <c r="L138" s="1"/>
  <c r="N27" i="262"/>
  <c r="L27"/>
  <c r="R27" s="1"/>
  <c r="K27"/>
  <c r="O43" i="235"/>
  <c r="N43"/>
  <c r="L43"/>
  <c r="R43" s="1"/>
  <c r="K43"/>
  <c r="O61" i="35"/>
  <c r="N61"/>
  <c r="L61"/>
  <c r="R61" s="1"/>
  <c r="K61"/>
  <c r="O60"/>
  <c r="K60"/>
  <c r="L60" s="1"/>
  <c r="O59"/>
  <c r="L59"/>
  <c r="N59" s="1"/>
  <c r="K59"/>
  <c r="O58"/>
  <c r="N58"/>
  <c r="L58"/>
  <c r="R58" s="1"/>
  <c r="K58"/>
  <c r="O57"/>
  <c r="N57"/>
  <c r="L57"/>
  <c r="R57" s="1"/>
  <c r="K57"/>
  <c r="O56"/>
  <c r="K56"/>
  <c r="L56" s="1"/>
  <c r="O55"/>
  <c r="K55"/>
  <c r="L55" s="1"/>
  <c r="N55" s="1"/>
  <c r="O54"/>
  <c r="K54"/>
  <c r="L54" s="1"/>
  <c r="O53"/>
  <c r="K53"/>
  <c r="L53" s="1"/>
  <c r="O52"/>
  <c r="K52"/>
  <c r="L52" s="1"/>
  <c r="O51"/>
  <c r="L51"/>
  <c r="N51" s="1"/>
  <c r="K51"/>
  <c r="O43" i="73"/>
  <c r="N43"/>
  <c r="L43"/>
  <c r="K43"/>
  <c r="O82" i="144"/>
  <c r="N82"/>
  <c r="L82"/>
  <c r="R82" s="1"/>
  <c r="K82"/>
  <c r="O18" i="267"/>
  <c r="N18"/>
  <c r="L18"/>
  <c r="R18" s="1"/>
  <c r="K18"/>
  <c r="O23" i="251"/>
  <c r="K23"/>
  <c r="L23" s="1"/>
  <c r="O155" i="9"/>
  <c r="N155"/>
  <c r="L155"/>
  <c r="R155" s="1"/>
  <c r="K155"/>
  <c r="N133"/>
  <c r="K133"/>
  <c r="L133" s="1"/>
  <c r="O133"/>
  <c r="O145"/>
  <c r="L145"/>
  <c r="R145" s="1"/>
  <c r="K145"/>
  <c r="O50" i="35"/>
  <c r="K50"/>
  <c r="L50" s="1"/>
  <c r="O49"/>
  <c r="L49"/>
  <c r="N49" s="1"/>
  <c r="K49"/>
  <c r="O48"/>
  <c r="N48"/>
  <c r="L48"/>
  <c r="R48" s="1"/>
  <c r="K48"/>
  <c r="O47"/>
  <c r="K47"/>
  <c r="L47" s="1"/>
  <c r="O46"/>
  <c r="L46"/>
  <c r="N46" s="1"/>
  <c r="K46"/>
  <c r="O45"/>
  <c r="N45"/>
  <c r="L45"/>
  <c r="R45" s="1"/>
  <c r="K45"/>
  <c r="O44"/>
  <c r="N44"/>
  <c r="L44"/>
  <c r="R44" s="1"/>
  <c r="K44"/>
  <c r="O43"/>
  <c r="K43"/>
  <c r="L43" s="1"/>
  <c r="O136" i="105"/>
  <c r="K136"/>
  <c r="L136" s="1"/>
  <c r="Q122" i="43"/>
  <c r="N122"/>
  <c r="L122"/>
  <c r="R122" s="1"/>
  <c r="K122"/>
  <c r="Q16" i="267"/>
  <c r="N16"/>
  <c r="L16"/>
  <c r="R16" s="1"/>
  <c r="K16"/>
  <c r="O128" i="9"/>
  <c r="L128"/>
  <c r="N128" s="1"/>
  <c r="K128"/>
  <c r="Q118"/>
  <c r="Q117"/>
  <c r="O22" i="253"/>
  <c r="N22"/>
  <c r="L22"/>
  <c r="R22" s="1"/>
  <c r="K22"/>
  <c r="O44" i="131"/>
  <c r="L44"/>
  <c r="N44" s="1"/>
  <c r="K44"/>
  <c r="O93" i="20"/>
  <c r="K93"/>
  <c r="L93" s="1"/>
  <c r="N63" i="130"/>
  <c r="L63"/>
  <c r="R63" s="1"/>
  <c r="K63"/>
  <c r="R24" i="204"/>
  <c r="N24"/>
  <c r="L24"/>
  <c r="K24"/>
  <c r="O28" i="151"/>
  <c r="N28"/>
  <c r="L28"/>
  <c r="R28" s="1"/>
  <c r="K28"/>
  <c r="O27"/>
  <c r="K27"/>
  <c r="L27" s="1"/>
  <c r="O15" i="89"/>
  <c r="K15"/>
  <c r="L15" s="1"/>
  <c r="O14"/>
  <c r="N14"/>
  <c r="L14"/>
  <c r="R14" s="1"/>
  <c r="K14"/>
  <c r="O115" i="9"/>
  <c r="N115"/>
  <c r="L115"/>
  <c r="R115" s="1"/>
  <c r="K115"/>
  <c r="O86" i="270" l="1"/>
  <c r="N86"/>
  <c r="R54" i="35"/>
  <c r="N54"/>
  <c r="R53"/>
  <c r="N53"/>
  <c r="N63"/>
  <c r="R63"/>
  <c r="R62"/>
  <c r="R139" i="105"/>
  <c r="N139"/>
  <c r="N138"/>
  <c r="R138"/>
  <c r="N60" i="35"/>
  <c r="R60"/>
  <c r="N56"/>
  <c r="R56"/>
  <c r="R52"/>
  <c r="N52"/>
  <c r="R51"/>
  <c r="R55"/>
  <c r="R59"/>
  <c r="N23" i="251"/>
  <c r="R23"/>
  <c r="N145" i="9"/>
  <c r="N50" i="35"/>
  <c r="R50"/>
  <c r="R47"/>
  <c r="N47"/>
  <c r="N43"/>
  <c r="R43"/>
  <c r="R46"/>
  <c r="R49"/>
  <c r="N136" i="105"/>
  <c r="R136"/>
  <c r="R128" i="9"/>
  <c r="R44" i="131"/>
  <c r="R93" i="20"/>
  <c r="N93"/>
  <c r="N27" i="151"/>
  <c r="R27"/>
  <c r="N15" i="89"/>
  <c r="R15"/>
  <c r="O209" i="23"/>
  <c r="K209"/>
  <c r="L209" s="1"/>
  <c r="O12" i="272"/>
  <c r="N12"/>
  <c r="L12"/>
  <c r="R12" s="1"/>
  <c r="K12"/>
  <c r="O8"/>
  <c r="K8"/>
  <c r="L8" s="1"/>
  <c r="O12" i="266"/>
  <c r="L12"/>
  <c r="N12" s="1"/>
  <c r="K12"/>
  <c r="O44" i="101"/>
  <c r="N44"/>
  <c r="L44"/>
  <c r="R44" s="1"/>
  <c r="K44"/>
  <c r="K62" i="130"/>
  <c r="L62" s="1"/>
  <c r="L52" i="236"/>
  <c r="N52" s="1"/>
  <c r="K52"/>
  <c r="O102" i="9"/>
  <c r="K102"/>
  <c r="L102" s="1"/>
  <c r="L34" i="175"/>
  <c r="N34" s="1"/>
  <c r="K34"/>
  <c r="N61" i="130"/>
  <c r="L61"/>
  <c r="R61" s="1"/>
  <c r="K61"/>
  <c r="H61"/>
  <c r="R60"/>
  <c r="N60"/>
  <c r="L60"/>
  <c r="K60"/>
  <c r="O95" i="9"/>
  <c r="N95"/>
  <c r="L95"/>
  <c r="R95" s="1"/>
  <c r="K95"/>
  <c r="H93"/>
  <c r="Q22" i="204"/>
  <c r="O22"/>
  <c r="K22"/>
  <c r="L22" s="1"/>
  <c r="Q27" i="246"/>
  <c r="N27"/>
  <c r="L27"/>
  <c r="R27" s="1"/>
  <c r="K27"/>
  <c r="O90" i="9"/>
  <c r="N90"/>
  <c r="L90"/>
  <c r="R90" s="1"/>
  <c r="K90"/>
  <c r="Q89"/>
  <c r="Q88"/>
  <c r="O92" i="20"/>
  <c r="L92"/>
  <c r="N92" s="1"/>
  <c r="K92"/>
  <c r="K25" i="262"/>
  <c r="L25" s="1"/>
  <c r="O95" i="156"/>
  <c r="N95"/>
  <c r="L95"/>
  <c r="R95" s="1"/>
  <c r="K95"/>
  <c r="O22" i="260"/>
  <c r="N22"/>
  <c r="L22"/>
  <c r="R22" s="1"/>
  <c r="K22"/>
  <c r="K20" i="204"/>
  <c r="L20" s="1"/>
  <c r="K59" i="130"/>
  <c r="L59" s="1"/>
  <c r="O86" i="9"/>
  <c r="N86"/>
  <c r="L86"/>
  <c r="R86" s="1"/>
  <c r="K86"/>
  <c r="O81"/>
  <c r="K81"/>
  <c r="L81" s="1"/>
  <c r="R209" i="23" l="1"/>
  <c r="N209"/>
  <c r="N8" i="272"/>
  <c r="R8"/>
  <c r="R12" i="266"/>
  <c r="N62" i="130"/>
  <c r="R62"/>
  <c r="R52" i="236"/>
  <c r="N102" i="9"/>
  <c r="R102"/>
  <c r="R34" i="175"/>
  <c r="R22" i="204"/>
  <c r="N22"/>
  <c r="R92" i="20"/>
  <c r="N25" i="262"/>
  <c r="R25"/>
  <c r="N20" i="204"/>
  <c r="R20"/>
  <c r="N59" i="130"/>
  <c r="R59"/>
  <c r="N81" i="9"/>
  <c r="R81"/>
  <c r="K21" i="259"/>
  <c r="L21" s="1"/>
  <c r="O84" i="34"/>
  <c r="L84"/>
  <c r="N84" s="1"/>
  <c r="K84"/>
  <c r="N23" i="262"/>
  <c r="L23"/>
  <c r="R23" s="1"/>
  <c r="K23"/>
  <c r="O41" i="235"/>
  <c r="L41"/>
  <c r="R41" s="1"/>
  <c r="K41"/>
  <c r="O94" i="156"/>
  <c r="N94"/>
  <c r="L94"/>
  <c r="R94" s="1"/>
  <c r="K94"/>
  <c r="O76" i="9"/>
  <c r="K76"/>
  <c r="L76" s="1"/>
  <c r="O72"/>
  <c r="O28" i="145"/>
  <c r="K28"/>
  <c r="L28" s="1"/>
  <c r="O11" i="202"/>
  <c r="N11"/>
  <c r="L11"/>
  <c r="R11" s="1"/>
  <c r="K11"/>
  <c r="O91" i="20"/>
  <c r="K91"/>
  <c r="L91" s="1"/>
  <c r="O69" i="9"/>
  <c r="K69"/>
  <c r="L69" s="1"/>
  <c r="O66"/>
  <c r="N66"/>
  <c r="L66"/>
  <c r="R66" s="1"/>
  <c r="K66"/>
  <c r="Q120" i="43"/>
  <c r="L120"/>
  <c r="N120" s="1"/>
  <c r="K120"/>
  <c r="O31" i="244"/>
  <c r="N31"/>
  <c r="L31"/>
  <c r="R31" s="1"/>
  <c r="K31"/>
  <c r="O47" i="173"/>
  <c r="N47"/>
  <c r="L47"/>
  <c r="R47" s="1"/>
  <c r="K47"/>
  <c r="O35" i="252"/>
  <c r="N35"/>
  <c r="L35"/>
  <c r="R35" s="1"/>
  <c r="K35"/>
  <c r="O175" i="28"/>
  <c r="N175"/>
  <c r="L175"/>
  <c r="R175" s="1"/>
  <c r="K175"/>
  <c r="O174"/>
  <c r="K174"/>
  <c r="L174" s="1"/>
  <c r="I174"/>
  <c r="O15" i="271"/>
  <c r="L15"/>
  <c r="N15" s="1"/>
  <c r="K15"/>
  <c r="O62" i="9"/>
  <c r="N62"/>
  <c r="L62"/>
  <c r="R62" s="1"/>
  <c r="K62"/>
  <c r="Q61"/>
  <c r="I56"/>
  <c r="N21" i="259" l="1"/>
  <c r="R21"/>
  <c r="R84" i="34"/>
  <c r="N41" i="235"/>
  <c r="N76" i="9"/>
  <c r="R76"/>
  <c r="N28" i="145"/>
  <c r="R28"/>
  <c r="N91" i="20"/>
  <c r="R91"/>
  <c r="R69" i="9"/>
  <c r="N69"/>
  <c r="R120" i="43"/>
  <c r="N174" i="28"/>
  <c r="R174"/>
  <c r="R15" i="271"/>
  <c r="O67" i="270"/>
  <c r="N67"/>
  <c r="L67"/>
  <c r="K67"/>
  <c r="O66"/>
  <c r="N66"/>
  <c r="L66"/>
  <c r="K66"/>
  <c r="I70" l="1"/>
  <c r="J70"/>
  <c r="K70"/>
  <c r="L70"/>
  <c r="M70"/>
  <c r="N70"/>
  <c r="O70"/>
  <c r="P70"/>
  <c r="H70"/>
  <c r="O65"/>
  <c r="L65"/>
  <c r="N65" s="1"/>
  <c r="K65"/>
  <c r="O64"/>
  <c r="N64"/>
  <c r="L64"/>
  <c r="R64" s="1"/>
  <c r="K64"/>
  <c r="O63"/>
  <c r="N63"/>
  <c r="L63"/>
  <c r="R63" s="1"/>
  <c r="K63"/>
  <c r="O62"/>
  <c r="K62"/>
  <c r="L62" s="1"/>
  <c r="O61"/>
  <c r="L61"/>
  <c r="N61" s="1"/>
  <c r="K61"/>
  <c r="O60"/>
  <c r="N60"/>
  <c r="L60"/>
  <c r="R60" s="1"/>
  <c r="K60"/>
  <c r="O59"/>
  <c r="N59"/>
  <c r="L59"/>
  <c r="R59" s="1"/>
  <c r="K59"/>
  <c r="O58"/>
  <c r="K58"/>
  <c r="L58" s="1"/>
  <c r="O57"/>
  <c r="L57"/>
  <c r="N57" s="1"/>
  <c r="K57"/>
  <c r="O56"/>
  <c r="N56"/>
  <c r="L56"/>
  <c r="R56" s="1"/>
  <c r="K56"/>
  <c r="O55"/>
  <c r="N55"/>
  <c r="L55"/>
  <c r="R55" s="1"/>
  <c r="K55"/>
  <c r="O54"/>
  <c r="K54"/>
  <c r="L54" s="1"/>
  <c r="O53"/>
  <c r="L53"/>
  <c r="N53" s="1"/>
  <c r="K53"/>
  <c r="O52"/>
  <c r="N52"/>
  <c r="L52"/>
  <c r="R52" s="1"/>
  <c r="K52"/>
  <c r="O51"/>
  <c r="N51"/>
  <c r="L51"/>
  <c r="R51" s="1"/>
  <c r="K51"/>
  <c r="O20" i="139"/>
  <c r="N20"/>
  <c r="L20"/>
  <c r="R20" s="1"/>
  <c r="K20"/>
  <c r="O41" i="100"/>
  <c r="K41"/>
  <c r="L41" s="1"/>
  <c r="O40"/>
  <c r="L40"/>
  <c r="N40" s="1"/>
  <c r="K40"/>
  <c r="N13" i="271"/>
  <c r="L13"/>
  <c r="R13" s="1"/>
  <c r="K13"/>
  <c r="K16" i="230"/>
  <c r="L16" s="1"/>
  <c r="K21" i="262"/>
  <c r="L21" s="1"/>
  <c r="O51" i="9"/>
  <c r="N51"/>
  <c r="L51"/>
  <c r="R51" s="1"/>
  <c r="K51"/>
  <c r="N58" i="270" l="1"/>
  <c r="R58"/>
  <c r="N54"/>
  <c r="R54"/>
  <c r="N62"/>
  <c r="R62"/>
  <c r="R53"/>
  <c r="R57"/>
  <c r="R61"/>
  <c r="R65"/>
  <c r="N41" i="100"/>
  <c r="R41"/>
  <c r="R40"/>
  <c r="N16" i="230"/>
  <c r="R16"/>
  <c r="N21" i="262"/>
  <c r="R21"/>
  <c r="O50" i="270"/>
  <c r="K50"/>
  <c r="L50" s="1"/>
  <c r="O49"/>
  <c r="L49"/>
  <c r="N49" s="1"/>
  <c r="K49"/>
  <c r="O48"/>
  <c r="N48"/>
  <c r="L48"/>
  <c r="R48" s="1"/>
  <c r="K48"/>
  <c r="O47"/>
  <c r="K47"/>
  <c r="L47" s="1"/>
  <c r="O46"/>
  <c r="L46"/>
  <c r="N46" s="1"/>
  <c r="K46"/>
  <c r="O45"/>
  <c r="N45"/>
  <c r="L45"/>
  <c r="R45" s="1"/>
  <c r="K45"/>
  <c r="O44"/>
  <c r="N44"/>
  <c r="L44"/>
  <c r="R44" s="1"/>
  <c r="K44"/>
  <c r="O43"/>
  <c r="K43"/>
  <c r="L43" s="1"/>
  <c r="O42"/>
  <c r="L42"/>
  <c r="N42" s="1"/>
  <c r="K42"/>
  <c r="O41"/>
  <c r="N41"/>
  <c r="L41"/>
  <c r="R41" s="1"/>
  <c r="K41"/>
  <c r="O40"/>
  <c r="N40"/>
  <c r="L40"/>
  <c r="R40" s="1"/>
  <c r="K40"/>
  <c r="O39"/>
  <c r="K39"/>
  <c r="L39" s="1"/>
  <c r="O38"/>
  <c r="L38"/>
  <c r="N38" s="1"/>
  <c r="K38"/>
  <c r="O37"/>
  <c r="N37"/>
  <c r="L37"/>
  <c r="R37" s="1"/>
  <c r="K37"/>
  <c r="O36"/>
  <c r="N36"/>
  <c r="L36"/>
  <c r="R36" s="1"/>
  <c r="K36"/>
  <c r="O35"/>
  <c r="K35"/>
  <c r="L35" s="1"/>
  <c r="O34"/>
  <c r="L34"/>
  <c r="N34" s="1"/>
  <c r="K34"/>
  <c r="O33"/>
  <c r="N33"/>
  <c r="L33"/>
  <c r="R33" s="1"/>
  <c r="K33"/>
  <c r="O173" i="28"/>
  <c r="L173"/>
  <c r="R173" s="1"/>
  <c r="K173"/>
  <c r="O172"/>
  <c r="K172"/>
  <c r="L172" s="1"/>
  <c r="R43" i="270" l="1"/>
  <c r="N43"/>
  <c r="R39"/>
  <c r="N39"/>
  <c r="N35"/>
  <c r="R35"/>
  <c r="N50"/>
  <c r="R50"/>
  <c r="R47"/>
  <c r="N47"/>
  <c r="R34"/>
  <c r="R38"/>
  <c r="R42"/>
  <c r="R46"/>
  <c r="R49"/>
  <c r="N172" i="28"/>
  <c r="R172"/>
  <c r="N173"/>
  <c r="K9" i="9"/>
  <c r="L9" s="1"/>
  <c r="N9" s="1"/>
  <c r="O9"/>
  <c r="K10"/>
  <c r="L10" s="1"/>
  <c r="O10"/>
  <c r="K11"/>
  <c r="L11" s="1"/>
  <c r="O11"/>
  <c r="K12"/>
  <c r="L12" s="1"/>
  <c r="O12"/>
  <c r="K13"/>
  <c r="L13" s="1"/>
  <c r="N13" s="1"/>
  <c r="O13"/>
  <c r="K14"/>
  <c r="L14" s="1"/>
  <c r="O14"/>
  <c r="K15"/>
  <c r="L15" s="1"/>
  <c r="R15" s="1"/>
  <c r="O15"/>
  <c r="K16"/>
  <c r="L16" s="1"/>
  <c r="O16"/>
  <c r="K17"/>
  <c r="L17" s="1"/>
  <c r="N17" s="1"/>
  <c r="O17"/>
  <c r="K18"/>
  <c r="L18" s="1"/>
  <c r="O18"/>
  <c r="K19"/>
  <c r="L19" s="1"/>
  <c r="R19" s="1"/>
  <c r="O19"/>
  <c r="K20"/>
  <c r="L20" s="1"/>
  <c r="O20"/>
  <c r="K21"/>
  <c r="L21" s="1"/>
  <c r="N21" s="1"/>
  <c r="O21"/>
  <c r="K22"/>
  <c r="L22" s="1"/>
  <c r="O22"/>
  <c r="K23"/>
  <c r="L23" s="1"/>
  <c r="O23"/>
  <c r="K24"/>
  <c r="L24" s="1"/>
  <c r="O24"/>
  <c r="K25"/>
  <c r="L25" s="1"/>
  <c r="N25" s="1"/>
  <c r="O25"/>
  <c r="K26"/>
  <c r="L26" s="1"/>
  <c r="O26"/>
  <c r="K27"/>
  <c r="L27" s="1"/>
  <c r="O27"/>
  <c r="K28"/>
  <c r="L28" s="1"/>
  <c r="O28"/>
  <c r="K29"/>
  <c r="L29" s="1"/>
  <c r="N29" s="1"/>
  <c r="O29"/>
  <c r="K30"/>
  <c r="L30" s="1"/>
  <c r="O30"/>
  <c r="K31"/>
  <c r="L31" s="1"/>
  <c r="R31" s="1"/>
  <c r="K32"/>
  <c r="L32" s="1"/>
  <c r="K33"/>
  <c r="L33" s="1"/>
  <c r="N33" s="1"/>
  <c r="O33"/>
  <c r="K34"/>
  <c r="L34" s="1"/>
  <c r="O34"/>
  <c r="K35"/>
  <c r="L35" s="1"/>
  <c r="R35" s="1"/>
  <c r="O35"/>
  <c r="K36"/>
  <c r="L36" s="1"/>
  <c r="O36"/>
  <c r="K37"/>
  <c r="L37" s="1"/>
  <c r="N37" s="1"/>
  <c r="O37"/>
  <c r="K38"/>
  <c r="L38" s="1"/>
  <c r="O38"/>
  <c r="K39"/>
  <c r="L39" s="1"/>
  <c r="O39"/>
  <c r="K40"/>
  <c r="L40" s="1"/>
  <c r="O40"/>
  <c r="K41"/>
  <c r="L41" s="1"/>
  <c r="N41" s="1"/>
  <c r="O41"/>
  <c r="K42"/>
  <c r="L42" s="1"/>
  <c r="O42"/>
  <c r="K43"/>
  <c r="L43" s="1"/>
  <c r="O43"/>
  <c r="K44"/>
  <c r="L44" s="1"/>
  <c r="O44"/>
  <c r="K45"/>
  <c r="L45" s="1"/>
  <c r="N45" s="1"/>
  <c r="O45"/>
  <c r="K46"/>
  <c r="L46" s="1"/>
  <c r="O46"/>
  <c r="K47"/>
  <c r="L47" s="1"/>
  <c r="R47" s="1"/>
  <c r="O47"/>
  <c r="K48"/>
  <c r="L48" s="1"/>
  <c r="O48"/>
  <c r="K49"/>
  <c r="L49" s="1"/>
  <c r="N49" s="1"/>
  <c r="O49"/>
  <c r="K50"/>
  <c r="L50" s="1"/>
  <c r="O50"/>
  <c r="K52"/>
  <c r="L52"/>
  <c r="O52"/>
  <c r="K53"/>
  <c r="L53" s="1"/>
  <c r="N53" s="1"/>
  <c r="O53"/>
  <c r="K54"/>
  <c r="L54" s="1"/>
  <c r="O54"/>
  <c r="K55"/>
  <c r="L55" s="1"/>
  <c r="O55"/>
  <c r="K56"/>
  <c r="L56" s="1"/>
  <c r="O56"/>
  <c r="K57"/>
  <c r="L57" s="1"/>
  <c r="N57" s="1"/>
  <c r="O57"/>
  <c r="K58"/>
  <c r="L58" s="1"/>
  <c r="O58"/>
  <c r="K59"/>
  <c r="L59" s="1"/>
  <c r="O59"/>
  <c r="K60"/>
  <c r="L60" s="1"/>
  <c r="O60"/>
  <c r="K61"/>
  <c r="L61" s="1"/>
  <c r="N61" s="1"/>
  <c r="K63"/>
  <c r="L63" s="1"/>
  <c r="R63" s="1"/>
  <c r="O63"/>
  <c r="K64"/>
  <c r="L64" s="1"/>
  <c r="O64"/>
  <c r="K65"/>
  <c r="L65" s="1"/>
  <c r="N65" s="1"/>
  <c r="O65"/>
  <c r="K67"/>
  <c r="L67" s="1"/>
  <c r="R67" s="1"/>
  <c r="O67"/>
  <c r="K68"/>
  <c r="L68" s="1"/>
  <c r="O68"/>
  <c r="K70"/>
  <c r="L70" s="1"/>
  <c r="O70"/>
  <c r="K71"/>
  <c r="L71" s="1"/>
  <c r="R71" s="1"/>
  <c r="O71"/>
  <c r="K72"/>
  <c r="L72"/>
  <c r="K73"/>
  <c r="L73" s="1"/>
  <c r="N73" s="1"/>
  <c r="K74"/>
  <c r="L74" s="1"/>
  <c r="O74"/>
  <c r="K75"/>
  <c r="L75" s="1"/>
  <c r="R75" s="1"/>
  <c r="K77"/>
  <c r="L77" s="1"/>
  <c r="N77" s="1"/>
  <c r="O77"/>
  <c r="K78"/>
  <c r="L78" s="1"/>
  <c r="K79"/>
  <c r="L79" s="1"/>
  <c r="R79" s="1"/>
  <c r="K80"/>
  <c r="L80" s="1"/>
  <c r="O80"/>
  <c r="K82"/>
  <c r="L82" s="1"/>
  <c r="O82"/>
  <c r="K83"/>
  <c r="L83" s="1"/>
  <c r="R83" s="1"/>
  <c r="O83"/>
  <c r="K84"/>
  <c r="L84" s="1"/>
  <c r="K85"/>
  <c r="L85" s="1"/>
  <c r="N85" s="1"/>
  <c r="O85"/>
  <c r="R85"/>
  <c r="K87"/>
  <c r="L87" s="1"/>
  <c r="R87" s="1"/>
  <c r="N87"/>
  <c r="O87"/>
  <c r="K88"/>
  <c r="L88" s="1"/>
  <c r="K89"/>
  <c r="L89" s="1"/>
  <c r="N89" s="1"/>
  <c r="O89"/>
  <c r="K91"/>
  <c r="L91" s="1"/>
  <c r="R91" s="1"/>
  <c r="O91"/>
  <c r="K92"/>
  <c r="L92" s="1"/>
  <c r="K93"/>
  <c r="L93" s="1"/>
  <c r="N93" s="1"/>
  <c r="K94"/>
  <c r="L94" s="1"/>
  <c r="K96"/>
  <c r="L96" s="1"/>
  <c r="O96"/>
  <c r="K97"/>
  <c r="L97" s="1"/>
  <c r="N97" s="1"/>
  <c r="K98"/>
  <c r="L98" s="1"/>
  <c r="K99"/>
  <c r="L99" s="1"/>
  <c r="R99" s="1"/>
  <c r="O99"/>
  <c r="K100"/>
  <c r="L100" s="1"/>
  <c r="O100"/>
  <c r="K101"/>
  <c r="L101" s="1"/>
  <c r="N101" s="1"/>
  <c r="O101"/>
  <c r="K103"/>
  <c r="L103" s="1"/>
  <c r="R103" s="1"/>
  <c r="N103"/>
  <c r="O103"/>
  <c r="K104"/>
  <c r="L104" s="1"/>
  <c r="K105"/>
  <c r="L105" s="1"/>
  <c r="N105" s="1"/>
  <c r="O105"/>
  <c r="K106"/>
  <c r="L106" s="1"/>
  <c r="O106"/>
  <c r="K107"/>
  <c r="L107" s="1"/>
  <c r="R107" s="1"/>
  <c r="O107"/>
  <c r="K108"/>
  <c r="L108" s="1"/>
  <c r="O108"/>
  <c r="K109"/>
  <c r="L109" s="1"/>
  <c r="N109" s="1"/>
  <c r="K110"/>
  <c r="L110" s="1"/>
  <c r="K111"/>
  <c r="L111" s="1"/>
  <c r="R111" s="1"/>
  <c r="O111"/>
  <c r="K112"/>
  <c r="L112" s="1"/>
  <c r="O112"/>
  <c r="K113"/>
  <c r="L113" s="1"/>
  <c r="N113" s="1"/>
  <c r="O113"/>
  <c r="K114"/>
  <c r="L114" s="1"/>
  <c r="K116"/>
  <c r="L116"/>
  <c r="O116"/>
  <c r="K117"/>
  <c r="L117" s="1"/>
  <c r="N117" s="1"/>
  <c r="K118"/>
  <c r="L118" s="1"/>
  <c r="K119"/>
  <c r="L119" s="1"/>
  <c r="R119" s="1"/>
  <c r="O119"/>
  <c r="K120"/>
  <c r="L120"/>
  <c r="O120"/>
  <c r="K121"/>
  <c r="L121" s="1"/>
  <c r="N121" s="1"/>
  <c r="O121"/>
  <c r="K122"/>
  <c r="L122" s="1"/>
  <c r="O122"/>
  <c r="K123"/>
  <c r="L123" s="1"/>
  <c r="R123" s="1"/>
  <c r="O123"/>
  <c r="K124"/>
  <c r="L124" s="1"/>
  <c r="O124"/>
  <c r="K125"/>
  <c r="L125" s="1"/>
  <c r="N125" s="1"/>
  <c r="O125"/>
  <c r="K126"/>
  <c r="L126" s="1"/>
  <c r="O126"/>
  <c r="K127"/>
  <c r="L127" s="1"/>
  <c r="R127" s="1"/>
  <c r="O127"/>
  <c r="K129"/>
  <c r="L129" s="1"/>
  <c r="N129" s="1"/>
  <c r="O129"/>
  <c r="K130"/>
  <c r="L130" s="1"/>
  <c r="O130"/>
  <c r="K131"/>
  <c r="L131" s="1"/>
  <c r="R131" s="1"/>
  <c r="O131"/>
  <c r="K132"/>
  <c r="L132" s="1"/>
  <c r="O132"/>
  <c r="K134"/>
  <c r="L134" s="1"/>
  <c r="N134" s="1"/>
  <c r="O134"/>
  <c r="K135"/>
  <c r="L135" s="1"/>
  <c r="O135"/>
  <c r="K136"/>
  <c r="L136" s="1"/>
  <c r="R136" s="1"/>
  <c r="O136"/>
  <c r="K137"/>
  <c r="L137" s="1"/>
  <c r="O137"/>
  <c r="K138"/>
  <c r="L138" s="1"/>
  <c r="N138" s="1"/>
  <c r="O138"/>
  <c r="K139"/>
  <c r="L139" s="1"/>
  <c r="O139"/>
  <c r="K140"/>
  <c r="L140" s="1"/>
  <c r="R140" s="1"/>
  <c r="O140"/>
  <c r="K141"/>
  <c r="L141" s="1"/>
  <c r="O141"/>
  <c r="K142"/>
  <c r="L142" s="1"/>
  <c r="N142" s="1"/>
  <c r="O142"/>
  <c r="K143"/>
  <c r="L143" s="1"/>
  <c r="O143"/>
  <c r="K144"/>
  <c r="L144" s="1"/>
  <c r="R144" s="1"/>
  <c r="O144"/>
  <c r="K146"/>
  <c r="L146" s="1"/>
  <c r="N146" s="1"/>
  <c r="O146"/>
  <c r="K147"/>
  <c r="L147" s="1"/>
  <c r="O147"/>
  <c r="K148"/>
  <c r="L148" s="1"/>
  <c r="R148" s="1"/>
  <c r="K149"/>
  <c r="L149" s="1"/>
  <c r="O149"/>
  <c r="K150"/>
  <c r="L150" s="1"/>
  <c r="N150" s="1"/>
  <c r="O150"/>
  <c r="K151"/>
  <c r="L151" s="1"/>
  <c r="O151"/>
  <c r="K152"/>
  <c r="L152" s="1"/>
  <c r="R152" s="1"/>
  <c r="O152"/>
  <c r="K153"/>
  <c r="L153" s="1"/>
  <c r="O153"/>
  <c r="K154"/>
  <c r="L154" s="1"/>
  <c r="N154" s="1"/>
  <c r="O154"/>
  <c r="K156"/>
  <c r="L156" s="1"/>
  <c r="R156" s="1"/>
  <c r="O156"/>
  <c r="K157"/>
  <c r="L157" s="1"/>
  <c r="O157"/>
  <c r="K158"/>
  <c r="L158" s="1"/>
  <c r="N158" s="1"/>
  <c r="O158"/>
  <c r="R158"/>
  <c r="K159"/>
  <c r="L159" s="1"/>
  <c r="O159"/>
  <c r="K160"/>
  <c r="L160" s="1"/>
  <c r="R160" s="1"/>
  <c r="O160"/>
  <c r="K161"/>
  <c r="L161" s="1"/>
  <c r="O161"/>
  <c r="K162"/>
  <c r="L162" s="1"/>
  <c r="N162" s="1"/>
  <c r="O162"/>
  <c r="K163"/>
  <c r="L163" s="1"/>
  <c r="O163"/>
  <c r="K164"/>
  <c r="L164" s="1"/>
  <c r="R164" s="1"/>
  <c r="O164"/>
  <c r="K165"/>
  <c r="L165" s="1"/>
  <c r="O165"/>
  <c r="K166"/>
  <c r="L166" s="1"/>
  <c r="N166" s="1"/>
  <c r="O166"/>
  <c r="K167"/>
  <c r="L167" s="1"/>
  <c r="O167"/>
  <c r="K169"/>
  <c r="L169" s="1"/>
  <c r="O169"/>
  <c r="K170"/>
  <c r="L170" s="1"/>
  <c r="N170" s="1"/>
  <c r="O170"/>
  <c r="K171"/>
  <c r="L171" s="1"/>
  <c r="O171"/>
  <c r="K172"/>
  <c r="L172" s="1"/>
  <c r="R172" s="1"/>
  <c r="O172"/>
  <c r="K173"/>
  <c r="L173" s="1"/>
  <c r="O173"/>
  <c r="K174"/>
  <c r="L174" s="1"/>
  <c r="N174" s="1"/>
  <c r="O174"/>
  <c r="R174"/>
  <c r="K175"/>
  <c r="L175" s="1"/>
  <c r="K177"/>
  <c r="L177" s="1"/>
  <c r="O177"/>
  <c r="K178"/>
  <c r="L178" s="1"/>
  <c r="N178" s="1"/>
  <c r="O178"/>
  <c r="K179"/>
  <c r="L179" s="1"/>
  <c r="O179"/>
  <c r="K180"/>
  <c r="L180" s="1"/>
  <c r="R180" s="1"/>
  <c r="O180"/>
  <c r="K181"/>
  <c r="L181" s="1"/>
  <c r="O181"/>
  <c r="K182"/>
  <c r="L182" s="1"/>
  <c r="N182" s="1"/>
  <c r="O182"/>
  <c r="K183"/>
  <c r="L183" s="1"/>
  <c r="O183"/>
  <c r="K184"/>
  <c r="L184" s="1"/>
  <c r="R184" s="1"/>
  <c r="O184"/>
  <c r="K185"/>
  <c r="L185" s="1"/>
  <c r="O185"/>
  <c r="K187"/>
  <c r="L187" s="1"/>
  <c r="O187"/>
  <c r="K188"/>
  <c r="L188" s="1"/>
  <c r="R188" s="1"/>
  <c r="O188"/>
  <c r="K189"/>
  <c r="L189" s="1"/>
  <c r="O189"/>
  <c r="K191"/>
  <c r="L191" s="1"/>
  <c r="O191"/>
  <c r="K192"/>
  <c r="L192"/>
  <c r="R192" s="1"/>
  <c r="O192"/>
  <c r="K193"/>
  <c r="L193" s="1"/>
  <c r="O193"/>
  <c r="K194"/>
  <c r="L194" s="1"/>
  <c r="N194" s="1"/>
  <c r="O194"/>
  <c r="K196"/>
  <c r="L196" s="1"/>
  <c r="R196" s="1"/>
  <c r="O196"/>
  <c r="K197"/>
  <c r="L197" s="1"/>
  <c r="K198"/>
  <c r="L198" s="1"/>
  <c r="N198" s="1"/>
  <c r="O198"/>
  <c r="K199"/>
  <c r="L199" s="1"/>
  <c r="O199"/>
  <c r="K201"/>
  <c r="L201" s="1"/>
  <c r="O201"/>
  <c r="K202"/>
  <c r="L202" s="1"/>
  <c r="N202" s="1"/>
  <c r="K203"/>
  <c r="L203" s="1"/>
  <c r="O203"/>
  <c r="K204"/>
  <c r="L204" s="1"/>
  <c r="R204" s="1"/>
  <c r="O204"/>
  <c r="K206"/>
  <c r="L206" s="1"/>
  <c r="N206" s="1"/>
  <c r="O206"/>
  <c r="R206"/>
  <c r="K207"/>
  <c r="L207" s="1"/>
  <c r="K208"/>
  <c r="L208"/>
  <c r="R208" s="1"/>
  <c r="K209"/>
  <c r="L209" s="1"/>
  <c r="O209"/>
  <c r="K210"/>
  <c r="L210" s="1"/>
  <c r="N210" s="1"/>
  <c r="O210"/>
  <c r="K211"/>
  <c r="L211" s="1"/>
  <c r="O211"/>
  <c r="K212"/>
  <c r="L212" s="1"/>
  <c r="R212" s="1"/>
  <c r="O212"/>
  <c r="K213"/>
  <c r="L213" s="1"/>
  <c r="O213"/>
  <c r="K214"/>
  <c r="L214" s="1"/>
  <c r="N214" s="1"/>
  <c r="O214"/>
  <c r="K215"/>
  <c r="L215" s="1"/>
  <c r="N215" s="1"/>
  <c r="O215"/>
  <c r="K216"/>
  <c r="L216" s="1"/>
  <c r="R216" s="1"/>
  <c r="O216"/>
  <c r="K217"/>
  <c r="L217" s="1"/>
  <c r="R217" s="1"/>
  <c r="O217"/>
  <c r="K218"/>
  <c r="L218" s="1"/>
  <c r="O218"/>
  <c r="K219"/>
  <c r="L219" s="1"/>
  <c r="N219" s="1"/>
  <c r="O219"/>
  <c r="K220"/>
  <c r="L220" s="1"/>
  <c r="O220"/>
  <c r="K221"/>
  <c r="L221" s="1"/>
  <c r="R221" s="1"/>
  <c r="O221"/>
  <c r="K222"/>
  <c r="L222" s="1"/>
  <c r="N222" s="1"/>
  <c r="O222"/>
  <c r="K223"/>
  <c r="L223" s="1"/>
  <c r="N223" s="1"/>
  <c r="O223"/>
  <c r="K224"/>
  <c r="L224" s="1"/>
  <c r="R224" s="1"/>
  <c r="O224"/>
  <c r="K226"/>
  <c r="L226"/>
  <c r="N226" s="1"/>
  <c r="O226"/>
  <c r="K227"/>
  <c r="L227" s="1"/>
  <c r="N227" s="1"/>
  <c r="K228"/>
  <c r="L228"/>
  <c r="R228" s="1"/>
  <c r="K229"/>
  <c r="L229" s="1"/>
  <c r="R229" s="1"/>
  <c r="O229"/>
  <c r="K230"/>
  <c r="L230" s="1"/>
  <c r="O230"/>
  <c r="K231"/>
  <c r="L231" s="1"/>
  <c r="N231" s="1"/>
  <c r="O231"/>
  <c r="K232"/>
  <c r="L232" s="1"/>
  <c r="R232" s="1"/>
  <c r="O232"/>
  <c r="K233"/>
  <c r="L233" s="1"/>
  <c r="R233" s="1"/>
  <c r="O233"/>
  <c r="K234"/>
  <c r="L234" s="1"/>
  <c r="O234"/>
  <c r="K236"/>
  <c r="L236" s="1"/>
  <c r="O236"/>
  <c r="K237"/>
  <c r="L237" s="1"/>
  <c r="R237" s="1"/>
  <c r="O237"/>
  <c r="K238"/>
  <c r="L238" s="1"/>
  <c r="N238" s="1"/>
  <c r="K239"/>
  <c r="L239" s="1"/>
  <c r="N239" s="1"/>
  <c r="O239"/>
  <c r="K240"/>
  <c r="L240"/>
  <c r="R240" s="1"/>
  <c r="O240"/>
  <c r="K241"/>
  <c r="L241" s="1"/>
  <c r="O241"/>
  <c r="K243"/>
  <c r="L243" s="1"/>
  <c r="N243" s="1"/>
  <c r="O243"/>
  <c r="R243"/>
  <c r="K244"/>
  <c r="L244" s="1"/>
  <c r="O244"/>
  <c r="K245"/>
  <c r="L245" s="1"/>
  <c r="K246"/>
  <c r="L246" s="1"/>
  <c r="O246"/>
  <c r="K248"/>
  <c r="L248" s="1"/>
  <c r="O248"/>
  <c r="K249"/>
  <c r="L249" s="1"/>
  <c r="R249" s="1"/>
  <c r="K250"/>
  <c r="L250" s="1"/>
  <c r="K251"/>
  <c r="L251" s="1"/>
  <c r="N251" s="1"/>
  <c r="K252"/>
  <c r="L252" s="1"/>
  <c r="K253"/>
  <c r="L253" s="1"/>
  <c r="R253" s="1"/>
  <c r="K254"/>
  <c r="L254" s="1"/>
  <c r="N254" s="1"/>
  <c r="O254"/>
  <c r="O32" i="270"/>
  <c r="K32"/>
  <c r="L32" s="1"/>
  <c r="O31"/>
  <c r="L31"/>
  <c r="N31" s="1"/>
  <c r="K31"/>
  <c r="O30"/>
  <c r="N30"/>
  <c r="L30"/>
  <c r="R30" s="1"/>
  <c r="K30"/>
  <c r="O29"/>
  <c r="K29"/>
  <c r="L29" s="1"/>
  <c r="O28"/>
  <c r="L28"/>
  <c r="N28" s="1"/>
  <c r="K28"/>
  <c r="O27"/>
  <c r="N27"/>
  <c r="L27"/>
  <c r="R27" s="1"/>
  <c r="K27"/>
  <c r="O26"/>
  <c r="N26"/>
  <c r="L26"/>
  <c r="R26" s="1"/>
  <c r="K26"/>
  <c r="O25"/>
  <c r="K25"/>
  <c r="L25" s="1"/>
  <c r="O32" i="252"/>
  <c r="L32"/>
  <c r="N32" s="1"/>
  <c r="K32"/>
  <c r="R19" i="262"/>
  <c r="N19"/>
  <c r="L19"/>
  <c r="K19"/>
  <c r="K255" i="9"/>
  <c r="L255" s="1"/>
  <c r="O255"/>
  <c r="K259"/>
  <c r="L259" s="1"/>
  <c r="R259" s="1"/>
  <c r="O259"/>
  <c r="I225" i="11"/>
  <c r="M225"/>
  <c r="P225"/>
  <c r="H225"/>
  <c r="R241" i="9" l="1"/>
  <c r="N241"/>
  <c r="N240"/>
  <c r="R239"/>
  <c r="N232"/>
  <c r="N229"/>
  <c r="N228"/>
  <c r="R227"/>
  <c r="R220"/>
  <c r="N220"/>
  <c r="R214"/>
  <c r="R210"/>
  <c r="R202"/>
  <c r="R170"/>
  <c r="R194"/>
  <c r="R178"/>
  <c r="R162"/>
  <c r="R198"/>
  <c r="R182"/>
  <c r="R166"/>
  <c r="R154"/>
  <c r="R150"/>
  <c r="N136"/>
  <c r="R134"/>
  <c r="N119"/>
  <c r="R117"/>
  <c r="R101"/>
  <c r="N71"/>
  <c r="N35"/>
  <c r="N19"/>
  <c r="R252"/>
  <c r="N252"/>
  <c r="R43"/>
  <c r="N43"/>
  <c r="R39"/>
  <c r="N39"/>
  <c r="R11"/>
  <c r="N11"/>
  <c r="R248"/>
  <c r="N248"/>
  <c r="R244"/>
  <c r="N244"/>
  <c r="R236"/>
  <c r="N236"/>
  <c r="R27"/>
  <c r="N27"/>
  <c r="R23"/>
  <c r="N23"/>
  <c r="R245"/>
  <c r="N245"/>
  <c r="R59"/>
  <c r="N59"/>
  <c r="R55"/>
  <c r="N55"/>
  <c r="N224"/>
  <c r="N192"/>
  <c r="N188"/>
  <c r="N184"/>
  <c r="N180"/>
  <c r="N160"/>
  <c r="N156"/>
  <c r="N47"/>
  <c r="N31"/>
  <c r="N15"/>
  <c r="R226"/>
  <c r="R223"/>
  <c r="R146"/>
  <c r="N140"/>
  <c r="R129"/>
  <c r="N123"/>
  <c r="R113"/>
  <c r="N107"/>
  <c r="R97"/>
  <c r="N91"/>
  <c r="N75"/>
  <c r="R65"/>
  <c r="N216"/>
  <c r="N212"/>
  <c r="N208"/>
  <c r="N204"/>
  <c r="N196"/>
  <c r="N172"/>
  <c r="N164"/>
  <c r="N152"/>
  <c r="N250"/>
  <c r="R250"/>
  <c r="N246"/>
  <c r="R246"/>
  <c r="N234"/>
  <c r="R234"/>
  <c r="N230"/>
  <c r="R230"/>
  <c r="N218"/>
  <c r="R218"/>
  <c r="R185"/>
  <c r="N185"/>
  <c r="R177"/>
  <c r="N177"/>
  <c r="R169"/>
  <c r="N169"/>
  <c r="R165"/>
  <c r="N165"/>
  <c r="R161"/>
  <c r="N161"/>
  <c r="R149"/>
  <c r="N149"/>
  <c r="N139"/>
  <c r="R139"/>
  <c r="R132"/>
  <c r="N132"/>
  <c r="N122"/>
  <c r="R122"/>
  <c r="N106"/>
  <c r="R106"/>
  <c r="R100"/>
  <c r="N100"/>
  <c r="R84"/>
  <c r="N84"/>
  <c r="R68"/>
  <c r="N68"/>
  <c r="N211"/>
  <c r="R211"/>
  <c r="N207"/>
  <c r="R207"/>
  <c r="N203"/>
  <c r="R203"/>
  <c r="N199"/>
  <c r="R199"/>
  <c r="N191"/>
  <c r="R191"/>
  <c r="N187"/>
  <c r="R187"/>
  <c r="N183"/>
  <c r="R183"/>
  <c r="N179"/>
  <c r="R179"/>
  <c r="N171"/>
  <c r="R171"/>
  <c r="N167"/>
  <c r="R167"/>
  <c r="N163"/>
  <c r="R163"/>
  <c r="N159"/>
  <c r="R159"/>
  <c r="N151"/>
  <c r="R151"/>
  <c r="N135"/>
  <c r="R135"/>
  <c r="N118"/>
  <c r="R118"/>
  <c r="R96"/>
  <c r="N96"/>
  <c r="R80"/>
  <c r="N80"/>
  <c r="N70"/>
  <c r="R70"/>
  <c r="R64"/>
  <c r="N64"/>
  <c r="N147"/>
  <c r="R147"/>
  <c r="R141"/>
  <c r="N141"/>
  <c r="N130"/>
  <c r="R130"/>
  <c r="R124"/>
  <c r="N124"/>
  <c r="N114"/>
  <c r="R114"/>
  <c r="R108"/>
  <c r="N108"/>
  <c r="N98"/>
  <c r="R98"/>
  <c r="R92"/>
  <c r="N92"/>
  <c r="N82"/>
  <c r="R82"/>
  <c r="R60"/>
  <c r="N60"/>
  <c r="R56"/>
  <c r="N56"/>
  <c r="R52"/>
  <c r="N52"/>
  <c r="R48"/>
  <c r="N48"/>
  <c r="R44"/>
  <c r="N44"/>
  <c r="R40"/>
  <c r="N40"/>
  <c r="R36"/>
  <c r="N36"/>
  <c r="R32"/>
  <c r="N32"/>
  <c r="R28"/>
  <c r="N28"/>
  <c r="R24"/>
  <c r="N24"/>
  <c r="R20"/>
  <c r="N20"/>
  <c r="R16"/>
  <c r="N16"/>
  <c r="R12"/>
  <c r="N12"/>
  <c r="N253"/>
  <c r="N237"/>
  <c r="N221"/>
  <c r="N131"/>
  <c r="N67"/>
  <c r="R254"/>
  <c r="R251"/>
  <c r="N249"/>
  <c r="R238"/>
  <c r="N233"/>
  <c r="R222"/>
  <c r="R219"/>
  <c r="N217"/>
  <c r="N144"/>
  <c r="R142"/>
  <c r="N127"/>
  <c r="R125"/>
  <c r="N111"/>
  <c r="R109"/>
  <c r="R93"/>
  <c r="N79"/>
  <c r="R77"/>
  <c r="N63"/>
  <c r="R61"/>
  <c r="R57"/>
  <c r="R53"/>
  <c r="R49"/>
  <c r="R45"/>
  <c r="R41"/>
  <c r="R37"/>
  <c r="R33"/>
  <c r="R29"/>
  <c r="R25"/>
  <c r="R21"/>
  <c r="R17"/>
  <c r="R13"/>
  <c r="R9"/>
  <c r="R213"/>
  <c r="N213"/>
  <c r="R209"/>
  <c r="N209"/>
  <c r="R201"/>
  <c r="N201"/>
  <c r="R197"/>
  <c r="N197"/>
  <c r="R193"/>
  <c r="N193"/>
  <c r="R189"/>
  <c r="N189"/>
  <c r="R181"/>
  <c r="N181"/>
  <c r="R173"/>
  <c r="N173"/>
  <c r="R157"/>
  <c r="N157"/>
  <c r="R153"/>
  <c r="N153"/>
  <c r="R116"/>
  <c r="N116"/>
  <c r="N74"/>
  <c r="R74"/>
  <c r="N175"/>
  <c r="R175"/>
  <c r="R112"/>
  <c r="N112"/>
  <c r="N143"/>
  <c r="R143"/>
  <c r="R137"/>
  <c r="N137"/>
  <c r="N126"/>
  <c r="R126"/>
  <c r="R120"/>
  <c r="N120"/>
  <c r="N110"/>
  <c r="R110"/>
  <c r="R104"/>
  <c r="N104"/>
  <c r="N94"/>
  <c r="R94"/>
  <c r="R88"/>
  <c r="N88"/>
  <c r="N78"/>
  <c r="R78"/>
  <c r="R72"/>
  <c r="N72"/>
  <c r="N58"/>
  <c r="R58"/>
  <c r="N54"/>
  <c r="R54"/>
  <c r="N50"/>
  <c r="R50"/>
  <c r="N46"/>
  <c r="R46"/>
  <c r="N42"/>
  <c r="R42"/>
  <c r="N38"/>
  <c r="R38"/>
  <c r="N34"/>
  <c r="R34"/>
  <c r="N30"/>
  <c r="R30"/>
  <c r="N26"/>
  <c r="R26"/>
  <c r="N22"/>
  <c r="R22"/>
  <c r="N18"/>
  <c r="R18"/>
  <c r="N14"/>
  <c r="R14"/>
  <c r="N10"/>
  <c r="R10"/>
  <c r="N148"/>
  <c r="N99"/>
  <c r="N83"/>
  <c r="R231"/>
  <c r="R215"/>
  <c r="R138"/>
  <c r="R121"/>
  <c r="R105"/>
  <c r="R89"/>
  <c r="R73"/>
  <c r="R25" i="270"/>
  <c r="N25"/>
  <c r="N32"/>
  <c r="R32"/>
  <c r="R29"/>
  <c r="N29"/>
  <c r="R28"/>
  <c r="R31"/>
  <c r="R32" i="252"/>
  <c r="N255" i="9"/>
  <c r="R255"/>
  <c r="N259"/>
  <c r="I23" i="270"/>
  <c r="K23"/>
  <c r="L23"/>
  <c r="M23"/>
  <c r="N23"/>
  <c r="O23"/>
  <c r="P23"/>
  <c r="Q23"/>
  <c r="H23"/>
  <c r="I149" i="143"/>
  <c r="K149"/>
  <c r="L149"/>
  <c r="M149"/>
  <c r="N149"/>
  <c r="O149"/>
  <c r="P149"/>
  <c r="H149"/>
  <c r="I63" i="39"/>
  <c r="J63"/>
  <c r="K63"/>
  <c r="L63"/>
  <c r="M63"/>
  <c r="N63"/>
  <c r="O63"/>
  <c r="P63"/>
  <c r="Q63"/>
  <c r="O207" i="23"/>
  <c r="N207"/>
  <c r="L207"/>
  <c r="R207" s="1"/>
  <c r="K207"/>
  <c r="O30" i="252"/>
  <c r="K30"/>
  <c r="L30" s="1"/>
  <c r="O26" i="151"/>
  <c r="K26"/>
  <c r="L26" s="1"/>
  <c r="O25"/>
  <c r="L25"/>
  <c r="N25" s="1"/>
  <c r="K25"/>
  <c r="O90" i="20"/>
  <c r="L90"/>
  <c r="N90" s="1"/>
  <c r="K90"/>
  <c r="O18" i="139"/>
  <c r="L18"/>
  <c r="N18" s="1"/>
  <c r="K18"/>
  <c r="O89" i="20"/>
  <c r="K89"/>
  <c r="L89" s="1"/>
  <c r="N89" s="1"/>
  <c r="O20" i="270"/>
  <c r="K20"/>
  <c r="L20" s="1"/>
  <c r="N20" s="1"/>
  <c r="O19"/>
  <c r="K19"/>
  <c r="L19" s="1"/>
  <c r="O18"/>
  <c r="K18"/>
  <c r="L18" s="1"/>
  <c r="N18" s="1"/>
  <c r="O17"/>
  <c r="K17"/>
  <c r="L17" s="1"/>
  <c r="O16"/>
  <c r="K16"/>
  <c r="L16" s="1"/>
  <c r="O15"/>
  <c r="K15"/>
  <c r="L15" s="1"/>
  <c r="O14"/>
  <c r="K14"/>
  <c r="L14" s="1"/>
  <c r="N14" s="1"/>
  <c r="O13"/>
  <c r="K13"/>
  <c r="L13" s="1"/>
  <c r="O12"/>
  <c r="K12"/>
  <c r="L12" s="1"/>
  <c r="O11"/>
  <c r="K11"/>
  <c r="L11" s="1"/>
  <c r="O10"/>
  <c r="L10"/>
  <c r="N10" s="1"/>
  <c r="K10"/>
  <c r="O9"/>
  <c r="L9"/>
  <c r="R9" s="1"/>
  <c r="K9"/>
  <c r="O30" i="261"/>
  <c r="L30"/>
  <c r="N30" s="1"/>
  <c r="K30"/>
  <c r="O29"/>
  <c r="N29"/>
  <c r="L29"/>
  <c r="R29" s="1"/>
  <c r="K29"/>
  <c r="O28"/>
  <c r="N28"/>
  <c r="L28"/>
  <c r="R28" s="1"/>
  <c r="K28"/>
  <c r="O27"/>
  <c r="K27"/>
  <c r="L27" s="1"/>
  <c r="O26"/>
  <c r="L26"/>
  <c r="N26" s="1"/>
  <c r="K26"/>
  <c r="O25"/>
  <c r="N25"/>
  <c r="L25"/>
  <c r="R25" s="1"/>
  <c r="K25"/>
  <c r="O24"/>
  <c r="N24"/>
  <c r="L24"/>
  <c r="R24" s="1"/>
  <c r="K24"/>
  <c r="O23"/>
  <c r="K23"/>
  <c r="L23" s="1"/>
  <c r="O22"/>
  <c r="L22"/>
  <c r="N22" s="1"/>
  <c r="K22"/>
  <c r="O21"/>
  <c r="N21"/>
  <c r="L21"/>
  <c r="R21" s="1"/>
  <c r="K21"/>
  <c r="O20"/>
  <c r="N20"/>
  <c r="L20"/>
  <c r="R20" s="1"/>
  <c r="K20"/>
  <c r="O8" i="269"/>
  <c r="N8"/>
  <c r="L8"/>
  <c r="R8" s="1"/>
  <c r="K8"/>
  <c r="O7"/>
  <c r="N7"/>
  <c r="L7"/>
  <c r="R7" s="1"/>
  <c r="K7"/>
  <c r="O9" i="178"/>
  <c r="L9"/>
  <c r="N9" s="1"/>
  <c r="K9"/>
  <c r="O20" i="260"/>
  <c r="N20"/>
  <c r="L20"/>
  <c r="R20" s="1"/>
  <c r="K20"/>
  <c r="O88" i="20"/>
  <c r="N88"/>
  <c r="L88"/>
  <c r="R88" s="1"/>
  <c r="K88"/>
  <c r="K37" i="27"/>
  <c r="L37" s="1"/>
  <c r="O17" i="262"/>
  <c r="L17"/>
  <c r="R17" s="1"/>
  <c r="K17"/>
  <c r="N9" i="270" l="1"/>
  <c r="N30" i="252"/>
  <c r="R30"/>
  <c r="R26" i="151"/>
  <c r="N26"/>
  <c r="R25"/>
  <c r="R90" i="20"/>
  <c r="R18" i="139"/>
  <c r="R13" i="270"/>
  <c r="N13"/>
  <c r="R17"/>
  <c r="N17"/>
  <c r="N11"/>
  <c r="R11"/>
  <c r="N15"/>
  <c r="R15"/>
  <c r="R12"/>
  <c r="N12"/>
  <c r="N19"/>
  <c r="R19"/>
  <c r="R16"/>
  <c r="N16"/>
  <c r="R10"/>
  <c r="R14"/>
  <c r="R18"/>
  <c r="N27" i="261"/>
  <c r="R27"/>
  <c r="N23"/>
  <c r="R23"/>
  <c r="R22"/>
  <c r="R26"/>
  <c r="R30"/>
  <c r="L15" i="269"/>
  <c r="R9" i="178"/>
  <c r="N37" i="27"/>
  <c r="R37"/>
  <c r="N17" i="262"/>
  <c r="Q149" i="143"/>
  <c r="R149"/>
  <c r="O145"/>
  <c r="N145"/>
  <c r="L145"/>
  <c r="R145" s="1"/>
  <c r="K145"/>
  <c r="O144"/>
  <c r="K144"/>
  <c r="L144" s="1"/>
  <c r="O143"/>
  <c r="K143"/>
  <c r="L143" s="1"/>
  <c r="N143" s="1"/>
  <c r="O142"/>
  <c r="K142"/>
  <c r="L142" s="1"/>
  <c r="O141"/>
  <c r="K141"/>
  <c r="L141" s="1"/>
  <c r="O140"/>
  <c r="K140"/>
  <c r="L140" s="1"/>
  <c r="O139"/>
  <c r="L139"/>
  <c r="N139" s="1"/>
  <c r="K139"/>
  <c r="O138"/>
  <c r="L138"/>
  <c r="R138" s="1"/>
  <c r="K138"/>
  <c r="O137"/>
  <c r="L137"/>
  <c r="R137" s="1"/>
  <c r="K137"/>
  <c r="O147"/>
  <c r="L147"/>
  <c r="R147" s="1"/>
  <c r="K147"/>
  <c r="O146"/>
  <c r="K146"/>
  <c r="L146" s="1"/>
  <c r="H63" i="39"/>
  <c r="U63"/>
  <c r="U41"/>
  <c r="U42"/>
  <c r="U43"/>
  <c r="U44"/>
  <c r="U45"/>
  <c r="U46"/>
  <c r="U47"/>
  <c r="U48"/>
  <c r="U49"/>
  <c r="U50"/>
  <c r="U51"/>
  <c r="U52"/>
  <c r="U53"/>
  <c r="U54"/>
  <c r="U55"/>
  <c r="U56"/>
  <c r="U57"/>
  <c r="U58"/>
  <c r="U59"/>
  <c r="U60"/>
  <c r="U61"/>
  <c r="U40"/>
  <c r="T63"/>
  <c r="O47"/>
  <c r="N47"/>
  <c r="L47"/>
  <c r="R47" s="1"/>
  <c r="K47"/>
  <c r="O46"/>
  <c r="K46"/>
  <c r="L46" s="1"/>
  <c r="O45"/>
  <c r="L45"/>
  <c r="N45" s="1"/>
  <c r="K45"/>
  <c r="O44"/>
  <c r="N44"/>
  <c r="L44"/>
  <c r="R44" s="1"/>
  <c r="K44"/>
  <c r="O43"/>
  <c r="N43"/>
  <c r="L43"/>
  <c r="R43" s="1"/>
  <c r="K43"/>
  <c r="O42"/>
  <c r="K42"/>
  <c r="L42" s="1"/>
  <c r="O41"/>
  <c r="L41"/>
  <c r="N41" s="1"/>
  <c r="K41"/>
  <c r="O40"/>
  <c r="N40"/>
  <c r="L40"/>
  <c r="R40" s="1"/>
  <c r="K40"/>
  <c r="O61"/>
  <c r="K61"/>
  <c r="L61" s="1"/>
  <c r="O60"/>
  <c r="L60"/>
  <c r="N60" s="1"/>
  <c r="K60"/>
  <c r="O59"/>
  <c r="N59"/>
  <c r="L59"/>
  <c r="R59" s="1"/>
  <c r="K59"/>
  <c r="O58"/>
  <c r="K58"/>
  <c r="L58" s="1"/>
  <c r="O57"/>
  <c r="K57"/>
  <c r="L57" s="1"/>
  <c r="O56"/>
  <c r="L56"/>
  <c r="N56" s="1"/>
  <c r="K56"/>
  <c r="O55"/>
  <c r="N55"/>
  <c r="L55"/>
  <c r="R55" s="1"/>
  <c r="K55"/>
  <c r="O54"/>
  <c r="K54"/>
  <c r="L54" s="1"/>
  <c r="O53"/>
  <c r="K53"/>
  <c r="L53" s="1"/>
  <c r="O52"/>
  <c r="L52"/>
  <c r="N52" s="1"/>
  <c r="K52"/>
  <c r="O51"/>
  <c r="N51"/>
  <c r="L51"/>
  <c r="R51" s="1"/>
  <c r="K51"/>
  <c r="O50"/>
  <c r="K50"/>
  <c r="L50" s="1"/>
  <c r="O49"/>
  <c r="K49"/>
  <c r="L49" s="1"/>
  <c r="O48"/>
  <c r="L48"/>
  <c r="N48" s="1"/>
  <c r="K48"/>
  <c r="O26" i="268"/>
  <c r="K26"/>
  <c r="L26" s="1"/>
  <c r="Q11" i="267"/>
  <c r="K11"/>
  <c r="L11" s="1"/>
  <c r="Q10"/>
  <c r="K10"/>
  <c r="L10" s="1"/>
  <c r="O8" i="266"/>
  <c r="L8"/>
  <c r="N8" s="1"/>
  <c r="K8"/>
  <c r="R15" i="262"/>
  <c r="N15"/>
  <c r="L15"/>
  <c r="K15"/>
  <c r="O51" i="236"/>
  <c r="N51"/>
  <c r="L51"/>
  <c r="R51" s="1"/>
  <c r="K51"/>
  <c r="R141" i="143" l="1"/>
  <c r="N141"/>
  <c r="R142"/>
  <c r="N142"/>
  <c r="N147"/>
  <c r="N137"/>
  <c r="N138"/>
  <c r="N144"/>
  <c r="R144"/>
  <c r="R140"/>
  <c r="N140"/>
  <c r="R139"/>
  <c r="R143"/>
  <c r="N146"/>
  <c r="R146"/>
  <c r="R46" i="39"/>
  <c r="N46"/>
  <c r="N42"/>
  <c r="R42"/>
  <c r="R41"/>
  <c r="R45"/>
  <c r="N53"/>
  <c r="R53"/>
  <c r="R50"/>
  <c r="N50"/>
  <c r="N57"/>
  <c r="R57"/>
  <c r="R54"/>
  <c r="N54"/>
  <c r="N61"/>
  <c r="R61"/>
  <c r="N49"/>
  <c r="R49"/>
  <c r="R58"/>
  <c r="N58"/>
  <c r="R48"/>
  <c r="R52"/>
  <c r="R56"/>
  <c r="R60"/>
  <c r="N26" i="268"/>
  <c r="R26"/>
  <c r="L44"/>
  <c r="R11" i="267"/>
  <c r="N11"/>
  <c r="N10"/>
  <c r="R10"/>
  <c r="R8" i="266"/>
  <c r="K18" i="260"/>
  <c r="L18" s="1"/>
  <c r="O18"/>
  <c r="K18" i="259"/>
  <c r="L18" s="1"/>
  <c r="O11" i="265"/>
  <c r="I11"/>
  <c r="K11" s="1"/>
  <c r="L11" s="1"/>
  <c r="O17" i="226"/>
  <c r="K17"/>
  <c r="L17" s="1"/>
  <c r="I17"/>
  <c r="O27" i="264"/>
  <c r="K27"/>
  <c r="L27" s="1"/>
  <c r="O12" i="153"/>
  <c r="K12"/>
  <c r="L12" s="1"/>
  <c r="O25" i="264"/>
  <c r="L25"/>
  <c r="N25" s="1"/>
  <c r="K25"/>
  <c r="O30" i="257"/>
  <c r="K30"/>
  <c r="L30" s="1"/>
  <c r="O50" i="236"/>
  <c r="K50"/>
  <c r="L50" s="1"/>
  <c r="Q118" i="43"/>
  <c r="O118"/>
  <c r="L118"/>
  <c r="N118" s="1"/>
  <c r="K118"/>
  <c r="O42" i="101"/>
  <c r="N42"/>
  <c r="L42"/>
  <c r="R42" s="1"/>
  <c r="K42"/>
  <c r="O42" i="73"/>
  <c r="N42"/>
  <c r="L42"/>
  <c r="R42" s="1"/>
  <c r="K42"/>
  <c r="O16" i="260"/>
  <c r="N16"/>
  <c r="L16"/>
  <c r="R16" s="1"/>
  <c r="K16"/>
  <c r="L13" i="262"/>
  <c r="N13" s="1"/>
  <c r="K13"/>
  <c r="O87" i="20"/>
  <c r="L87"/>
  <c r="N87" s="1"/>
  <c r="K87"/>
  <c r="O54" i="229"/>
  <c r="N54"/>
  <c r="L54"/>
  <c r="R54" s="1"/>
  <c r="K54"/>
  <c r="O86" i="20"/>
  <c r="K86"/>
  <c r="L86" s="1"/>
  <c r="O21" i="80"/>
  <c r="N21"/>
  <c r="L21"/>
  <c r="R21" s="1"/>
  <c r="K21"/>
  <c r="O93" i="156"/>
  <c r="N93"/>
  <c r="L93"/>
  <c r="R93" s="1"/>
  <c r="K93"/>
  <c r="O24" i="151"/>
  <c r="I24"/>
  <c r="K24" s="1"/>
  <c r="L24" s="1"/>
  <c r="O40" i="101"/>
  <c r="N40"/>
  <c r="L40"/>
  <c r="R40" s="1"/>
  <c r="K40"/>
  <c r="K72" i="24"/>
  <c r="L72"/>
  <c r="R72" s="1"/>
  <c r="O72"/>
  <c r="K73"/>
  <c r="L73" s="1"/>
  <c r="O73"/>
  <c r="O50" i="159"/>
  <c r="K50"/>
  <c r="L50" s="1"/>
  <c r="O49"/>
  <c r="K49"/>
  <c r="L49" s="1"/>
  <c r="O45" i="173"/>
  <c r="K45"/>
  <c r="L45" s="1"/>
  <c r="O11" i="193"/>
  <c r="N11"/>
  <c r="L11"/>
  <c r="R11" s="1"/>
  <c r="K11"/>
  <c r="O23" i="151"/>
  <c r="N23"/>
  <c r="L23"/>
  <c r="R23" s="1"/>
  <c r="K23"/>
  <c r="O22"/>
  <c r="K22"/>
  <c r="L22" s="1"/>
  <c r="I22"/>
  <c r="O21"/>
  <c r="N21"/>
  <c r="L21"/>
  <c r="R21" s="1"/>
  <c r="K21"/>
  <c r="O224" i="11"/>
  <c r="K224"/>
  <c r="L224" s="1"/>
  <c r="O223"/>
  <c r="K223"/>
  <c r="L223" s="1"/>
  <c r="N223" s="1"/>
  <c r="O85" i="20"/>
  <c r="K85"/>
  <c r="L85" s="1"/>
  <c r="O92" i="156"/>
  <c r="K92"/>
  <c r="L92" s="1"/>
  <c r="O222" i="11"/>
  <c r="K222"/>
  <c r="L222" s="1"/>
  <c r="O221"/>
  <c r="K221"/>
  <c r="L221" s="1"/>
  <c r="O220"/>
  <c r="L220"/>
  <c r="N220" s="1"/>
  <c r="K220"/>
  <c r="O219"/>
  <c r="K219"/>
  <c r="L219" s="1"/>
  <c r="R219" s="1"/>
  <c r="O218"/>
  <c r="L218"/>
  <c r="R218" s="1"/>
  <c r="K218"/>
  <c r="O217"/>
  <c r="K217"/>
  <c r="L217" s="1"/>
  <c r="O216"/>
  <c r="K216"/>
  <c r="L216" s="1"/>
  <c r="N216" s="1"/>
  <c r="O35" i="67"/>
  <c r="N35"/>
  <c r="L35"/>
  <c r="R35" s="1"/>
  <c r="K35"/>
  <c r="O53" i="229"/>
  <c r="K53"/>
  <c r="L53" s="1"/>
  <c r="O24" i="155"/>
  <c r="N24"/>
  <c r="L24"/>
  <c r="R24" s="1"/>
  <c r="K24"/>
  <c r="O19" i="80"/>
  <c r="N19"/>
  <c r="L19"/>
  <c r="R19" s="1"/>
  <c r="K19"/>
  <c r="O18"/>
  <c r="K18"/>
  <c r="L18" s="1"/>
  <c r="I18"/>
  <c r="O205" i="23"/>
  <c r="K205"/>
  <c r="L205" s="1"/>
  <c r="N11" i="262"/>
  <c r="L11"/>
  <c r="R11" s="1"/>
  <c r="K11"/>
  <c r="O43" i="131"/>
  <c r="K43"/>
  <c r="L43" s="1"/>
  <c r="O82" i="34"/>
  <c r="N82"/>
  <c r="L82"/>
  <c r="R82" s="1"/>
  <c r="K82"/>
  <c r="O91" i="156"/>
  <c r="N91"/>
  <c r="L91"/>
  <c r="R91" s="1"/>
  <c r="K91"/>
  <c r="O171" i="28"/>
  <c r="N171"/>
  <c r="L171"/>
  <c r="R171" s="1"/>
  <c r="K171"/>
  <c r="O203" i="23"/>
  <c r="N203"/>
  <c r="L203"/>
  <c r="R203" s="1"/>
  <c r="K203"/>
  <c r="O170" i="28"/>
  <c r="K170"/>
  <c r="L170" s="1"/>
  <c r="O169"/>
  <c r="L169"/>
  <c r="N169" s="1"/>
  <c r="K169"/>
  <c r="O168"/>
  <c r="N168"/>
  <c r="L168"/>
  <c r="R168" s="1"/>
  <c r="K168"/>
  <c r="O16" i="80"/>
  <c r="N16"/>
  <c r="L16"/>
  <c r="R16" s="1"/>
  <c r="K16"/>
  <c r="O47" i="132"/>
  <c r="L47"/>
  <c r="N47" s="1"/>
  <c r="K47"/>
  <c r="O84" i="20"/>
  <c r="N84"/>
  <c r="L84"/>
  <c r="R84" s="1"/>
  <c r="K84"/>
  <c r="O83"/>
  <c r="K83"/>
  <c r="L83" s="1"/>
  <c r="O90" i="156"/>
  <c r="N90"/>
  <c r="L90"/>
  <c r="R90" s="1"/>
  <c r="K90"/>
  <c r="O89"/>
  <c r="K89"/>
  <c r="L89" s="1"/>
  <c r="O167" i="28"/>
  <c r="N167"/>
  <c r="L167"/>
  <c r="R167" s="1"/>
  <c r="K167"/>
  <c r="O21" i="251"/>
  <c r="N21"/>
  <c r="L21"/>
  <c r="R21" s="1"/>
  <c r="K21"/>
  <c r="O41" i="73"/>
  <c r="N41"/>
  <c r="L41"/>
  <c r="R41" s="1"/>
  <c r="K41"/>
  <c r="O21" i="255"/>
  <c r="N21"/>
  <c r="L21"/>
  <c r="R21" s="1"/>
  <c r="K21"/>
  <c r="O82" i="20"/>
  <c r="N82"/>
  <c r="L82"/>
  <c r="R82" s="1"/>
  <c r="K82"/>
  <c r="O166" i="28"/>
  <c r="N166"/>
  <c r="L166"/>
  <c r="R166" s="1"/>
  <c r="K166"/>
  <c r="O88" i="156"/>
  <c r="K88"/>
  <c r="L88" s="1"/>
  <c r="O51" i="229"/>
  <c r="L51"/>
  <c r="N51" s="1"/>
  <c r="K51"/>
  <c r="O14" i="80"/>
  <c r="K14"/>
  <c r="L14" s="1"/>
  <c r="K10" i="263"/>
  <c r="L10" s="1"/>
  <c r="K9"/>
  <c r="L9" s="1"/>
  <c r="Q9" i="262"/>
  <c r="N9"/>
  <c r="L9"/>
  <c r="R9" s="1"/>
  <c r="K9"/>
  <c r="O32" i="175"/>
  <c r="N32"/>
  <c r="L32"/>
  <c r="R32" s="1"/>
  <c r="K32"/>
  <c r="O81" i="20"/>
  <c r="K81"/>
  <c r="L81" s="1"/>
  <c r="O43" i="173"/>
  <c r="N43"/>
  <c r="L43"/>
  <c r="R43" s="1"/>
  <c r="K43"/>
  <c r="O165" i="28"/>
  <c r="N165"/>
  <c r="L165"/>
  <c r="R165" s="1"/>
  <c r="K165"/>
  <c r="O164"/>
  <c r="K164"/>
  <c r="L164" s="1"/>
  <c r="Q116" i="43"/>
  <c r="L116"/>
  <c r="N116" s="1"/>
  <c r="K116"/>
  <c r="O80" i="20"/>
  <c r="K80"/>
  <c r="L80" s="1"/>
  <c r="N58" i="130"/>
  <c r="L58"/>
  <c r="R58" s="1"/>
  <c r="K58"/>
  <c r="K49" i="236"/>
  <c r="L49" s="1"/>
  <c r="O48"/>
  <c r="N48"/>
  <c r="L48"/>
  <c r="R48" s="1"/>
  <c r="K48"/>
  <c r="O47"/>
  <c r="K47"/>
  <c r="L47" s="1"/>
  <c r="K57" i="130"/>
  <c r="L57" s="1"/>
  <c r="O18" i="261"/>
  <c r="L18"/>
  <c r="N18" s="1"/>
  <c r="K18"/>
  <c r="O21" i="242"/>
  <c r="K21"/>
  <c r="L21" s="1"/>
  <c r="O46" i="236"/>
  <c r="K46"/>
  <c r="L46" s="1"/>
  <c r="O47" i="159"/>
  <c r="N47"/>
  <c r="L47"/>
  <c r="R47" s="1"/>
  <c r="K47"/>
  <c r="O79" i="20"/>
  <c r="K79"/>
  <c r="L79" s="1"/>
  <c r="O78"/>
  <c r="L78"/>
  <c r="N78" s="1"/>
  <c r="K78"/>
  <c r="O20" i="255"/>
  <c r="K20"/>
  <c r="L20" s="1"/>
  <c r="O19"/>
  <c r="L19"/>
  <c r="N19" s="1"/>
  <c r="K19"/>
  <c r="I189" i="11"/>
  <c r="M189"/>
  <c r="P189"/>
  <c r="H189"/>
  <c r="O215"/>
  <c r="K215"/>
  <c r="L215" s="1"/>
  <c r="N215" s="1"/>
  <c r="O214"/>
  <c r="K214"/>
  <c r="L214" s="1"/>
  <c r="O213"/>
  <c r="K213"/>
  <c r="O14" i="260"/>
  <c r="L14"/>
  <c r="N14" s="1"/>
  <c r="K14"/>
  <c r="O15" i="259"/>
  <c r="K15"/>
  <c r="L15" s="1"/>
  <c r="O87" i="156"/>
  <c r="K87"/>
  <c r="L87" s="1"/>
  <c r="Q13" i="259"/>
  <c r="K13"/>
  <c r="L13" s="1"/>
  <c r="R13" s="1"/>
  <c r="O76" i="20"/>
  <c r="N76"/>
  <c r="L76"/>
  <c r="R76" s="1"/>
  <c r="K76"/>
  <c r="O75"/>
  <c r="K75"/>
  <c r="L75" s="1"/>
  <c r="O74"/>
  <c r="L74"/>
  <c r="N74" s="1"/>
  <c r="K74"/>
  <c r="O73"/>
  <c r="N73"/>
  <c r="L73"/>
  <c r="R73" s="1"/>
  <c r="K73"/>
  <c r="O18" i="15"/>
  <c r="N18"/>
  <c r="L18"/>
  <c r="R18" s="1"/>
  <c r="K18"/>
  <c r="O17" i="255"/>
  <c r="L17"/>
  <c r="R17" s="1"/>
  <c r="K17"/>
  <c r="Q18" i="204"/>
  <c r="L18"/>
  <c r="N18" s="1"/>
  <c r="K18"/>
  <c r="O225" i="11" l="1"/>
  <c r="L213"/>
  <c r="L225" s="1"/>
  <c r="K225"/>
  <c r="R214"/>
  <c r="N214"/>
  <c r="R222"/>
  <c r="N222"/>
  <c r="N218"/>
  <c r="N219"/>
  <c r="R9" i="263"/>
  <c r="N9"/>
  <c r="R10"/>
  <c r="N10"/>
  <c r="R15" i="259"/>
  <c r="N15"/>
  <c r="R18" i="260"/>
  <c r="N18"/>
  <c r="N18" i="259"/>
  <c r="R18"/>
  <c r="R11" i="265"/>
  <c r="N11"/>
  <c r="R17" i="226"/>
  <c r="N17"/>
  <c r="N27" i="264"/>
  <c r="R27"/>
  <c r="R12" i="153"/>
  <c r="N12"/>
  <c r="L47" i="264"/>
  <c r="R25"/>
  <c r="N30" i="257"/>
  <c r="R30"/>
  <c r="N50" i="236"/>
  <c r="R50"/>
  <c r="R118" i="43"/>
  <c r="R13" i="262"/>
  <c r="R87" i="20"/>
  <c r="N86"/>
  <c r="R86"/>
  <c r="R24" i="151"/>
  <c r="N24"/>
  <c r="N73" i="24"/>
  <c r="R73"/>
  <c r="N72"/>
  <c r="R49" i="159"/>
  <c r="N49"/>
  <c r="R50"/>
  <c r="N50"/>
  <c r="R45" i="173"/>
  <c r="N45"/>
  <c r="N22" i="151"/>
  <c r="R22"/>
  <c r="N224" i="11"/>
  <c r="R224"/>
  <c r="R223"/>
  <c r="N85" i="20"/>
  <c r="R85"/>
  <c r="N92" i="156"/>
  <c r="R92"/>
  <c r="N221" i="11"/>
  <c r="R221"/>
  <c r="N217"/>
  <c r="R217"/>
  <c r="R216"/>
  <c r="R220"/>
  <c r="N53" i="229"/>
  <c r="R53"/>
  <c r="N18" i="80"/>
  <c r="R18"/>
  <c r="N205" i="23"/>
  <c r="R205"/>
  <c r="R43" i="131"/>
  <c r="N43"/>
  <c r="N170" i="28"/>
  <c r="R170"/>
  <c r="R169"/>
  <c r="R47" i="132"/>
  <c r="N83" i="20"/>
  <c r="R83"/>
  <c r="N89" i="156"/>
  <c r="R89"/>
  <c r="N88"/>
  <c r="R88"/>
  <c r="R51" i="229"/>
  <c r="N14" i="80"/>
  <c r="R14"/>
  <c r="N81" i="20"/>
  <c r="R81"/>
  <c r="N164" i="28"/>
  <c r="R164"/>
  <c r="R116" i="43"/>
  <c r="N80" i="20"/>
  <c r="R80"/>
  <c r="N49" i="236"/>
  <c r="R49"/>
  <c r="N47"/>
  <c r="R47"/>
  <c r="N57" i="130"/>
  <c r="R57"/>
  <c r="R18" i="261"/>
  <c r="N21" i="242"/>
  <c r="R21"/>
  <c r="N46" i="236"/>
  <c r="R46"/>
  <c r="N79" i="20"/>
  <c r="R79"/>
  <c r="R78"/>
  <c r="N20" i="255"/>
  <c r="R20"/>
  <c r="R19"/>
  <c r="R215" i="11"/>
  <c r="R14" i="260"/>
  <c r="N87" i="156"/>
  <c r="R87"/>
  <c r="N13" i="259"/>
  <c r="N75" i="20"/>
  <c r="R75"/>
  <c r="R74"/>
  <c r="N17" i="255"/>
  <c r="R18" i="204"/>
  <c r="O71" i="20"/>
  <c r="N71"/>
  <c r="L71"/>
  <c r="R71" s="1"/>
  <c r="K71"/>
  <c r="O81" i="34"/>
  <c r="N81"/>
  <c r="L81"/>
  <c r="R81" s="1"/>
  <c r="K81"/>
  <c r="O12" i="89"/>
  <c r="K12"/>
  <c r="L12" s="1"/>
  <c r="O69" i="20"/>
  <c r="N69"/>
  <c r="L69"/>
  <c r="R69" s="1"/>
  <c r="K69"/>
  <c r="O163" i="28"/>
  <c r="K163"/>
  <c r="L163" s="1"/>
  <c r="O86" i="156"/>
  <c r="K86"/>
  <c r="L86" s="1"/>
  <c r="O13" i="121"/>
  <c r="K13"/>
  <c r="L13" s="1"/>
  <c r="O162" i="28"/>
  <c r="K162"/>
  <c r="L162" s="1"/>
  <c r="O83" i="99"/>
  <c r="N83"/>
  <c r="L83"/>
  <c r="R83" s="1"/>
  <c r="K83"/>
  <c r="O30" i="175"/>
  <c r="N30"/>
  <c r="L30"/>
  <c r="R30" s="1"/>
  <c r="K30"/>
  <c r="O50" i="229"/>
  <c r="L50"/>
  <c r="N50" s="1"/>
  <c r="K50"/>
  <c r="O67" i="20"/>
  <c r="N67"/>
  <c r="L67"/>
  <c r="R67" s="1"/>
  <c r="K67"/>
  <c r="R161" i="28"/>
  <c r="O16" i="204"/>
  <c r="N16"/>
  <c r="L16"/>
  <c r="R16" s="1"/>
  <c r="K16"/>
  <c r="O9" i="258"/>
  <c r="K9"/>
  <c r="L9" s="1"/>
  <c r="O65" i="20"/>
  <c r="K65"/>
  <c r="L65" s="1"/>
  <c r="O48" i="229"/>
  <c r="K48"/>
  <c r="L48" s="1"/>
  <c r="O27" i="257"/>
  <c r="L27"/>
  <c r="N27" s="1"/>
  <c r="K27"/>
  <c r="O26"/>
  <c r="N26"/>
  <c r="L26"/>
  <c r="R26" s="1"/>
  <c r="K26"/>
  <c r="O25"/>
  <c r="K25"/>
  <c r="L25" s="1"/>
  <c r="Q114" i="43"/>
  <c r="K114"/>
  <c r="H114"/>
  <c r="L114" s="1"/>
  <c r="O10" i="256"/>
  <c r="K10"/>
  <c r="L10" s="1"/>
  <c r="O15" i="239"/>
  <c r="N15"/>
  <c r="L15"/>
  <c r="R15" s="1"/>
  <c r="K15"/>
  <c r="Q14" i="204"/>
  <c r="K14"/>
  <c r="L14" s="1"/>
  <c r="I14"/>
  <c r="O15" i="255"/>
  <c r="K15"/>
  <c r="L15" s="1"/>
  <c r="O63" i="20"/>
  <c r="K63"/>
  <c r="L63" s="1"/>
  <c r="O52" i="88"/>
  <c r="N52"/>
  <c r="L52"/>
  <c r="R52" s="1"/>
  <c r="K52"/>
  <c r="O41" i="173"/>
  <c r="N41"/>
  <c r="L41"/>
  <c r="R41" s="1"/>
  <c r="K41"/>
  <c r="O29" i="98"/>
  <c r="K29"/>
  <c r="L29" s="1"/>
  <c r="O13" i="255"/>
  <c r="K13"/>
  <c r="L13" s="1"/>
  <c r="O47" i="228"/>
  <c r="L47"/>
  <c r="M47" s="1"/>
  <c r="K47"/>
  <c r="O161" i="28"/>
  <c r="K161"/>
  <c r="L161" s="1"/>
  <c r="O160"/>
  <c r="L160"/>
  <c r="N160" s="1"/>
  <c r="K160"/>
  <c r="O84" i="156"/>
  <c r="K84"/>
  <c r="L84" s="1"/>
  <c r="I123" i="143"/>
  <c r="M123"/>
  <c r="P123"/>
  <c r="H123"/>
  <c r="O122"/>
  <c r="K122"/>
  <c r="L122" s="1"/>
  <c r="N122" s="1"/>
  <c r="O121"/>
  <c r="K121"/>
  <c r="L121" s="1"/>
  <c r="N121" s="1"/>
  <c r="O120"/>
  <c r="K120"/>
  <c r="L120" s="1"/>
  <c r="N120" s="1"/>
  <c r="O119"/>
  <c r="K119"/>
  <c r="L119" s="1"/>
  <c r="N119" s="1"/>
  <c r="O118"/>
  <c r="K118"/>
  <c r="L118" s="1"/>
  <c r="N118" s="1"/>
  <c r="O117"/>
  <c r="K117"/>
  <c r="L117" s="1"/>
  <c r="N117" s="1"/>
  <c r="O116"/>
  <c r="K116"/>
  <c r="L116" s="1"/>
  <c r="N116" s="1"/>
  <c r="O115"/>
  <c r="K115"/>
  <c r="L115" s="1"/>
  <c r="N115" s="1"/>
  <c r="O114"/>
  <c r="K114"/>
  <c r="L114" s="1"/>
  <c r="N114" s="1"/>
  <c r="O113"/>
  <c r="K113"/>
  <c r="L113" s="1"/>
  <c r="N113" s="1"/>
  <c r="O112"/>
  <c r="K112"/>
  <c r="L112" s="1"/>
  <c r="N112" s="1"/>
  <c r="O111"/>
  <c r="K111"/>
  <c r="L111" s="1"/>
  <c r="N111" s="1"/>
  <c r="O110"/>
  <c r="K110"/>
  <c r="L110" s="1"/>
  <c r="N110" s="1"/>
  <c r="O109"/>
  <c r="K109"/>
  <c r="L109" s="1"/>
  <c r="N109" s="1"/>
  <c r="O108"/>
  <c r="K108"/>
  <c r="L108" s="1"/>
  <c r="N108" s="1"/>
  <c r="O162" i="87"/>
  <c r="K162"/>
  <c r="L162" s="1"/>
  <c r="O11" i="255"/>
  <c r="N11"/>
  <c r="L11"/>
  <c r="R11" s="1"/>
  <c r="K11"/>
  <c r="O14" i="226"/>
  <c r="L14"/>
  <c r="N14" s="1"/>
  <c r="K14"/>
  <c r="O159" i="28"/>
  <c r="K159"/>
  <c r="L159" s="1"/>
  <c r="O39" i="235"/>
  <c r="N39"/>
  <c r="L39"/>
  <c r="R39" s="1"/>
  <c r="K39"/>
  <c r="O70" i="24"/>
  <c r="L70"/>
  <c r="N70" s="1"/>
  <c r="K70"/>
  <c r="O61" i="20"/>
  <c r="N61"/>
  <c r="L61"/>
  <c r="R61" s="1"/>
  <c r="K61"/>
  <c r="O134" i="105"/>
  <c r="N134"/>
  <c r="L134"/>
  <c r="K134"/>
  <c r="O107" i="143"/>
  <c r="K107"/>
  <c r="L107" s="1"/>
  <c r="O106"/>
  <c r="L106"/>
  <c r="N106" s="1"/>
  <c r="K106"/>
  <c r="O105"/>
  <c r="N105"/>
  <c r="L105"/>
  <c r="K105"/>
  <c r="O104"/>
  <c r="K104"/>
  <c r="L104" s="1"/>
  <c r="O103"/>
  <c r="K103"/>
  <c r="L103" s="1"/>
  <c r="N103" s="1"/>
  <c r="O102"/>
  <c r="K102"/>
  <c r="L102" s="1"/>
  <c r="N102" s="1"/>
  <c r="O101"/>
  <c r="O123" s="1"/>
  <c r="K101"/>
  <c r="L101" s="1"/>
  <c r="X131" i="9"/>
  <c r="W131"/>
  <c r="O40" i="73"/>
  <c r="K40"/>
  <c r="L40" s="1"/>
  <c r="O38" i="100"/>
  <c r="N38"/>
  <c r="L38"/>
  <c r="R38" s="1"/>
  <c r="K38"/>
  <c r="O37"/>
  <c r="K37"/>
  <c r="L37" s="1"/>
  <c r="N56" i="130"/>
  <c r="L56"/>
  <c r="R56" s="1"/>
  <c r="K56"/>
  <c r="N55"/>
  <c r="L55"/>
  <c r="R55" s="1"/>
  <c r="K55"/>
  <c r="N54"/>
  <c r="L54"/>
  <c r="R54" s="1"/>
  <c r="K54"/>
  <c r="O29" i="244"/>
  <c r="N29"/>
  <c r="L29"/>
  <c r="R29" s="1"/>
  <c r="K29"/>
  <c r="O82" i="99"/>
  <c r="L82"/>
  <c r="N82" s="1"/>
  <c r="K82"/>
  <c r="O45" i="228"/>
  <c r="N45"/>
  <c r="L45"/>
  <c r="R45" s="1"/>
  <c r="K45"/>
  <c r="O45" i="159"/>
  <c r="K45"/>
  <c r="L45" s="1"/>
  <c r="O19" i="251"/>
  <c r="N19"/>
  <c r="L19"/>
  <c r="R19" s="1"/>
  <c r="K19"/>
  <c r="O52" i="130"/>
  <c r="L52"/>
  <c r="N52" s="1"/>
  <c r="K52"/>
  <c r="O79" i="34"/>
  <c r="K79"/>
  <c r="L79" s="1"/>
  <c r="O13" i="32"/>
  <c r="N13"/>
  <c r="L13"/>
  <c r="R13" s="1"/>
  <c r="K13"/>
  <c r="O33" i="67"/>
  <c r="L33"/>
  <c r="N33" s="1"/>
  <c r="K33"/>
  <c r="O32"/>
  <c r="N32"/>
  <c r="L32"/>
  <c r="R32" s="1"/>
  <c r="K32"/>
  <c r="N50" i="130"/>
  <c r="L50"/>
  <c r="R50" s="1"/>
  <c r="K50"/>
  <c r="I50"/>
  <c r="O132" i="105"/>
  <c r="K132"/>
  <c r="L132" s="1"/>
  <c r="N213" i="11" l="1"/>
  <c r="N225" s="1"/>
  <c r="R213"/>
  <c r="L123" i="143"/>
  <c r="N101"/>
  <c r="K123"/>
  <c r="N12" i="89"/>
  <c r="R12"/>
  <c r="R163" i="28"/>
  <c r="N163"/>
  <c r="R86" i="156"/>
  <c r="N86"/>
  <c r="N13" i="121"/>
  <c r="R13"/>
  <c r="N162" i="28"/>
  <c r="R162"/>
  <c r="R50" i="229"/>
  <c r="N9" i="258"/>
  <c r="R9"/>
  <c r="N65" i="20"/>
  <c r="R65"/>
  <c r="N48" i="229"/>
  <c r="R48"/>
  <c r="R25" i="257"/>
  <c r="N25"/>
  <c r="L53"/>
  <c r="R27"/>
  <c r="N114" i="43"/>
  <c r="R114"/>
  <c r="N10" i="256"/>
  <c r="R10"/>
  <c r="R14" i="204"/>
  <c r="N14"/>
  <c r="N15" i="255"/>
  <c r="R15"/>
  <c r="N63" i="20"/>
  <c r="R63"/>
  <c r="N29" i="98"/>
  <c r="R29"/>
  <c r="N13" i="255"/>
  <c r="R13"/>
  <c r="R47" i="228"/>
  <c r="N47"/>
  <c r="N161" i="28"/>
  <c r="R160"/>
  <c r="M84" i="156"/>
  <c r="R84"/>
  <c r="N84"/>
  <c r="N162" i="87"/>
  <c r="R162"/>
  <c r="R14" i="226"/>
  <c r="N159" i="28"/>
  <c r="R159"/>
  <c r="R70" i="24"/>
  <c r="N107" i="143"/>
  <c r="N104"/>
  <c r="R123"/>
  <c r="N40" i="73"/>
  <c r="R40"/>
  <c r="N37" i="100"/>
  <c r="R37"/>
  <c r="R82" i="99"/>
  <c r="N45" i="159"/>
  <c r="R45"/>
  <c r="R52" i="130"/>
  <c r="N79" i="34"/>
  <c r="R79"/>
  <c r="R33" i="67"/>
  <c r="N132" i="105"/>
  <c r="R132"/>
  <c r="O50" i="88"/>
  <c r="K50"/>
  <c r="L50" s="1"/>
  <c r="O49"/>
  <c r="L49"/>
  <c r="N49" s="1"/>
  <c r="K49"/>
  <c r="O45" i="132"/>
  <c r="N45"/>
  <c r="L45"/>
  <c r="R45" s="1"/>
  <c r="K45"/>
  <c r="O46" i="229"/>
  <c r="K46"/>
  <c r="L46" s="1"/>
  <c r="O45"/>
  <c r="L45"/>
  <c r="N45" s="1"/>
  <c r="K45"/>
  <c r="O158" i="28"/>
  <c r="N158"/>
  <c r="L158"/>
  <c r="R158" s="1"/>
  <c r="K158"/>
  <c r="Q25" i="246"/>
  <c r="K25"/>
  <c r="L25" s="1"/>
  <c r="K28" i="175"/>
  <c r="L28" s="1"/>
  <c r="O37" i="235"/>
  <c r="K37"/>
  <c r="L37" s="1"/>
  <c r="O80" i="99"/>
  <c r="K80"/>
  <c r="L80" s="1"/>
  <c r="O83" i="156"/>
  <c r="K83"/>
  <c r="L83" s="1"/>
  <c r="O82"/>
  <c r="L82"/>
  <c r="N82" s="1"/>
  <c r="K82"/>
  <c r="O157" i="28"/>
  <c r="N157"/>
  <c r="L157"/>
  <c r="R157" s="1"/>
  <c r="K157"/>
  <c r="O156"/>
  <c r="K156"/>
  <c r="L156" s="1"/>
  <c r="O39" i="173"/>
  <c r="N39"/>
  <c r="L39"/>
  <c r="R39" s="1"/>
  <c r="K39"/>
  <c r="Q112" i="43"/>
  <c r="N112"/>
  <c r="L112"/>
  <c r="R112" s="1"/>
  <c r="K112"/>
  <c r="O81" i="156"/>
  <c r="K81"/>
  <c r="L81" s="1"/>
  <c r="O43" i="228"/>
  <c r="N43"/>
  <c r="L43"/>
  <c r="R43" s="1"/>
  <c r="K43"/>
  <c r="Q23" i="246"/>
  <c r="N23"/>
  <c r="L23"/>
  <c r="R23" s="1"/>
  <c r="K23"/>
  <c r="O16" i="95"/>
  <c r="N16"/>
  <c r="L16"/>
  <c r="R16" s="1"/>
  <c r="K16"/>
  <c r="O155" i="28"/>
  <c r="N155"/>
  <c r="L155"/>
  <c r="R155" s="1"/>
  <c r="K155"/>
  <c r="O12" i="254"/>
  <c r="K12"/>
  <c r="L12" s="1"/>
  <c r="O20" i="253"/>
  <c r="N20"/>
  <c r="L20"/>
  <c r="R20" s="1"/>
  <c r="K20"/>
  <c r="O59" i="20"/>
  <c r="N59"/>
  <c r="L59"/>
  <c r="R59" s="1"/>
  <c r="K59"/>
  <c r="O79" i="156"/>
  <c r="K79"/>
  <c r="L79" s="1"/>
  <c r="O154" i="28"/>
  <c r="N154"/>
  <c r="L154"/>
  <c r="R154" s="1"/>
  <c r="K154"/>
  <c r="O131" i="105"/>
  <c r="K131"/>
  <c r="L131" s="1"/>
  <c r="O160" i="87"/>
  <c r="N160"/>
  <c r="L160"/>
  <c r="R160" s="1"/>
  <c r="K160"/>
  <c r="O37" i="18"/>
  <c r="K37"/>
  <c r="L37" s="1"/>
  <c r="O78" i="99"/>
  <c r="K78"/>
  <c r="L78" s="1"/>
  <c r="O158" i="87"/>
  <c r="N158"/>
  <c r="L158"/>
  <c r="K158"/>
  <c r="N110" i="43"/>
  <c r="L110"/>
  <c r="R110" s="1"/>
  <c r="K110"/>
  <c r="O28" i="252"/>
  <c r="K28"/>
  <c r="L28" s="1"/>
  <c r="Q11" i="31"/>
  <c r="K11"/>
  <c r="L11" s="1"/>
  <c r="O27" i="244"/>
  <c r="N27"/>
  <c r="L27"/>
  <c r="R27" s="1"/>
  <c r="K27"/>
  <c r="O44" i="236"/>
  <c r="N44"/>
  <c r="L44"/>
  <c r="R44" s="1"/>
  <c r="K44"/>
  <c r="O43"/>
  <c r="K43"/>
  <c r="L43" s="1"/>
  <c r="O37" i="173"/>
  <c r="K37"/>
  <c r="L37" s="1"/>
  <c r="Q21" i="246"/>
  <c r="K21"/>
  <c r="L21" s="1"/>
  <c r="O57" i="20"/>
  <c r="L57"/>
  <c r="R57" s="1"/>
  <c r="K57"/>
  <c r="O41" i="228"/>
  <c r="L41"/>
  <c r="R41" s="1"/>
  <c r="K41"/>
  <c r="O35" i="235"/>
  <c r="N35"/>
  <c r="L35"/>
  <c r="R35" s="1"/>
  <c r="K35"/>
  <c r="K19" i="58"/>
  <c r="L19" s="1"/>
  <c r="O41" i="236"/>
  <c r="K41"/>
  <c r="L41" s="1"/>
  <c r="O77" i="156"/>
  <c r="K77"/>
  <c r="L77" s="1"/>
  <c r="O76"/>
  <c r="N76"/>
  <c r="L76"/>
  <c r="R76" s="1"/>
  <c r="K76"/>
  <c r="O75"/>
  <c r="N75"/>
  <c r="L75"/>
  <c r="R75" s="1"/>
  <c r="K75"/>
  <c r="O74"/>
  <c r="K74"/>
  <c r="L74" s="1"/>
  <c r="O183" i="11"/>
  <c r="N183"/>
  <c r="L183"/>
  <c r="K183"/>
  <c r="O187"/>
  <c r="N187"/>
  <c r="L187"/>
  <c r="R187" s="1"/>
  <c r="K187"/>
  <c r="O186"/>
  <c r="K186"/>
  <c r="L186" s="1"/>
  <c r="O185"/>
  <c r="L185"/>
  <c r="R185" s="1"/>
  <c r="K185"/>
  <c r="O184"/>
  <c r="N184"/>
  <c r="L184"/>
  <c r="R184" s="1"/>
  <c r="K184"/>
  <c r="O10" i="89"/>
  <c r="N10"/>
  <c r="L10"/>
  <c r="R10" s="1"/>
  <c r="K10"/>
  <c r="O16" i="253"/>
  <c r="K16"/>
  <c r="L16" s="1"/>
  <c r="O17" i="251"/>
  <c r="L17"/>
  <c r="N17" s="1"/>
  <c r="K17"/>
  <c r="O71" i="156"/>
  <c r="N71"/>
  <c r="L71"/>
  <c r="R71" s="1"/>
  <c r="K71"/>
  <c r="O26" i="252"/>
  <c r="L26"/>
  <c r="N26" s="1"/>
  <c r="K26"/>
  <c r="O40" i="236"/>
  <c r="L40"/>
  <c r="N40" s="1"/>
  <c r="K40"/>
  <c r="R183" i="11" l="1"/>
  <c r="L189"/>
  <c r="K189"/>
  <c r="O189"/>
  <c r="N123" i="143"/>
  <c r="R50" i="88"/>
  <c r="N50"/>
  <c r="R49"/>
  <c r="N46" i="229"/>
  <c r="R46"/>
  <c r="R45"/>
  <c r="R25" i="246"/>
  <c r="N25"/>
  <c r="N28" i="175"/>
  <c r="R28"/>
  <c r="N37" i="235"/>
  <c r="R37"/>
  <c r="R80" i="99"/>
  <c r="N80"/>
  <c r="N83" i="156"/>
  <c r="R83"/>
  <c r="R82"/>
  <c r="N156" i="28"/>
  <c r="R156"/>
  <c r="N81" i="156"/>
  <c r="R81"/>
  <c r="N12" i="254"/>
  <c r="R12"/>
  <c r="R79" i="156"/>
  <c r="N79"/>
  <c r="N131" i="105"/>
  <c r="R131"/>
  <c r="R37" i="18"/>
  <c r="N37"/>
  <c r="R78" i="99"/>
  <c r="N78"/>
  <c r="R28" i="252"/>
  <c r="N28"/>
  <c r="N11" i="31"/>
  <c r="R11"/>
  <c r="N43" i="236"/>
  <c r="R43"/>
  <c r="N37" i="173"/>
  <c r="R37"/>
  <c r="N21" i="246"/>
  <c r="R21"/>
  <c r="N57" i="20"/>
  <c r="N41" i="228"/>
  <c r="N19" i="58"/>
  <c r="R19"/>
  <c r="N41" i="236"/>
  <c r="R41"/>
  <c r="N77" i="156"/>
  <c r="R77"/>
  <c r="R74"/>
  <c r="N74"/>
  <c r="N186" i="11"/>
  <c r="R186"/>
  <c r="N185"/>
  <c r="N189" s="1"/>
  <c r="R16" i="253"/>
  <c r="N16"/>
  <c r="R17" i="251"/>
  <c r="R26" i="252"/>
  <c r="R40" i="236"/>
  <c r="O25" i="244"/>
  <c r="L25"/>
  <c r="N25" s="1"/>
  <c r="K25"/>
  <c r="N46" i="130"/>
  <c r="L46"/>
  <c r="R46" s="1"/>
  <c r="K46"/>
  <c r="O35" i="173"/>
  <c r="K35"/>
  <c r="L35" s="1"/>
  <c r="O129" i="105"/>
  <c r="K129"/>
  <c r="L129" s="1"/>
  <c r="O10" i="204"/>
  <c r="K10"/>
  <c r="L10" s="1"/>
  <c r="Q108" i="43"/>
  <c r="K108"/>
  <c r="L108" s="1"/>
  <c r="O24" i="252"/>
  <c r="L24"/>
  <c r="N24" s="1"/>
  <c r="K24"/>
  <c r="O25" i="248"/>
  <c r="N25"/>
  <c r="L25"/>
  <c r="R25" s="1"/>
  <c r="K25"/>
  <c r="O40" i="228"/>
  <c r="N40"/>
  <c r="L40"/>
  <c r="R40" s="1"/>
  <c r="K40"/>
  <c r="O17" i="250"/>
  <c r="N17"/>
  <c r="L17"/>
  <c r="R17" s="1"/>
  <c r="K17"/>
  <c r="O16" i="139"/>
  <c r="K16"/>
  <c r="L16" s="1"/>
  <c r="O15"/>
  <c r="L15"/>
  <c r="N15" s="1"/>
  <c r="K15"/>
  <c r="O33" i="173"/>
  <c r="N33"/>
  <c r="L33"/>
  <c r="R33" s="1"/>
  <c r="K33"/>
  <c r="O18" i="245"/>
  <c r="K18"/>
  <c r="L18" s="1"/>
  <c r="O17"/>
  <c r="L17"/>
  <c r="N17" s="1"/>
  <c r="K17"/>
  <c r="O71" i="102"/>
  <c r="N71"/>
  <c r="L71"/>
  <c r="R71" s="1"/>
  <c r="K71"/>
  <c r="O70"/>
  <c r="K70"/>
  <c r="L70" s="1"/>
  <c r="O69"/>
  <c r="L69"/>
  <c r="N69" s="1"/>
  <c r="K69"/>
  <c r="O127" i="105"/>
  <c r="K127"/>
  <c r="L127" s="1"/>
  <c r="O156" i="87"/>
  <c r="N156"/>
  <c r="L156"/>
  <c r="R156" s="1"/>
  <c r="K156"/>
  <c r="O155"/>
  <c r="K155"/>
  <c r="L155" s="1"/>
  <c r="O58" i="209"/>
  <c r="N58"/>
  <c r="L58"/>
  <c r="R58" s="1"/>
  <c r="K58"/>
  <c r="O57"/>
  <c r="K57"/>
  <c r="L57" s="1"/>
  <c r="O56"/>
  <c r="L56"/>
  <c r="R56" s="1"/>
  <c r="K56"/>
  <c r="O68" i="24"/>
  <c r="N68"/>
  <c r="L68"/>
  <c r="R68" s="1"/>
  <c r="K68"/>
  <c r="O77" i="34"/>
  <c r="K77"/>
  <c r="L77" s="1"/>
  <c r="O58" i="45"/>
  <c r="N58"/>
  <c r="L58"/>
  <c r="R58" s="1"/>
  <c r="K58"/>
  <c r="O55" i="20"/>
  <c r="K55"/>
  <c r="L55" s="1"/>
  <c r="O44" i="229"/>
  <c r="N44"/>
  <c r="L44"/>
  <c r="R44" s="1"/>
  <c r="K44"/>
  <c r="O54" i="209"/>
  <c r="N54"/>
  <c r="L54"/>
  <c r="R54" s="1"/>
  <c r="K54"/>
  <c r="O15" i="251"/>
  <c r="K15"/>
  <c r="L15" s="1"/>
  <c r="O52" i="209"/>
  <c r="K52"/>
  <c r="L52" s="1"/>
  <c r="O152" i="28"/>
  <c r="N152"/>
  <c r="L152"/>
  <c r="R152" s="1"/>
  <c r="K152"/>
  <c r="O151"/>
  <c r="K151"/>
  <c r="L151" s="1"/>
  <c r="Q18" i="242"/>
  <c r="K18"/>
  <c r="L18" s="1"/>
  <c r="O41" i="131"/>
  <c r="L41"/>
  <c r="N41" s="1"/>
  <c r="K41"/>
  <c r="Q106" i="43"/>
  <c r="K106"/>
  <c r="L106" s="1"/>
  <c r="O33" i="235"/>
  <c r="L33"/>
  <c r="N33" s="1"/>
  <c r="K33"/>
  <c r="O35" i="100"/>
  <c r="K35"/>
  <c r="L35" s="1"/>
  <c r="O17" i="232"/>
  <c r="L17"/>
  <c r="N17" s="1"/>
  <c r="K17"/>
  <c r="O12" i="245"/>
  <c r="N12"/>
  <c r="L12"/>
  <c r="R12" s="1"/>
  <c r="K12"/>
  <c r="O31" i="173"/>
  <c r="K31"/>
  <c r="L31" s="1"/>
  <c r="O149" i="28"/>
  <c r="N149"/>
  <c r="L149"/>
  <c r="R149" s="1"/>
  <c r="K149"/>
  <c r="O148"/>
  <c r="K148"/>
  <c r="L148" s="1"/>
  <c r="O147"/>
  <c r="L147"/>
  <c r="N147" s="1"/>
  <c r="K147"/>
  <c r="O146"/>
  <c r="N146"/>
  <c r="M146"/>
  <c r="L146"/>
  <c r="R146" s="1"/>
  <c r="K146"/>
  <c r="O14" i="250"/>
  <c r="L14"/>
  <c r="N14" s="1"/>
  <c r="K14"/>
  <c r="O43" i="159"/>
  <c r="L43"/>
  <c r="N43" s="1"/>
  <c r="K43"/>
  <c r="O144" i="28"/>
  <c r="N144"/>
  <c r="L144"/>
  <c r="R144" s="1"/>
  <c r="K144"/>
  <c r="O125" i="105"/>
  <c r="L125"/>
  <c r="N125" s="1"/>
  <c r="K125"/>
  <c r="O53" i="20"/>
  <c r="L53"/>
  <c r="N53" s="1"/>
  <c r="K53"/>
  <c r="O142" i="28"/>
  <c r="N142"/>
  <c r="L142"/>
  <c r="R142" s="1"/>
  <c r="K142"/>
  <c r="O69" i="156"/>
  <c r="L69"/>
  <c r="R69" s="1"/>
  <c r="K69"/>
  <c r="R25" i="244" l="1"/>
  <c r="R35" i="173"/>
  <c r="N35"/>
  <c r="R129" i="105"/>
  <c r="N129"/>
  <c r="N10" i="204"/>
  <c r="R10"/>
  <c r="R108" i="43"/>
  <c r="N108"/>
  <c r="L59" i="252"/>
  <c r="R24"/>
  <c r="R16" i="139"/>
  <c r="N16"/>
  <c r="R15"/>
  <c r="N18" i="245"/>
  <c r="R18"/>
  <c r="R17"/>
  <c r="N70" i="102"/>
  <c r="R70"/>
  <c r="R69"/>
  <c r="N127" i="105"/>
  <c r="R127"/>
  <c r="N155" i="87"/>
  <c r="R155"/>
  <c r="N57" i="209"/>
  <c r="R57"/>
  <c r="N56"/>
  <c r="N77" i="34"/>
  <c r="R77"/>
  <c r="N55" i="20"/>
  <c r="R55"/>
  <c r="R15" i="251"/>
  <c r="N15"/>
  <c r="N52" i="209"/>
  <c r="R52"/>
  <c r="N151" i="28"/>
  <c r="R151"/>
  <c r="R18" i="242"/>
  <c r="N18"/>
  <c r="R41" i="131"/>
  <c r="N106" i="43"/>
  <c r="R106"/>
  <c r="R33" i="235"/>
  <c r="N35" i="100"/>
  <c r="R35"/>
  <c r="R17" i="232"/>
  <c r="N31" i="173"/>
  <c r="R31"/>
  <c r="N148" i="28"/>
  <c r="R148"/>
  <c r="R147"/>
  <c r="R14" i="250"/>
  <c r="R43" i="159"/>
  <c r="R125" i="105"/>
  <c r="R53" i="20"/>
  <c r="N69" i="156"/>
  <c r="O14" i="133"/>
  <c r="N14"/>
  <c r="L14"/>
  <c r="R14" s="1"/>
  <c r="K14"/>
  <c r="O66" i="24"/>
  <c r="L66"/>
  <c r="N66" s="1"/>
  <c r="K66"/>
  <c r="O65"/>
  <c r="N65"/>
  <c r="L65"/>
  <c r="R65" s="1"/>
  <c r="K65"/>
  <c r="N45" i="130"/>
  <c r="L45"/>
  <c r="R45" s="1"/>
  <c r="K45"/>
  <c r="O140" i="28"/>
  <c r="N140"/>
  <c r="L140"/>
  <c r="R140" s="1"/>
  <c r="K140"/>
  <c r="O139"/>
  <c r="K139"/>
  <c r="L139" s="1"/>
  <c r="O38" i="228"/>
  <c r="N38"/>
  <c r="L38"/>
  <c r="R38" s="1"/>
  <c r="K38"/>
  <c r="R66" i="24" l="1"/>
  <c r="N139" i="28"/>
  <c r="R139"/>
  <c r="O76" i="34"/>
  <c r="N76"/>
  <c r="L76"/>
  <c r="R76" s="1"/>
  <c r="K76"/>
  <c r="O21" i="231"/>
  <c r="N21"/>
  <c r="L21"/>
  <c r="R21" s="1"/>
  <c r="K21"/>
  <c r="O20"/>
  <c r="K20"/>
  <c r="L20" s="1"/>
  <c r="O43" i="60"/>
  <c r="N43"/>
  <c r="L43"/>
  <c r="R43" s="1"/>
  <c r="K43"/>
  <c r="O42"/>
  <c r="K42"/>
  <c r="L42" s="1"/>
  <c r="O67" i="156"/>
  <c r="N67"/>
  <c r="L67"/>
  <c r="R67" s="1"/>
  <c r="K67"/>
  <c r="O39" i="131"/>
  <c r="N39"/>
  <c r="L39"/>
  <c r="R39" s="1"/>
  <c r="K39"/>
  <c r="Q19" i="246"/>
  <c r="N19"/>
  <c r="L19"/>
  <c r="R19" s="1"/>
  <c r="K19"/>
  <c r="N20" i="231" l="1"/>
  <c r="R20"/>
  <c r="N42" i="60"/>
  <c r="R42"/>
  <c r="O31" i="235"/>
  <c r="L31"/>
  <c r="N31" s="1"/>
  <c r="K31"/>
  <c r="O26" i="175"/>
  <c r="N26"/>
  <c r="L26"/>
  <c r="R26" s="1"/>
  <c r="K26"/>
  <c r="O51" i="20"/>
  <c r="N51"/>
  <c r="L51"/>
  <c r="R51" s="1"/>
  <c r="K51"/>
  <c r="O50"/>
  <c r="K50"/>
  <c r="L50" s="1"/>
  <c r="O41" i="60"/>
  <c r="L41"/>
  <c r="N41" s="1"/>
  <c r="K41"/>
  <c r="O124" i="105"/>
  <c r="L124"/>
  <c r="N124" s="1"/>
  <c r="K124"/>
  <c r="O123"/>
  <c r="N123"/>
  <c r="L123"/>
  <c r="R123" s="1"/>
  <c r="K123"/>
  <c r="R31" i="235" l="1"/>
  <c r="R50" i="20"/>
  <c r="N50"/>
  <c r="R41" i="60"/>
  <c r="R124" i="105"/>
  <c r="O18" i="218" l="1"/>
  <c r="K18"/>
  <c r="L18" s="1"/>
  <c r="O132" i="28"/>
  <c r="N132"/>
  <c r="L132"/>
  <c r="R132" s="1"/>
  <c r="K132"/>
  <c r="O65" i="156"/>
  <c r="K65"/>
  <c r="L65" s="1"/>
  <c r="O38" i="73"/>
  <c r="L38"/>
  <c r="N38" s="1"/>
  <c r="K38"/>
  <c r="O43" i="132"/>
  <c r="L43"/>
  <c r="N43" s="1"/>
  <c r="K43"/>
  <c r="O36" i="18"/>
  <c r="K36"/>
  <c r="L36" s="1"/>
  <c r="O35"/>
  <c r="K35"/>
  <c r="L35" s="1"/>
  <c r="O49" i="20"/>
  <c r="N49"/>
  <c r="L49"/>
  <c r="R49" s="1"/>
  <c r="K49"/>
  <c r="O11" i="249"/>
  <c r="K11"/>
  <c r="L11" s="1"/>
  <c r="O10"/>
  <c r="L10"/>
  <c r="N10" s="1"/>
  <c r="K10"/>
  <c r="O17" i="225"/>
  <c r="N17"/>
  <c r="L17"/>
  <c r="R17" s="1"/>
  <c r="K17"/>
  <c r="O16"/>
  <c r="K16"/>
  <c r="L16" s="1"/>
  <c r="N43" i="130"/>
  <c r="L43"/>
  <c r="R43" s="1"/>
  <c r="K43"/>
  <c r="R36" i="18" l="1"/>
  <c r="N36"/>
  <c r="N18" i="218"/>
  <c r="R18"/>
  <c r="R65" i="156"/>
  <c r="N65"/>
  <c r="R38" i="73"/>
  <c r="R43" i="132"/>
  <c r="N35" i="18"/>
  <c r="R35"/>
  <c r="N11" i="249"/>
  <c r="R11"/>
  <c r="L8"/>
  <c r="R10"/>
  <c r="N16" i="225"/>
  <c r="R16"/>
  <c r="Q104" i="43"/>
  <c r="N104"/>
  <c r="L104"/>
  <c r="R104" s="1"/>
  <c r="K104"/>
  <c r="O130" i="28"/>
  <c r="N130"/>
  <c r="L130"/>
  <c r="R130" s="1"/>
  <c r="K130"/>
  <c r="O36" i="228"/>
  <c r="K36"/>
  <c r="L36" s="1"/>
  <c r="O11" i="239"/>
  <c r="N11"/>
  <c r="L11"/>
  <c r="R11" s="1"/>
  <c r="K11"/>
  <c r="O8" i="89"/>
  <c r="N8"/>
  <c r="L8"/>
  <c r="R8" s="1"/>
  <c r="K8"/>
  <c r="O29" i="173"/>
  <c r="N29"/>
  <c r="L29"/>
  <c r="R29" s="1"/>
  <c r="K29"/>
  <c r="O34" i="228"/>
  <c r="N34"/>
  <c r="L34"/>
  <c r="R34" s="1"/>
  <c r="K34"/>
  <c r="O47" i="20"/>
  <c r="N47"/>
  <c r="L47"/>
  <c r="R47" s="1"/>
  <c r="K47"/>
  <c r="O46"/>
  <c r="K46"/>
  <c r="L46" s="1"/>
  <c r="O50" i="209"/>
  <c r="K50"/>
  <c r="L50" s="1"/>
  <c r="O27" i="98"/>
  <c r="N27"/>
  <c r="L27"/>
  <c r="R27" s="1"/>
  <c r="K27"/>
  <c r="O21" i="227"/>
  <c r="K21"/>
  <c r="L21" s="1"/>
  <c r="O31" i="83"/>
  <c r="N31"/>
  <c r="L31"/>
  <c r="R31" s="1"/>
  <c r="K31"/>
  <c r="Q102" i="43"/>
  <c r="N102"/>
  <c r="L102"/>
  <c r="R102" s="1"/>
  <c r="K102"/>
  <c r="O45" i="20"/>
  <c r="K45"/>
  <c r="L45" s="1"/>
  <c r="O22" i="248"/>
  <c r="K22"/>
  <c r="L22" s="1"/>
  <c r="O73" i="144"/>
  <c r="K73"/>
  <c r="L73" s="1"/>
  <c r="O128" i="28"/>
  <c r="L128"/>
  <c r="M128" s="1"/>
  <c r="K128"/>
  <c r="O201" i="23"/>
  <c r="N201"/>
  <c r="L201"/>
  <c r="R201" s="1"/>
  <c r="K201"/>
  <c r="O74" i="34"/>
  <c r="K74"/>
  <c r="L74" s="1"/>
  <c r="O7" i="247"/>
  <c r="N7"/>
  <c r="L7"/>
  <c r="R7" s="1"/>
  <c r="K7"/>
  <c r="L25" i="98"/>
  <c r="N25" s="1"/>
  <c r="K25"/>
  <c r="O56" i="65"/>
  <c r="N56"/>
  <c r="L56"/>
  <c r="R56" s="1"/>
  <c r="K56"/>
  <c r="O71" i="144"/>
  <c r="N71"/>
  <c r="L71"/>
  <c r="R71" s="1"/>
  <c r="K71"/>
  <c r="O70"/>
  <c r="K70"/>
  <c r="L70" s="1"/>
  <c r="O126" i="28"/>
  <c r="K126"/>
  <c r="L126" s="1"/>
  <c r="Q48" i="33"/>
  <c r="N48"/>
  <c r="L48"/>
  <c r="R48" s="1"/>
  <c r="K48"/>
  <c r="O16" i="208"/>
  <c r="N16"/>
  <c r="L16"/>
  <c r="R16" s="1"/>
  <c r="K16"/>
  <c r="Q17" i="246"/>
  <c r="O17"/>
  <c r="L17"/>
  <c r="N17" s="1"/>
  <c r="K17"/>
  <c r="Q16"/>
  <c r="N16"/>
  <c r="L16"/>
  <c r="R16" s="1"/>
  <c r="K16"/>
  <c r="O47" i="88"/>
  <c r="K47"/>
  <c r="L47" s="1"/>
  <c r="O46"/>
  <c r="L46"/>
  <c r="N46" s="1"/>
  <c r="K46"/>
  <c r="O38" i="101"/>
  <c r="K38"/>
  <c r="L38" s="1"/>
  <c r="O56" i="45"/>
  <c r="K56"/>
  <c r="L56" s="1"/>
  <c r="K31" i="241"/>
  <c r="L31" s="1"/>
  <c r="O32" i="228"/>
  <c r="K32"/>
  <c r="L32" s="1"/>
  <c r="Q46" i="33"/>
  <c r="K46"/>
  <c r="L46" s="1"/>
  <c r="O24" i="244"/>
  <c r="L24"/>
  <c r="N24" s="1"/>
  <c r="K24"/>
  <c r="O29" i="235"/>
  <c r="N29"/>
  <c r="L29"/>
  <c r="R29" s="1"/>
  <c r="K29"/>
  <c r="Q100" i="43"/>
  <c r="N100"/>
  <c r="L100"/>
  <c r="R100" s="1"/>
  <c r="K100"/>
  <c r="Q14" i="246"/>
  <c r="L14"/>
  <c r="N14" s="1"/>
  <c r="K14"/>
  <c r="O69" i="144"/>
  <c r="N69"/>
  <c r="L69"/>
  <c r="R69" s="1"/>
  <c r="K69"/>
  <c r="O68"/>
  <c r="K68"/>
  <c r="L68" s="1"/>
  <c r="K29" i="241"/>
  <c r="L29" s="1"/>
  <c r="O50" i="65"/>
  <c r="N50"/>
  <c r="L50"/>
  <c r="R50" s="1"/>
  <c r="K50"/>
  <c r="O43" i="20"/>
  <c r="N43"/>
  <c r="L43"/>
  <c r="R43" s="1"/>
  <c r="K43"/>
  <c r="Q98" i="43"/>
  <c r="N98"/>
  <c r="L98"/>
  <c r="R98" s="1"/>
  <c r="K98"/>
  <c r="O49" i="65"/>
  <c r="K49"/>
  <c r="L49" s="1"/>
  <c r="O48"/>
  <c r="L48"/>
  <c r="N48" s="1"/>
  <c r="K48"/>
  <c r="K41" i="130"/>
  <c r="L41" s="1"/>
  <c r="O54" i="45"/>
  <c r="K54"/>
  <c r="L54" s="1"/>
  <c r="Q39" i="236"/>
  <c r="K39"/>
  <c r="L39" s="1"/>
  <c r="Q12" i="246"/>
  <c r="N12"/>
  <c r="L12"/>
  <c r="R12" s="1"/>
  <c r="K12"/>
  <c r="O46" i="65"/>
  <c r="K46"/>
  <c r="L46" s="1"/>
  <c r="O45"/>
  <c r="L45"/>
  <c r="N45" s="1"/>
  <c r="K45"/>
  <c r="O44"/>
  <c r="N44"/>
  <c r="L44"/>
  <c r="R44" s="1"/>
  <c r="K44"/>
  <c r="O41" i="20"/>
  <c r="K41"/>
  <c r="L41" s="1"/>
  <c r="O53" i="45"/>
  <c r="N53"/>
  <c r="L53"/>
  <c r="R53" s="1"/>
  <c r="K53"/>
  <c r="K40" i="130"/>
  <c r="L40" s="1"/>
  <c r="L27" i="241"/>
  <c r="N27" s="1"/>
  <c r="K27"/>
  <c r="I27"/>
  <c r="O124" i="28"/>
  <c r="N124"/>
  <c r="L124"/>
  <c r="R124" s="1"/>
  <c r="K124"/>
  <c r="O123"/>
  <c r="K123"/>
  <c r="L123" s="1"/>
  <c r="O38" i="236"/>
  <c r="L38"/>
  <c r="N38" s="1"/>
  <c r="K38"/>
  <c r="O37"/>
  <c r="N37"/>
  <c r="L37"/>
  <c r="R37" s="1"/>
  <c r="K37"/>
  <c r="O64" i="24"/>
  <c r="N64"/>
  <c r="L64"/>
  <c r="R64" s="1"/>
  <c r="K64"/>
  <c r="Q10" i="246"/>
  <c r="N10"/>
  <c r="L10"/>
  <c r="R10" s="1"/>
  <c r="K10"/>
  <c r="O42" i="65"/>
  <c r="N42"/>
  <c r="L42"/>
  <c r="R42" s="1"/>
  <c r="K42"/>
  <c r="O77" i="99"/>
  <c r="N77"/>
  <c r="L77"/>
  <c r="R77" s="1"/>
  <c r="K77"/>
  <c r="O11" i="121"/>
  <c r="K11"/>
  <c r="L11" s="1"/>
  <c r="O25" i="241"/>
  <c r="I25"/>
  <c r="K25" s="1"/>
  <c r="H25"/>
  <c r="Q8" i="246"/>
  <c r="N8"/>
  <c r="L8"/>
  <c r="R8" s="1"/>
  <c r="K8"/>
  <c r="O41" i="65"/>
  <c r="N41"/>
  <c r="L41"/>
  <c r="R41" s="1"/>
  <c r="K41"/>
  <c r="O37" i="131"/>
  <c r="N37"/>
  <c r="L37"/>
  <c r="R37" s="1"/>
  <c r="K37"/>
  <c r="O24" i="175"/>
  <c r="N24"/>
  <c r="L24"/>
  <c r="R24" s="1"/>
  <c r="K24"/>
  <c r="Q96" i="43"/>
  <c r="L96"/>
  <c r="N96" s="1"/>
  <c r="K96"/>
  <c r="O27" i="173"/>
  <c r="N27"/>
  <c r="L27"/>
  <c r="R27" s="1"/>
  <c r="K27"/>
  <c r="O199" i="23"/>
  <c r="K199"/>
  <c r="L199" s="1"/>
  <c r="O41" i="132"/>
  <c r="N41"/>
  <c r="L41"/>
  <c r="R41" s="1"/>
  <c r="K41"/>
  <c r="K17" i="58"/>
  <c r="L17" s="1"/>
  <c r="N36" i="228" l="1"/>
  <c r="R36"/>
  <c r="N46" i="20"/>
  <c r="R46"/>
  <c r="R50" i="209"/>
  <c r="N50"/>
  <c r="N21" i="227"/>
  <c r="R21"/>
  <c r="N45" i="20"/>
  <c r="R45"/>
  <c r="N22" i="248"/>
  <c r="M22"/>
  <c r="L60"/>
  <c r="R22"/>
  <c r="M73" i="144"/>
  <c r="R73"/>
  <c r="N73"/>
  <c r="R128" i="28"/>
  <c r="N128"/>
  <c r="N74" i="34"/>
  <c r="R74"/>
  <c r="R25" i="98"/>
  <c r="N70" i="144"/>
  <c r="R70"/>
  <c r="M126" i="28"/>
  <c r="R126"/>
  <c r="N126"/>
  <c r="R17" i="246"/>
  <c r="N47" i="88"/>
  <c r="R47"/>
  <c r="R46"/>
  <c r="R38" i="101"/>
  <c r="N38"/>
  <c r="N56" i="45"/>
  <c r="R56"/>
  <c r="N31" i="241"/>
  <c r="R31"/>
  <c r="R32" i="228"/>
  <c r="N32"/>
  <c r="N46" i="33"/>
  <c r="R46"/>
  <c r="R24" i="244"/>
  <c r="R14" i="246"/>
  <c r="N68" i="144"/>
  <c r="R68"/>
  <c r="N29" i="241"/>
  <c r="R29"/>
  <c r="N49" i="65"/>
  <c r="R49"/>
  <c r="R48"/>
  <c r="R41" i="130"/>
  <c r="N41"/>
  <c r="N54" i="45"/>
  <c r="R54"/>
  <c r="N39" i="236"/>
  <c r="R39"/>
  <c r="N46" i="65"/>
  <c r="R46"/>
  <c r="R45"/>
  <c r="N41" i="20"/>
  <c r="R41"/>
  <c r="N40" i="130"/>
  <c r="R40"/>
  <c r="R27" i="241"/>
  <c r="R123" i="28"/>
  <c r="N123"/>
  <c r="R38" i="236"/>
  <c r="N11" i="121"/>
  <c r="R11"/>
  <c r="L25" i="241"/>
  <c r="R96" i="43"/>
  <c r="N199" i="23"/>
  <c r="R199"/>
  <c r="N17" i="58"/>
  <c r="R17"/>
  <c r="O22" i="244"/>
  <c r="K22"/>
  <c r="L22" s="1"/>
  <c r="O30" i="67"/>
  <c r="N30"/>
  <c r="L30"/>
  <c r="R30" s="1"/>
  <c r="K30"/>
  <c r="N35" i="236"/>
  <c r="L35"/>
  <c r="R35" s="1"/>
  <c r="K35"/>
  <c r="O153" i="87"/>
  <c r="N153"/>
  <c r="L153"/>
  <c r="R153" s="1"/>
  <c r="K153"/>
  <c r="O33" i="18"/>
  <c r="N33"/>
  <c r="L33"/>
  <c r="R33" s="1"/>
  <c r="K33"/>
  <c r="O29" i="83"/>
  <c r="N29"/>
  <c r="L29"/>
  <c r="R29" s="1"/>
  <c r="K29"/>
  <c r="O49" i="209"/>
  <c r="I49"/>
  <c r="K49" s="1"/>
  <c r="L49" s="1"/>
  <c r="O63" i="156"/>
  <c r="K63"/>
  <c r="L63" s="1"/>
  <c r="O12" i="133"/>
  <c r="N12"/>
  <c r="L12"/>
  <c r="R12" s="1"/>
  <c r="K12"/>
  <c r="O41" i="159"/>
  <c r="N41"/>
  <c r="L41"/>
  <c r="R41" s="1"/>
  <c r="K41"/>
  <c r="O33" i="236"/>
  <c r="K33"/>
  <c r="L33" s="1"/>
  <c r="O9" i="245"/>
  <c r="K9"/>
  <c r="L9" s="1"/>
  <c r="O7"/>
  <c r="L7"/>
  <c r="N7" s="1"/>
  <c r="K7"/>
  <c r="O15" i="148"/>
  <c r="L15"/>
  <c r="N15" s="1"/>
  <c r="K15"/>
  <c r="K20" i="244"/>
  <c r="L20" s="1"/>
  <c r="O121" i="28"/>
  <c r="L121"/>
  <c r="N121" s="1"/>
  <c r="K121"/>
  <c r="O120"/>
  <c r="N120"/>
  <c r="L120"/>
  <c r="R120" s="1"/>
  <c r="K120"/>
  <c r="O13" i="148"/>
  <c r="N13"/>
  <c r="L13"/>
  <c r="R13" s="1"/>
  <c r="K13"/>
  <c r="R25" i="241" l="1"/>
  <c r="N25"/>
  <c r="N22" i="244"/>
  <c r="R22"/>
  <c r="N49" i="209"/>
  <c r="R49"/>
  <c r="N63" i="156"/>
  <c r="R63"/>
  <c r="N33" i="236"/>
  <c r="R33"/>
  <c r="N9" i="245"/>
  <c r="R9"/>
  <c r="L15"/>
  <c r="R7"/>
  <c r="R15" i="148"/>
  <c r="N20" i="244"/>
  <c r="R20"/>
  <c r="R121" i="28"/>
  <c r="O27" i="235"/>
  <c r="N27"/>
  <c r="L27"/>
  <c r="R27" s="1"/>
  <c r="K27"/>
  <c r="O40" i="20"/>
  <c r="K40"/>
  <c r="L40" s="1"/>
  <c r="N31" i="236"/>
  <c r="L31"/>
  <c r="R31" s="1"/>
  <c r="K31"/>
  <c r="O16" i="218"/>
  <c r="I16"/>
  <c r="K16" s="1"/>
  <c r="L16" s="1"/>
  <c r="N14" i="230"/>
  <c r="L14"/>
  <c r="R14" s="1"/>
  <c r="K14"/>
  <c r="O76" i="99"/>
  <c r="K76"/>
  <c r="L76" s="1"/>
  <c r="I76"/>
  <c r="O25" i="235"/>
  <c r="K25"/>
  <c r="L25" s="1"/>
  <c r="O26" i="173"/>
  <c r="N26"/>
  <c r="L26"/>
  <c r="R26" s="1"/>
  <c r="K26"/>
  <c r="N19" i="227"/>
  <c r="L19"/>
  <c r="R19" s="1"/>
  <c r="K19"/>
  <c r="O18"/>
  <c r="N18"/>
  <c r="L18"/>
  <c r="R18" s="1"/>
  <c r="K18"/>
  <c r="K35" i="27"/>
  <c r="H35"/>
  <c r="L35" s="1"/>
  <c r="Q94" i="43"/>
  <c r="K94"/>
  <c r="L94" s="1"/>
  <c r="Q93"/>
  <c r="L93"/>
  <c r="N93" s="1"/>
  <c r="K93"/>
  <c r="O151" i="87"/>
  <c r="K151"/>
  <c r="L151" s="1"/>
  <c r="O150"/>
  <c r="L150"/>
  <c r="N150" s="1"/>
  <c r="K150"/>
  <c r="O67" i="102"/>
  <c r="K67"/>
  <c r="L67" s="1"/>
  <c r="O66"/>
  <c r="L66"/>
  <c r="N66" s="1"/>
  <c r="K66"/>
  <c r="O75" i="99"/>
  <c r="L75"/>
  <c r="N75" s="1"/>
  <c r="K75"/>
  <c r="O38" i="20"/>
  <c r="K38"/>
  <c r="L38" s="1"/>
  <c r="O48" i="209"/>
  <c r="K48"/>
  <c r="L48" s="1"/>
  <c r="O118" i="28"/>
  <c r="K118"/>
  <c r="L118" s="1"/>
  <c r="O62" i="156"/>
  <c r="K62"/>
  <c r="L62" s="1"/>
  <c r="O149" i="87"/>
  <c r="L149"/>
  <c r="N149" s="1"/>
  <c r="K149"/>
  <c r="O25" i="173"/>
  <c r="K25"/>
  <c r="L25" s="1"/>
  <c r="O24" i="235"/>
  <c r="K24"/>
  <c r="L24" s="1"/>
  <c r="O30" i="228"/>
  <c r="N30"/>
  <c r="L30"/>
  <c r="R30" s="1"/>
  <c r="K30"/>
  <c r="N18" i="244"/>
  <c r="L18"/>
  <c r="R18" s="1"/>
  <c r="K18"/>
  <c r="O28" i="67"/>
  <c r="N28"/>
  <c r="L28"/>
  <c r="R28" s="1"/>
  <c r="K28"/>
  <c r="O15" i="232"/>
  <c r="K15"/>
  <c r="L15" s="1"/>
  <c r="O23" i="173"/>
  <c r="N23"/>
  <c r="L23"/>
  <c r="R23" s="1"/>
  <c r="O73" i="34"/>
  <c r="K73"/>
  <c r="L73" s="1"/>
  <c r="O37" i="20"/>
  <c r="K37"/>
  <c r="L37" s="1"/>
  <c r="O42" i="229"/>
  <c r="K42"/>
  <c r="L42" s="1"/>
  <c r="O117" i="28"/>
  <c r="L117"/>
  <c r="M117" s="1"/>
  <c r="K117"/>
  <c r="O116"/>
  <c r="N116"/>
  <c r="L116"/>
  <c r="R116" s="1"/>
  <c r="K116"/>
  <c r="O115"/>
  <c r="L115"/>
  <c r="R115" s="1"/>
  <c r="K115"/>
  <c r="Q92" i="43"/>
  <c r="N92"/>
  <c r="L92"/>
  <c r="R92" s="1"/>
  <c r="K92"/>
  <c r="O61" i="156"/>
  <c r="N61"/>
  <c r="L61"/>
  <c r="R61" s="1"/>
  <c r="K61"/>
  <c r="O36" i="20"/>
  <c r="N36"/>
  <c r="L36"/>
  <c r="R36" s="1"/>
  <c r="K36"/>
  <c r="O22" i="175"/>
  <c r="N22"/>
  <c r="L22"/>
  <c r="R22" s="1"/>
  <c r="K22"/>
  <c r="O47" i="209"/>
  <c r="K47"/>
  <c r="L47" s="1"/>
  <c r="O46"/>
  <c r="L46"/>
  <c r="N46" s="1"/>
  <c r="K46"/>
  <c r="O41" i="229"/>
  <c r="L41"/>
  <c r="N41" s="1"/>
  <c r="K41"/>
  <c r="O40"/>
  <c r="N40"/>
  <c r="L40"/>
  <c r="R40" s="1"/>
  <c r="K40"/>
  <c r="O39"/>
  <c r="N39"/>
  <c r="L39"/>
  <c r="R39" s="1"/>
  <c r="K39"/>
  <c r="O38"/>
  <c r="K38"/>
  <c r="L38" s="1"/>
  <c r="O37"/>
  <c r="L37"/>
  <c r="N37" s="1"/>
  <c r="K37"/>
  <c r="O36"/>
  <c r="N36"/>
  <c r="L36"/>
  <c r="R36" s="1"/>
  <c r="K36"/>
  <c r="O35"/>
  <c r="N35"/>
  <c r="L35"/>
  <c r="R35" s="1"/>
  <c r="K35"/>
  <c r="O114" i="28"/>
  <c r="L114"/>
  <c r="N114" s="1"/>
  <c r="K114"/>
  <c r="K29" i="236"/>
  <c r="L29" s="1"/>
  <c r="K37" i="130"/>
  <c r="I37"/>
  <c r="H37"/>
  <c r="L37" s="1"/>
  <c r="Q91" i="43"/>
  <c r="L91"/>
  <c r="R91" s="1"/>
  <c r="K91"/>
  <c r="R15" i="232" l="1"/>
  <c r="N15"/>
  <c r="N40" i="20"/>
  <c r="R40"/>
  <c r="R16" i="218"/>
  <c r="N16"/>
  <c r="R76" i="99"/>
  <c r="N76"/>
  <c r="N25" i="235"/>
  <c r="R25"/>
  <c r="N35" i="27"/>
  <c r="R35"/>
  <c r="N94" i="43"/>
  <c r="R94"/>
  <c r="R93"/>
  <c r="N151" i="87"/>
  <c r="R151"/>
  <c r="R150"/>
  <c r="R67" i="102"/>
  <c r="N67"/>
  <c r="R66"/>
  <c r="R75" i="99"/>
  <c r="N38" i="20"/>
  <c r="R38"/>
  <c r="N48" i="209"/>
  <c r="R48"/>
  <c r="N118" i="28"/>
  <c r="R118"/>
  <c r="N62" i="156"/>
  <c r="R62"/>
  <c r="R149" i="87"/>
  <c r="N25" i="173"/>
  <c r="R25"/>
  <c r="N24" i="235"/>
  <c r="R24"/>
  <c r="R73" i="34"/>
  <c r="N73"/>
  <c r="N37" i="20"/>
  <c r="R37"/>
  <c r="R42" i="229"/>
  <c r="N42"/>
  <c r="R117" i="28"/>
  <c r="N115"/>
  <c r="M115"/>
  <c r="N117"/>
  <c r="N47" i="209"/>
  <c r="R47"/>
  <c r="R46"/>
  <c r="N38" i="229"/>
  <c r="R38"/>
  <c r="R37"/>
  <c r="R41"/>
  <c r="R114" i="28"/>
  <c r="N29" i="236"/>
  <c r="R29"/>
  <c r="N37" i="130"/>
  <c r="R37"/>
  <c r="N91" i="43"/>
  <c r="O74" i="99"/>
  <c r="N74"/>
  <c r="L74"/>
  <c r="R74" s="1"/>
  <c r="K74"/>
  <c r="O73"/>
  <c r="K73"/>
  <c r="L73" s="1"/>
  <c r="O72"/>
  <c r="L72"/>
  <c r="N72" s="1"/>
  <c r="K72"/>
  <c r="I72"/>
  <c r="O113" i="28"/>
  <c r="N113"/>
  <c r="L113"/>
  <c r="R113" s="1"/>
  <c r="K113"/>
  <c r="O22" i="155"/>
  <c r="N22"/>
  <c r="L22"/>
  <c r="R22" s="1"/>
  <c r="K22"/>
  <c r="N16" i="244"/>
  <c r="L16"/>
  <c r="R16" s="1"/>
  <c r="K16"/>
  <c r="O39" i="132"/>
  <c r="K39"/>
  <c r="L39" s="1"/>
  <c r="O111" i="28"/>
  <c r="K111"/>
  <c r="L111" s="1"/>
  <c r="O21" i="173"/>
  <c r="N21"/>
  <c r="L21"/>
  <c r="R21" s="1"/>
  <c r="K21"/>
  <c r="O109" i="28"/>
  <c r="K109"/>
  <c r="L109" s="1"/>
  <c r="Q89" i="43"/>
  <c r="K89"/>
  <c r="L89" s="1"/>
  <c r="O62" i="24"/>
  <c r="L62"/>
  <c r="N62" s="1"/>
  <c r="K62"/>
  <c r="N73" i="99" l="1"/>
  <c r="R73"/>
  <c r="R72"/>
  <c r="N39" i="132"/>
  <c r="R39"/>
  <c r="R111" i="28"/>
  <c r="M111"/>
  <c r="N111" s="1"/>
  <c r="R109"/>
  <c r="M109"/>
  <c r="N109" s="1"/>
  <c r="N89" i="43"/>
  <c r="R89"/>
  <c r="R62" i="24"/>
  <c r="O59" i="156"/>
  <c r="M59"/>
  <c r="L59"/>
  <c r="N59" s="1"/>
  <c r="K59"/>
  <c r="O44" i="199"/>
  <c r="N44"/>
  <c r="L44"/>
  <c r="R44" s="1"/>
  <c r="K44"/>
  <c r="O35" i="20"/>
  <c r="N35"/>
  <c r="L35"/>
  <c r="R35" s="1"/>
  <c r="K35"/>
  <c r="O13" i="95"/>
  <c r="K13"/>
  <c r="L13" s="1"/>
  <c r="I14" i="244"/>
  <c r="K14" s="1"/>
  <c r="L14" s="1"/>
  <c r="R59" i="156" l="1"/>
  <c r="N13" i="95"/>
  <c r="R13"/>
  <c r="R14" i="244"/>
  <c r="N14"/>
  <c r="O22" i="235"/>
  <c r="K22"/>
  <c r="L22" s="1"/>
  <c r="O36" i="101"/>
  <c r="L36"/>
  <c r="R36" s="1"/>
  <c r="K36"/>
  <c r="O21" i="155"/>
  <c r="K21"/>
  <c r="L21" s="1"/>
  <c r="O15" i="58"/>
  <c r="N15"/>
  <c r="L15"/>
  <c r="R15" s="1"/>
  <c r="K15"/>
  <c r="O24" i="243"/>
  <c r="K24"/>
  <c r="L24" s="1"/>
  <c r="O72" i="34"/>
  <c r="N72"/>
  <c r="L72"/>
  <c r="R72" s="1"/>
  <c r="K72"/>
  <c r="O33" i="20"/>
  <c r="N33"/>
  <c r="L33"/>
  <c r="R33" s="1"/>
  <c r="K33"/>
  <c r="O45" i="209"/>
  <c r="K45"/>
  <c r="L45" s="1"/>
  <c r="O22" i="243"/>
  <c r="K22"/>
  <c r="L22" s="1"/>
  <c r="Q87" i="43"/>
  <c r="K87"/>
  <c r="L87" s="1"/>
  <c r="O37" i="132"/>
  <c r="L37"/>
  <c r="N37" s="1"/>
  <c r="K37"/>
  <c r="K27" i="236"/>
  <c r="L27" s="1"/>
  <c r="K26"/>
  <c r="L26" s="1"/>
  <c r="N36" i="130"/>
  <c r="L36"/>
  <c r="R36" s="1"/>
  <c r="K36"/>
  <c r="K16" i="242"/>
  <c r="L16" s="1"/>
  <c r="K35" i="130"/>
  <c r="H35"/>
  <c r="L35" s="1"/>
  <c r="Q85" i="43"/>
  <c r="L85"/>
  <c r="N85" s="1"/>
  <c r="K85"/>
  <c r="N24" i="236"/>
  <c r="L24"/>
  <c r="R24" s="1"/>
  <c r="K24"/>
  <c r="Q16" i="152"/>
  <c r="K16"/>
  <c r="L16" s="1"/>
  <c r="O20" i="235"/>
  <c r="N20"/>
  <c r="L20"/>
  <c r="R20" s="1"/>
  <c r="K20"/>
  <c r="N22" l="1"/>
  <c r="R22"/>
  <c r="N36" i="101"/>
  <c r="N21" i="155"/>
  <c r="R21"/>
  <c r="R24" i="243"/>
  <c r="N24"/>
  <c r="N45" i="209"/>
  <c r="R45"/>
  <c r="L68" i="243"/>
  <c r="N22"/>
  <c r="R22"/>
  <c r="R87" i="43"/>
  <c r="N87"/>
  <c r="R37" i="132"/>
  <c r="N26" i="236"/>
  <c r="R26"/>
  <c r="N27"/>
  <c r="R27"/>
  <c r="N16" i="242"/>
  <c r="R16"/>
  <c r="N35" i="130"/>
  <c r="R35"/>
  <c r="R85" i="43"/>
  <c r="N16" i="152"/>
  <c r="R16"/>
  <c r="L72" i="241"/>
  <c r="N22" i="236"/>
  <c r="L22"/>
  <c r="R22" s="1"/>
  <c r="K22"/>
  <c r="K34" i="130"/>
  <c r="L34" s="1"/>
  <c r="K33"/>
  <c r="L33" s="1"/>
  <c r="N34" l="1"/>
  <c r="R34"/>
  <c r="N33"/>
  <c r="R33"/>
  <c r="O43" i="199"/>
  <c r="N43"/>
  <c r="L43"/>
  <c r="R43" s="1"/>
  <c r="K43"/>
  <c r="Q14" i="152"/>
  <c r="N14"/>
  <c r="L14"/>
  <c r="R14" s="1"/>
  <c r="K14"/>
  <c r="O40" i="209"/>
  <c r="N40"/>
  <c r="L40"/>
  <c r="R40" s="1"/>
  <c r="K40"/>
  <c r="O18" i="235" l="1"/>
  <c r="K18"/>
  <c r="L18" s="1"/>
  <c r="Q83" i="43"/>
  <c r="K83"/>
  <c r="L83" s="1"/>
  <c r="O16" i="227"/>
  <c r="L16"/>
  <c r="N16" s="1"/>
  <c r="K16"/>
  <c r="O42" i="199"/>
  <c r="K42"/>
  <c r="L42" s="1"/>
  <c r="O41"/>
  <c r="L41"/>
  <c r="N41" s="1"/>
  <c r="K41"/>
  <c r="O40"/>
  <c r="N40"/>
  <c r="L40"/>
  <c r="R40" s="1"/>
  <c r="K40"/>
  <c r="O39"/>
  <c r="K39"/>
  <c r="L39" s="1"/>
  <c r="O39" i="209"/>
  <c r="N39"/>
  <c r="L39"/>
  <c r="R39" s="1"/>
  <c r="K39"/>
  <c r="O19" i="155"/>
  <c r="L19"/>
  <c r="N19" s="1"/>
  <c r="K19"/>
  <c r="O14" i="240"/>
  <c r="N14"/>
  <c r="L14"/>
  <c r="R14" s="1"/>
  <c r="K14"/>
  <c r="O13"/>
  <c r="K13"/>
  <c r="L13" s="1"/>
  <c r="O12"/>
  <c r="K12"/>
  <c r="L12" s="1"/>
  <c r="O11"/>
  <c r="L11"/>
  <c r="N11" s="1"/>
  <c r="K11"/>
  <c r="O10"/>
  <c r="N10"/>
  <c r="L10"/>
  <c r="R10" s="1"/>
  <c r="K10"/>
  <c r="O9"/>
  <c r="K9"/>
  <c r="L9" s="1"/>
  <c r="O8"/>
  <c r="K8"/>
  <c r="L8" s="1"/>
  <c r="Q32" i="16"/>
  <c r="N32"/>
  <c r="L32"/>
  <c r="R32" s="1"/>
  <c r="K32"/>
  <c r="O38" i="199"/>
  <c r="N38"/>
  <c r="L38"/>
  <c r="R38" s="1"/>
  <c r="K38"/>
  <c r="O34" i="229"/>
  <c r="K34"/>
  <c r="L34" s="1"/>
  <c r="O31" i="18"/>
  <c r="N31"/>
  <c r="L31"/>
  <c r="R31" s="1"/>
  <c r="K31"/>
  <c r="Q12" i="152"/>
  <c r="N12"/>
  <c r="L12"/>
  <c r="R12" s="1"/>
  <c r="K12"/>
  <c r="O21" i="236"/>
  <c r="N21"/>
  <c r="L21"/>
  <c r="R21" s="1"/>
  <c r="K21"/>
  <c r="O20"/>
  <c r="K20"/>
  <c r="L20" s="1"/>
  <c r="N18" i="235" l="1"/>
  <c r="R18"/>
  <c r="N83" i="43"/>
  <c r="R83"/>
  <c r="R16" i="227"/>
  <c r="N42" i="199"/>
  <c r="R42"/>
  <c r="R39"/>
  <c r="N39"/>
  <c r="R41"/>
  <c r="R19" i="155"/>
  <c r="R13" i="240"/>
  <c r="N13"/>
  <c r="N8"/>
  <c r="R8"/>
  <c r="N12"/>
  <c r="R12"/>
  <c r="R9"/>
  <c r="N9"/>
  <c r="R11"/>
  <c r="N34" i="229"/>
  <c r="R34"/>
  <c r="N20" i="236"/>
  <c r="R20"/>
  <c r="O47" i="25"/>
  <c r="N47"/>
  <c r="L47"/>
  <c r="R47" s="1"/>
  <c r="K47"/>
  <c r="O26" i="145"/>
  <c r="K26"/>
  <c r="L26" s="1"/>
  <c r="I26"/>
  <c r="O32" i="229"/>
  <c r="N32"/>
  <c r="L32"/>
  <c r="R32" s="1"/>
  <c r="K32"/>
  <c r="O38" i="209"/>
  <c r="L38"/>
  <c r="N38" s="1"/>
  <c r="K38"/>
  <c r="O18" i="155"/>
  <c r="L18"/>
  <c r="N18" s="1"/>
  <c r="K18"/>
  <c r="I34" i="39"/>
  <c r="O34"/>
  <c r="O35" i="132"/>
  <c r="N35"/>
  <c r="L35"/>
  <c r="R35" s="1"/>
  <c r="K35"/>
  <c r="Q10" i="152"/>
  <c r="N10"/>
  <c r="L10"/>
  <c r="R10" s="1"/>
  <c r="K10"/>
  <c r="L18" i="231"/>
  <c r="N18" s="1"/>
  <c r="K18"/>
  <c r="Q81" i="43"/>
  <c r="N81"/>
  <c r="L81"/>
  <c r="R81" s="1"/>
  <c r="K81"/>
  <c r="O147" i="87"/>
  <c r="N147"/>
  <c r="L147"/>
  <c r="R147" s="1"/>
  <c r="K147"/>
  <c r="O146"/>
  <c r="K146"/>
  <c r="L146" s="1"/>
  <c r="O145"/>
  <c r="L145"/>
  <c r="N145" s="1"/>
  <c r="K145"/>
  <c r="O144"/>
  <c r="N144"/>
  <c r="L144"/>
  <c r="R144" s="1"/>
  <c r="K144"/>
  <c r="O23" i="146"/>
  <c r="P23"/>
  <c r="N23"/>
  <c r="H18"/>
  <c r="P33" i="39"/>
  <c r="N26" i="145" l="1"/>
  <c r="R26"/>
  <c r="R38" i="209"/>
  <c r="R18" i="155"/>
  <c r="R18" i="231"/>
  <c r="N146" i="87"/>
  <c r="R146"/>
  <c r="R145"/>
  <c r="Q31" i="16"/>
  <c r="K31"/>
  <c r="L31" s="1"/>
  <c r="O142" i="87"/>
  <c r="L142"/>
  <c r="R142" s="1"/>
  <c r="K142"/>
  <c r="O141"/>
  <c r="K141"/>
  <c r="L141" s="1"/>
  <c r="O29" i="228"/>
  <c r="N29"/>
  <c r="L29"/>
  <c r="R29" s="1"/>
  <c r="K29"/>
  <c r="O197" i="23"/>
  <c r="K197"/>
  <c r="L197" s="1"/>
  <c r="O33" i="132"/>
  <c r="K33"/>
  <c r="L33" s="1"/>
  <c r="Q79" i="43"/>
  <c r="K79"/>
  <c r="L79" s="1"/>
  <c r="O139" i="87"/>
  <c r="K139"/>
  <c r="L139" s="1"/>
  <c r="R31" i="201"/>
  <c r="O31"/>
  <c r="L31"/>
  <c r="N31" s="1"/>
  <c r="O37" i="209"/>
  <c r="K37"/>
  <c r="L37" s="1"/>
  <c r="O36"/>
  <c r="L36"/>
  <c r="N36" s="1"/>
  <c r="K36"/>
  <c r="O39" i="159"/>
  <c r="L39"/>
  <c r="R39" s="1"/>
  <c r="K39"/>
  <c r="O9" i="239"/>
  <c r="L9"/>
  <c r="N9" s="1"/>
  <c r="K9"/>
  <c r="O10" i="237"/>
  <c r="K10"/>
  <c r="L10" s="1"/>
  <c r="O20" i="175"/>
  <c r="K20"/>
  <c r="L20" s="1"/>
  <c r="O15" i="155"/>
  <c r="N15"/>
  <c r="L15"/>
  <c r="R15" s="1"/>
  <c r="K15"/>
  <c r="O44" i="88"/>
  <c r="L44"/>
  <c r="N44" s="1"/>
  <c r="K44"/>
  <c r="O43"/>
  <c r="N43"/>
  <c r="L43"/>
  <c r="R43" s="1"/>
  <c r="K43"/>
  <c r="O36" i="108"/>
  <c r="K36"/>
  <c r="L36" s="1"/>
  <c r="O60" i="24"/>
  <c r="N60"/>
  <c r="L60"/>
  <c r="R60" s="1"/>
  <c r="K60"/>
  <c r="O59"/>
  <c r="K59"/>
  <c r="L59" s="1"/>
  <c r="O67" i="144"/>
  <c r="L67"/>
  <c r="N67" s="1"/>
  <c r="K67"/>
  <c r="O17" i="146"/>
  <c r="I17"/>
  <c r="K17" s="1"/>
  <c r="L17" s="1"/>
  <c r="O16"/>
  <c r="L16"/>
  <c r="N16" s="1"/>
  <c r="K16"/>
  <c r="O15"/>
  <c r="N15"/>
  <c r="L15"/>
  <c r="R15" s="1"/>
  <c r="K15"/>
  <c r="O14"/>
  <c r="N14"/>
  <c r="L14"/>
  <c r="R14" s="1"/>
  <c r="K14"/>
  <c r="O11" i="148"/>
  <c r="N11"/>
  <c r="L11"/>
  <c r="R11" s="1"/>
  <c r="K11"/>
  <c r="O10"/>
  <c r="K10"/>
  <c r="L10" s="1"/>
  <c r="O31" i="20"/>
  <c r="N31"/>
  <c r="L31"/>
  <c r="R31" s="1"/>
  <c r="K31"/>
  <c r="O30"/>
  <c r="K30"/>
  <c r="L30" s="1"/>
  <c r="O21" i="238"/>
  <c r="L21"/>
  <c r="N21" s="1"/>
  <c r="K21"/>
  <c r="O35" i="209"/>
  <c r="L35"/>
  <c r="N35" s="1"/>
  <c r="K35"/>
  <c r="N39" i="159" l="1"/>
  <c r="N142" i="87"/>
  <c r="N31" i="16"/>
  <c r="R31"/>
  <c r="N141" i="87"/>
  <c r="R141"/>
  <c r="R197" i="23"/>
  <c r="N197"/>
  <c r="N33" i="132"/>
  <c r="R33"/>
  <c r="N79" i="43"/>
  <c r="R79"/>
  <c r="N139" i="87"/>
  <c r="R139"/>
  <c r="R37" i="209"/>
  <c r="N37"/>
  <c r="R36"/>
  <c r="R9" i="239"/>
  <c r="N10" i="237"/>
  <c r="R10"/>
  <c r="N20" i="175"/>
  <c r="R20"/>
  <c r="R44" i="88"/>
  <c r="N36" i="108"/>
  <c r="R36"/>
  <c r="N59" i="24"/>
  <c r="R59"/>
  <c r="R67" i="144"/>
  <c r="N17" i="146"/>
  <c r="R17"/>
  <c r="R16"/>
  <c r="N10" i="148"/>
  <c r="R10"/>
  <c r="R30" i="20"/>
  <c r="N30"/>
  <c r="R21" i="238"/>
  <c r="R35" i="209"/>
  <c r="O138" i="87"/>
  <c r="K138"/>
  <c r="L138" s="1"/>
  <c r="O29" i="18"/>
  <c r="N29"/>
  <c r="L29"/>
  <c r="R29" s="1"/>
  <c r="K29"/>
  <c r="O28"/>
  <c r="K28"/>
  <c r="L28" s="1"/>
  <c r="O33" i="100"/>
  <c r="L33"/>
  <c r="N33" s="1"/>
  <c r="K33"/>
  <c r="O16" i="235"/>
  <c r="K16"/>
  <c r="L16" s="1"/>
  <c r="O19" i="238"/>
  <c r="K19"/>
  <c r="L19" s="1"/>
  <c r="O32" i="130"/>
  <c r="N32"/>
  <c r="L32"/>
  <c r="R32" s="1"/>
  <c r="K32"/>
  <c r="O35" i="131"/>
  <c r="K35"/>
  <c r="L35" s="1"/>
  <c r="O21" i="214"/>
  <c r="K21"/>
  <c r="L21" s="1"/>
  <c r="O34" i="101"/>
  <c r="L34"/>
  <c r="N34" s="1"/>
  <c r="K34"/>
  <c r="O14" i="218"/>
  <c r="N14"/>
  <c r="L14"/>
  <c r="R14" s="1"/>
  <c r="K14"/>
  <c r="O13" i="155"/>
  <c r="N13"/>
  <c r="L13"/>
  <c r="R13" s="1"/>
  <c r="K13"/>
  <c r="O15" i="227"/>
  <c r="L15"/>
  <c r="N15" s="1"/>
  <c r="K15"/>
  <c r="O28" i="83"/>
  <c r="N28"/>
  <c r="L28"/>
  <c r="R28" s="1"/>
  <c r="K28"/>
  <c r="O66" i="144"/>
  <c r="N66"/>
  <c r="L66"/>
  <c r="R66" s="1"/>
  <c r="K66"/>
  <c r="O37" i="199"/>
  <c r="N37"/>
  <c r="L37"/>
  <c r="R37" s="1"/>
  <c r="K37"/>
  <c r="O136" i="87"/>
  <c r="K136"/>
  <c r="L136" s="1"/>
  <c r="N136" s="1"/>
  <c r="O45" i="25"/>
  <c r="N45"/>
  <c r="L45"/>
  <c r="R45" s="1"/>
  <c r="K45"/>
  <c r="N138" i="87" l="1"/>
  <c r="R138"/>
  <c r="N28" i="18"/>
  <c r="R28"/>
  <c r="R33" i="100"/>
  <c r="R16" i="235"/>
  <c r="N16"/>
  <c r="N19" i="238"/>
  <c r="R19"/>
  <c r="L76"/>
  <c r="N35" i="131"/>
  <c r="R35"/>
  <c r="R21" i="214"/>
  <c r="N21"/>
  <c r="R34" i="101"/>
  <c r="R15" i="227"/>
  <c r="R136" i="87"/>
  <c r="O36" i="199"/>
  <c r="N36"/>
  <c r="L36"/>
  <c r="R36" s="1"/>
  <c r="K36"/>
  <c r="O11" i="155"/>
  <c r="K11"/>
  <c r="L11" s="1"/>
  <c r="O8" i="237"/>
  <c r="K8"/>
  <c r="L8" s="1"/>
  <c r="O70" i="34"/>
  <c r="K70"/>
  <c r="L70" s="1"/>
  <c r="O70" i="99"/>
  <c r="I70"/>
  <c r="K70" s="1"/>
  <c r="L70" s="1"/>
  <c r="O69"/>
  <c r="N69"/>
  <c r="L69"/>
  <c r="R69" s="1"/>
  <c r="K69"/>
  <c r="O33" i="209"/>
  <c r="L33"/>
  <c r="N33" s="1"/>
  <c r="K33"/>
  <c r="O31" i="130"/>
  <c r="N31"/>
  <c r="L31"/>
  <c r="R31" s="1"/>
  <c r="K31"/>
  <c r="O30"/>
  <c r="K30"/>
  <c r="L30" s="1"/>
  <c r="O17" i="236"/>
  <c r="K17"/>
  <c r="L17" s="1"/>
  <c r="L77" s="1"/>
  <c r="O22" i="234"/>
  <c r="L22"/>
  <c r="N22" s="1"/>
  <c r="K22"/>
  <c r="O28" i="130"/>
  <c r="K28"/>
  <c r="L28" s="1"/>
  <c r="O195" i="23"/>
  <c r="N195"/>
  <c r="L195"/>
  <c r="R195" s="1"/>
  <c r="K195"/>
  <c r="O134" i="87"/>
  <c r="L134"/>
  <c r="R134" s="1"/>
  <c r="K134"/>
  <c r="O133"/>
  <c r="K133"/>
  <c r="L133" s="1"/>
  <c r="O31" i="209"/>
  <c r="K31"/>
  <c r="L31" s="1"/>
  <c r="O68" i="99"/>
  <c r="K68"/>
  <c r="L68" s="1"/>
  <c r="O67"/>
  <c r="K67"/>
  <c r="L67" s="1"/>
  <c r="O66"/>
  <c r="L66"/>
  <c r="R66" s="1"/>
  <c r="K66"/>
  <c r="N134" i="87" l="1"/>
  <c r="R11" i="155"/>
  <c r="N11"/>
  <c r="R8" i="237"/>
  <c r="N8"/>
  <c r="R70" i="34"/>
  <c r="N70"/>
  <c r="R70" i="99"/>
  <c r="N70"/>
  <c r="R33" i="209"/>
  <c r="N30" i="130"/>
  <c r="R30"/>
  <c r="N17" i="236"/>
  <c r="R17"/>
  <c r="R22" i="234"/>
  <c r="N28" i="130"/>
  <c r="R28"/>
  <c r="N133" i="87"/>
  <c r="R133"/>
  <c r="N31" i="209"/>
  <c r="R31"/>
  <c r="N68" i="99"/>
  <c r="R68"/>
  <c r="N67"/>
  <c r="R67"/>
  <c r="N66"/>
  <c r="Q29" i="16"/>
  <c r="K29"/>
  <c r="L29" s="1"/>
  <c r="O65" i="99"/>
  <c r="N65"/>
  <c r="L65"/>
  <c r="R65" s="1"/>
  <c r="K65"/>
  <c r="O64"/>
  <c r="K64"/>
  <c r="L64" s="1"/>
  <c r="O107" i="28"/>
  <c r="N107"/>
  <c r="L107"/>
  <c r="R107" s="1"/>
  <c r="K107"/>
  <c r="O193" i="23"/>
  <c r="N193"/>
  <c r="L193"/>
  <c r="R193" s="1"/>
  <c r="K193"/>
  <c r="O131" i="87"/>
  <c r="N131"/>
  <c r="L131"/>
  <c r="R131" s="1"/>
  <c r="K131"/>
  <c r="O130"/>
  <c r="K130"/>
  <c r="L130" s="1"/>
  <c r="O62" i="50"/>
  <c r="N62"/>
  <c r="L62"/>
  <c r="R62" s="1"/>
  <c r="K62"/>
  <c r="O30" i="229"/>
  <c r="N30"/>
  <c r="L30"/>
  <c r="R30" s="1"/>
  <c r="K30"/>
  <c r="O29"/>
  <c r="K29"/>
  <c r="L29" s="1"/>
  <c r="K34" i="39"/>
  <c r="H34"/>
  <c r="O30"/>
  <c r="N30"/>
  <c r="L30"/>
  <c r="R30" s="1"/>
  <c r="K30"/>
  <c r="O29"/>
  <c r="K29"/>
  <c r="L29" s="1"/>
  <c r="O28"/>
  <c r="L28"/>
  <c r="N28" s="1"/>
  <c r="K28"/>
  <c r="O27"/>
  <c r="N27"/>
  <c r="L27"/>
  <c r="R27" s="1"/>
  <c r="K27"/>
  <c r="K26"/>
  <c r="H26"/>
  <c r="L26" s="1"/>
  <c r="O25"/>
  <c r="N25"/>
  <c r="L25"/>
  <c r="R25" s="1"/>
  <c r="K25"/>
  <c r="O24"/>
  <c r="N24"/>
  <c r="L24"/>
  <c r="R24" s="1"/>
  <c r="K24"/>
  <c r="O23"/>
  <c r="K23"/>
  <c r="L23" s="1"/>
  <c r="O22"/>
  <c r="L22"/>
  <c r="N22" s="1"/>
  <c r="K22"/>
  <c r="O21"/>
  <c r="N21"/>
  <c r="L21"/>
  <c r="R21" s="1"/>
  <c r="K21"/>
  <c r="O20"/>
  <c r="N20"/>
  <c r="L20"/>
  <c r="R20" s="1"/>
  <c r="K20"/>
  <c r="O19"/>
  <c r="K19"/>
  <c r="L19" s="1"/>
  <c r="O18"/>
  <c r="L18"/>
  <c r="N18" s="1"/>
  <c r="K18"/>
  <c r="O17"/>
  <c r="N17"/>
  <c r="L17"/>
  <c r="R17" s="1"/>
  <c r="K17"/>
  <c r="O16"/>
  <c r="N16"/>
  <c r="L16"/>
  <c r="R16" s="1"/>
  <c r="K16"/>
  <c r="O15"/>
  <c r="K15"/>
  <c r="L15" s="1"/>
  <c r="O191" i="23"/>
  <c r="N191"/>
  <c r="L191"/>
  <c r="R191" s="1"/>
  <c r="K191"/>
  <c r="O65" i="144"/>
  <c r="K65"/>
  <c r="L65" s="1"/>
  <c r="O19" i="173"/>
  <c r="N19"/>
  <c r="L19"/>
  <c r="R19" s="1"/>
  <c r="K19"/>
  <c r="R130" i="87" l="1"/>
  <c r="N130"/>
  <c r="N29" i="16"/>
  <c r="R29"/>
  <c r="N64" i="99"/>
  <c r="R64"/>
  <c r="N29" i="229"/>
  <c r="R29"/>
  <c r="R29" i="39"/>
  <c r="N29"/>
  <c r="R28"/>
  <c r="N15"/>
  <c r="R15"/>
  <c r="N26"/>
  <c r="R26"/>
  <c r="N23"/>
  <c r="R23"/>
  <c r="N19"/>
  <c r="R19"/>
  <c r="R18"/>
  <c r="R22"/>
  <c r="O26"/>
  <c r="R65" i="144"/>
  <c r="M65"/>
  <c r="N65" s="1"/>
  <c r="O27" i="229" l="1"/>
  <c r="K27"/>
  <c r="L27" s="1"/>
  <c r="O20" i="234"/>
  <c r="K20"/>
  <c r="L20" s="1"/>
  <c r="O28" i="228"/>
  <c r="K28"/>
  <c r="L28" s="1"/>
  <c r="O18" i="234"/>
  <c r="K18"/>
  <c r="L18" s="1"/>
  <c r="O14" i="235"/>
  <c r="K14"/>
  <c r="L14" s="1"/>
  <c r="O106" i="28"/>
  <c r="K106"/>
  <c r="L106" s="1"/>
  <c r="O57" i="156"/>
  <c r="L57"/>
  <c r="N57" s="1"/>
  <c r="K57"/>
  <c r="O13" i="227"/>
  <c r="N13"/>
  <c r="L13"/>
  <c r="R13" s="1"/>
  <c r="K13"/>
  <c r="O17" i="173"/>
  <c r="N17"/>
  <c r="L17"/>
  <c r="R17" s="1"/>
  <c r="K17"/>
  <c r="O16" i="234"/>
  <c r="K16"/>
  <c r="L16" s="1"/>
  <c r="O15" i="233"/>
  <c r="K15"/>
  <c r="L15" s="1"/>
  <c r="O25" i="229"/>
  <c r="N25"/>
  <c r="L25"/>
  <c r="R25" s="1"/>
  <c r="K25"/>
  <c r="N16" i="231"/>
  <c r="L16"/>
  <c r="R16" s="1"/>
  <c r="K16"/>
  <c r="O13" i="232"/>
  <c r="K13"/>
  <c r="L13" s="1"/>
  <c r="O104" i="28"/>
  <c r="K104"/>
  <c r="L104" s="1"/>
  <c r="O64" i="144"/>
  <c r="N64"/>
  <c r="L64"/>
  <c r="R64" s="1"/>
  <c r="K64"/>
  <c r="O15" i="173"/>
  <c r="L15"/>
  <c r="N15" s="1"/>
  <c r="K15"/>
  <c r="O189" i="23"/>
  <c r="L189"/>
  <c r="N189" s="1"/>
  <c r="K189"/>
  <c r="O103" i="28"/>
  <c r="L103"/>
  <c r="N103" s="1"/>
  <c r="K103"/>
  <c r="Q17" i="154"/>
  <c r="L17"/>
  <c r="N17" s="1"/>
  <c r="K17"/>
  <c r="O101" i="28"/>
  <c r="L101"/>
  <c r="N101" s="1"/>
  <c r="K101"/>
  <c r="O26" i="228"/>
  <c r="L26"/>
  <c r="N26" s="1"/>
  <c r="K26"/>
  <c r="O25"/>
  <c r="N25"/>
  <c r="L25"/>
  <c r="R25" s="1"/>
  <c r="K25"/>
  <c r="R13" i="232" l="1"/>
  <c r="N13"/>
  <c r="R27" i="229"/>
  <c r="N27"/>
  <c r="M20" i="234"/>
  <c r="N20" s="1"/>
  <c r="R20"/>
  <c r="N28" i="228"/>
  <c r="R28"/>
  <c r="R18" i="234"/>
  <c r="M18"/>
  <c r="N18" s="1"/>
  <c r="N14" i="235"/>
  <c r="R14"/>
  <c r="N106" i="28"/>
  <c r="R106"/>
  <c r="R57" i="156"/>
  <c r="L82" i="234"/>
  <c r="N16"/>
  <c r="R16"/>
  <c r="N15" i="233"/>
  <c r="R15"/>
  <c r="R104" i="28"/>
  <c r="M104"/>
  <c r="N104" s="1"/>
  <c r="R15" i="173"/>
  <c r="R189" i="23"/>
  <c r="R103" i="28"/>
  <c r="R17" i="154"/>
  <c r="R101" i="28"/>
  <c r="R26" i="228"/>
  <c r="O18" i="161"/>
  <c r="N18"/>
  <c r="L18"/>
  <c r="R18" s="1"/>
  <c r="K18"/>
  <c r="K18" i="175"/>
  <c r="L18" s="1"/>
  <c r="Q77" i="43"/>
  <c r="N77"/>
  <c r="L77"/>
  <c r="R77" s="1"/>
  <c r="K77"/>
  <c r="O40" i="60"/>
  <c r="K40"/>
  <c r="L40" s="1"/>
  <c r="O39"/>
  <c r="L39"/>
  <c r="N39" s="1"/>
  <c r="K39"/>
  <c r="O38"/>
  <c r="N38"/>
  <c r="L38"/>
  <c r="R38" s="1"/>
  <c r="K38"/>
  <c r="O68" i="34"/>
  <c r="N68"/>
  <c r="L68"/>
  <c r="R68" s="1"/>
  <c r="K68"/>
  <c r="O23" i="229"/>
  <c r="N23"/>
  <c r="L23"/>
  <c r="R23" s="1"/>
  <c r="K23"/>
  <c r="O187" i="23"/>
  <c r="L187"/>
  <c r="N187" s="1"/>
  <c r="K187"/>
  <c r="O99" i="28"/>
  <c r="L99"/>
  <c r="N99" s="1"/>
  <c r="K99"/>
  <c r="O37" i="60"/>
  <c r="K37"/>
  <c r="L37" s="1"/>
  <c r="O36"/>
  <c r="L36"/>
  <c r="N36" s="1"/>
  <c r="K36"/>
  <c r="O35"/>
  <c r="N35"/>
  <c r="L35"/>
  <c r="R35" s="1"/>
  <c r="K35"/>
  <c r="O34"/>
  <c r="N34"/>
  <c r="L34"/>
  <c r="R34" s="1"/>
  <c r="K34"/>
  <c r="O63" i="144"/>
  <c r="N63"/>
  <c r="L63"/>
  <c r="R63" s="1"/>
  <c r="K63"/>
  <c r="O62"/>
  <c r="K62"/>
  <c r="L62" s="1"/>
  <c r="O13" i="173"/>
  <c r="N13"/>
  <c r="L13"/>
  <c r="R13" s="1"/>
  <c r="K13"/>
  <c r="O21" i="229"/>
  <c r="N21"/>
  <c r="L21"/>
  <c r="R21" s="1"/>
  <c r="K21"/>
  <c r="O31" i="100"/>
  <c r="N31"/>
  <c r="L31"/>
  <c r="R31" s="1"/>
  <c r="K31"/>
  <c r="I13" i="231"/>
  <c r="K13" s="1"/>
  <c r="L13" s="1"/>
  <c r="N16" i="224"/>
  <c r="L16"/>
  <c r="R16" s="1"/>
  <c r="K16"/>
  <c r="I16"/>
  <c r="O14" i="71"/>
  <c r="N14"/>
  <c r="L14"/>
  <c r="R14" s="1"/>
  <c r="K14"/>
  <c r="O43" i="25"/>
  <c r="N43"/>
  <c r="L43"/>
  <c r="R43" s="1"/>
  <c r="K43"/>
  <c r="O11" i="227"/>
  <c r="N11"/>
  <c r="L11"/>
  <c r="R11" s="1"/>
  <c r="K11"/>
  <c r="O10"/>
  <c r="K10"/>
  <c r="L10" s="1"/>
  <c r="O19" i="229"/>
  <c r="L19"/>
  <c r="N19" s="1"/>
  <c r="K19"/>
  <c r="O19" i="214"/>
  <c r="N19"/>
  <c r="L19"/>
  <c r="R19" s="1"/>
  <c r="K19"/>
  <c r="O31" i="132"/>
  <c r="N31"/>
  <c r="L31"/>
  <c r="R31" s="1"/>
  <c r="K31"/>
  <c r="O33" i="60"/>
  <c r="L33"/>
  <c r="N33" s="1"/>
  <c r="K33"/>
  <c r="O32"/>
  <c r="N32"/>
  <c r="L32"/>
  <c r="R32" s="1"/>
  <c r="K32"/>
  <c r="O31"/>
  <c r="N31"/>
  <c r="L31"/>
  <c r="R31" s="1"/>
  <c r="K31"/>
  <c r="O30"/>
  <c r="K30"/>
  <c r="L30" s="1"/>
  <c r="O17" i="229"/>
  <c r="N17"/>
  <c r="L17"/>
  <c r="R17" s="1"/>
  <c r="K17"/>
  <c r="O33" i="131"/>
  <c r="N33"/>
  <c r="L33"/>
  <c r="R33" s="1"/>
  <c r="K33"/>
  <c r="O33" i="27"/>
  <c r="N33"/>
  <c r="L33"/>
  <c r="R33" s="1"/>
  <c r="K33"/>
  <c r="O28" i="60"/>
  <c r="K28"/>
  <c r="L28" s="1"/>
  <c r="O27"/>
  <c r="L27"/>
  <c r="N27" s="1"/>
  <c r="K27"/>
  <c r="O97" i="28"/>
  <c r="K97"/>
  <c r="L97" s="1"/>
  <c r="O20" i="197"/>
  <c r="N20"/>
  <c r="L20"/>
  <c r="R20" s="1"/>
  <c r="K20"/>
  <c r="O18"/>
  <c r="K18"/>
  <c r="L18" s="1"/>
  <c r="N18" i="175" l="1"/>
  <c r="R18"/>
  <c r="N40" i="60"/>
  <c r="R40"/>
  <c r="R39"/>
  <c r="R187" i="23"/>
  <c r="R99" i="28"/>
  <c r="N37" i="60"/>
  <c r="R37"/>
  <c r="R36"/>
  <c r="N62" i="144"/>
  <c r="R62"/>
  <c r="R13" i="231"/>
  <c r="N13"/>
  <c r="N10" i="227"/>
  <c r="R10"/>
  <c r="R19" i="229"/>
  <c r="N30" i="60"/>
  <c r="R30"/>
  <c r="R33"/>
  <c r="N28"/>
  <c r="R28"/>
  <c r="R27"/>
  <c r="R97" i="28"/>
  <c r="M97"/>
  <c r="N97" s="1"/>
  <c r="R18" i="197"/>
  <c r="M18"/>
  <c r="N18" s="1"/>
  <c r="O185" i="23" l="1"/>
  <c r="N185"/>
  <c r="L185"/>
  <c r="R185" s="1"/>
  <c r="K185"/>
  <c r="O26" i="18"/>
  <c r="K26"/>
  <c r="L26" s="1"/>
  <c r="O25"/>
  <c r="K25"/>
  <c r="L25" s="1"/>
  <c r="O32" i="101"/>
  <c r="K32"/>
  <c r="L32" s="1"/>
  <c r="O12" i="226"/>
  <c r="K12"/>
  <c r="L12" s="1"/>
  <c r="O26" i="60"/>
  <c r="L26"/>
  <c r="N26" s="1"/>
  <c r="K26"/>
  <c r="O128" i="87"/>
  <c r="L128"/>
  <c r="N128" s="1"/>
  <c r="K128"/>
  <c r="O23" i="228"/>
  <c r="L23"/>
  <c r="N23" s="1"/>
  <c r="K23"/>
  <c r="O22"/>
  <c r="N22"/>
  <c r="L22"/>
  <c r="R22" s="1"/>
  <c r="K22"/>
  <c r="O55" i="156"/>
  <c r="L55"/>
  <c r="N55" s="1"/>
  <c r="K55"/>
  <c r="O54"/>
  <c r="N54"/>
  <c r="L54"/>
  <c r="R54" s="1"/>
  <c r="K54"/>
  <c r="O16" i="197"/>
  <c r="K16"/>
  <c r="L16" s="1"/>
  <c r="N16" s="1"/>
  <c r="O15" i="229"/>
  <c r="N15"/>
  <c r="L15"/>
  <c r="R15" s="1"/>
  <c r="K15"/>
  <c r="O183" i="23"/>
  <c r="L183"/>
  <c r="N183" s="1"/>
  <c r="K183"/>
  <c r="O29" i="132"/>
  <c r="N29"/>
  <c r="L29"/>
  <c r="R29" s="1"/>
  <c r="K29"/>
  <c r="O29" i="201"/>
  <c r="N29"/>
  <c r="L29"/>
  <c r="R29" s="1"/>
  <c r="K29"/>
  <c r="O126" i="87"/>
  <c r="K126"/>
  <c r="L126" s="1"/>
  <c r="N126" s="1"/>
  <c r="O20" i="157"/>
  <c r="K20"/>
  <c r="L20" s="1"/>
  <c r="R26" i="18" l="1"/>
  <c r="N26"/>
  <c r="N25"/>
  <c r="R25"/>
  <c r="N32" i="101"/>
  <c r="R32"/>
  <c r="N12" i="226"/>
  <c r="R12"/>
  <c r="R26" i="60"/>
  <c r="R128" i="87"/>
  <c r="R23" i="228"/>
  <c r="R55" i="156"/>
  <c r="R183" i="23"/>
  <c r="R126" i="87"/>
  <c r="R20" i="157"/>
  <c r="N20"/>
  <c r="O181" i="23"/>
  <c r="L181"/>
  <c r="N181" s="1"/>
  <c r="K181"/>
  <c r="O95" i="28"/>
  <c r="N95"/>
  <c r="L95"/>
  <c r="R95" s="1"/>
  <c r="K95"/>
  <c r="K12" i="230"/>
  <c r="L12" s="1"/>
  <c r="K13" i="221"/>
  <c r="L13" s="1"/>
  <c r="R181" i="23" l="1"/>
  <c r="N12" i="230"/>
  <c r="R12"/>
  <c r="N13" i="221"/>
  <c r="R13"/>
  <c r="O41" i="88"/>
  <c r="N41"/>
  <c r="L41"/>
  <c r="R41" s="1"/>
  <c r="K41"/>
  <c r="O40"/>
  <c r="N40"/>
  <c r="L40"/>
  <c r="R40" s="1"/>
  <c r="K40"/>
  <c r="O11" i="116"/>
  <c r="K11"/>
  <c r="L11" s="1"/>
  <c r="O178" i="11"/>
  <c r="N178"/>
  <c r="L178"/>
  <c r="R178" s="1"/>
  <c r="K178"/>
  <c r="O13" i="229"/>
  <c r="K13"/>
  <c r="L13" s="1"/>
  <c r="O20" i="228"/>
  <c r="K20"/>
  <c r="L20" s="1"/>
  <c r="O37" i="159"/>
  <c r="N37"/>
  <c r="L37"/>
  <c r="R37" s="1"/>
  <c r="K37"/>
  <c r="O13" i="207"/>
  <c r="N13"/>
  <c r="L13"/>
  <c r="R13" s="1"/>
  <c r="K13"/>
  <c r="O27" i="132"/>
  <c r="K27"/>
  <c r="L27" s="1"/>
  <c r="O41" i="25"/>
  <c r="L41"/>
  <c r="N41" s="1"/>
  <c r="K41"/>
  <c r="O14" i="197"/>
  <c r="N14"/>
  <c r="L14"/>
  <c r="R14" s="1"/>
  <c r="K14"/>
  <c r="O18" i="228"/>
  <c r="K18"/>
  <c r="L18" s="1"/>
  <c r="O60" i="144"/>
  <c r="N60"/>
  <c r="L60"/>
  <c r="R60" s="1"/>
  <c r="K60"/>
  <c r="O124" i="87"/>
  <c r="K124"/>
  <c r="L124" s="1"/>
  <c r="O123"/>
  <c r="L123"/>
  <c r="N123" s="1"/>
  <c r="K123"/>
  <c r="O16" i="228"/>
  <c r="K16"/>
  <c r="L16" s="1"/>
  <c r="O26" i="83"/>
  <c r="K26"/>
  <c r="L26" s="1"/>
  <c r="O65" i="102"/>
  <c r="L65"/>
  <c r="R65" s="1"/>
  <c r="K65"/>
  <c r="O9" i="116"/>
  <c r="N9"/>
  <c r="L9"/>
  <c r="R9" s="1"/>
  <c r="K9"/>
  <c r="O179" i="23"/>
  <c r="N179"/>
  <c r="L179"/>
  <c r="R179" s="1"/>
  <c r="K179"/>
  <c r="O12" i="197"/>
  <c r="N12"/>
  <c r="L12"/>
  <c r="R12" s="1"/>
  <c r="K12"/>
  <c r="O25" i="132"/>
  <c r="L25"/>
  <c r="N25" s="1"/>
  <c r="K25"/>
  <c r="O8" i="227"/>
  <c r="K8"/>
  <c r="L8" s="1"/>
  <c r="O10" i="226"/>
  <c r="K10"/>
  <c r="L10" s="1"/>
  <c r="O35" i="159"/>
  <c r="K35"/>
  <c r="L35" s="1"/>
  <c r="N16" i="175"/>
  <c r="L16"/>
  <c r="R16" s="1"/>
  <c r="K16"/>
  <c r="O121" i="87"/>
  <c r="K121"/>
  <c r="L121" s="1"/>
  <c r="O177" i="23"/>
  <c r="K177"/>
  <c r="L177" s="1"/>
  <c r="Q75" i="43"/>
  <c r="N75"/>
  <c r="L75"/>
  <c r="R75" s="1"/>
  <c r="K75"/>
  <c r="O53" i="156"/>
  <c r="N53"/>
  <c r="L53"/>
  <c r="R53" s="1"/>
  <c r="K53"/>
  <c r="O52"/>
  <c r="K52"/>
  <c r="L52" s="1"/>
  <c r="O93" i="28"/>
  <c r="K93"/>
  <c r="L93" s="1"/>
  <c r="R35" i="159" l="1"/>
  <c r="N35"/>
  <c r="N65" i="102"/>
  <c r="R11" i="116"/>
  <c r="N11"/>
  <c r="R13" i="229"/>
  <c r="N13"/>
  <c r="N20" i="228"/>
  <c r="R20"/>
  <c r="R27" i="132"/>
  <c r="N27"/>
  <c r="R41" i="25"/>
  <c r="N18" i="228"/>
  <c r="R18"/>
  <c r="N124" i="87"/>
  <c r="R124"/>
  <c r="R123"/>
  <c r="N16" i="228"/>
  <c r="R16"/>
  <c r="L84"/>
  <c r="N26" i="83"/>
  <c r="R26"/>
  <c r="R25" i="132"/>
  <c r="N8" i="227"/>
  <c r="R8"/>
  <c r="R10" i="226"/>
  <c r="N10"/>
  <c r="N121" i="87"/>
  <c r="R121"/>
  <c r="N177" i="23"/>
  <c r="R177"/>
  <c r="N52" i="156"/>
  <c r="R52"/>
  <c r="N93" i="28"/>
  <c r="R93"/>
  <c r="O25" i="60"/>
  <c r="K25"/>
  <c r="L25" s="1"/>
  <c r="O8" i="225"/>
  <c r="K8"/>
  <c r="L8" s="1"/>
  <c r="N8" s="1"/>
  <c r="O7"/>
  <c r="L7"/>
  <c r="R7" s="1"/>
  <c r="K7"/>
  <c r="O9" i="140"/>
  <c r="N9"/>
  <c r="L9"/>
  <c r="R9" s="1"/>
  <c r="K9"/>
  <c r="O8"/>
  <c r="K8"/>
  <c r="L8" s="1"/>
  <c r="O119" i="87"/>
  <c r="N119"/>
  <c r="L119"/>
  <c r="R119" s="1"/>
  <c r="K119"/>
  <c r="O13" i="224"/>
  <c r="I13"/>
  <c r="K13" s="1"/>
  <c r="L13" s="1"/>
  <c r="O63" i="102"/>
  <c r="N63"/>
  <c r="L63"/>
  <c r="R63" s="1"/>
  <c r="K63"/>
  <c r="O62"/>
  <c r="K62"/>
  <c r="L62" s="1"/>
  <c r="O34" i="199"/>
  <c r="N34"/>
  <c r="L34"/>
  <c r="R34" s="1"/>
  <c r="K34"/>
  <c r="O23" i="60"/>
  <c r="N23"/>
  <c r="L23"/>
  <c r="R23" s="1"/>
  <c r="K23"/>
  <c r="O22"/>
  <c r="K22"/>
  <c r="L22" s="1"/>
  <c r="O66" i="34"/>
  <c r="N66"/>
  <c r="L66"/>
  <c r="R66" s="1"/>
  <c r="K66"/>
  <c r="L11" i="224"/>
  <c r="R11" s="1"/>
  <c r="K11"/>
  <c r="O63" i="99"/>
  <c r="N63"/>
  <c r="L63"/>
  <c r="R63" s="1"/>
  <c r="K63"/>
  <c r="O21" i="60"/>
  <c r="N21"/>
  <c r="L21"/>
  <c r="R21" s="1"/>
  <c r="K21"/>
  <c r="O20"/>
  <c r="K20"/>
  <c r="L20" s="1"/>
  <c r="O36" i="73"/>
  <c r="K36"/>
  <c r="L36" s="1"/>
  <c r="O33" i="159"/>
  <c r="L33"/>
  <c r="N33" s="1"/>
  <c r="K33"/>
  <c r="O19" i="60"/>
  <c r="L19"/>
  <c r="N19" s="1"/>
  <c r="K19"/>
  <c r="O18"/>
  <c r="N18"/>
  <c r="L18"/>
  <c r="R18" s="1"/>
  <c r="K18"/>
  <c r="Q73" i="43"/>
  <c r="O73"/>
  <c r="K73"/>
  <c r="L73" s="1"/>
  <c r="O14" i="200"/>
  <c r="L14"/>
  <c r="R14" s="1"/>
  <c r="K14"/>
  <c r="O58" i="24"/>
  <c r="N58"/>
  <c r="L58"/>
  <c r="R58" s="1"/>
  <c r="K58"/>
  <c r="O57"/>
  <c r="K57"/>
  <c r="L57" s="1"/>
  <c r="O27" i="201"/>
  <c r="N27"/>
  <c r="L27"/>
  <c r="R27" s="1"/>
  <c r="K27"/>
  <c r="O62" i="99"/>
  <c r="I62"/>
  <c r="K62" s="1"/>
  <c r="L62" s="1"/>
  <c r="O92" i="28"/>
  <c r="K92"/>
  <c r="L92" s="1"/>
  <c r="O178" i="86"/>
  <c r="N178"/>
  <c r="L178"/>
  <c r="R178" s="1"/>
  <c r="K178"/>
  <c r="O177"/>
  <c r="K177"/>
  <c r="L177" s="1"/>
  <c r="N14" i="200" l="1"/>
  <c r="N7" i="225"/>
  <c r="R25" i="60"/>
  <c r="N25"/>
  <c r="L14" i="225"/>
  <c r="R8"/>
  <c r="N8" i="140"/>
  <c r="R8"/>
  <c r="R13" i="224"/>
  <c r="N13"/>
  <c r="N62" i="102"/>
  <c r="R62"/>
  <c r="N22" i="60"/>
  <c r="R22"/>
  <c r="N11" i="224"/>
  <c r="N20" i="60"/>
  <c r="R20"/>
  <c r="N36" i="73"/>
  <c r="R36"/>
  <c r="R33" i="159"/>
  <c r="R19" i="60"/>
  <c r="R73" i="43"/>
  <c r="N73"/>
  <c r="N57" i="24"/>
  <c r="R57"/>
  <c r="R62" i="99"/>
  <c r="N62"/>
  <c r="R92" i="28"/>
  <c r="N92"/>
  <c r="N177" i="86"/>
  <c r="R177"/>
  <c r="O61" i="99"/>
  <c r="L61"/>
  <c r="N61" s="1"/>
  <c r="K61"/>
  <c r="I61"/>
  <c r="O60"/>
  <c r="I60"/>
  <c r="K60" s="1"/>
  <c r="L60" s="1"/>
  <c r="O59"/>
  <c r="L59"/>
  <c r="N59" s="1"/>
  <c r="K59"/>
  <c r="O58"/>
  <c r="N58"/>
  <c r="L58"/>
  <c r="R58" s="1"/>
  <c r="K58"/>
  <c r="O91" i="28"/>
  <c r="K91"/>
  <c r="L91" s="1"/>
  <c r="O176" i="86"/>
  <c r="N176"/>
  <c r="L176"/>
  <c r="R176" s="1"/>
  <c r="K176"/>
  <c r="O36" i="222"/>
  <c r="K36"/>
  <c r="L36" s="1"/>
  <c r="I36"/>
  <c r="O26" i="141"/>
  <c r="N26"/>
  <c r="L26"/>
  <c r="R26" s="1"/>
  <c r="K26"/>
  <c r="O24" i="83"/>
  <c r="K24"/>
  <c r="L24" s="1"/>
  <c r="O174" i="86"/>
  <c r="L174"/>
  <c r="N174" s="1"/>
  <c r="K174"/>
  <c r="O89" i="28"/>
  <c r="K89"/>
  <c r="L89" s="1"/>
  <c r="O90"/>
  <c r="K90"/>
  <c r="L90" s="1"/>
  <c r="O25" i="201"/>
  <c r="N25"/>
  <c r="L25"/>
  <c r="R25" s="1"/>
  <c r="K25"/>
  <c r="O30" i="222"/>
  <c r="I30"/>
  <c r="K30" s="1"/>
  <c r="L30" s="1"/>
  <c r="O29"/>
  <c r="I29"/>
  <c r="K29" s="1"/>
  <c r="L29" s="1"/>
  <c r="N29" s="1"/>
  <c r="O28"/>
  <c r="I28"/>
  <c r="K28" s="1"/>
  <c r="L28" s="1"/>
  <c r="O27"/>
  <c r="L27"/>
  <c r="N27" s="1"/>
  <c r="K27"/>
  <c r="I27"/>
  <c r="O26"/>
  <c r="I26"/>
  <c r="K26" s="1"/>
  <c r="L26" s="1"/>
  <c r="O25"/>
  <c r="I25"/>
  <c r="K25" s="1"/>
  <c r="L25" s="1"/>
  <c r="N25" s="1"/>
  <c r="K13" i="210"/>
  <c r="L13" s="1"/>
  <c r="O173" i="86"/>
  <c r="N173"/>
  <c r="L173"/>
  <c r="R173" s="1"/>
  <c r="K173"/>
  <c r="O28" i="20"/>
  <c r="L28"/>
  <c r="N28" s="1"/>
  <c r="K28"/>
  <c r="O118" i="87"/>
  <c r="N118"/>
  <c r="L118"/>
  <c r="R118" s="1"/>
  <c r="K118"/>
  <c r="O38" i="88"/>
  <c r="N38"/>
  <c r="L38"/>
  <c r="R38" s="1"/>
  <c r="K38"/>
  <c r="O34" i="222"/>
  <c r="L34"/>
  <c r="R34" s="1"/>
  <c r="K34"/>
  <c r="O33"/>
  <c r="I33"/>
  <c r="K33" s="1"/>
  <c r="L33" s="1"/>
  <c r="O32"/>
  <c r="K32"/>
  <c r="L32" s="1"/>
  <c r="O31"/>
  <c r="K31"/>
  <c r="L31" s="1"/>
  <c r="O33" i="199"/>
  <c r="N33"/>
  <c r="L33"/>
  <c r="R33" s="1"/>
  <c r="K33"/>
  <c r="O32"/>
  <c r="K32"/>
  <c r="L32" s="1"/>
  <c r="O31"/>
  <c r="L31"/>
  <c r="N31" s="1"/>
  <c r="K31"/>
  <c r="O121" i="105"/>
  <c r="N121"/>
  <c r="L121"/>
  <c r="R121" s="1"/>
  <c r="K121"/>
  <c r="O27" i="20"/>
  <c r="L27"/>
  <c r="N27" s="1"/>
  <c r="K27"/>
  <c r="R13" i="210" l="1"/>
  <c r="N13"/>
  <c r="R60" i="99"/>
  <c r="N60"/>
  <c r="R59"/>
  <c r="R61"/>
  <c r="R91" i="28"/>
  <c r="N91"/>
  <c r="N36" i="222"/>
  <c r="R36"/>
  <c r="N24" i="83"/>
  <c r="R24"/>
  <c r="R174" i="86"/>
  <c r="M89" i="28"/>
  <c r="N89" s="1"/>
  <c r="R89"/>
  <c r="R90"/>
  <c r="N90"/>
  <c r="R26" i="222"/>
  <c r="N26"/>
  <c r="R30"/>
  <c r="N30"/>
  <c r="R28"/>
  <c r="N28"/>
  <c r="R25"/>
  <c r="R27"/>
  <c r="R29"/>
  <c r="R31"/>
  <c r="N31"/>
  <c r="R32"/>
  <c r="N32"/>
  <c r="N34"/>
  <c r="R28" i="20"/>
  <c r="N33" i="222"/>
  <c r="R33"/>
  <c r="N32" i="199"/>
  <c r="R32"/>
  <c r="R31"/>
  <c r="R27" i="20"/>
  <c r="O175" i="23" l="1"/>
  <c r="N175"/>
  <c r="L175"/>
  <c r="R175" s="1"/>
  <c r="K175"/>
  <c r="Q71" i="43"/>
  <c r="O71"/>
  <c r="K71"/>
  <c r="L71" s="1"/>
  <c r="O30" i="199"/>
  <c r="L30"/>
  <c r="N30" s="1"/>
  <c r="K30"/>
  <c r="O23" i="201"/>
  <c r="L23"/>
  <c r="N23" s="1"/>
  <c r="K23"/>
  <c r="O64" i="34"/>
  <c r="N64"/>
  <c r="L64"/>
  <c r="R64" s="1"/>
  <c r="K64"/>
  <c r="O24" i="222"/>
  <c r="K24"/>
  <c r="L24" s="1"/>
  <c r="N24" s="1"/>
  <c r="I24"/>
  <c r="O23"/>
  <c r="L23"/>
  <c r="R23" s="1"/>
  <c r="K23"/>
  <c r="O22"/>
  <c r="I22"/>
  <c r="K22" s="1"/>
  <c r="L22" s="1"/>
  <c r="O21"/>
  <c r="K21"/>
  <c r="L21" s="1"/>
  <c r="O20"/>
  <c r="K20"/>
  <c r="L20" s="1"/>
  <c r="O34" i="73"/>
  <c r="N34"/>
  <c r="L34"/>
  <c r="R34" s="1"/>
  <c r="K34"/>
  <c r="O31" i="159"/>
  <c r="K31"/>
  <c r="L31" s="1"/>
  <c r="O30"/>
  <c r="K30"/>
  <c r="L30" s="1"/>
  <c r="O120" i="105"/>
  <c r="K120"/>
  <c r="L120" s="1"/>
  <c r="R31" i="159" l="1"/>
  <c r="N31"/>
  <c r="R21" i="222"/>
  <c r="N21"/>
  <c r="R20"/>
  <c r="N20"/>
  <c r="N23"/>
  <c r="R71" i="43"/>
  <c r="N71"/>
  <c r="R30" i="199"/>
  <c r="R23" i="201"/>
  <c r="N22" i="222"/>
  <c r="R22"/>
  <c r="R24"/>
  <c r="N30" i="159"/>
  <c r="R30"/>
  <c r="N120" i="105"/>
  <c r="R120"/>
  <c r="O29" i="100" l="1"/>
  <c r="L29"/>
  <c r="N29" s="1"/>
  <c r="K29"/>
  <c r="O28"/>
  <c r="N28"/>
  <c r="L28"/>
  <c r="R28" s="1"/>
  <c r="K28"/>
  <c r="O39" i="25"/>
  <c r="N39"/>
  <c r="L39"/>
  <c r="R39" s="1"/>
  <c r="K39"/>
  <c r="L8" i="223"/>
  <c r="N8" s="1"/>
  <c r="K8"/>
  <c r="H8"/>
  <c r="O8" s="1"/>
  <c r="R29" i="100" l="1"/>
  <c r="R8" i="223"/>
  <c r="O29" i="199"/>
  <c r="L29"/>
  <c r="N29" s="1"/>
  <c r="K29"/>
  <c r="O19" i="222"/>
  <c r="L19"/>
  <c r="R19" s="1"/>
  <c r="K19"/>
  <c r="O55" i="24"/>
  <c r="N55"/>
  <c r="L55"/>
  <c r="R55" s="1"/>
  <c r="K55"/>
  <c r="O54"/>
  <c r="K54"/>
  <c r="L54" s="1"/>
  <c r="O18" i="222"/>
  <c r="K18"/>
  <c r="L18" s="1"/>
  <c r="O17"/>
  <c r="K17"/>
  <c r="L17" s="1"/>
  <c r="O16"/>
  <c r="K16"/>
  <c r="L16" s="1"/>
  <c r="O15"/>
  <c r="K15"/>
  <c r="L15" s="1"/>
  <c r="N15" s="1"/>
  <c r="N19" l="1"/>
  <c r="R29" i="199"/>
  <c r="N54" i="24"/>
  <c r="R54"/>
  <c r="R18" i="222"/>
  <c r="N18"/>
  <c r="R17"/>
  <c r="N17"/>
  <c r="N16"/>
  <c r="R16"/>
  <c r="R15"/>
  <c r="L86"/>
  <c r="O24" i="141"/>
  <c r="N24"/>
  <c r="L24"/>
  <c r="R24" s="1"/>
  <c r="K24"/>
  <c r="O119" i="105"/>
  <c r="L119"/>
  <c r="N119" s="1"/>
  <c r="K119"/>
  <c r="O171" i="86"/>
  <c r="N171"/>
  <c r="L171"/>
  <c r="R171" s="1"/>
  <c r="K171"/>
  <c r="O170"/>
  <c r="K170"/>
  <c r="L170" s="1"/>
  <c r="O31" i="131"/>
  <c r="K31"/>
  <c r="L31" s="1"/>
  <c r="O17" i="214"/>
  <c r="K17"/>
  <c r="L17" s="1"/>
  <c r="O23" i="18"/>
  <c r="K23"/>
  <c r="L23" s="1"/>
  <c r="O21" i="201"/>
  <c r="K21"/>
  <c r="L21" s="1"/>
  <c r="O22" i="141"/>
  <c r="L22"/>
  <c r="N22" s="1"/>
  <c r="K22"/>
  <c r="O118" i="105"/>
  <c r="K118"/>
  <c r="L118" s="1"/>
  <c r="O117"/>
  <c r="L117"/>
  <c r="N117" s="1"/>
  <c r="K117"/>
  <c r="O23" i="132"/>
  <c r="L23"/>
  <c r="N23" s="1"/>
  <c r="K23"/>
  <c r="O30" i="101"/>
  <c r="K30"/>
  <c r="L30" s="1"/>
  <c r="O20" i="141"/>
  <c r="K20"/>
  <c r="L20" s="1"/>
  <c r="O11" i="221"/>
  <c r="K11"/>
  <c r="L11" s="1"/>
  <c r="O12" i="211"/>
  <c r="N12"/>
  <c r="L12"/>
  <c r="R12" s="1"/>
  <c r="K12"/>
  <c r="R119" i="105" l="1"/>
  <c r="N170" i="86"/>
  <c r="R170"/>
  <c r="N31" i="131"/>
  <c r="R31"/>
  <c r="N17" i="214"/>
  <c r="R17"/>
  <c r="N23" i="18"/>
  <c r="R23"/>
  <c r="N21" i="201"/>
  <c r="R21"/>
  <c r="R22" i="141"/>
  <c r="N118" i="105"/>
  <c r="R118"/>
  <c r="R117"/>
  <c r="R23" i="132"/>
  <c r="N30" i="101"/>
  <c r="R30"/>
  <c r="N20" i="141"/>
  <c r="R20"/>
  <c r="R11" i="221"/>
  <c r="N11"/>
  <c r="O52" i="24" l="1"/>
  <c r="L52"/>
  <c r="N52" s="1"/>
  <c r="K52"/>
  <c r="O18" i="141"/>
  <c r="K18"/>
  <c r="L18" s="1"/>
  <c r="O16" i="161"/>
  <c r="K16"/>
  <c r="L16" s="1"/>
  <c r="O16" i="141"/>
  <c r="K16"/>
  <c r="L16" s="1"/>
  <c r="O116" i="105"/>
  <c r="K116"/>
  <c r="L116" s="1"/>
  <c r="O169" i="86"/>
  <c r="K169"/>
  <c r="L169" s="1"/>
  <c r="O117" i="87"/>
  <c r="K117"/>
  <c r="L117" s="1"/>
  <c r="O29" i="209"/>
  <c r="K29"/>
  <c r="L29" s="1"/>
  <c r="O12" i="146"/>
  <c r="K12"/>
  <c r="L12" s="1"/>
  <c r="Q69" i="43"/>
  <c r="K69"/>
  <c r="L69" s="1"/>
  <c r="O28" i="199"/>
  <c r="L28"/>
  <c r="N28" s="1"/>
  <c r="K28"/>
  <c r="O27"/>
  <c r="K27"/>
  <c r="L27" s="1"/>
  <c r="O10" i="146"/>
  <c r="K10"/>
  <c r="L10" s="1"/>
  <c r="O19" i="201"/>
  <c r="K19"/>
  <c r="L19" s="1"/>
  <c r="O25" i="199"/>
  <c r="K25"/>
  <c r="L25" s="1"/>
  <c r="O60" i="102"/>
  <c r="K60"/>
  <c r="L60" s="1"/>
  <c r="O24" i="199"/>
  <c r="K24"/>
  <c r="L24" s="1"/>
  <c r="O62" i="34"/>
  <c r="K62"/>
  <c r="L62" s="1"/>
  <c r="O173" i="23"/>
  <c r="K173"/>
  <c r="L173" s="1"/>
  <c r="O115" i="87"/>
  <c r="K115"/>
  <c r="L115" s="1"/>
  <c r="R52" i="24" l="1"/>
  <c r="N18" i="141"/>
  <c r="R18"/>
  <c r="R16" i="161"/>
  <c r="N16"/>
  <c r="R16" i="141"/>
  <c r="N16"/>
  <c r="N116" i="105"/>
  <c r="R116"/>
  <c r="N169" i="86"/>
  <c r="R169"/>
  <c r="N117" i="87"/>
  <c r="R117"/>
  <c r="N29" i="209"/>
  <c r="R29"/>
  <c r="R12" i="146"/>
  <c r="N12"/>
  <c r="N69" i="43"/>
  <c r="R69"/>
  <c r="N27" i="199"/>
  <c r="R27"/>
  <c r="R28"/>
  <c r="N10" i="146"/>
  <c r="R10"/>
  <c r="N19" i="201"/>
  <c r="R19"/>
  <c r="N25" i="199"/>
  <c r="R25"/>
  <c r="R60" i="102"/>
  <c r="N60"/>
  <c r="N24" i="199"/>
  <c r="R24"/>
  <c r="N62" i="34"/>
  <c r="R62"/>
  <c r="N173" i="23"/>
  <c r="R173"/>
  <c r="N115" i="87"/>
  <c r="R115"/>
  <c r="O50" i="24"/>
  <c r="N50"/>
  <c r="L50"/>
  <c r="R50" s="1"/>
  <c r="K50"/>
  <c r="O114" i="87"/>
  <c r="L114"/>
  <c r="N114" s="1"/>
  <c r="K114"/>
  <c r="O113"/>
  <c r="N113"/>
  <c r="L113"/>
  <c r="R113" s="1"/>
  <c r="K113"/>
  <c r="O14" i="217"/>
  <c r="L14"/>
  <c r="N14" s="1"/>
  <c r="K14"/>
  <c r="Q10" i="135"/>
  <c r="O10"/>
  <c r="N10"/>
  <c r="L10"/>
  <c r="R10" s="1"/>
  <c r="K10"/>
  <c r="R114" i="87" l="1"/>
  <c r="R14" i="217"/>
  <c r="O35" i="150"/>
  <c r="N35"/>
  <c r="L35"/>
  <c r="R35" s="1"/>
  <c r="K35"/>
  <c r="O112" i="87"/>
  <c r="L112"/>
  <c r="N112" s="1"/>
  <c r="K112"/>
  <c r="R112" l="1"/>
  <c r="O32" i="73"/>
  <c r="K32"/>
  <c r="L32" s="1"/>
  <c r="K14" i="175"/>
  <c r="L14" s="1"/>
  <c r="Q67" i="43"/>
  <c r="O67"/>
  <c r="L67"/>
  <c r="N67" s="1"/>
  <c r="K67"/>
  <c r="O111" i="87"/>
  <c r="K111"/>
  <c r="L111" s="1"/>
  <c r="O171" i="23"/>
  <c r="K171"/>
  <c r="L171" s="1"/>
  <c r="O27" i="209"/>
  <c r="L27"/>
  <c r="N27" s="1"/>
  <c r="K27"/>
  <c r="O57" i="99"/>
  <c r="K57"/>
  <c r="L57" s="1"/>
  <c r="O174" i="11"/>
  <c r="K174"/>
  <c r="L174" s="1"/>
  <c r="O173"/>
  <c r="K173"/>
  <c r="L173" s="1"/>
  <c r="O172"/>
  <c r="K172"/>
  <c r="L172" s="1"/>
  <c r="R172" s="1"/>
  <c r="O171"/>
  <c r="K171"/>
  <c r="L171" s="1"/>
  <c r="O170"/>
  <c r="K170"/>
  <c r="L170" s="1"/>
  <c r="O169"/>
  <c r="K169"/>
  <c r="L169" s="1"/>
  <c r="O168"/>
  <c r="K168"/>
  <c r="L168" s="1"/>
  <c r="R168" s="1"/>
  <c r="O17" i="201"/>
  <c r="L17"/>
  <c r="N17" s="1"/>
  <c r="K17"/>
  <c r="O110" i="87"/>
  <c r="K110"/>
  <c r="L110" s="1"/>
  <c r="O26" i="209"/>
  <c r="L26"/>
  <c r="N26" s="1"/>
  <c r="K26"/>
  <c r="O11" i="158"/>
  <c r="K11"/>
  <c r="L11" s="1"/>
  <c r="O11" i="207"/>
  <c r="K11"/>
  <c r="L11" s="1"/>
  <c r="O35" i="108"/>
  <c r="K35"/>
  <c r="L35" s="1"/>
  <c r="O34"/>
  <c r="K34"/>
  <c r="L34" s="1"/>
  <c r="O29" i="131"/>
  <c r="N29"/>
  <c r="L29"/>
  <c r="R29" s="1"/>
  <c r="K29"/>
  <c r="O28" i="159"/>
  <c r="K28"/>
  <c r="L28" s="1"/>
  <c r="O56" i="99"/>
  <c r="K56"/>
  <c r="L56" s="1"/>
  <c r="H176" i="11"/>
  <c r="O167"/>
  <c r="K167"/>
  <c r="L167" s="1"/>
  <c r="O166"/>
  <c r="K166"/>
  <c r="L166" s="1"/>
  <c r="N166" s="1"/>
  <c r="O165"/>
  <c r="K165"/>
  <c r="L165" s="1"/>
  <c r="O164"/>
  <c r="K164"/>
  <c r="L164" s="1"/>
  <c r="O163"/>
  <c r="K163"/>
  <c r="L163" s="1"/>
  <c r="O162"/>
  <c r="K162"/>
  <c r="L162" s="1"/>
  <c r="N162" s="1"/>
  <c r="O161"/>
  <c r="K161"/>
  <c r="L161" s="1"/>
  <c r="O160"/>
  <c r="K160"/>
  <c r="L160" s="1"/>
  <c r="O159"/>
  <c r="K159"/>
  <c r="L159" s="1"/>
  <c r="N159" s="1"/>
  <c r="O158"/>
  <c r="K158"/>
  <c r="L158" s="1"/>
  <c r="O157"/>
  <c r="K157"/>
  <c r="L157" s="1"/>
  <c r="O156"/>
  <c r="K156"/>
  <c r="L156" s="1"/>
  <c r="N156" s="1"/>
  <c r="O155"/>
  <c r="K155"/>
  <c r="L155" s="1"/>
  <c r="O55" i="99"/>
  <c r="K55"/>
  <c r="L55" s="1"/>
  <c r="I55"/>
  <c r="O50" i="156"/>
  <c r="K50"/>
  <c r="L50" s="1"/>
  <c r="O48" i="24"/>
  <c r="K48"/>
  <c r="L48" s="1"/>
  <c r="O21" i="18"/>
  <c r="K21"/>
  <c r="L21" s="1"/>
  <c r="O26" i="100"/>
  <c r="K26"/>
  <c r="L26" s="1"/>
  <c r="O9" i="121"/>
  <c r="K9"/>
  <c r="L9" s="1"/>
  <c r="O8" i="220"/>
  <c r="K8"/>
  <c r="L8" s="1"/>
  <c r="O54" i="99"/>
  <c r="L54"/>
  <c r="N54" s="1"/>
  <c r="K54"/>
  <c r="O24" i="145"/>
  <c r="K24"/>
  <c r="L24" s="1"/>
  <c r="O109" i="87"/>
  <c r="L109"/>
  <c r="N109" s="1"/>
  <c r="K109"/>
  <c r="O36" i="88"/>
  <c r="K36"/>
  <c r="L36" s="1"/>
  <c r="O35"/>
  <c r="L35"/>
  <c r="N35" s="1"/>
  <c r="K35"/>
  <c r="O22" i="199"/>
  <c r="K22"/>
  <c r="L22" s="1"/>
  <c r="O21"/>
  <c r="L21"/>
  <c r="N21" s="1"/>
  <c r="K21"/>
  <c r="O108" i="87"/>
  <c r="K108"/>
  <c r="L108" s="1"/>
  <c r="O167" i="86"/>
  <c r="K167"/>
  <c r="L167" s="1"/>
  <c r="O166"/>
  <c r="L166"/>
  <c r="N166" s="1"/>
  <c r="K166"/>
  <c r="O165"/>
  <c r="N165"/>
  <c r="L165"/>
  <c r="R165" s="1"/>
  <c r="K165"/>
  <c r="O164"/>
  <c r="N164"/>
  <c r="L164"/>
  <c r="R164" s="1"/>
  <c r="K164"/>
  <c r="O163"/>
  <c r="K163"/>
  <c r="L163" s="1"/>
  <c r="O49" i="156"/>
  <c r="N49"/>
  <c r="L49"/>
  <c r="R49" s="1"/>
  <c r="K49"/>
  <c r="O48"/>
  <c r="K48"/>
  <c r="L48" s="1"/>
  <c r="O47"/>
  <c r="K47"/>
  <c r="L47" s="1"/>
  <c r="R158" i="11" l="1"/>
  <c r="N158"/>
  <c r="R171"/>
  <c r="N171"/>
  <c r="R155"/>
  <c r="N155"/>
  <c r="R157"/>
  <c r="N157"/>
  <c r="R161"/>
  <c r="N161"/>
  <c r="R165"/>
  <c r="N165"/>
  <c r="R11" i="207"/>
  <c r="N11"/>
  <c r="N32" i="73"/>
  <c r="R32"/>
  <c r="N14" i="175"/>
  <c r="R14"/>
  <c r="R67" i="43"/>
  <c r="R111" i="87"/>
  <c r="N111"/>
  <c r="R171" i="23"/>
  <c r="N171"/>
  <c r="R27" i="209"/>
  <c r="R57" i="99"/>
  <c r="N57"/>
  <c r="N170" i="11"/>
  <c r="R170"/>
  <c r="N174"/>
  <c r="R174"/>
  <c r="N169"/>
  <c r="R169"/>
  <c r="N173"/>
  <c r="R173"/>
  <c r="N168"/>
  <c r="N172"/>
  <c r="R17" i="201"/>
  <c r="N110" i="87"/>
  <c r="R110"/>
  <c r="R26" i="209"/>
  <c r="N11" i="158"/>
  <c r="R11"/>
  <c r="N35" i="108"/>
  <c r="R35"/>
  <c r="R34"/>
  <c r="N34"/>
  <c r="N28" i="159"/>
  <c r="R28"/>
  <c r="N56" i="99"/>
  <c r="R56"/>
  <c r="N167" i="11"/>
  <c r="R167"/>
  <c r="R164"/>
  <c r="N164"/>
  <c r="N163"/>
  <c r="R163"/>
  <c r="R162"/>
  <c r="R166"/>
  <c r="N160"/>
  <c r="R160"/>
  <c r="R159"/>
  <c r="R156"/>
  <c r="N55" i="99"/>
  <c r="R55"/>
  <c r="N50" i="156"/>
  <c r="R50"/>
  <c r="N48" i="24"/>
  <c r="R48"/>
  <c r="N21" i="18"/>
  <c r="R21"/>
  <c r="N26" i="100"/>
  <c r="R26"/>
  <c r="R9" i="121"/>
  <c r="N9"/>
  <c r="N8" i="220"/>
  <c r="R8"/>
  <c r="R54" i="99"/>
  <c r="N24" i="145"/>
  <c r="R24"/>
  <c r="R109" i="87"/>
  <c r="N36" i="88"/>
  <c r="R36"/>
  <c r="R35"/>
  <c r="N22" i="199"/>
  <c r="R22"/>
  <c r="R21"/>
  <c r="N108" i="87"/>
  <c r="R108"/>
  <c r="N167" i="86"/>
  <c r="R167"/>
  <c r="N163"/>
  <c r="R163"/>
  <c r="R166"/>
  <c r="N47" i="156"/>
  <c r="R47"/>
  <c r="R48"/>
  <c r="N48"/>
  <c r="O15" i="214"/>
  <c r="K15"/>
  <c r="L15" s="1"/>
  <c r="O20" i="199"/>
  <c r="K20"/>
  <c r="L20" s="1"/>
  <c r="O53" i="99"/>
  <c r="K53"/>
  <c r="L53" s="1"/>
  <c r="O46" i="156"/>
  <c r="K46"/>
  <c r="L46" s="1"/>
  <c r="O162" i="86"/>
  <c r="K162"/>
  <c r="L162" s="1"/>
  <c r="O161"/>
  <c r="L161"/>
  <c r="N161" s="1"/>
  <c r="K161"/>
  <c r="O160"/>
  <c r="K160"/>
  <c r="L160" s="1"/>
  <c r="O159"/>
  <c r="L159"/>
  <c r="R159" s="1"/>
  <c r="K159"/>
  <c r="O158"/>
  <c r="K158"/>
  <c r="L158" s="1"/>
  <c r="O157"/>
  <c r="L157"/>
  <c r="N157" s="1"/>
  <c r="K157"/>
  <c r="O9" i="92"/>
  <c r="K9"/>
  <c r="L9" s="1"/>
  <c r="O21" i="132"/>
  <c r="L21"/>
  <c r="N21" s="1"/>
  <c r="K21"/>
  <c r="O107" i="87"/>
  <c r="K107"/>
  <c r="L107" s="1"/>
  <c r="N107" s="1"/>
  <c r="O106"/>
  <c r="K106"/>
  <c r="L106" s="1"/>
  <c r="O156" i="86"/>
  <c r="K156"/>
  <c r="L156" s="1"/>
  <c r="O155"/>
  <c r="L155"/>
  <c r="N155" s="1"/>
  <c r="K155"/>
  <c r="O154"/>
  <c r="K154"/>
  <c r="L154" s="1"/>
  <c r="O153"/>
  <c r="L153"/>
  <c r="R153" s="1"/>
  <c r="K153"/>
  <c r="O152"/>
  <c r="K152"/>
  <c r="L152" s="1"/>
  <c r="O151"/>
  <c r="L151"/>
  <c r="N151" s="1"/>
  <c r="K151"/>
  <c r="O150"/>
  <c r="K150"/>
  <c r="L150" s="1"/>
  <c r="O149"/>
  <c r="L149"/>
  <c r="R149" s="1"/>
  <c r="K149"/>
  <c r="O148"/>
  <c r="K148"/>
  <c r="L148" s="1"/>
  <c r="O147"/>
  <c r="L147"/>
  <c r="N147" s="1"/>
  <c r="K147"/>
  <c r="O45" i="156"/>
  <c r="K45"/>
  <c r="L45" s="1"/>
  <c r="O146" i="86"/>
  <c r="K146"/>
  <c r="L146" s="1"/>
  <c r="O145"/>
  <c r="K145"/>
  <c r="L145" s="1"/>
  <c r="O144"/>
  <c r="K144"/>
  <c r="L144" s="1"/>
  <c r="O143"/>
  <c r="L143"/>
  <c r="R143" s="1"/>
  <c r="K143"/>
  <c r="O114" i="105"/>
  <c r="K114"/>
  <c r="L114" s="1"/>
  <c r="O104" i="87"/>
  <c r="L104"/>
  <c r="N104" s="1"/>
  <c r="K104"/>
  <c r="N15" i="214" l="1"/>
  <c r="R15"/>
  <c r="N20" i="199"/>
  <c r="R20"/>
  <c r="R53" i="99"/>
  <c r="N53"/>
  <c r="N46" i="156"/>
  <c r="R46"/>
  <c r="N162" i="86"/>
  <c r="R162"/>
  <c r="N160"/>
  <c r="R160"/>
  <c r="R158"/>
  <c r="N158"/>
  <c r="R157"/>
  <c r="N159"/>
  <c r="R161"/>
  <c r="N9" i="92"/>
  <c r="R9"/>
  <c r="R21" i="132"/>
  <c r="N106" i="87"/>
  <c r="R106"/>
  <c r="R107"/>
  <c r="N148" i="86"/>
  <c r="R148"/>
  <c r="N156"/>
  <c r="R156"/>
  <c r="R154"/>
  <c r="N154"/>
  <c r="R150"/>
  <c r="N150"/>
  <c r="N152"/>
  <c r="R152"/>
  <c r="R147"/>
  <c r="N149"/>
  <c r="R151"/>
  <c r="N153"/>
  <c r="R155"/>
  <c r="N45" i="156"/>
  <c r="R45"/>
  <c r="N144" i="86"/>
  <c r="R144"/>
  <c r="N146"/>
  <c r="R146"/>
  <c r="N145"/>
  <c r="R145"/>
  <c r="N143"/>
  <c r="N114" i="105"/>
  <c r="R114"/>
  <c r="R104" i="87"/>
  <c r="O27" i="215"/>
  <c r="K27"/>
  <c r="L27" s="1"/>
  <c r="O26"/>
  <c r="K26"/>
  <c r="L26" s="1"/>
  <c r="O25"/>
  <c r="L25"/>
  <c r="R25" s="1"/>
  <c r="K25"/>
  <c r="O24"/>
  <c r="K24"/>
  <c r="L24" s="1"/>
  <c r="O23"/>
  <c r="K23"/>
  <c r="L23" s="1"/>
  <c r="O22"/>
  <c r="K22"/>
  <c r="L22" s="1"/>
  <c r="O21"/>
  <c r="L21"/>
  <c r="R21" s="1"/>
  <c r="K21"/>
  <c r="O14" i="219"/>
  <c r="K14"/>
  <c r="L14" s="1"/>
  <c r="N14" s="1"/>
  <c r="O60" i="34"/>
  <c r="K60"/>
  <c r="L60" s="1"/>
  <c r="O12" i="217"/>
  <c r="K12"/>
  <c r="L12" s="1"/>
  <c r="O111" i="105"/>
  <c r="K111"/>
  <c r="L111" s="1"/>
  <c r="O169" i="23"/>
  <c r="L169"/>
  <c r="N169" s="1"/>
  <c r="K169"/>
  <c r="N22" i="215" l="1"/>
  <c r="R22"/>
  <c r="R24"/>
  <c r="N24"/>
  <c r="N23"/>
  <c r="R23"/>
  <c r="N27"/>
  <c r="R27"/>
  <c r="N26"/>
  <c r="R26"/>
  <c r="N21"/>
  <c r="N25"/>
  <c r="L82" i="219"/>
  <c r="R14"/>
  <c r="N60" i="34"/>
  <c r="R60"/>
  <c r="N12" i="217"/>
  <c r="R12"/>
  <c r="N111" i="105"/>
  <c r="R111"/>
  <c r="R169" i="23"/>
  <c r="O11" i="218"/>
  <c r="K11"/>
  <c r="L11" s="1"/>
  <c r="O43" i="156"/>
  <c r="K43"/>
  <c r="L43" s="1"/>
  <c r="O110" i="105"/>
  <c r="K110"/>
  <c r="L110" s="1"/>
  <c r="O18" i="157"/>
  <c r="K18"/>
  <c r="L18" s="1"/>
  <c r="O58" i="144"/>
  <c r="L58"/>
  <c r="N58" s="1"/>
  <c r="K58"/>
  <c r="O42" i="156"/>
  <c r="K42"/>
  <c r="L42" s="1"/>
  <c r="O41"/>
  <c r="K41"/>
  <c r="L41" s="1"/>
  <c r="O24" i="209"/>
  <c r="K24"/>
  <c r="L24" s="1"/>
  <c r="N11" i="218" l="1"/>
  <c r="R11"/>
  <c r="N43" i="156"/>
  <c r="R43"/>
  <c r="N110" i="105"/>
  <c r="R110"/>
  <c r="N18" i="157"/>
  <c r="R18"/>
  <c r="R58" i="144"/>
  <c r="N42" i="156"/>
  <c r="R42"/>
  <c r="N41"/>
  <c r="R41"/>
  <c r="R24" i="209"/>
  <c r="N24"/>
  <c r="O22"/>
  <c r="L22"/>
  <c r="N22" s="1"/>
  <c r="K22"/>
  <c r="R22" l="1"/>
  <c r="O30" i="73"/>
  <c r="N30"/>
  <c r="L30"/>
  <c r="R30" s="1"/>
  <c r="K30"/>
  <c r="O10" i="95"/>
  <c r="N10"/>
  <c r="L10"/>
  <c r="R10" s="1"/>
  <c r="K10"/>
  <c r="O15" i="201"/>
  <c r="N15"/>
  <c r="L15"/>
  <c r="R15" s="1"/>
  <c r="K15"/>
  <c r="O22" i="145"/>
  <c r="K22"/>
  <c r="L22" s="1"/>
  <c r="O109" i="105"/>
  <c r="N109"/>
  <c r="L109"/>
  <c r="R109" s="1"/>
  <c r="K109"/>
  <c r="O108"/>
  <c r="K108"/>
  <c r="L108" s="1"/>
  <c r="N22" i="145" l="1"/>
  <c r="R22"/>
  <c r="N108" i="105"/>
  <c r="R108"/>
  <c r="O26" i="159"/>
  <c r="L26"/>
  <c r="R26" s="1"/>
  <c r="K26"/>
  <c r="O22" i="83"/>
  <c r="N22"/>
  <c r="L22"/>
  <c r="R22" s="1"/>
  <c r="K22"/>
  <c r="O39" i="156"/>
  <c r="L39"/>
  <c r="N39" s="1"/>
  <c r="K39"/>
  <c r="O107" i="105"/>
  <c r="N107"/>
  <c r="L107"/>
  <c r="R107" s="1"/>
  <c r="K107"/>
  <c r="Q66" i="43"/>
  <c r="O66"/>
  <c r="K66"/>
  <c r="L66" s="1"/>
  <c r="O58" i="34"/>
  <c r="L58"/>
  <c r="N58" s="1"/>
  <c r="K58"/>
  <c r="O167" i="23"/>
  <c r="N167"/>
  <c r="L167"/>
  <c r="R167" s="1"/>
  <c r="K167"/>
  <c r="K11" i="210"/>
  <c r="L11" s="1"/>
  <c r="O106" i="105"/>
  <c r="K106"/>
  <c r="L106" s="1"/>
  <c r="O165" i="23"/>
  <c r="N165"/>
  <c r="L165"/>
  <c r="R165" s="1"/>
  <c r="K165"/>
  <c r="O37" i="25"/>
  <c r="K37"/>
  <c r="L37" s="1"/>
  <c r="O38" i="156"/>
  <c r="K38"/>
  <c r="L38" s="1"/>
  <c r="K138" i="86"/>
  <c r="L138" s="1"/>
  <c r="O138"/>
  <c r="O105" i="105"/>
  <c r="K105"/>
  <c r="L105" s="1"/>
  <c r="O104"/>
  <c r="K104"/>
  <c r="L104" s="1"/>
  <c r="O103"/>
  <c r="L103"/>
  <c r="N103" s="1"/>
  <c r="K103"/>
  <c r="O12" i="214"/>
  <c r="K12"/>
  <c r="L12" s="1"/>
  <c r="O46" i="24"/>
  <c r="K46"/>
  <c r="L46" s="1"/>
  <c r="O20" i="83"/>
  <c r="K20"/>
  <c r="L20" s="1"/>
  <c r="O137" i="86"/>
  <c r="N137"/>
  <c r="L137"/>
  <c r="R137" s="1"/>
  <c r="K137"/>
  <c r="O136"/>
  <c r="K136"/>
  <c r="L136" s="1"/>
  <c r="O37" i="156"/>
  <c r="N37"/>
  <c r="L37"/>
  <c r="R37" s="1"/>
  <c r="K37"/>
  <c r="O36"/>
  <c r="K36"/>
  <c r="L36" s="1"/>
  <c r="O163" i="23"/>
  <c r="K163"/>
  <c r="L163" s="1"/>
  <c r="O24" i="100"/>
  <c r="K24"/>
  <c r="L24" s="1"/>
  <c r="O135" i="86"/>
  <c r="K135"/>
  <c r="L135" s="1"/>
  <c r="O51" i="99"/>
  <c r="K51"/>
  <c r="L51" s="1"/>
  <c r="O50"/>
  <c r="L50"/>
  <c r="N50" s="1"/>
  <c r="K50"/>
  <c r="O19" i="132"/>
  <c r="K19"/>
  <c r="L19" s="1"/>
  <c r="O10" i="217"/>
  <c r="K10"/>
  <c r="L10" s="1"/>
  <c r="O134" i="86"/>
  <c r="K134"/>
  <c r="L134" s="1"/>
  <c r="O133"/>
  <c r="L133"/>
  <c r="N133" s="1"/>
  <c r="K133"/>
  <c r="O132"/>
  <c r="N132"/>
  <c r="L132"/>
  <c r="R132" s="1"/>
  <c r="K132"/>
  <c r="O131"/>
  <c r="K131"/>
  <c r="L131" s="1"/>
  <c r="K26" i="130"/>
  <c r="L26" s="1"/>
  <c r="O130" i="86"/>
  <c r="K130"/>
  <c r="L130" s="1"/>
  <c r="O56" i="144"/>
  <c r="K56"/>
  <c r="L56" s="1"/>
  <c r="O55"/>
  <c r="L55"/>
  <c r="N55" s="1"/>
  <c r="K55"/>
  <c r="O54"/>
  <c r="N54"/>
  <c r="L54"/>
  <c r="R54" s="1"/>
  <c r="K54"/>
  <c r="K64" i="43"/>
  <c r="L64" s="1"/>
  <c r="O102" i="105"/>
  <c r="K102"/>
  <c r="L102" s="1"/>
  <c r="O88" i="28"/>
  <c r="K88"/>
  <c r="L88" s="1"/>
  <c r="O53" i="144"/>
  <c r="N53"/>
  <c r="L53"/>
  <c r="R53" s="1"/>
  <c r="K53"/>
  <c r="O101" i="105"/>
  <c r="K101"/>
  <c r="L101" s="1"/>
  <c r="O100"/>
  <c r="K100"/>
  <c r="L100" s="1"/>
  <c r="O56" i="34"/>
  <c r="K56"/>
  <c r="L56" s="1"/>
  <c r="O52" i="144"/>
  <c r="K52"/>
  <c r="L52" s="1"/>
  <c r="O51"/>
  <c r="L51"/>
  <c r="N51" s="1"/>
  <c r="K51"/>
  <c r="O87" i="28"/>
  <c r="L87"/>
  <c r="N87" s="1"/>
  <c r="K87"/>
  <c r="V172" i="9"/>
  <c r="V174" s="1"/>
  <c r="O19" i="215"/>
  <c r="K19"/>
  <c r="L19" s="1"/>
  <c r="K12" i="175"/>
  <c r="L12" s="1"/>
  <c r="O99" i="105"/>
  <c r="K99"/>
  <c r="L99" s="1"/>
  <c r="O49" i="99"/>
  <c r="L49"/>
  <c r="N49" s="1"/>
  <c r="K49"/>
  <c r="O161" i="23"/>
  <c r="K161"/>
  <c r="L161" s="1"/>
  <c r="O22" i="100"/>
  <c r="L22"/>
  <c r="N22" s="1"/>
  <c r="K22"/>
  <c r="O98" i="105"/>
  <c r="K98"/>
  <c r="L98" s="1"/>
  <c r="O97"/>
  <c r="K97"/>
  <c r="L97" s="1"/>
  <c r="N97" s="1"/>
  <c r="O20" i="209"/>
  <c r="K20"/>
  <c r="L20" s="1"/>
  <c r="O50" i="144"/>
  <c r="K50"/>
  <c r="L50" s="1"/>
  <c r="O49"/>
  <c r="L49"/>
  <c r="N49" s="1"/>
  <c r="K49"/>
  <c r="O48" i="99"/>
  <c r="K48"/>
  <c r="L48" s="1"/>
  <c r="O96" i="105"/>
  <c r="K96"/>
  <c r="L96" s="1"/>
  <c r="O95"/>
  <c r="K95"/>
  <c r="L95" s="1"/>
  <c r="N95" s="1"/>
  <c r="O94"/>
  <c r="K94"/>
  <c r="L94" s="1"/>
  <c r="O86" i="28"/>
  <c r="K86"/>
  <c r="L86" s="1"/>
  <c r="O19" i="209"/>
  <c r="K19"/>
  <c r="L19" s="1"/>
  <c r="L16" i="157"/>
  <c r="N16" s="1"/>
  <c r="K16"/>
  <c r="O47" i="99"/>
  <c r="K47"/>
  <c r="L47" s="1"/>
  <c r="O46"/>
  <c r="L46"/>
  <c r="N46" s="1"/>
  <c r="K46"/>
  <c r="O45"/>
  <c r="K45"/>
  <c r="L45" s="1"/>
  <c r="O93" i="105"/>
  <c r="K93"/>
  <c r="L93" s="1"/>
  <c r="O17" i="215"/>
  <c r="K17"/>
  <c r="L17" s="1"/>
  <c r="O16"/>
  <c r="L16"/>
  <c r="N16" s="1"/>
  <c r="K16"/>
  <c r="O9" i="216"/>
  <c r="K9"/>
  <c r="L9" s="1"/>
  <c r="O18" i="83"/>
  <c r="L18"/>
  <c r="N18" s="1"/>
  <c r="K18"/>
  <c r="O92" i="105"/>
  <c r="K92"/>
  <c r="L92" s="1"/>
  <c r="Q62" i="43"/>
  <c r="K62"/>
  <c r="L62" s="1"/>
  <c r="O27" i="131"/>
  <c r="K27"/>
  <c r="L27" s="1"/>
  <c r="O17" i="132"/>
  <c r="K17"/>
  <c r="L17" s="1"/>
  <c r="O28" i="101"/>
  <c r="K28"/>
  <c r="L28" s="1"/>
  <c r="O14" i="215"/>
  <c r="K14"/>
  <c r="L14" s="1"/>
  <c r="O20" i="151"/>
  <c r="K20"/>
  <c r="L20" s="1"/>
  <c r="O54" i="34"/>
  <c r="K54"/>
  <c r="L54" s="1"/>
  <c r="I32" i="213"/>
  <c r="J32"/>
  <c r="K32"/>
  <c r="L32"/>
  <c r="M32"/>
  <c r="N32"/>
  <c r="O32"/>
  <c r="H32"/>
  <c r="O27"/>
  <c r="K27"/>
  <c r="L27" s="1"/>
  <c r="O26"/>
  <c r="L26"/>
  <c r="N26" s="1"/>
  <c r="K26"/>
  <c r="O25"/>
  <c r="K25"/>
  <c r="L25" s="1"/>
  <c r="O24"/>
  <c r="L24"/>
  <c r="R24" s="1"/>
  <c r="K24"/>
  <c r="O23"/>
  <c r="K23"/>
  <c r="L23" s="1"/>
  <c r="O12" i="215"/>
  <c r="K12"/>
  <c r="L12" s="1"/>
  <c r="O10" i="214"/>
  <c r="K10"/>
  <c r="L10" s="1"/>
  <c r="O22" i="213"/>
  <c r="K22"/>
  <c r="L22" s="1"/>
  <c r="O21"/>
  <c r="L21"/>
  <c r="N21" s="1"/>
  <c r="K21"/>
  <c r="O20"/>
  <c r="N20"/>
  <c r="L20"/>
  <c r="R20" s="1"/>
  <c r="K20"/>
  <c r="O19"/>
  <c r="K19"/>
  <c r="L19" s="1"/>
  <c r="O18"/>
  <c r="K18"/>
  <c r="L18" s="1"/>
  <c r="O91" i="105"/>
  <c r="K91"/>
  <c r="L91" s="1"/>
  <c r="N26" i="159" l="1"/>
  <c r="R39" i="156"/>
  <c r="R66" i="43"/>
  <c r="N66"/>
  <c r="R58" i="34"/>
  <c r="R11" i="210"/>
  <c r="N11"/>
  <c r="N106" i="105"/>
  <c r="R106"/>
  <c r="R37" i="25"/>
  <c r="N37"/>
  <c r="M38" i="156"/>
  <c r="R38"/>
  <c r="N38"/>
  <c r="R101" i="105"/>
  <c r="N101"/>
  <c r="R91"/>
  <c r="N91"/>
  <c r="R94"/>
  <c r="N94"/>
  <c r="N138" i="86"/>
  <c r="R138"/>
  <c r="N105" i="105"/>
  <c r="R105"/>
  <c r="N104"/>
  <c r="R104"/>
  <c r="R103"/>
  <c r="R12" i="214"/>
  <c r="N12"/>
  <c r="N46" i="24"/>
  <c r="R46"/>
  <c r="R20" i="83"/>
  <c r="N20"/>
  <c r="R136" i="86"/>
  <c r="N136"/>
  <c r="N36" i="156"/>
  <c r="R36"/>
  <c r="R163" i="23"/>
  <c r="N163"/>
  <c r="R24" i="100"/>
  <c r="N24"/>
  <c r="R135" i="86"/>
  <c r="L141"/>
  <c r="N135"/>
  <c r="N51" i="99"/>
  <c r="R51"/>
  <c r="R50"/>
  <c r="N19" i="132"/>
  <c r="R19"/>
  <c r="N10" i="217"/>
  <c r="R10"/>
  <c r="N134" i="86"/>
  <c r="R134"/>
  <c r="R131"/>
  <c r="N131"/>
  <c r="R133"/>
  <c r="N26" i="130"/>
  <c r="R26"/>
  <c r="N130" i="86"/>
  <c r="R130"/>
  <c r="R56" i="144"/>
  <c r="N56"/>
  <c r="R55"/>
  <c r="R64" i="43"/>
  <c r="N64"/>
  <c r="N102" i="105"/>
  <c r="R102"/>
  <c r="R88" i="28"/>
  <c r="N88"/>
  <c r="N100" i="105"/>
  <c r="R100"/>
  <c r="N56" i="34"/>
  <c r="R56"/>
  <c r="N52" i="144"/>
  <c r="R52"/>
  <c r="R51"/>
  <c r="R87" i="28"/>
  <c r="N19" i="215"/>
  <c r="R19"/>
  <c r="N12" i="175"/>
  <c r="R12"/>
  <c r="N99" i="105"/>
  <c r="R99"/>
  <c r="R49" i="99"/>
  <c r="R161" i="23"/>
  <c r="N161"/>
  <c r="R22" i="100"/>
  <c r="N98" i="105"/>
  <c r="R98"/>
  <c r="R97"/>
  <c r="N20" i="209"/>
  <c r="R20"/>
  <c r="N50" i="144"/>
  <c r="R50"/>
  <c r="R49"/>
  <c r="N48" i="99"/>
  <c r="R48"/>
  <c r="R96" i="105"/>
  <c r="N96"/>
  <c r="R95"/>
  <c r="N86" i="28"/>
  <c r="R86"/>
  <c r="N19" i="209"/>
  <c r="R19"/>
  <c r="R16" i="157"/>
  <c r="N47" i="99"/>
  <c r="R47"/>
  <c r="N45"/>
  <c r="R45"/>
  <c r="R46"/>
  <c r="N93" i="105"/>
  <c r="R93"/>
  <c r="N17" i="215"/>
  <c r="N9" i="216"/>
  <c r="R9"/>
  <c r="R18" i="83"/>
  <c r="N92" i="105"/>
  <c r="R92"/>
  <c r="N62" i="43"/>
  <c r="R62"/>
  <c r="N27" i="131"/>
  <c r="R27"/>
  <c r="N17" i="132"/>
  <c r="R17"/>
  <c r="R28" i="101"/>
  <c r="N28"/>
  <c r="N14" i="215"/>
  <c r="N20" i="151"/>
  <c r="R20"/>
  <c r="N54" i="34"/>
  <c r="R54"/>
  <c r="R25" i="213"/>
  <c r="N25"/>
  <c r="N27"/>
  <c r="R27"/>
  <c r="N23"/>
  <c r="R23"/>
  <c r="N24"/>
  <c r="R26"/>
  <c r="N12" i="215"/>
  <c r="L96"/>
  <c r="N10" i="214"/>
  <c r="R10"/>
  <c r="N18" i="213"/>
  <c r="R18"/>
  <c r="N22"/>
  <c r="R22"/>
  <c r="R19"/>
  <c r="N19"/>
  <c r="R21"/>
  <c r="O24" i="159"/>
  <c r="K24"/>
  <c r="L24" s="1"/>
  <c r="O17" i="213"/>
  <c r="K17"/>
  <c r="L17" s="1"/>
  <c r="O16"/>
  <c r="K16"/>
  <c r="L16" s="1"/>
  <c r="N16" s="1"/>
  <c r="O15"/>
  <c r="K15"/>
  <c r="L15" s="1"/>
  <c r="O14"/>
  <c r="K14"/>
  <c r="L14" s="1"/>
  <c r="O13"/>
  <c r="K13"/>
  <c r="L13" s="1"/>
  <c r="O12"/>
  <c r="L12"/>
  <c r="N12" s="1"/>
  <c r="K12"/>
  <c r="O11"/>
  <c r="K11"/>
  <c r="L11" s="1"/>
  <c r="O48" i="144"/>
  <c r="K48"/>
  <c r="L48" s="1"/>
  <c r="O85" i="28"/>
  <c r="K85"/>
  <c r="L85" s="1"/>
  <c r="O84"/>
  <c r="L84"/>
  <c r="N84" s="1"/>
  <c r="K84"/>
  <c r="O83"/>
  <c r="N83"/>
  <c r="L83"/>
  <c r="R83" s="1"/>
  <c r="K83"/>
  <c r="O28" i="73"/>
  <c r="K28"/>
  <c r="L28" s="1"/>
  <c r="O9" i="207"/>
  <c r="K9"/>
  <c r="L9" s="1"/>
  <c r="K14" i="161"/>
  <c r="H14"/>
  <c r="L14" s="1"/>
  <c r="O13"/>
  <c r="N13"/>
  <c r="L13"/>
  <c r="R13" s="1"/>
  <c r="K13"/>
  <c r="O34" i="88"/>
  <c r="K34"/>
  <c r="L34" s="1"/>
  <c r="O33"/>
  <c r="L33"/>
  <c r="N33" s="1"/>
  <c r="K33"/>
  <c r="O90" i="105"/>
  <c r="K90"/>
  <c r="L90" s="1"/>
  <c r="O102" i="87"/>
  <c r="L102"/>
  <c r="N102" s="1"/>
  <c r="K102"/>
  <c r="O32" i="108"/>
  <c r="K32"/>
  <c r="L32" s="1"/>
  <c r="O89" i="105"/>
  <c r="K89"/>
  <c r="L89" s="1"/>
  <c r="O14" i="212"/>
  <c r="L14"/>
  <c r="N14" s="1"/>
  <c r="K14"/>
  <c r="O13"/>
  <c r="N13"/>
  <c r="L13"/>
  <c r="R13" s="1"/>
  <c r="K13"/>
  <c r="O12"/>
  <c r="K12"/>
  <c r="L12" s="1"/>
  <c r="O82" i="28"/>
  <c r="N82"/>
  <c r="L82"/>
  <c r="R82" s="1"/>
  <c r="K82"/>
  <c r="O59" i="102"/>
  <c r="L59"/>
  <c r="N59" s="1"/>
  <c r="K59"/>
  <c r="O18" i="151"/>
  <c r="K18"/>
  <c r="L18" s="1"/>
  <c r="O10" i="211"/>
  <c r="K10"/>
  <c r="L10" s="1"/>
  <c r="N24" i="159" l="1"/>
  <c r="R24"/>
  <c r="R11" i="213"/>
  <c r="N11"/>
  <c r="R14"/>
  <c r="N14"/>
  <c r="N17"/>
  <c r="R17"/>
  <c r="N13"/>
  <c r="R13"/>
  <c r="R15"/>
  <c r="N15"/>
  <c r="R12"/>
  <c r="R16"/>
  <c r="N48" i="144"/>
  <c r="R48"/>
  <c r="N85" i="28"/>
  <c r="R85"/>
  <c r="R84"/>
  <c r="R28" i="73"/>
  <c r="N28"/>
  <c r="N9" i="207"/>
  <c r="R9"/>
  <c r="N14" i="161"/>
  <c r="R14"/>
  <c r="O14"/>
  <c r="N34" i="88"/>
  <c r="R34"/>
  <c r="R33"/>
  <c r="R90" i="105"/>
  <c r="N90"/>
  <c r="R102" i="87"/>
  <c r="N32" i="108"/>
  <c r="R32"/>
  <c r="N89" i="105"/>
  <c r="R89"/>
  <c r="R12" i="212"/>
  <c r="N12"/>
  <c r="L100"/>
  <c r="R14"/>
  <c r="R59" i="102"/>
  <c r="N18" i="151"/>
  <c r="R18"/>
  <c r="N10" i="211"/>
  <c r="R10"/>
  <c r="Q60" i="43"/>
  <c r="K60"/>
  <c r="L60" s="1"/>
  <c r="O13" i="201"/>
  <c r="K13"/>
  <c r="L13" s="1"/>
  <c r="I13"/>
  <c r="O18" i="199"/>
  <c r="K18"/>
  <c r="L18" s="1"/>
  <c r="O17"/>
  <c r="L17"/>
  <c r="N17" s="1"/>
  <c r="K17"/>
  <c r="O17" i="209"/>
  <c r="K17"/>
  <c r="L17" s="1"/>
  <c r="O16"/>
  <c r="L16"/>
  <c r="N16" s="1"/>
  <c r="K16"/>
  <c r="O9" i="210"/>
  <c r="K9"/>
  <c r="L9" s="1"/>
  <c r="O10" i="188"/>
  <c r="K10"/>
  <c r="L10" s="1"/>
  <c r="O16" i="199"/>
  <c r="K16"/>
  <c r="L16" s="1"/>
  <c r="O15"/>
  <c r="K15"/>
  <c r="L15" s="1"/>
  <c r="O128" i="86"/>
  <c r="K128"/>
  <c r="L128" s="1"/>
  <c r="O127"/>
  <c r="L127"/>
  <c r="N127" s="1"/>
  <c r="K127"/>
  <c r="O14" i="209"/>
  <c r="K14"/>
  <c r="L14" s="1"/>
  <c r="N14" s="1"/>
  <c r="O10" i="205"/>
  <c r="L10"/>
  <c r="N10" s="1"/>
  <c r="K10"/>
  <c r="O126" i="86"/>
  <c r="K126"/>
  <c r="L126" s="1"/>
  <c r="O125"/>
  <c r="L125"/>
  <c r="N125" s="1"/>
  <c r="K125"/>
  <c r="O124"/>
  <c r="K124"/>
  <c r="L124" s="1"/>
  <c r="R60" i="43" l="1"/>
  <c r="N60"/>
  <c r="N13" i="201"/>
  <c r="R13"/>
  <c r="N18" i="199"/>
  <c r="R18"/>
  <c r="R17"/>
  <c r="N17" i="209"/>
  <c r="R17"/>
  <c r="R16"/>
  <c r="N9" i="210"/>
  <c r="R9"/>
  <c r="N10" i="188"/>
  <c r="R10"/>
  <c r="N16" i="199"/>
  <c r="R16"/>
  <c r="N15"/>
  <c r="R15"/>
  <c r="N128" i="86"/>
  <c r="R128"/>
  <c r="R127"/>
  <c r="R14" i="209"/>
  <c r="R10" i="205"/>
  <c r="N126" i="86"/>
  <c r="R126"/>
  <c r="R124"/>
  <c r="N124"/>
  <c r="R125"/>
  <c r="O52" i="34"/>
  <c r="K52"/>
  <c r="L52" s="1"/>
  <c r="O44" i="24"/>
  <c r="L44"/>
  <c r="N44" s="1"/>
  <c r="K44"/>
  <c r="R14" i="208"/>
  <c r="N14"/>
  <c r="L14"/>
  <c r="K14"/>
  <c r="O11" i="201"/>
  <c r="K11"/>
  <c r="L11" s="1"/>
  <c r="N52" i="34" l="1"/>
  <c r="R52"/>
  <c r="R44" i="24"/>
  <c r="N11" i="201"/>
  <c r="R11"/>
  <c r="O88" i="105"/>
  <c r="L88"/>
  <c r="N88" s="1"/>
  <c r="K88"/>
  <c r="O14" i="120"/>
  <c r="K14"/>
  <c r="L14" s="1"/>
  <c r="O13"/>
  <c r="L13"/>
  <c r="N13" s="1"/>
  <c r="K13"/>
  <c r="O12"/>
  <c r="K12"/>
  <c r="L12" s="1"/>
  <c r="O87" i="105"/>
  <c r="K87"/>
  <c r="L87" s="1"/>
  <c r="L12" i="208"/>
  <c r="N12" s="1"/>
  <c r="K12"/>
  <c r="O12" i="209"/>
  <c r="K12"/>
  <c r="L12" s="1"/>
  <c r="O11"/>
  <c r="L11"/>
  <c r="N11" s="1"/>
  <c r="K11"/>
  <c r="O10"/>
  <c r="L10"/>
  <c r="R10" s="1"/>
  <c r="K10"/>
  <c r="O159" i="23"/>
  <c r="L159"/>
  <c r="N159" s="1"/>
  <c r="K159"/>
  <c r="Q58" i="43"/>
  <c r="O58"/>
  <c r="L58"/>
  <c r="N58" s="1"/>
  <c r="K58"/>
  <c r="O83" i="105"/>
  <c r="L83"/>
  <c r="N83" s="1"/>
  <c r="K83"/>
  <c r="O123" i="86"/>
  <c r="N123"/>
  <c r="L123"/>
  <c r="R123" s="1"/>
  <c r="K123"/>
  <c r="O47" i="144"/>
  <c r="N47"/>
  <c r="L47"/>
  <c r="R47" s="1"/>
  <c r="K47"/>
  <c r="K24" i="130"/>
  <c r="L24" s="1"/>
  <c r="O122" i="86"/>
  <c r="K122"/>
  <c r="L122" s="1"/>
  <c r="O121"/>
  <c r="K121"/>
  <c r="L121" s="1"/>
  <c r="N121" s="1"/>
  <c r="O120"/>
  <c r="K120"/>
  <c r="L120" s="1"/>
  <c r="O119"/>
  <c r="K119"/>
  <c r="L119" s="1"/>
  <c r="K10" i="208"/>
  <c r="L10" s="1"/>
  <c r="R23" i="203"/>
  <c r="L23"/>
  <c r="N23" s="1"/>
  <c r="K23"/>
  <c r="O46" i="144"/>
  <c r="K46"/>
  <c r="L46" s="1"/>
  <c r="O45"/>
  <c r="K45"/>
  <c r="L45" s="1"/>
  <c r="N45" s="1"/>
  <c r="O82" i="105"/>
  <c r="K82"/>
  <c r="L82" s="1"/>
  <c r="O16" i="83"/>
  <c r="K16"/>
  <c r="L16" s="1"/>
  <c r="N10" i="209" l="1"/>
  <c r="R88" i="105"/>
  <c r="R12" i="120"/>
  <c r="N12"/>
  <c r="N14"/>
  <c r="R14"/>
  <c r="R13"/>
  <c r="N87" i="105"/>
  <c r="R87"/>
  <c r="R12" i="208"/>
  <c r="N12" i="209"/>
  <c r="R12"/>
  <c r="R11"/>
  <c r="L105"/>
  <c r="R159" i="23"/>
  <c r="R58" i="43"/>
  <c r="R83" i="105"/>
  <c r="R24" i="130"/>
  <c r="N24"/>
  <c r="R120" i="86"/>
  <c r="N120"/>
  <c r="R119"/>
  <c r="N119"/>
  <c r="N122"/>
  <c r="R122"/>
  <c r="R121"/>
  <c r="R10" i="208"/>
  <c r="N10"/>
  <c r="L108"/>
  <c r="N46" i="144"/>
  <c r="R46"/>
  <c r="R45"/>
  <c r="R82" i="105"/>
  <c r="N82"/>
  <c r="N16" i="83"/>
  <c r="R16"/>
  <c r="O44" i="144"/>
  <c r="K44"/>
  <c r="L44" s="1"/>
  <c r="O43"/>
  <c r="K43"/>
  <c r="L43" s="1"/>
  <c r="O42"/>
  <c r="K42"/>
  <c r="L42" s="1"/>
  <c r="N42" s="1"/>
  <c r="O157" i="23"/>
  <c r="K157"/>
  <c r="L157" s="1"/>
  <c r="O50" i="34"/>
  <c r="N50"/>
  <c r="L50"/>
  <c r="R50" s="1"/>
  <c r="K50"/>
  <c r="O9" i="158"/>
  <c r="K9"/>
  <c r="L9" s="1"/>
  <c r="O155" i="23"/>
  <c r="L155"/>
  <c r="N155" s="1"/>
  <c r="K155"/>
  <c r="O7" i="207"/>
  <c r="K7"/>
  <c r="L7" s="1"/>
  <c r="N7" s="1"/>
  <c r="O13" i="194"/>
  <c r="L13"/>
  <c r="N13" s="1"/>
  <c r="K13"/>
  <c r="O41" i="144"/>
  <c r="K41"/>
  <c r="L41" s="1"/>
  <c r="O81" i="105"/>
  <c r="K81"/>
  <c r="L81" s="1"/>
  <c r="O80"/>
  <c r="L80"/>
  <c r="N80" s="1"/>
  <c r="K80"/>
  <c r="O79"/>
  <c r="N79"/>
  <c r="L79"/>
  <c r="R79" s="1"/>
  <c r="K79"/>
  <c r="N44" i="144" l="1"/>
  <c r="R44"/>
  <c r="N43"/>
  <c r="R43"/>
  <c r="R42"/>
  <c r="N157" i="23"/>
  <c r="R157"/>
  <c r="N9" i="158"/>
  <c r="R9"/>
  <c r="R155" i="23"/>
  <c r="R7" i="207"/>
  <c r="R13" i="194"/>
  <c r="N41" i="144"/>
  <c r="R41"/>
  <c r="N81" i="105"/>
  <c r="R81"/>
  <c r="R80"/>
  <c r="O13" i="83"/>
  <c r="N13"/>
  <c r="L13"/>
  <c r="R13" s="1"/>
  <c r="K13"/>
  <c r="O40" i="144"/>
  <c r="K40"/>
  <c r="L40" s="1"/>
  <c r="R40" s="1"/>
  <c r="O39"/>
  <c r="K39"/>
  <c r="L39" s="1"/>
  <c r="O38"/>
  <c r="K38"/>
  <c r="L38" s="1"/>
  <c r="O37"/>
  <c r="K37"/>
  <c r="L37" s="1"/>
  <c r="N37" s="1"/>
  <c r="O36"/>
  <c r="K36"/>
  <c r="L36" s="1"/>
  <c r="O35"/>
  <c r="K35"/>
  <c r="L35" s="1"/>
  <c r="O30" i="108"/>
  <c r="N30"/>
  <c r="L30"/>
  <c r="R30" s="1"/>
  <c r="K30"/>
  <c r="O78" i="105"/>
  <c r="L78"/>
  <c r="R78" s="1"/>
  <c r="K78"/>
  <c r="O77"/>
  <c r="K77"/>
  <c r="L77" s="1"/>
  <c r="O76"/>
  <c r="L76"/>
  <c r="N76" s="1"/>
  <c r="K76"/>
  <c r="O49" i="163"/>
  <c r="K49"/>
  <c r="L49" s="1"/>
  <c r="O75" i="105"/>
  <c r="L75"/>
  <c r="N75" s="1"/>
  <c r="K75"/>
  <c r="O153" i="23"/>
  <c r="K153"/>
  <c r="L153" s="1"/>
  <c r="O10" i="175"/>
  <c r="K10"/>
  <c r="L10" s="1"/>
  <c r="O9" i="206"/>
  <c r="K9"/>
  <c r="L9" s="1"/>
  <c r="O35" i="25"/>
  <c r="K35"/>
  <c r="L35" s="1"/>
  <c r="O26" i="67"/>
  <c r="K26"/>
  <c r="L26" s="1"/>
  <c r="O73" i="105"/>
  <c r="K73"/>
  <c r="L73" s="1"/>
  <c r="N73" s="1"/>
  <c r="O22" i="159"/>
  <c r="K22"/>
  <c r="L22" s="1"/>
  <c r="O151" i="23"/>
  <c r="K151"/>
  <c r="L151" s="1"/>
  <c r="O25" i="131"/>
  <c r="K25"/>
  <c r="L25" s="1"/>
  <c r="O26" i="73"/>
  <c r="K26"/>
  <c r="L26" s="1"/>
  <c r="O42" i="24"/>
  <c r="K42"/>
  <c r="L42" s="1"/>
  <c r="O41"/>
  <c r="K41"/>
  <c r="L41" s="1"/>
  <c r="O15" i="132"/>
  <c r="K15"/>
  <c r="L15" s="1"/>
  <c r="O31" i="88"/>
  <c r="K31"/>
  <c r="L31" s="1"/>
  <c r="O21" i="203"/>
  <c r="K21"/>
  <c r="L21" s="1"/>
  <c r="O20"/>
  <c r="K20"/>
  <c r="L20" s="1"/>
  <c r="O19"/>
  <c r="K19"/>
  <c r="L19" s="1"/>
  <c r="O18"/>
  <c r="L18"/>
  <c r="R18" s="1"/>
  <c r="K18"/>
  <c r="O17"/>
  <c r="N17"/>
  <c r="L17"/>
  <c r="R17" s="1"/>
  <c r="K17"/>
  <c r="N78" i="105" l="1"/>
  <c r="R36" i="144"/>
  <c r="N36"/>
  <c r="N40"/>
  <c r="R39"/>
  <c r="N39"/>
  <c r="N38"/>
  <c r="R38"/>
  <c r="R35"/>
  <c r="N35"/>
  <c r="R37"/>
  <c r="N77" i="105"/>
  <c r="R77"/>
  <c r="R76"/>
  <c r="N49" i="163"/>
  <c r="R49"/>
  <c r="R75" i="105"/>
  <c r="N153" i="23"/>
  <c r="R153"/>
  <c r="N10" i="175"/>
  <c r="R10"/>
  <c r="N9" i="206"/>
  <c r="R9"/>
  <c r="N35" i="25"/>
  <c r="R35"/>
  <c r="N26" i="67"/>
  <c r="R26"/>
  <c r="R73" i="105"/>
  <c r="N22" i="159"/>
  <c r="R22"/>
  <c r="N151" i="23"/>
  <c r="R151"/>
  <c r="N25" i="131"/>
  <c r="R25"/>
  <c r="N26" i="73"/>
  <c r="R26"/>
  <c r="N42" i="24"/>
  <c r="R42"/>
  <c r="N41"/>
  <c r="R41"/>
  <c r="N15" i="132"/>
  <c r="R15"/>
  <c r="N31" i="88"/>
  <c r="R31"/>
  <c r="N19" i="203"/>
  <c r="R19"/>
  <c r="N21"/>
  <c r="R21"/>
  <c r="N20"/>
  <c r="R20"/>
  <c r="N18"/>
  <c r="O13" i="199"/>
  <c r="K13"/>
  <c r="L13" s="1"/>
  <c r="O100" i="87"/>
  <c r="K100"/>
  <c r="L100" s="1"/>
  <c r="O48" i="34"/>
  <c r="L48"/>
  <c r="N48" s="1"/>
  <c r="K48"/>
  <c r="O12" i="199"/>
  <c r="K12"/>
  <c r="L12" s="1"/>
  <c r="O11"/>
  <c r="L11"/>
  <c r="N11" s="1"/>
  <c r="K11"/>
  <c r="O16" i="203"/>
  <c r="K16"/>
  <c r="L16" s="1"/>
  <c r="O15"/>
  <c r="K15"/>
  <c r="L15" s="1"/>
  <c r="O14"/>
  <c r="L14"/>
  <c r="R14" s="1"/>
  <c r="K14"/>
  <c r="O8" i="205"/>
  <c r="K8"/>
  <c r="L8" s="1"/>
  <c r="O8" i="204"/>
  <c r="K8"/>
  <c r="L8" s="1"/>
  <c r="O13" i="203"/>
  <c r="K13"/>
  <c r="L13" s="1"/>
  <c r="N13" s="1"/>
  <c r="O12"/>
  <c r="K12"/>
  <c r="L12" s="1"/>
  <c r="O11"/>
  <c r="K11"/>
  <c r="L11" s="1"/>
  <c r="O10"/>
  <c r="K10"/>
  <c r="L10" s="1"/>
  <c r="O9"/>
  <c r="L9"/>
  <c r="N9" s="1"/>
  <c r="K9"/>
  <c r="O22" i="130"/>
  <c r="K22"/>
  <c r="L22" s="1"/>
  <c r="O9" i="202"/>
  <c r="K9"/>
  <c r="L9" s="1"/>
  <c r="O8"/>
  <c r="K8"/>
  <c r="L8" s="1"/>
  <c r="O71" i="105"/>
  <c r="K71"/>
  <c r="L71" s="1"/>
  <c r="O70"/>
  <c r="K70"/>
  <c r="L70" s="1"/>
  <c r="O69"/>
  <c r="L69"/>
  <c r="R69" s="1"/>
  <c r="K69"/>
  <c r="O39" i="24"/>
  <c r="L39"/>
  <c r="N39" s="1"/>
  <c r="K39"/>
  <c r="O68" i="105"/>
  <c r="K68"/>
  <c r="L68" s="1"/>
  <c r="O28" i="107"/>
  <c r="N28"/>
  <c r="L28"/>
  <c r="R28" s="1"/>
  <c r="K28"/>
  <c r="O99" i="87"/>
  <c r="K99"/>
  <c r="L99" s="1"/>
  <c r="Q57" i="43"/>
  <c r="O57"/>
  <c r="K57"/>
  <c r="L57" s="1"/>
  <c r="O98" i="87"/>
  <c r="K98"/>
  <c r="L98" s="1"/>
  <c r="O97"/>
  <c r="L97"/>
  <c r="N97" s="1"/>
  <c r="K97"/>
  <c r="O55" i="43"/>
  <c r="N55"/>
  <c r="L55"/>
  <c r="R55" s="1"/>
  <c r="K55"/>
  <c r="O52" i="45"/>
  <c r="K52"/>
  <c r="L52" s="1"/>
  <c r="O19" i="198"/>
  <c r="K19"/>
  <c r="L19" s="1"/>
  <c r="O18"/>
  <c r="K18"/>
  <c r="L18" s="1"/>
  <c r="O17"/>
  <c r="K17"/>
  <c r="L17" s="1"/>
  <c r="R17" s="1"/>
  <c r="O16"/>
  <c r="K16"/>
  <c r="L16" s="1"/>
  <c r="O15"/>
  <c r="L15"/>
  <c r="N15" s="1"/>
  <c r="K15"/>
  <c r="O14"/>
  <c r="L14"/>
  <c r="R14" s="1"/>
  <c r="K14"/>
  <c r="O13"/>
  <c r="L13"/>
  <c r="R13" s="1"/>
  <c r="K13"/>
  <c r="O9" i="201"/>
  <c r="K9"/>
  <c r="L9" s="1"/>
  <c r="O95" i="87"/>
  <c r="K95"/>
  <c r="L95" s="1"/>
  <c r="O12" i="198"/>
  <c r="K12"/>
  <c r="L12" s="1"/>
  <c r="O46" i="34"/>
  <c r="K46"/>
  <c r="L46" s="1"/>
  <c r="O33" i="150"/>
  <c r="L33"/>
  <c r="R33" s="1"/>
  <c r="K33"/>
  <c r="O94" i="87"/>
  <c r="K94"/>
  <c r="L94" s="1"/>
  <c r="O20" i="159"/>
  <c r="K20"/>
  <c r="L20" s="1"/>
  <c r="O232" i="125"/>
  <c r="L232"/>
  <c r="M232" s="1"/>
  <c r="K232"/>
  <c r="N13" i="199" l="1"/>
  <c r="R13"/>
  <c r="N100" i="87"/>
  <c r="R100"/>
  <c r="R48" i="34"/>
  <c r="R12" i="199"/>
  <c r="N12"/>
  <c r="R11"/>
  <c r="N16" i="203"/>
  <c r="R16"/>
  <c r="N15"/>
  <c r="R15"/>
  <c r="N14"/>
  <c r="N8" i="205"/>
  <c r="R8"/>
  <c r="N8" i="204"/>
  <c r="R8"/>
  <c r="N13" i="198"/>
  <c r="N14"/>
  <c r="R12" i="203"/>
  <c r="N12"/>
  <c r="N10"/>
  <c r="R10"/>
  <c r="R11"/>
  <c r="N11"/>
  <c r="R9"/>
  <c r="R13"/>
  <c r="L121"/>
  <c r="N22" i="130"/>
  <c r="R22"/>
  <c r="N9" i="202"/>
  <c r="R9"/>
  <c r="N8"/>
  <c r="R8"/>
  <c r="N71" i="105"/>
  <c r="R71"/>
  <c r="N70"/>
  <c r="R70"/>
  <c r="N69"/>
  <c r="R39" i="24"/>
  <c r="N68" i="105"/>
  <c r="R68"/>
  <c r="N99" i="87"/>
  <c r="R99"/>
  <c r="N57" i="43"/>
  <c r="R57"/>
  <c r="N98" i="87"/>
  <c r="R98"/>
  <c r="R97"/>
  <c r="N52" i="45"/>
  <c r="R52"/>
  <c r="N19" i="198"/>
  <c r="R19"/>
  <c r="N18"/>
  <c r="R18"/>
  <c r="N17"/>
  <c r="N16"/>
  <c r="R16"/>
  <c r="R15"/>
  <c r="N9" i="201"/>
  <c r="R9"/>
  <c r="N95" i="87"/>
  <c r="R95"/>
  <c r="N12" i="198"/>
  <c r="R12"/>
  <c r="N46" i="34"/>
  <c r="R46"/>
  <c r="N33" i="150"/>
  <c r="N94" i="87"/>
  <c r="R94"/>
  <c r="N20" i="159"/>
  <c r="R20"/>
  <c r="R232" i="125"/>
  <c r="N232"/>
  <c r="N237" s="1"/>
  <c r="I237"/>
  <c r="K237"/>
  <c r="L237"/>
  <c r="O237"/>
  <c r="P237"/>
  <c r="H237"/>
  <c r="O231"/>
  <c r="K231"/>
  <c r="L231" s="1"/>
  <c r="O230"/>
  <c r="K230"/>
  <c r="L230" s="1"/>
  <c r="O229"/>
  <c r="K229"/>
  <c r="L229" s="1"/>
  <c r="O228"/>
  <c r="K228"/>
  <c r="L228" s="1"/>
  <c r="O227"/>
  <c r="L227"/>
  <c r="N227" s="1"/>
  <c r="K227"/>
  <c r="O226"/>
  <c r="K226"/>
  <c r="L226" s="1"/>
  <c r="O225"/>
  <c r="K225"/>
  <c r="L225" s="1"/>
  <c r="O12" i="200"/>
  <c r="K12"/>
  <c r="L12" s="1"/>
  <c r="O40" i="65"/>
  <c r="K40"/>
  <c r="L40" s="1"/>
  <c r="N231" i="125" l="1"/>
  <c r="R231"/>
  <c r="R225"/>
  <c r="N225"/>
  <c r="N226"/>
  <c r="R226"/>
  <c r="R229"/>
  <c r="N229"/>
  <c r="R228"/>
  <c r="N228"/>
  <c r="N230"/>
  <c r="R230"/>
  <c r="R227"/>
  <c r="N12" i="200"/>
  <c r="R12"/>
  <c r="R40" i="65"/>
  <c r="N40"/>
  <c r="Q53" i="43"/>
  <c r="O53"/>
  <c r="K53"/>
  <c r="L53" s="1"/>
  <c r="O224" i="125"/>
  <c r="L224"/>
  <c r="N224" s="1"/>
  <c r="K224"/>
  <c r="O223"/>
  <c r="N223"/>
  <c r="L223"/>
  <c r="K223"/>
  <c r="O222"/>
  <c r="N222"/>
  <c r="L222"/>
  <c r="K222"/>
  <c r="O221"/>
  <c r="N221"/>
  <c r="L221"/>
  <c r="K221"/>
  <c r="O220"/>
  <c r="K220"/>
  <c r="L220" s="1"/>
  <c r="N220" s="1"/>
  <c r="O219"/>
  <c r="K219"/>
  <c r="L219" s="1"/>
  <c r="O10" i="198"/>
  <c r="K10"/>
  <c r="L10" s="1"/>
  <c r="O9" i="199"/>
  <c r="K9"/>
  <c r="L9" s="1"/>
  <c r="O39" i="65"/>
  <c r="K39"/>
  <c r="L39" s="1"/>
  <c r="O19" i="18"/>
  <c r="K19"/>
  <c r="L19" s="1"/>
  <c r="O37" i="24"/>
  <c r="L37"/>
  <c r="N37" s="1"/>
  <c r="K37"/>
  <c r="O12" i="160"/>
  <c r="K12"/>
  <c r="L12" s="1"/>
  <c r="N53" i="43" l="1"/>
  <c r="R53"/>
  <c r="M219" i="125"/>
  <c r="N219" s="1"/>
  <c r="N10" i="198"/>
  <c r="R10"/>
  <c r="R9" i="199"/>
  <c r="N9"/>
  <c r="R39" i="65"/>
  <c r="N39"/>
  <c r="N19" i="18"/>
  <c r="R19"/>
  <c r="R37" i="24"/>
  <c r="R12" i="160"/>
  <c r="N12"/>
  <c r="O218" i="125" l="1"/>
  <c r="K218"/>
  <c r="L218" s="1"/>
  <c r="O38" i="65"/>
  <c r="K38"/>
  <c r="L38" s="1"/>
  <c r="O37"/>
  <c r="K37"/>
  <c r="L37" s="1"/>
  <c r="O36"/>
  <c r="L36"/>
  <c r="R36" s="1"/>
  <c r="K36"/>
  <c r="O35"/>
  <c r="K35"/>
  <c r="L35" s="1"/>
  <c r="O29" i="88"/>
  <c r="K29"/>
  <c r="L29" s="1"/>
  <c r="O9" i="198"/>
  <c r="K9"/>
  <c r="L9" s="1"/>
  <c r="O16" i="151"/>
  <c r="N16"/>
  <c r="L16"/>
  <c r="R16" s="1"/>
  <c r="K16"/>
  <c r="O15"/>
  <c r="K15"/>
  <c r="L15" s="1"/>
  <c r="K65" i="105"/>
  <c r="L65" s="1"/>
  <c r="O65"/>
  <c r="K66"/>
  <c r="L66" s="1"/>
  <c r="O66"/>
  <c r="O44" i="34"/>
  <c r="K44"/>
  <c r="L44" s="1"/>
  <c r="O8" i="198"/>
  <c r="K8"/>
  <c r="L8" s="1"/>
  <c r="O80" i="28"/>
  <c r="K80"/>
  <c r="L80" s="1"/>
  <c r="O14" i="151"/>
  <c r="K14"/>
  <c r="L14" s="1"/>
  <c r="O33" i="65"/>
  <c r="K33"/>
  <c r="L33" s="1"/>
  <c r="O64" i="105"/>
  <c r="K64"/>
  <c r="L64" s="1"/>
  <c r="O63"/>
  <c r="L63"/>
  <c r="R63" s="1"/>
  <c r="K63"/>
  <c r="O62"/>
  <c r="L62"/>
  <c r="R62" s="1"/>
  <c r="K62"/>
  <c r="N218" i="125" l="1"/>
  <c r="R218"/>
  <c r="R35" i="65"/>
  <c r="N35"/>
  <c r="N38"/>
  <c r="R38"/>
  <c r="N37"/>
  <c r="R37"/>
  <c r="N36"/>
  <c r="N29" i="88"/>
  <c r="R29"/>
  <c r="N9" i="198"/>
  <c r="R9"/>
  <c r="N15" i="151"/>
  <c r="R15"/>
  <c r="N65" i="105"/>
  <c r="R65"/>
  <c r="N66"/>
  <c r="R66"/>
  <c r="N62"/>
  <c r="N63"/>
  <c r="R44" i="34"/>
  <c r="N44"/>
  <c r="N8" i="198"/>
  <c r="R8"/>
  <c r="L20"/>
  <c r="L129" s="1"/>
  <c r="N80" i="28"/>
  <c r="R80"/>
  <c r="N14" i="151"/>
  <c r="R14"/>
  <c r="N33" i="65"/>
  <c r="R33"/>
  <c r="N64" i="105"/>
  <c r="R64"/>
  <c r="O149" i="23"/>
  <c r="K149"/>
  <c r="L149" s="1"/>
  <c r="O61" i="105"/>
  <c r="K61"/>
  <c r="L61" s="1"/>
  <c r="O60"/>
  <c r="K60"/>
  <c r="L60" s="1"/>
  <c r="O9" i="90"/>
  <c r="L9"/>
  <c r="N9" s="1"/>
  <c r="K9"/>
  <c r="O24" i="73"/>
  <c r="K24"/>
  <c r="L24" s="1"/>
  <c r="O35" i="24"/>
  <c r="K35"/>
  <c r="L35" s="1"/>
  <c r="O32" i="27"/>
  <c r="L32"/>
  <c r="N32" s="1"/>
  <c r="K32"/>
  <c r="O33" i="25"/>
  <c r="K33"/>
  <c r="L33" s="1"/>
  <c r="O11" i="160"/>
  <c r="K11"/>
  <c r="L11" s="1"/>
  <c r="O13" i="132"/>
  <c r="K13"/>
  <c r="L13" s="1"/>
  <c r="O26" i="101"/>
  <c r="K26"/>
  <c r="L26" s="1"/>
  <c r="O23" i="131"/>
  <c r="L23"/>
  <c r="N23" s="1"/>
  <c r="K23"/>
  <c r="O28" i="108"/>
  <c r="K28"/>
  <c r="L28" s="1"/>
  <c r="O79" i="28"/>
  <c r="K79"/>
  <c r="L79" s="1"/>
  <c r="O33" i="144"/>
  <c r="K33"/>
  <c r="L33" s="1"/>
  <c r="O20" i="130"/>
  <c r="K20"/>
  <c r="L20" s="1"/>
  <c r="O18" i="177"/>
  <c r="K18"/>
  <c r="L18" s="1"/>
  <c r="O12" i="151"/>
  <c r="K12"/>
  <c r="L12" s="1"/>
  <c r="R33" i="144" l="1"/>
  <c r="N33"/>
  <c r="N149" i="23"/>
  <c r="R149"/>
  <c r="N60" i="105"/>
  <c r="R60"/>
  <c r="N61"/>
  <c r="R61"/>
  <c r="R9" i="90"/>
  <c r="N24" i="73"/>
  <c r="R24"/>
  <c r="N35" i="24"/>
  <c r="R35"/>
  <c r="R32" i="27"/>
  <c r="N33" i="25"/>
  <c r="R33"/>
  <c r="N11" i="160"/>
  <c r="R11"/>
  <c r="N13" i="132"/>
  <c r="R13"/>
  <c r="N26" i="101"/>
  <c r="R26"/>
  <c r="R23" i="131"/>
  <c r="N28" i="108"/>
  <c r="R28"/>
  <c r="N79" i="28"/>
  <c r="R79"/>
  <c r="N20" i="130"/>
  <c r="R20"/>
  <c r="N18" i="177"/>
  <c r="R18"/>
  <c r="N12" i="151"/>
  <c r="R12"/>
  <c r="O78" i="28"/>
  <c r="K78"/>
  <c r="L78" s="1"/>
  <c r="Q51" i="43"/>
  <c r="O51"/>
  <c r="L51"/>
  <c r="N51" s="1"/>
  <c r="K51"/>
  <c r="O10" i="194"/>
  <c r="K10"/>
  <c r="L10" s="1"/>
  <c r="O9" i="197"/>
  <c r="K9"/>
  <c r="L9" s="1"/>
  <c r="O10" i="151"/>
  <c r="K10"/>
  <c r="L10" s="1"/>
  <c r="O9"/>
  <c r="L9"/>
  <c r="N9" s="1"/>
  <c r="K9"/>
  <c r="O59" i="105"/>
  <c r="K59"/>
  <c r="L59" s="1"/>
  <c r="O58"/>
  <c r="K58"/>
  <c r="L58" s="1"/>
  <c r="N58" s="1"/>
  <c r="O20" i="145"/>
  <c r="K20"/>
  <c r="L20" s="1"/>
  <c r="O57" i="105"/>
  <c r="K57"/>
  <c r="L57" s="1"/>
  <c r="O56"/>
  <c r="K56"/>
  <c r="L56" s="1"/>
  <c r="O7" i="197"/>
  <c r="K7"/>
  <c r="L7" s="1"/>
  <c r="N78" i="28" l="1"/>
  <c r="R78"/>
  <c r="R51" i="43"/>
  <c r="R10" i="194"/>
  <c r="N10"/>
  <c r="N9" i="197"/>
  <c r="R9"/>
  <c r="N10" i="151"/>
  <c r="R10"/>
  <c r="R9"/>
  <c r="N59" i="105"/>
  <c r="R59"/>
  <c r="R58"/>
  <c r="N20" i="145"/>
  <c r="R20"/>
  <c r="N57" i="105"/>
  <c r="R57"/>
  <c r="N56"/>
  <c r="R56"/>
  <c r="N7" i="197"/>
  <c r="R7"/>
  <c r="L23"/>
  <c r="L137" s="1"/>
  <c r="O55" i="105"/>
  <c r="K55"/>
  <c r="L55" s="1"/>
  <c r="O54"/>
  <c r="K54"/>
  <c r="L54" s="1"/>
  <c r="O53"/>
  <c r="K53"/>
  <c r="L53" s="1"/>
  <c r="R53" s="1"/>
  <c r="O52"/>
  <c r="L52"/>
  <c r="R52" s="1"/>
  <c r="K52"/>
  <c r="O51" i="45"/>
  <c r="N51"/>
  <c r="L51"/>
  <c r="R51" s="1"/>
  <c r="K51"/>
  <c r="O50"/>
  <c r="K50"/>
  <c r="L50" s="1"/>
  <c r="O147" i="23"/>
  <c r="N147"/>
  <c r="L147"/>
  <c r="R147" s="1"/>
  <c r="K147"/>
  <c r="Q49" i="43"/>
  <c r="O49"/>
  <c r="K49"/>
  <c r="L49" s="1"/>
  <c r="O42" i="34"/>
  <c r="N42"/>
  <c r="L42"/>
  <c r="R42" s="1"/>
  <c r="K42"/>
  <c r="O145" i="23"/>
  <c r="K145"/>
  <c r="L145" s="1"/>
  <c r="O10" i="192"/>
  <c r="K10"/>
  <c r="L10" s="1"/>
  <c r="O9"/>
  <c r="L9"/>
  <c r="N9" s="1"/>
  <c r="K9"/>
  <c r="O8" i="196"/>
  <c r="K8"/>
  <c r="L8" s="1"/>
  <c r="O143" i="23"/>
  <c r="N143"/>
  <c r="L143"/>
  <c r="R143" s="1"/>
  <c r="K143"/>
  <c r="O92" i="87"/>
  <c r="K92"/>
  <c r="L92" s="1"/>
  <c r="O15" i="154"/>
  <c r="L15"/>
  <c r="M15" s="1"/>
  <c r="K15"/>
  <c r="O28" i="88"/>
  <c r="N28"/>
  <c r="L28"/>
  <c r="R28" s="1"/>
  <c r="K28"/>
  <c r="O27"/>
  <c r="K27"/>
  <c r="L27" s="1"/>
  <c r="O26" i="108"/>
  <c r="N26"/>
  <c r="L26"/>
  <c r="R26" s="1"/>
  <c r="K26"/>
  <c r="O34" i="156"/>
  <c r="L34"/>
  <c r="M34" s="1"/>
  <c r="K34"/>
  <c r="Q47" i="43"/>
  <c r="O47"/>
  <c r="N47"/>
  <c r="L47"/>
  <c r="R47" s="1"/>
  <c r="K47"/>
  <c r="O40" i="34"/>
  <c r="K40"/>
  <c r="L40" s="1"/>
  <c r="O33" i="156"/>
  <c r="L33"/>
  <c r="M33" s="1"/>
  <c r="K33"/>
  <c r="O51" i="105"/>
  <c r="K51"/>
  <c r="L51" s="1"/>
  <c r="O50"/>
  <c r="K50"/>
  <c r="L50" s="1"/>
  <c r="N50" s="1"/>
  <c r="O49"/>
  <c r="K49"/>
  <c r="L49" s="1"/>
  <c r="O48"/>
  <c r="K48"/>
  <c r="L48" s="1"/>
  <c r="R48" s="1"/>
  <c r="O47"/>
  <c r="K47"/>
  <c r="L47" s="1"/>
  <c r="O46"/>
  <c r="K46"/>
  <c r="L46" s="1"/>
  <c r="N46" s="1"/>
  <c r="O9" i="195"/>
  <c r="K9"/>
  <c r="L9" s="1"/>
  <c r="Q45" i="43"/>
  <c r="K45"/>
  <c r="L45" s="1"/>
  <c r="P67" i="59"/>
  <c r="I67"/>
  <c r="M67"/>
  <c r="H67"/>
  <c r="O62"/>
  <c r="K62"/>
  <c r="L62" s="1"/>
  <c r="O61"/>
  <c r="L61"/>
  <c r="N61" s="1"/>
  <c r="K61"/>
  <c r="O60"/>
  <c r="L60"/>
  <c r="R60" s="1"/>
  <c r="K60"/>
  <c r="O59"/>
  <c r="K59"/>
  <c r="L59" s="1"/>
  <c r="R59" s="1"/>
  <c r="O58"/>
  <c r="K58"/>
  <c r="L58" s="1"/>
  <c r="O57"/>
  <c r="L57"/>
  <c r="N57" s="1"/>
  <c r="K57"/>
  <c r="O56"/>
  <c r="K56"/>
  <c r="L56" s="1"/>
  <c r="O47" i="163"/>
  <c r="L47"/>
  <c r="N47" s="1"/>
  <c r="K47"/>
  <c r="O32" i="156"/>
  <c r="K32"/>
  <c r="L32" s="1"/>
  <c r="O55" i="59"/>
  <c r="K55"/>
  <c r="L55" s="1"/>
  <c r="O54"/>
  <c r="K54"/>
  <c r="L54" s="1"/>
  <c r="O53"/>
  <c r="L53"/>
  <c r="R53" s="1"/>
  <c r="K53"/>
  <c r="O52"/>
  <c r="K52"/>
  <c r="L52" s="1"/>
  <c r="O51"/>
  <c r="K51"/>
  <c r="L51" s="1"/>
  <c r="N51" s="1"/>
  <c r="O50"/>
  <c r="K50"/>
  <c r="L50" s="1"/>
  <c r="O49"/>
  <c r="L49"/>
  <c r="R49" s="1"/>
  <c r="K49"/>
  <c r="O48"/>
  <c r="K48"/>
  <c r="L48" s="1"/>
  <c r="O18" i="145"/>
  <c r="N18"/>
  <c r="L18"/>
  <c r="R18" s="1"/>
  <c r="K18"/>
  <c r="O48" i="45"/>
  <c r="L48"/>
  <c r="N48" s="1"/>
  <c r="K48"/>
  <c r="O47" i="59"/>
  <c r="K47"/>
  <c r="L47" s="1"/>
  <c r="O46"/>
  <c r="L46"/>
  <c r="N46" s="1"/>
  <c r="K46"/>
  <c r="O45"/>
  <c r="K45"/>
  <c r="L45" s="1"/>
  <c r="O44"/>
  <c r="K44"/>
  <c r="L44" s="1"/>
  <c r="O43"/>
  <c r="K43"/>
  <c r="L43" s="1"/>
  <c r="O42"/>
  <c r="K42"/>
  <c r="L42" s="1"/>
  <c r="N42" s="1"/>
  <c r="O41"/>
  <c r="K41"/>
  <c r="L41" s="1"/>
  <c r="O40"/>
  <c r="K40"/>
  <c r="L40" s="1"/>
  <c r="O39"/>
  <c r="K39"/>
  <c r="L39" s="1"/>
  <c r="O38"/>
  <c r="O67" s="1"/>
  <c r="L38"/>
  <c r="N38" s="1"/>
  <c r="K38"/>
  <c r="K67" s="1"/>
  <c r="O141" i="23"/>
  <c r="K141"/>
  <c r="L141" s="1"/>
  <c r="O45" i="163"/>
  <c r="K45"/>
  <c r="L45" s="1"/>
  <c r="O139" i="23"/>
  <c r="K139"/>
  <c r="L139" s="1"/>
  <c r="O43" i="163"/>
  <c r="K43"/>
  <c r="L43" s="1"/>
  <c r="O43" i="99"/>
  <c r="K43"/>
  <c r="L43" s="1"/>
  <c r="O42"/>
  <c r="L42"/>
  <c r="N42" s="1"/>
  <c r="K42"/>
  <c r="O41"/>
  <c r="N41"/>
  <c r="L41"/>
  <c r="R41" s="1"/>
  <c r="K41"/>
  <c r="O40"/>
  <c r="N40"/>
  <c r="L40"/>
  <c r="R40" s="1"/>
  <c r="K40"/>
  <c r="O25" i="88"/>
  <c r="K25"/>
  <c r="L25" s="1"/>
  <c r="O90" i="87"/>
  <c r="K90"/>
  <c r="L90" s="1"/>
  <c r="O89"/>
  <c r="K89"/>
  <c r="L89" s="1"/>
  <c r="N89" s="1"/>
  <c r="O39" i="99"/>
  <c r="K39"/>
  <c r="L39" s="1"/>
  <c r="O137" i="23"/>
  <c r="K137"/>
  <c r="L137" s="1"/>
  <c r="O38" i="34"/>
  <c r="K38"/>
  <c r="L38" s="1"/>
  <c r="O20" i="100"/>
  <c r="L20"/>
  <c r="N20" s="1"/>
  <c r="K20"/>
  <c r="O38" i="99"/>
  <c r="L38"/>
  <c r="N38" s="1"/>
  <c r="K38"/>
  <c r="O37"/>
  <c r="K37"/>
  <c r="L37" s="1"/>
  <c r="Q43" i="43"/>
  <c r="O43"/>
  <c r="L43"/>
  <c r="N43" s="1"/>
  <c r="K43"/>
  <c r="O31" i="25"/>
  <c r="K31"/>
  <c r="L31" s="1"/>
  <c r="O24" i="67"/>
  <c r="L24"/>
  <c r="N24" s="1"/>
  <c r="K24"/>
  <c r="O21" i="131"/>
  <c r="L21"/>
  <c r="N21" s="1"/>
  <c r="K21"/>
  <c r="O22" i="73"/>
  <c r="K22"/>
  <c r="L22" s="1"/>
  <c r="O24" i="101"/>
  <c r="K24"/>
  <c r="L24" s="1"/>
  <c r="O23"/>
  <c r="L23"/>
  <c r="N23" s="1"/>
  <c r="K23"/>
  <c r="O33" i="24"/>
  <c r="K33"/>
  <c r="L33" s="1"/>
  <c r="O32"/>
  <c r="L32"/>
  <c r="N32" s="1"/>
  <c r="K32"/>
  <c r="O16" i="177"/>
  <c r="K16"/>
  <c r="L16" s="1"/>
  <c r="O87" i="87"/>
  <c r="K87"/>
  <c r="L87" s="1"/>
  <c r="O44" i="105"/>
  <c r="K44"/>
  <c r="L44" s="1"/>
  <c r="L67" i="59" l="1"/>
  <c r="N60"/>
  <c r="R55" i="105"/>
  <c r="N55"/>
  <c r="N52"/>
  <c r="N54"/>
  <c r="R54"/>
  <c r="N53"/>
  <c r="R92" i="87"/>
  <c r="N92"/>
  <c r="N50" i="45"/>
  <c r="R50"/>
  <c r="N49" i="43"/>
  <c r="R49"/>
  <c r="R145" i="23"/>
  <c r="N145"/>
  <c r="R10" i="192"/>
  <c r="N10"/>
  <c r="R9"/>
  <c r="R8" i="196"/>
  <c r="N8"/>
  <c r="R15" i="154"/>
  <c r="N15"/>
  <c r="N27" i="88"/>
  <c r="R27"/>
  <c r="R34" i="156"/>
  <c r="N34"/>
  <c r="R40" i="34"/>
  <c r="N40"/>
  <c r="R33" i="156"/>
  <c r="N33"/>
  <c r="N51" i="105"/>
  <c r="R51"/>
  <c r="R49"/>
  <c r="N49"/>
  <c r="N47"/>
  <c r="R47"/>
  <c r="R46"/>
  <c r="N48"/>
  <c r="R50"/>
  <c r="N9" i="195"/>
  <c r="R9"/>
  <c r="N45" i="43"/>
  <c r="R45"/>
  <c r="N58" i="59"/>
  <c r="R58"/>
  <c r="N62"/>
  <c r="R62"/>
  <c r="R56"/>
  <c r="N56"/>
  <c r="R57"/>
  <c r="N59"/>
  <c r="R61"/>
  <c r="R47" i="163"/>
  <c r="N32" i="156"/>
  <c r="R32"/>
  <c r="R52" i="59"/>
  <c r="N52"/>
  <c r="N50"/>
  <c r="R50"/>
  <c r="N55"/>
  <c r="R55"/>
  <c r="R48"/>
  <c r="N48"/>
  <c r="N54"/>
  <c r="R54"/>
  <c r="N49"/>
  <c r="R51"/>
  <c r="N53"/>
  <c r="R48" i="45"/>
  <c r="N47" i="59"/>
  <c r="R47"/>
  <c r="R44"/>
  <c r="N44"/>
  <c r="N43"/>
  <c r="R43"/>
  <c r="R45"/>
  <c r="N45"/>
  <c r="R40"/>
  <c r="N40"/>
  <c r="N67" s="1"/>
  <c r="N39"/>
  <c r="R39"/>
  <c r="R41"/>
  <c r="N41"/>
  <c r="R38"/>
  <c r="R42"/>
  <c r="R46"/>
  <c r="N141" i="23"/>
  <c r="R141"/>
  <c r="R45" i="163"/>
  <c r="N45"/>
  <c r="R139" i="23"/>
  <c r="N139"/>
  <c r="N43" i="163"/>
  <c r="R43"/>
  <c r="N43" i="99"/>
  <c r="R43"/>
  <c r="R42"/>
  <c r="N25" i="88"/>
  <c r="R25"/>
  <c r="N90" i="87"/>
  <c r="R90"/>
  <c r="R89"/>
  <c r="N39" i="99"/>
  <c r="R39"/>
  <c r="N137" i="23"/>
  <c r="R137"/>
  <c r="N38" i="34"/>
  <c r="R38"/>
  <c r="R20" i="100"/>
  <c r="N37" i="99"/>
  <c r="R37"/>
  <c r="R38"/>
  <c r="R43" i="43"/>
  <c r="N31" i="25"/>
  <c r="R31"/>
  <c r="R24" i="67"/>
  <c r="R21" i="131"/>
  <c r="N22" i="73"/>
  <c r="R22"/>
  <c r="N24" i="101"/>
  <c r="R24"/>
  <c r="R23"/>
  <c r="N33" i="24"/>
  <c r="R33"/>
  <c r="R32"/>
  <c r="N16" i="177"/>
  <c r="R16"/>
  <c r="R87" i="87"/>
  <c r="N87"/>
  <c r="N44" i="105"/>
  <c r="R44"/>
  <c r="Q41" i="43"/>
  <c r="O41"/>
  <c r="L41"/>
  <c r="N41" s="1"/>
  <c r="K41"/>
  <c r="O14" i="141"/>
  <c r="K14"/>
  <c r="L14" s="1"/>
  <c r="O43" i="105"/>
  <c r="K43"/>
  <c r="L43" s="1"/>
  <c r="R41" i="43" l="1"/>
  <c r="N14" i="141"/>
  <c r="R14"/>
  <c r="N43" i="105"/>
  <c r="R43"/>
  <c r="O42" l="1"/>
  <c r="K42"/>
  <c r="L42" s="1"/>
  <c r="O41"/>
  <c r="L41"/>
  <c r="N41" s="1"/>
  <c r="K41"/>
  <c r="O40"/>
  <c r="L40"/>
  <c r="R40" s="1"/>
  <c r="K40"/>
  <c r="O8" i="194"/>
  <c r="K8"/>
  <c r="L8" s="1"/>
  <c r="K7" i="191"/>
  <c r="L7" s="1"/>
  <c r="N7" s="1"/>
  <c r="O7"/>
  <c r="O9" i="193"/>
  <c r="K9"/>
  <c r="L9" s="1"/>
  <c r="N9" s="1"/>
  <c r="O39" i="105"/>
  <c r="K39"/>
  <c r="L39" s="1"/>
  <c r="O9" i="162"/>
  <c r="K9"/>
  <c r="L9" s="1"/>
  <c r="O38" i="105"/>
  <c r="K38"/>
  <c r="L38" s="1"/>
  <c r="O7" i="192"/>
  <c r="K7"/>
  <c r="L7" s="1"/>
  <c r="R39" i="43"/>
  <c r="Q39"/>
  <c r="O39"/>
  <c r="N39"/>
  <c r="L39"/>
  <c r="K39"/>
  <c r="O86" i="87"/>
  <c r="K86"/>
  <c r="L86" s="1"/>
  <c r="O46" i="45"/>
  <c r="K46"/>
  <c r="L46" s="1"/>
  <c r="O135" i="23"/>
  <c r="K135"/>
  <c r="L135" s="1"/>
  <c r="O45" i="45"/>
  <c r="L45"/>
  <c r="N45" s="1"/>
  <c r="K45"/>
  <c r="O44"/>
  <c r="K44"/>
  <c r="L44" s="1"/>
  <c r="O133" i="23"/>
  <c r="K133"/>
  <c r="L133" s="1"/>
  <c r="O36" i="34"/>
  <c r="K36"/>
  <c r="L36" s="1"/>
  <c r="O10" i="176"/>
  <c r="K10"/>
  <c r="L10" s="1"/>
  <c r="O11"/>
  <c r="K11"/>
  <c r="L11" s="1"/>
  <c r="Q37" i="43"/>
  <c r="O37"/>
  <c r="L37"/>
  <c r="N37" s="1"/>
  <c r="K37"/>
  <c r="P73" i="143"/>
  <c r="O43" i="45"/>
  <c r="K43"/>
  <c r="L43" s="1"/>
  <c r="O42"/>
  <c r="L42"/>
  <c r="N42" s="1"/>
  <c r="K42"/>
  <c r="O17" i="180"/>
  <c r="K17"/>
  <c r="L17" s="1"/>
  <c r="O16"/>
  <c r="K16"/>
  <c r="L16" s="1"/>
  <c r="O41" i="45"/>
  <c r="L41"/>
  <c r="N41" s="1"/>
  <c r="K41"/>
  <c r="O20" i="73"/>
  <c r="K20"/>
  <c r="L20" s="1"/>
  <c r="O10" i="182"/>
  <c r="K10"/>
  <c r="L10" s="1"/>
  <c r="O15" i="180"/>
  <c r="K15"/>
  <c r="L15" s="1"/>
  <c r="O23" i="98"/>
  <c r="N23"/>
  <c r="L23"/>
  <c r="R23" s="1"/>
  <c r="K23"/>
  <c r="O41" i="163"/>
  <c r="K41"/>
  <c r="L41" s="1"/>
  <c r="N40" i="105" l="1"/>
  <c r="N42"/>
  <c r="R42"/>
  <c r="R41"/>
  <c r="R8" i="194"/>
  <c r="N8"/>
  <c r="R7" i="191"/>
  <c r="R9" i="193"/>
  <c r="N39" i="105"/>
  <c r="R39"/>
  <c r="N9" i="162"/>
  <c r="R9"/>
  <c r="N38" i="105"/>
  <c r="R38"/>
  <c r="N7" i="192"/>
  <c r="R7"/>
  <c r="N86" i="87"/>
  <c r="R86"/>
  <c r="N46" i="45"/>
  <c r="R46"/>
  <c r="N135" i="23"/>
  <c r="R135"/>
  <c r="R45" i="45"/>
  <c r="N44"/>
  <c r="R44"/>
  <c r="N133" i="23"/>
  <c r="R133"/>
  <c r="R36" i="34"/>
  <c r="N36"/>
  <c r="N10" i="176"/>
  <c r="R10"/>
  <c r="N11"/>
  <c r="R11"/>
  <c r="R37" i="43"/>
  <c r="N43" i="45"/>
  <c r="R43"/>
  <c r="R42"/>
  <c r="R17" i="180"/>
  <c r="N17"/>
  <c r="N16"/>
  <c r="R16"/>
  <c r="R41" i="45"/>
  <c r="N20" i="73"/>
  <c r="R20"/>
  <c r="N10" i="182"/>
  <c r="R10"/>
  <c r="N15" i="180"/>
  <c r="R15"/>
  <c r="N41" i="163"/>
  <c r="R41"/>
  <c r="O11" i="51"/>
  <c r="K11"/>
  <c r="L11" s="1"/>
  <c r="Q35" i="43"/>
  <c r="O35"/>
  <c r="L35"/>
  <c r="N35" s="1"/>
  <c r="K35"/>
  <c r="O18" i="100"/>
  <c r="K18"/>
  <c r="L18" s="1"/>
  <c r="O37" i="105"/>
  <c r="K37"/>
  <c r="L37" s="1"/>
  <c r="O13" i="180"/>
  <c r="K13"/>
  <c r="L13" s="1"/>
  <c r="N11" i="51" l="1"/>
  <c r="R11"/>
  <c r="R35" i="43"/>
  <c r="N18" i="100"/>
  <c r="R18"/>
  <c r="N37" i="105"/>
  <c r="R37"/>
  <c r="N13" i="180"/>
  <c r="R13"/>
  <c r="O14" i="177"/>
  <c r="K14"/>
  <c r="L14" s="1"/>
  <c r="O30" i="24"/>
  <c r="L30"/>
  <c r="N30" s="1"/>
  <c r="K30"/>
  <c r="O29"/>
  <c r="K29"/>
  <c r="L29" s="1"/>
  <c r="O22" i="67"/>
  <c r="K22"/>
  <c r="L22" s="1"/>
  <c r="O24" i="108"/>
  <c r="K24"/>
  <c r="L24" s="1"/>
  <c r="O29" i="25"/>
  <c r="K29"/>
  <c r="L29" s="1"/>
  <c r="O28"/>
  <c r="K28"/>
  <c r="L28" s="1"/>
  <c r="O36" i="105"/>
  <c r="L36"/>
  <c r="R36" s="1"/>
  <c r="K36"/>
  <c r="O35"/>
  <c r="K35"/>
  <c r="L35" s="1"/>
  <c r="O34"/>
  <c r="K34"/>
  <c r="L34" s="1"/>
  <c r="N36" l="1"/>
  <c r="N14" i="177"/>
  <c r="R14"/>
  <c r="R29" i="24"/>
  <c r="N29"/>
  <c r="R30"/>
  <c r="N22" i="67"/>
  <c r="R22"/>
  <c r="N24" i="108"/>
  <c r="R24"/>
  <c r="N29" i="25"/>
  <c r="R29"/>
  <c r="N28"/>
  <c r="R28"/>
  <c r="R35" i="105"/>
  <c r="N35"/>
  <c r="R34"/>
  <c r="N34"/>
  <c r="O33"/>
  <c r="K33"/>
  <c r="L33" s="1"/>
  <c r="O23" i="88"/>
  <c r="K23"/>
  <c r="L23" s="1"/>
  <c r="O11" i="132"/>
  <c r="K11"/>
  <c r="L11" s="1"/>
  <c r="O131" i="23"/>
  <c r="K131"/>
  <c r="L131" s="1"/>
  <c r="O21" i="101"/>
  <c r="K21"/>
  <c r="L21" s="1"/>
  <c r="O20"/>
  <c r="L20"/>
  <c r="N20" s="1"/>
  <c r="K20"/>
  <c r="O17" i="18"/>
  <c r="K17"/>
  <c r="L17" s="1"/>
  <c r="N17" s="1"/>
  <c r="O129" i="23"/>
  <c r="K129"/>
  <c r="L129" s="1"/>
  <c r="O34" i="34"/>
  <c r="K34"/>
  <c r="L34" s="1"/>
  <c r="O19" i="183"/>
  <c r="K19"/>
  <c r="L19" s="1"/>
  <c r="O18"/>
  <c r="L18"/>
  <c r="N18" s="1"/>
  <c r="K18"/>
  <c r="O40" i="45"/>
  <c r="K40"/>
  <c r="L40" s="1"/>
  <c r="O31" i="150"/>
  <c r="K31"/>
  <c r="L31" s="1"/>
  <c r="O30"/>
  <c r="K30"/>
  <c r="L30" s="1"/>
  <c r="Q33" i="43"/>
  <c r="K33"/>
  <c r="L33" s="1"/>
  <c r="K12" i="141"/>
  <c r="L12" s="1"/>
  <c r="O39" i="45"/>
  <c r="K39"/>
  <c r="L39" s="1"/>
  <c r="I152" i="11"/>
  <c r="J152"/>
  <c r="M152"/>
  <c r="P152"/>
  <c r="N33" i="105" l="1"/>
  <c r="R33"/>
  <c r="N23" i="88"/>
  <c r="R23"/>
  <c r="N11" i="132"/>
  <c r="R11"/>
  <c r="R131" i="23"/>
  <c r="N131"/>
  <c r="N21" i="101"/>
  <c r="R21"/>
  <c r="R20"/>
  <c r="R17" i="18"/>
  <c r="N129" i="23"/>
  <c r="R129"/>
  <c r="N34" i="34"/>
  <c r="R34"/>
  <c r="N19" i="183"/>
  <c r="R19"/>
  <c r="R18"/>
  <c r="N40" i="45"/>
  <c r="R40"/>
  <c r="R31" i="150"/>
  <c r="N31"/>
  <c r="N30"/>
  <c r="R30"/>
  <c r="N33" i="43"/>
  <c r="R33"/>
  <c r="R12" i="141"/>
  <c r="N12"/>
  <c r="N39" i="45"/>
  <c r="R39"/>
  <c r="P58" i="143"/>
  <c r="O68"/>
  <c r="K68"/>
  <c r="L68" s="1"/>
  <c r="O67"/>
  <c r="K67"/>
  <c r="L67" s="1"/>
  <c r="N67" s="1"/>
  <c r="P66"/>
  <c r="O66"/>
  <c r="L66"/>
  <c r="R66" s="1"/>
  <c r="K66"/>
  <c r="P65"/>
  <c r="O65"/>
  <c r="L65"/>
  <c r="N65" s="1"/>
  <c r="K65"/>
  <c r="P64"/>
  <c r="O64"/>
  <c r="N64"/>
  <c r="L64"/>
  <c r="R64" s="1"/>
  <c r="K64"/>
  <c r="P63"/>
  <c r="O63"/>
  <c r="L63"/>
  <c r="N63" s="1"/>
  <c r="K63"/>
  <c r="N66" l="1"/>
  <c r="N68"/>
  <c r="R68"/>
  <c r="R63"/>
  <c r="R65"/>
  <c r="R67"/>
  <c r="P62"/>
  <c r="O62"/>
  <c r="L62"/>
  <c r="N62" s="1"/>
  <c r="K62"/>
  <c r="P61"/>
  <c r="O61"/>
  <c r="K61"/>
  <c r="L61" s="1"/>
  <c r="N61" s="1"/>
  <c r="P60"/>
  <c r="O60"/>
  <c r="K60"/>
  <c r="L60" s="1"/>
  <c r="N60" s="1"/>
  <c r="P59"/>
  <c r="O59"/>
  <c r="K59"/>
  <c r="L59" s="1"/>
  <c r="N59" s="1"/>
  <c r="O58"/>
  <c r="K58"/>
  <c r="L58" s="1"/>
  <c r="I72"/>
  <c r="J72"/>
  <c r="M72"/>
  <c r="P72"/>
  <c r="P74" s="1"/>
  <c r="H72"/>
  <c r="H152" i="11"/>
  <c r="O149"/>
  <c r="K149"/>
  <c r="L149" s="1"/>
  <c r="O57" i="143"/>
  <c r="K57"/>
  <c r="L57" s="1"/>
  <c r="O56"/>
  <c r="L56"/>
  <c r="N56" s="1"/>
  <c r="K56"/>
  <c r="O55"/>
  <c r="L55"/>
  <c r="R55" s="1"/>
  <c r="K55"/>
  <c r="O54"/>
  <c r="L54"/>
  <c r="R54" s="1"/>
  <c r="K54"/>
  <c r="O53"/>
  <c r="K53"/>
  <c r="L53" s="1"/>
  <c r="O52"/>
  <c r="L52"/>
  <c r="N52" s="1"/>
  <c r="K52"/>
  <c r="O51"/>
  <c r="N51"/>
  <c r="L51"/>
  <c r="R51" s="1"/>
  <c r="K51"/>
  <c r="O50"/>
  <c r="N50"/>
  <c r="L50"/>
  <c r="R50" s="1"/>
  <c r="K50"/>
  <c r="O49"/>
  <c r="K49"/>
  <c r="L49" s="1"/>
  <c r="O48"/>
  <c r="K48"/>
  <c r="L48" s="1"/>
  <c r="N48" s="1"/>
  <c r="O38" i="45"/>
  <c r="K38"/>
  <c r="L38" s="1"/>
  <c r="O32" i="34"/>
  <c r="K32"/>
  <c r="L32" s="1"/>
  <c r="O47" i="143"/>
  <c r="K47"/>
  <c r="L47" s="1"/>
  <c r="O46"/>
  <c r="K46"/>
  <c r="L46" s="1"/>
  <c r="N46" s="1"/>
  <c r="O45"/>
  <c r="K45"/>
  <c r="L45" s="1"/>
  <c r="O44"/>
  <c r="K44"/>
  <c r="L44" s="1"/>
  <c r="R44" s="1"/>
  <c r="O43"/>
  <c r="K43"/>
  <c r="L43" s="1"/>
  <c r="O42"/>
  <c r="K42"/>
  <c r="L42" s="1"/>
  <c r="N42" s="1"/>
  <c r="O41"/>
  <c r="K41"/>
  <c r="L41" s="1"/>
  <c r="O40"/>
  <c r="K40"/>
  <c r="L40" s="1"/>
  <c r="O39"/>
  <c r="K39"/>
  <c r="L39" s="1"/>
  <c r="O38"/>
  <c r="K38"/>
  <c r="L38" s="1"/>
  <c r="N38" s="1"/>
  <c r="O37"/>
  <c r="K37"/>
  <c r="L37" s="1"/>
  <c r="O36"/>
  <c r="K36"/>
  <c r="L36" s="1"/>
  <c r="O35"/>
  <c r="K35"/>
  <c r="L35" s="1"/>
  <c r="O34"/>
  <c r="K34"/>
  <c r="L34" s="1"/>
  <c r="N34" s="1"/>
  <c r="O33"/>
  <c r="K33"/>
  <c r="L33" s="1"/>
  <c r="O32"/>
  <c r="K32"/>
  <c r="L32" s="1"/>
  <c r="O31"/>
  <c r="K31"/>
  <c r="L31" s="1"/>
  <c r="O13" i="189"/>
  <c r="K13"/>
  <c r="L13" s="1"/>
  <c r="O17" i="183"/>
  <c r="K17"/>
  <c r="L17" s="1"/>
  <c r="O16" i="145"/>
  <c r="K16"/>
  <c r="L16" s="1"/>
  <c r="O127" i="23"/>
  <c r="K127"/>
  <c r="L127" s="1"/>
  <c r="O9" i="51"/>
  <c r="K9"/>
  <c r="L9" s="1"/>
  <c r="O148" i="11"/>
  <c r="K148"/>
  <c r="L148" s="1"/>
  <c r="O147"/>
  <c r="K147"/>
  <c r="L147" s="1"/>
  <c r="N147" s="1"/>
  <c r="O146"/>
  <c r="K146"/>
  <c r="L146" s="1"/>
  <c r="O145"/>
  <c r="K145"/>
  <c r="L145" s="1"/>
  <c r="O144"/>
  <c r="K144"/>
  <c r="L144" s="1"/>
  <c r="O125" i="23"/>
  <c r="L125"/>
  <c r="N125" s="1"/>
  <c r="K125"/>
  <c r="K30" i="105"/>
  <c r="L30" s="1"/>
  <c r="L29"/>
  <c r="N29" s="1"/>
  <c r="K29"/>
  <c r="Q44" i="33"/>
  <c r="K44"/>
  <c r="H44"/>
  <c r="L44" s="1"/>
  <c r="O143" i="11"/>
  <c r="K143"/>
  <c r="L143" s="1"/>
  <c r="O142"/>
  <c r="K142"/>
  <c r="L142" s="1"/>
  <c r="N142" s="1"/>
  <c r="O12" i="177"/>
  <c r="K12"/>
  <c r="L12" s="1"/>
  <c r="O17" i="100"/>
  <c r="K17"/>
  <c r="L17" s="1"/>
  <c r="O16" i="183"/>
  <c r="K16"/>
  <c r="L16" s="1"/>
  <c r="O141" i="11"/>
  <c r="K141"/>
  <c r="L141" s="1"/>
  <c r="N141" s="1"/>
  <c r="O140"/>
  <c r="K140"/>
  <c r="L140" s="1"/>
  <c r="R140" s="1"/>
  <c r="O139"/>
  <c r="K139"/>
  <c r="L139" s="1"/>
  <c r="O28" i="24"/>
  <c r="K28"/>
  <c r="L28" s="1"/>
  <c r="O28" i="105"/>
  <c r="K28"/>
  <c r="L28" s="1"/>
  <c r="O27"/>
  <c r="K27"/>
  <c r="L27" s="1"/>
  <c r="O26"/>
  <c r="K26"/>
  <c r="L26" s="1"/>
  <c r="O10" i="190"/>
  <c r="K10"/>
  <c r="L10" s="1"/>
  <c r="O39" i="163"/>
  <c r="K39"/>
  <c r="L39" s="1"/>
  <c r="Q31" i="43"/>
  <c r="O31"/>
  <c r="K31"/>
  <c r="L31" s="1"/>
  <c r="O138" i="11"/>
  <c r="K138"/>
  <c r="O11" i="180"/>
  <c r="L11"/>
  <c r="M11" s="1"/>
  <c r="K11"/>
  <c r="O25" i="105"/>
  <c r="K25"/>
  <c r="L25" s="1"/>
  <c r="N25" s="1"/>
  <c r="Q29" i="43"/>
  <c r="O29"/>
  <c r="K29"/>
  <c r="L29" s="1"/>
  <c r="O24" i="105"/>
  <c r="K24"/>
  <c r="L24" s="1"/>
  <c r="O15" i="183"/>
  <c r="K15"/>
  <c r="L15" s="1"/>
  <c r="O8" i="190"/>
  <c r="K8"/>
  <c r="L8" s="1"/>
  <c r="O13" i="103"/>
  <c r="N13"/>
  <c r="L13"/>
  <c r="R13" s="1"/>
  <c r="K13"/>
  <c r="L138" i="11" l="1"/>
  <c r="L152" s="1"/>
  <c r="K152"/>
  <c r="O152"/>
  <c r="N140"/>
  <c r="R41" i="143"/>
  <c r="N41"/>
  <c r="R45"/>
  <c r="N45"/>
  <c r="O72"/>
  <c r="N54"/>
  <c r="N55"/>
  <c r="N30" i="105"/>
  <c r="R30"/>
  <c r="R29"/>
  <c r="N58" i="143"/>
  <c r="L72"/>
  <c r="K72"/>
  <c r="R59"/>
  <c r="R62"/>
  <c r="R58"/>
  <c r="R60"/>
  <c r="R61"/>
  <c r="R149" i="11"/>
  <c r="N149"/>
  <c r="N57" i="143"/>
  <c r="R57"/>
  <c r="N53"/>
  <c r="R53"/>
  <c r="R52"/>
  <c r="R56"/>
  <c r="N49"/>
  <c r="R49"/>
  <c r="R48"/>
  <c r="N38" i="45"/>
  <c r="R38"/>
  <c r="N32" i="34"/>
  <c r="R32"/>
  <c r="N35" i="143"/>
  <c r="R35"/>
  <c r="N37"/>
  <c r="R37"/>
  <c r="N43"/>
  <c r="R43"/>
  <c r="R47"/>
  <c r="N47"/>
  <c r="R32"/>
  <c r="N32"/>
  <c r="R31"/>
  <c r="N31"/>
  <c r="R33"/>
  <c r="N33"/>
  <c r="R40"/>
  <c r="N40"/>
  <c r="N39"/>
  <c r="R39"/>
  <c r="R36"/>
  <c r="N36"/>
  <c r="R34"/>
  <c r="R38"/>
  <c r="R42"/>
  <c r="N44"/>
  <c r="R46"/>
  <c r="N13" i="189"/>
  <c r="R13"/>
  <c r="R17" i="183"/>
  <c r="N17"/>
  <c r="N16" i="145"/>
  <c r="R16"/>
  <c r="N127" i="23"/>
  <c r="R127"/>
  <c r="N9" i="51"/>
  <c r="R9"/>
  <c r="R145" i="11"/>
  <c r="N145"/>
  <c r="N148"/>
  <c r="R148"/>
  <c r="N144"/>
  <c r="R144"/>
  <c r="R146"/>
  <c r="N146"/>
  <c r="R147"/>
  <c r="R125" i="23"/>
  <c r="N44" i="33"/>
  <c r="R44"/>
  <c r="N143" i="11"/>
  <c r="R143"/>
  <c r="R142"/>
  <c r="N12" i="177"/>
  <c r="R12"/>
  <c r="N17" i="100"/>
  <c r="R17"/>
  <c r="R16" i="183"/>
  <c r="N16"/>
  <c r="R139" i="11"/>
  <c r="N139"/>
  <c r="R141"/>
  <c r="N28" i="24"/>
  <c r="R28"/>
  <c r="N28" i="105"/>
  <c r="R28"/>
  <c r="N27"/>
  <c r="R27"/>
  <c r="N26"/>
  <c r="R26"/>
  <c r="N10" i="190"/>
  <c r="R10"/>
  <c r="N39" i="163"/>
  <c r="R39"/>
  <c r="N31" i="43"/>
  <c r="R31"/>
  <c r="R138" i="11"/>
  <c r="R11" i="180"/>
  <c r="N11"/>
  <c r="R25" i="105"/>
  <c r="N29" i="43"/>
  <c r="R29"/>
  <c r="N24" i="105"/>
  <c r="R24"/>
  <c r="R15" i="183"/>
  <c r="N15"/>
  <c r="N8" i="190"/>
  <c r="R8"/>
  <c r="O30" i="34"/>
  <c r="N30"/>
  <c r="L30"/>
  <c r="R30" s="1"/>
  <c r="K30"/>
  <c r="O19" i="131"/>
  <c r="K19"/>
  <c r="L19" s="1"/>
  <c r="O18"/>
  <c r="L18"/>
  <c r="N18" s="1"/>
  <c r="K18"/>
  <c r="O36" i="45"/>
  <c r="K36"/>
  <c r="L36" s="1"/>
  <c r="K60" i="50"/>
  <c r="H60"/>
  <c r="L60" s="1"/>
  <c r="O35" i="45"/>
  <c r="K35"/>
  <c r="L35" s="1"/>
  <c r="O11" i="189"/>
  <c r="K11"/>
  <c r="L11" s="1"/>
  <c r="N11" s="1"/>
  <c r="O26" i="25"/>
  <c r="L26"/>
  <c r="N26" s="1"/>
  <c r="K26"/>
  <c r="O25"/>
  <c r="K25"/>
  <c r="L25" s="1"/>
  <c r="O18" i="101"/>
  <c r="K18"/>
  <c r="L18" s="1"/>
  <c r="O17"/>
  <c r="L17"/>
  <c r="N17" s="1"/>
  <c r="K17"/>
  <c r="N138" i="11" l="1"/>
  <c r="N152" s="1"/>
  <c r="N72" i="143"/>
  <c r="N19" i="131"/>
  <c r="R19"/>
  <c r="R18"/>
  <c r="N36" i="45"/>
  <c r="R36"/>
  <c r="N60" i="50"/>
  <c r="R60"/>
  <c r="O60"/>
  <c r="N35" i="45"/>
  <c r="R35"/>
  <c r="R11" i="189"/>
  <c r="R25" i="25"/>
  <c r="N25"/>
  <c r="R26"/>
  <c r="R18" i="101"/>
  <c r="N18"/>
  <c r="R17"/>
  <c r="O22" i="108"/>
  <c r="K22"/>
  <c r="L22" s="1"/>
  <c r="O21"/>
  <c r="L21"/>
  <c r="N21" s="1"/>
  <c r="K21"/>
  <c r="O11" i="161"/>
  <c r="K11"/>
  <c r="L11" s="1"/>
  <c r="O8" i="188"/>
  <c r="K8"/>
  <c r="L8" s="1"/>
  <c r="M8" s="1"/>
  <c r="O29" i="150"/>
  <c r="K29"/>
  <c r="L29" s="1"/>
  <c r="O18" i="159"/>
  <c r="K18"/>
  <c r="L18" s="1"/>
  <c r="O17"/>
  <c r="K17"/>
  <c r="L17" s="1"/>
  <c r="N17" s="1"/>
  <c r="O9" i="149"/>
  <c r="K9"/>
  <c r="L9" s="1"/>
  <c r="O21" i="88"/>
  <c r="K21"/>
  <c r="L21" s="1"/>
  <c r="O14" i="145"/>
  <c r="K14"/>
  <c r="L14" s="1"/>
  <c r="O10" i="187"/>
  <c r="K10"/>
  <c r="L10" s="1"/>
  <c r="O12" i="71"/>
  <c r="K12"/>
  <c r="L12" s="1"/>
  <c r="O10" i="186"/>
  <c r="K10"/>
  <c r="L10" s="1"/>
  <c r="O58" i="50"/>
  <c r="K58"/>
  <c r="L58" s="1"/>
  <c r="O12" i="145"/>
  <c r="K12"/>
  <c r="L12" s="1"/>
  <c r="O13" i="185"/>
  <c r="K13"/>
  <c r="L13" s="1"/>
  <c r="O12"/>
  <c r="L12"/>
  <c r="N12" s="1"/>
  <c r="K12"/>
  <c r="O12" i="17"/>
  <c r="K12"/>
  <c r="L12" s="1"/>
  <c r="O14" i="166"/>
  <c r="L14"/>
  <c r="N14" s="1"/>
  <c r="K14"/>
  <c r="O123" i="23"/>
  <c r="K123"/>
  <c r="L123" s="1"/>
  <c r="O15" i="18"/>
  <c r="L15"/>
  <c r="N15" s="1"/>
  <c r="K15"/>
  <c r="M136" i="11"/>
  <c r="P136"/>
  <c r="H136"/>
  <c r="O133"/>
  <c r="K133"/>
  <c r="L133" s="1"/>
  <c r="O132"/>
  <c r="K132"/>
  <c r="L132" s="1"/>
  <c r="N132" s="1"/>
  <c r="O131"/>
  <c r="K131"/>
  <c r="L131" s="1"/>
  <c r="O130"/>
  <c r="L130"/>
  <c r="R130" s="1"/>
  <c r="K130"/>
  <c r="O129"/>
  <c r="K129"/>
  <c r="L129" s="1"/>
  <c r="O128"/>
  <c r="L128"/>
  <c r="N128" s="1"/>
  <c r="K128"/>
  <c r="O127"/>
  <c r="K127"/>
  <c r="L127" s="1"/>
  <c r="O10" i="184"/>
  <c r="K10"/>
  <c r="L10" s="1"/>
  <c r="O126" i="11"/>
  <c r="K126"/>
  <c r="L126" s="1"/>
  <c r="O125"/>
  <c r="K125"/>
  <c r="L125" s="1"/>
  <c r="N125" s="1"/>
  <c r="O124"/>
  <c r="K124"/>
  <c r="L124" s="1"/>
  <c r="O123"/>
  <c r="K123"/>
  <c r="L123" s="1"/>
  <c r="R123" s="1"/>
  <c r="O122"/>
  <c r="K122"/>
  <c r="L122" s="1"/>
  <c r="O121"/>
  <c r="K121"/>
  <c r="L121" s="1"/>
  <c r="N121" s="1"/>
  <c r="O120"/>
  <c r="K120"/>
  <c r="L120" s="1"/>
  <c r="O13" i="183"/>
  <c r="K13"/>
  <c r="L13" s="1"/>
  <c r="O12"/>
  <c r="L12"/>
  <c r="N12" s="1"/>
  <c r="K12"/>
  <c r="O11"/>
  <c r="K11"/>
  <c r="L11" s="1"/>
  <c r="O10"/>
  <c r="L10"/>
  <c r="R10" s="1"/>
  <c r="K10"/>
  <c r="O119" i="11"/>
  <c r="K119"/>
  <c r="L119" s="1"/>
  <c r="O118"/>
  <c r="K118"/>
  <c r="L118" s="1"/>
  <c r="N118" s="1"/>
  <c r="O117"/>
  <c r="K117"/>
  <c r="L117" s="1"/>
  <c r="O9" i="183"/>
  <c r="K9"/>
  <c r="L9" s="1"/>
  <c r="O8"/>
  <c r="L8"/>
  <c r="N8" s="1"/>
  <c r="K8"/>
  <c r="O7"/>
  <c r="K7"/>
  <c r="L7" s="1"/>
  <c r="R9" i="180"/>
  <c r="O9"/>
  <c r="L9"/>
  <c r="N9" s="1"/>
  <c r="O34" i="45"/>
  <c r="K34"/>
  <c r="L34" s="1"/>
  <c r="O27" i="150"/>
  <c r="K27"/>
  <c r="L27" s="1"/>
  <c r="O26"/>
  <c r="L26"/>
  <c r="N26" s="1"/>
  <c r="K26"/>
  <c r="O121" i="23"/>
  <c r="K121"/>
  <c r="L121" s="1"/>
  <c r="K56" i="50"/>
  <c r="H56"/>
  <c r="L56" s="1"/>
  <c r="O37" i="163"/>
  <c r="L37"/>
  <c r="N37" s="1"/>
  <c r="K37"/>
  <c r="O8" i="182"/>
  <c r="L8"/>
  <c r="N8" s="1"/>
  <c r="K8"/>
  <c r="O54" i="50"/>
  <c r="K54"/>
  <c r="L54" s="1"/>
  <c r="O53"/>
  <c r="K53"/>
  <c r="L53" s="1"/>
  <c r="O25" i="150"/>
  <c r="N25"/>
  <c r="L25"/>
  <c r="R25" s="1"/>
  <c r="L136" i="11" l="1"/>
  <c r="O136"/>
  <c r="K136"/>
  <c r="N22" i="108"/>
  <c r="R22"/>
  <c r="R21"/>
  <c r="N11" i="161"/>
  <c r="R11"/>
  <c r="R8" i="188"/>
  <c r="N8"/>
  <c r="N29" i="150"/>
  <c r="R29"/>
  <c r="N18" i="159"/>
  <c r="R18"/>
  <c r="R17"/>
  <c r="N9" i="149"/>
  <c r="R9"/>
  <c r="N21" i="88"/>
  <c r="R21"/>
  <c r="N14" i="145"/>
  <c r="R14"/>
  <c r="N10" i="187"/>
  <c r="R10"/>
  <c r="N12" i="71"/>
  <c r="R12"/>
  <c r="R10" i="186"/>
  <c r="N10"/>
  <c r="N58" i="50"/>
  <c r="R58"/>
  <c r="N12" i="145"/>
  <c r="R12"/>
  <c r="N13" i="185"/>
  <c r="R13"/>
  <c r="R12"/>
  <c r="N12" i="17"/>
  <c r="R12"/>
  <c r="R14" i="166"/>
  <c r="N123" i="23"/>
  <c r="R123"/>
  <c r="R15" i="18"/>
  <c r="R127" i="11"/>
  <c r="N127"/>
  <c r="R133"/>
  <c r="N133"/>
  <c r="R131"/>
  <c r="N131"/>
  <c r="N129"/>
  <c r="R129"/>
  <c r="R128"/>
  <c r="N130"/>
  <c r="R132"/>
  <c r="N10" i="184"/>
  <c r="R10"/>
  <c r="R120" i="11"/>
  <c r="N120"/>
  <c r="N126"/>
  <c r="R126"/>
  <c r="R124"/>
  <c r="N124"/>
  <c r="N122"/>
  <c r="R122"/>
  <c r="R121"/>
  <c r="N123"/>
  <c r="R125"/>
  <c r="N13" i="183"/>
  <c r="R13"/>
  <c r="R11"/>
  <c r="N11"/>
  <c r="N10"/>
  <c r="R12"/>
  <c r="N119" i="11"/>
  <c r="R119"/>
  <c r="R117"/>
  <c r="N117"/>
  <c r="R118"/>
  <c r="N9" i="183"/>
  <c r="R9"/>
  <c r="R7"/>
  <c r="N7"/>
  <c r="R8"/>
  <c r="N34" i="45"/>
  <c r="R34"/>
  <c r="N27" i="150"/>
  <c r="R27"/>
  <c r="R26"/>
  <c r="N121" i="23"/>
  <c r="R121"/>
  <c r="R56" i="50"/>
  <c r="N56"/>
  <c r="O56"/>
  <c r="R37" i="163"/>
  <c r="R8" i="182"/>
  <c r="N54" i="50"/>
  <c r="R54"/>
  <c r="N53"/>
  <c r="R53"/>
  <c r="O85" i="87"/>
  <c r="K85"/>
  <c r="L85" s="1"/>
  <c r="O33" i="45"/>
  <c r="K33"/>
  <c r="L33" s="1"/>
  <c r="O213" i="125"/>
  <c r="K213"/>
  <c r="L213" s="1"/>
  <c r="O32" i="45"/>
  <c r="K32"/>
  <c r="L32" s="1"/>
  <c r="O8" i="180"/>
  <c r="K8"/>
  <c r="L8" s="1"/>
  <c r="N136" i="11" l="1"/>
  <c r="N85" i="87"/>
  <c r="R85"/>
  <c r="N33" i="45"/>
  <c r="R33"/>
  <c r="N213" i="125"/>
  <c r="R213"/>
  <c r="N32" i="45"/>
  <c r="R32"/>
  <c r="N8" i="180"/>
  <c r="R8"/>
  <c r="I216" i="125"/>
  <c r="J216"/>
  <c r="M216"/>
  <c r="P216"/>
  <c r="Q216"/>
  <c r="S216"/>
  <c r="O212"/>
  <c r="K212"/>
  <c r="L212" s="1"/>
  <c r="N212" s="1"/>
  <c r="O9" i="147"/>
  <c r="K9"/>
  <c r="L9" s="1"/>
  <c r="O51" i="50"/>
  <c r="K51"/>
  <c r="I51"/>
  <c r="H51"/>
  <c r="L51" s="1"/>
  <c r="O211" i="125"/>
  <c r="K211"/>
  <c r="L211" s="1"/>
  <c r="O210"/>
  <c r="K210"/>
  <c r="L210" s="1"/>
  <c r="N210" s="1"/>
  <c r="O209"/>
  <c r="K209"/>
  <c r="L209" s="1"/>
  <c r="O208"/>
  <c r="K208"/>
  <c r="L208" s="1"/>
  <c r="R208" s="1"/>
  <c r="O119" i="23"/>
  <c r="K119"/>
  <c r="L119" s="1"/>
  <c r="H216" i="125"/>
  <c r="O207"/>
  <c r="K207"/>
  <c r="L207" s="1"/>
  <c r="O206"/>
  <c r="K206"/>
  <c r="L206" s="1"/>
  <c r="N206" s="1"/>
  <c r="O205"/>
  <c r="K205"/>
  <c r="L205" s="1"/>
  <c r="O204"/>
  <c r="K204"/>
  <c r="L204" s="1"/>
  <c r="O203"/>
  <c r="K203"/>
  <c r="L203" s="1"/>
  <c r="O202"/>
  <c r="L202"/>
  <c r="N202" s="1"/>
  <c r="K202"/>
  <c r="O201"/>
  <c r="L201"/>
  <c r="R201" s="1"/>
  <c r="K201"/>
  <c r="O200"/>
  <c r="K200"/>
  <c r="L200" s="1"/>
  <c r="O7" i="180"/>
  <c r="K7"/>
  <c r="L7" s="1"/>
  <c r="O199" i="125"/>
  <c r="K199"/>
  <c r="L199" s="1"/>
  <c r="O198"/>
  <c r="L198"/>
  <c r="N198" s="1"/>
  <c r="K198"/>
  <c r="O197"/>
  <c r="N197"/>
  <c r="L197"/>
  <c r="R197" s="1"/>
  <c r="K197"/>
  <c r="O196"/>
  <c r="K196"/>
  <c r="L196" s="1"/>
  <c r="O195"/>
  <c r="K195"/>
  <c r="L195" s="1"/>
  <c r="O15" i="100"/>
  <c r="L15"/>
  <c r="N15" s="1"/>
  <c r="K15"/>
  <c r="O8" i="179"/>
  <c r="K8"/>
  <c r="L8" s="1"/>
  <c r="O8" i="134"/>
  <c r="K8"/>
  <c r="L8" s="1"/>
  <c r="O194" i="125"/>
  <c r="K194"/>
  <c r="L194" s="1"/>
  <c r="O193"/>
  <c r="K193"/>
  <c r="L193" s="1"/>
  <c r="O192"/>
  <c r="K192"/>
  <c r="L192" s="1"/>
  <c r="N192" s="1"/>
  <c r="O191"/>
  <c r="L191"/>
  <c r="R191" s="1"/>
  <c r="K191"/>
  <c r="O190"/>
  <c r="L190"/>
  <c r="N190" s="1"/>
  <c r="K190"/>
  <c r="O189"/>
  <c r="L189"/>
  <c r="R189" s="1"/>
  <c r="K189"/>
  <c r="O188"/>
  <c r="L188"/>
  <c r="N188" s="1"/>
  <c r="K188"/>
  <c r="O35" i="163"/>
  <c r="K35"/>
  <c r="L35" s="1"/>
  <c r="N193" i="125" l="1"/>
  <c r="R193"/>
  <c r="N194"/>
  <c r="R194"/>
  <c r="R205"/>
  <c r="N205"/>
  <c r="R204"/>
  <c r="N204"/>
  <c r="R192"/>
  <c r="R188"/>
  <c r="R190"/>
  <c r="N189"/>
  <c r="N191"/>
  <c r="N201"/>
  <c r="R212"/>
  <c r="N9" i="147"/>
  <c r="R9"/>
  <c r="N51" i="50"/>
  <c r="R51"/>
  <c r="N211" i="125"/>
  <c r="R211"/>
  <c r="R209"/>
  <c r="N209"/>
  <c r="N208"/>
  <c r="R210"/>
  <c r="N119" i="23"/>
  <c r="R119"/>
  <c r="N207" i="125"/>
  <c r="R207"/>
  <c r="N203"/>
  <c r="R203"/>
  <c r="R200"/>
  <c r="N200"/>
  <c r="R202"/>
  <c r="R206"/>
  <c r="N7" i="180"/>
  <c r="R7"/>
  <c r="N195" i="125"/>
  <c r="R195"/>
  <c r="N199"/>
  <c r="R199"/>
  <c r="R196"/>
  <c r="N196"/>
  <c r="R198"/>
  <c r="R15" i="100"/>
  <c r="N8" i="179"/>
  <c r="R8"/>
  <c r="N8" i="134"/>
  <c r="R8"/>
  <c r="N35" i="163"/>
  <c r="R35"/>
  <c r="O28" i="34"/>
  <c r="K28"/>
  <c r="L28" s="1"/>
  <c r="O30" i="27"/>
  <c r="K30"/>
  <c r="L30" s="1"/>
  <c r="O187" i="125"/>
  <c r="K187"/>
  <c r="L187" s="1"/>
  <c r="O186"/>
  <c r="K186"/>
  <c r="L186" s="1"/>
  <c r="N186" s="1"/>
  <c r="O185"/>
  <c r="K185"/>
  <c r="L185" s="1"/>
  <c r="Q29" i="126"/>
  <c r="O29"/>
  <c r="N29"/>
  <c r="L29"/>
  <c r="R29" s="1"/>
  <c r="K29"/>
  <c r="O7" i="178"/>
  <c r="K7"/>
  <c r="L7" s="1"/>
  <c r="O22" i="105"/>
  <c r="K22"/>
  <c r="L22" s="1"/>
  <c r="O21"/>
  <c r="K21"/>
  <c r="L21" s="1"/>
  <c r="O20"/>
  <c r="L20"/>
  <c r="R20" s="1"/>
  <c r="K20"/>
  <c r="O117" i="23"/>
  <c r="K117"/>
  <c r="L117" s="1"/>
  <c r="O13" i="139"/>
  <c r="L13"/>
  <c r="N13" s="1"/>
  <c r="K13"/>
  <c r="O184" i="125"/>
  <c r="K184"/>
  <c r="L184" s="1"/>
  <c r="O183"/>
  <c r="K183"/>
  <c r="L183" s="1"/>
  <c r="O33" i="163"/>
  <c r="K33"/>
  <c r="L33" s="1"/>
  <c r="O32"/>
  <c r="L32"/>
  <c r="N32" s="1"/>
  <c r="K32"/>
  <c r="O26" i="24"/>
  <c r="K26"/>
  <c r="L26" s="1"/>
  <c r="O19" i="105"/>
  <c r="K19"/>
  <c r="L19" s="1"/>
  <c r="O18"/>
  <c r="K18"/>
  <c r="L18" s="1"/>
  <c r="N18" s="1"/>
  <c r="O17"/>
  <c r="K17"/>
  <c r="L17" s="1"/>
  <c r="O31" i="65"/>
  <c r="K31"/>
  <c r="L31" s="1"/>
  <c r="O30"/>
  <c r="K30"/>
  <c r="L30" s="1"/>
  <c r="O30" i="163"/>
  <c r="K30"/>
  <c r="L30" s="1"/>
  <c r="O16" i="131"/>
  <c r="L16"/>
  <c r="N16" s="1"/>
  <c r="K16"/>
  <c r="O15"/>
  <c r="N15"/>
  <c r="L15"/>
  <c r="R15" s="1"/>
  <c r="K15"/>
  <c r="O15" i="101"/>
  <c r="K15"/>
  <c r="L15" s="1"/>
  <c r="O14"/>
  <c r="K14"/>
  <c r="L14" s="1"/>
  <c r="O23" i="25"/>
  <c r="K23"/>
  <c r="L23" s="1"/>
  <c r="R24" i="150"/>
  <c r="O24"/>
  <c r="L24"/>
  <c r="N24" s="1"/>
  <c r="R23"/>
  <c r="O23"/>
  <c r="L23"/>
  <c r="N23" s="1"/>
  <c r="R17" i="105" l="1"/>
  <c r="N17"/>
  <c r="N28" i="34"/>
  <c r="R28"/>
  <c r="N30" i="27"/>
  <c r="R30"/>
  <c r="N187" i="125"/>
  <c r="R187"/>
  <c r="R185"/>
  <c r="N185"/>
  <c r="R186"/>
  <c r="N7" i="178"/>
  <c r="R7"/>
  <c r="N22" i="105"/>
  <c r="R22"/>
  <c r="N21"/>
  <c r="R21"/>
  <c r="N20"/>
  <c r="N117" i="23"/>
  <c r="R117"/>
  <c r="R13" i="139"/>
  <c r="N184" i="125"/>
  <c r="R184"/>
  <c r="N183"/>
  <c r="R183"/>
  <c r="R33" i="163"/>
  <c r="N33"/>
  <c r="R32"/>
  <c r="R26" i="24"/>
  <c r="N26"/>
  <c r="N19" i="105"/>
  <c r="R19"/>
  <c r="R18"/>
  <c r="N31" i="65"/>
  <c r="R31"/>
  <c r="N30"/>
  <c r="R30"/>
  <c r="N30" i="163"/>
  <c r="R30"/>
  <c r="R16" i="131"/>
  <c r="N15" i="101"/>
  <c r="R15"/>
  <c r="N14"/>
  <c r="R14"/>
  <c r="N23" i="25"/>
  <c r="R23"/>
  <c r="O10" i="177"/>
  <c r="K10"/>
  <c r="L10" s="1"/>
  <c r="R28" i="163"/>
  <c r="O28"/>
  <c r="L28"/>
  <c r="N28" s="1"/>
  <c r="O182" i="125"/>
  <c r="L182"/>
  <c r="N182" s="1"/>
  <c r="O181"/>
  <c r="L181"/>
  <c r="N181" s="1"/>
  <c r="O180"/>
  <c r="K180"/>
  <c r="L180" s="1"/>
  <c r="O179"/>
  <c r="L179"/>
  <c r="N179" s="1"/>
  <c r="O178"/>
  <c r="K178"/>
  <c r="L178" s="1"/>
  <c r="O177"/>
  <c r="L177"/>
  <c r="N177" s="1"/>
  <c r="O176"/>
  <c r="L176"/>
  <c r="N176" s="1"/>
  <c r="O175"/>
  <c r="L175"/>
  <c r="N175" s="1"/>
  <c r="O174"/>
  <c r="L174"/>
  <c r="N174" s="1"/>
  <c r="K174"/>
  <c r="O173"/>
  <c r="L173"/>
  <c r="R173" s="1"/>
  <c r="K173"/>
  <c r="O172"/>
  <c r="L172"/>
  <c r="R172" s="1"/>
  <c r="K172"/>
  <c r="R171"/>
  <c r="O171"/>
  <c r="N171"/>
  <c r="L171"/>
  <c r="O170"/>
  <c r="K170"/>
  <c r="L170" s="1"/>
  <c r="O19" i="88"/>
  <c r="N19"/>
  <c r="L19"/>
  <c r="R19" s="1"/>
  <c r="K19"/>
  <c r="O26" i="163"/>
  <c r="N26"/>
  <c r="L26"/>
  <c r="R26" s="1"/>
  <c r="R180" i="125" l="1"/>
  <c r="N180"/>
  <c r="N172"/>
  <c r="N173"/>
  <c r="R179"/>
  <c r="R181"/>
  <c r="R182"/>
  <c r="N10" i="177"/>
  <c r="R10"/>
  <c r="N178" i="125"/>
  <c r="R178"/>
  <c r="N170"/>
  <c r="R170"/>
  <c r="R174"/>
  <c r="R175"/>
  <c r="R176"/>
  <c r="R177"/>
  <c r="O169"/>
  <c r="N169"/>
  <c r="L169"/>
  <c r="R169" s="1"/>
  <c r="O168"/>
  <c r="L168"/>
  <c r="R168" s="1"/>
  <c r="O167"/>
  <c r="N167"/>
  <c r="L167"/>
  <c r="R167" s="1"/>
  <c r="O166"/>
  <c r="L166"/>
  <c r="R166" s="1"/>
  <c r="O165"/>
  <c r="K165"/>
  <c r="L165" s="1"/>
  <c r="O164"/>
  <c r="K164"/>
  <c r="L164" s="1"/>
  <c r="O163"/>
  <c r="L163"/>
  <c r="N163" s="1"/>
  <c r="K163"/>
  <c r="O162"/>
  <c r="L162"/>
  <c r="R162" s="1"/>
  <c r="K162"/>
  <c r="O161"/>
  <c r="L161"/>
  <c r="R161" s="1"/>
  <c r="O160"/>
  <c r="N160"/>
  <c r="L160"/>
  <c r="R160" s="1"/>
  <c r="O159"/>
  <c r="L159"/>
  <c r="R159" s="1"/>
  <c r="K159"/>
  <c r="O9" i="176"/>
  <c r="K9"/>
  <c r="L9" s="1"/>
  <c r="O15" i="159"/>
  <c r="K15"/>
  <c r="L15" s="1"/>
  <c r="O158" i="125"/>
  <c r="L158"/>
  <c r="R158" s="1"/>
  <c r="K158"/>
  <c r="O157"/>
  <c r="K157"/>
  <c r="L157" s="1"/>
  <c r="O156"/>
  <c r="K156"/>
  <c r="L156" s="1"/>
  <c r="N156" s="1"/>
  <c r="O155"/>
  <c r="K155"/>
  <c r="L155" s="1"/>
  <c r="O154"/>
  <c r="K154"/>
  <c r="L154" s="1"/>
  <c r="O153"/>
  <c r="L153"/>
  <c r="N153" s="1"/>
  <c r="O152"/>
  <c r="K152"/>
  <c r="L152" s="1"/>
  <c r="O151"/>
  <c r="L151"/>
  <c r="N151" s="1"/>
  <c r="O150"/>
  <c r="L150"/>
  <c r="N150" s="1"/>
  <c r="K150"/>
  <c r="O149"/>
  <c r="L149"/>
  <c r="R149" s="1"/>
  <c r="O148"/>
  <c r="K148"/>
  <c r="L148" s="1"/>
  <c r="O147"/>
  <c r="N147"/>
  <c r="L147"/>
  <c r="R147" s="1"/>
  <c r="O146"/>
  <c r="L146"/>
  <c r="R146" s="1"/>
  <c r="K146"/>
  <c r="O145"/>
  <c r="K145"/>
  <c r="L145" s="1"/>
  <c r="O144"/>
  <c r="K144"/>
  <c r="L144" s="1"/>
  <c r="N144" s="1"/>
  <c r="O143"/>
  <c r="K143"/>
  <c r="L143" s="1"/>
  <c r="O142"/>
  <c r="K142"/>
  <c r="L142" s="1"/>
  <c r="O141"/>
  <c r="K141"/>
  <c r="L141" s="1"/>
  <c r="O140"/>
  <c r="L140"/>
  <c r="N140" s="1"/>
  <c r="O139"/>
  <c r="L139"/>
  <c r="N139" s="1"/>
  <c r="K139"/>
  <c r="O138"/>
  <c r="L138"/>
  <c r="R138" s="1"/>
  <c r="K138"/>
  <c r="O137"/>
  <c r="L137"/>
  <c r="R137" s="1"/>
  <c r="O136"/>
  <c r="K136"/>
  <c r="L136" s="1"/>
  <c r="O135"/>
  <c r="K135"/>
  <c r="L135" s="1"/>
  <c r="O134"/>
  <c r="L134"/>
  <c r="N134" s="1"/>
  <c r="K134"/>
  <c r="O133"/>
  <c r="L133"/>
  <c r="N133" s="1"/>
  <c r="O132"/>
  <c r="L132"/>
  <c r="R132" s="1"/>
  <c r="K132"/>
  <c r="O131"/>
  <c r="K131"/>
  <c r="L131" s="1"/>
  <c r="O130"/>
  <c r="K130"/>
  <c r="L130" s="1"/>
  <c r="R130" s="1"/>
  <c r="O129"/>
  <c r="K129"/>
  <c r="L129" s="1"/>
  <c r="O128"/>
  <c r="K128"/>
  <c r="L128" s="1"/>
  <c r="O127"/>
  <c r="K127"/>
  <c r="L127" s="1"/>
  <c r="O126"/>
  <c r="L126"/>
  <c r="R126" s="1"/>
  <c r="K126"/>
  <c r="O125"/>
  <c r="L125"/>
  <c r="R125" s="1"/>
  <c r="O124"/>
  <c r="N124"/>
  <c r="L124"/>
  <c r="R124" s="1"/>
  <c r="O123"/>
  <c r="L123"/>
  <c r="R123" s="1"/>
  <c r="O122"/>
  <c r="K122"/>
  <c r="L122" s="1"/>
  <c r="O121"/>
  <c r="K121"/>
  <c r="L121" s="1"/>
  <c r="R28" i="65"/>
  <c r="O28"/>
  <c r="L28"/>
  <c r="N28" s="1"/>
  <c r="R27"/>
  <c r="O27"/>
  <c r="L27"/>
  <c r="N27" s="1"/>
  <c r="O120" i="125"/>
  <c r="K120"/>
  <c r="L120" s="1"/>
  <c r="O119"/>
  <c r="K119"/>
  <c r="L119" s="1"/>
  <c r="N119" s="1"/>
  <c r="O118"/>
  <c r="K118"/>
  <c r="L118" s="1"/>
  <c r="O117"/>
  <c r="K117"/>
  <c r="L117" s="1"/>
  <c r="O116"/>
  <c r="K116"/>
  <c r="L116" s="1"/>
  <c r="O115"/>
  <c r="L115"/>
  <c r="N115" s="1"/>
  <c r="O114"/>
  <c r="L114"/>
  <c r="N114" s="1"/>
  <c r="K114"/>
  <c r="O113"/>
  <c r="K113"/>
  <c r="L113" s="1"/>
  <c r="O112"/>
  <c r="K112"/>
  <c r="L112" s="1"/>
  <c r="O111"/>
  <c r="L111"/>
  <c r="N111" s="1"/>
  <c r="O110"/>
  <c r="L110"/>
  <c r="N110" s="1"/>
  <c r="O109"/>
  <c r="K109"/>
  <c r="L109" s="1"/>
  <c r="O108"/>
  <c r="L108"/>
  <c r="N108" s="1"/>
  <c r="K108"/>
  <c r="O107"/>
  <c r="K107"/>
  <c r="L107" s="1"/>
  <c r="O106"/>
  <c r="K106"/>
  <c r="L106" s="1"/>
  <c r="O105"/>
  <c r="K105"/>
  <c r="L105" s="1"/>
  <c r="O104"/>
  <c r="L104"/>
  <c r="N104" s="1"/>
  <c r="K104"/>
  <c r="O18" i="73"/>
  <c r="K18"/>
  <c r="L18" s="1"/>
  <c r="R103" i="125"/>
  <c r="O103"/>
  <c r="L103"/>
  <c r="N103" s="1"/>
  <c r="O102"/>
  <c r="K102"/>
  <c r="L102" s="1"/>
  <c r="O101"/>
  <c r="L101"/>
  <c r="R101" s="1"/>
  <c r="K101"/>
  <c r="O100"/>
  <c r="L100"/>
  <c r="R100" s="1"/>
  <c r="K100"/>
  <c r="O99"/>
  <c r="K99"/>
  <c r="L99" s="1"/>
  <c r="O98"/>
  <c r="L98"/>
  <c r="N98" s="1"/>
  <c r="K98"/>
  <c r="O97"/>
  <c r="N97"/>
  <c r="L97"/>
  <c r="R97" s="1"/>
  <c r="O96"/>
  <c r="L96"/>
  <c r="R96" s="1"/>
  <c r="K96"/>
  <c r="O95"/>
  <c r="L95"/>
  <c r="R95" s="1"/>
  <c r="K95"/>
  <c r="O24" i="163"/>
  <c r="N24"/>
  <c r="L24"/>
  <c r="R24" s="1"/>
  <c r="K24"/>
  <c r="O23"/>
  <c r="K23"/>
  <c r="L23" s="1"/>
  <c r="O26" i="34"/>
  <c r="L26"/>
  <c r="N26" s="1"/>
  <c r="K26"/>
  <c r="O94" i="125"/>
  <c r="N94"/>
  <c r="L94"/>
  <c r="R94" s="1"/>
  <c r="O93"/>
  <c r="K93"/>
  <c r="L93" s="1"/>
  <c r="O92"/>
  <c r="L92"/>
  <c r="N92" s="1"/>
  <c r="O21" i="163"/>
  <c r="N21"/>
  <c r="L21"/>
  <c r="R21" s="1"/>
  <c r="O7" i="176"/>
  <c r="N7"/>
  <c r="L7"/>
  <c r="R7" s="1"/>
  <c r="O8" i="175"/>
  <c r="N8"/>
  <c r="L8"/>
  <c r="R8" s="1"/>
  <c r="K8"/>
  <c r="R129" i="125" l="1"/>
  <c r="N129"/>
  <c r="R136"/>
  <c r="N136"/>
  <c r="R143"/>
  <c r="N143"/>
  <c r="R148"/>
  <c r="N148"/>
  <c r="R165"/>
  <c r="N165"/>
  <c r="R155"/>
  <c r="N155"/>
  <c r="R122"/>
  <c r="N122"/>
  <c r="R128"/>
  <c r="N128"/>
  <c r="R142"/>
  <c r="N142"/>
  <c r="R121"/>
  <c r="N121"/>
  <c r="R154"/>
  <c r="N154"/>
  <c r="R110"/>
  <c r="N95"/>
  <c r="N96"/>
  <c r="N100"/>
  <c r="N101"/>
  <c r="R111"/>
  <c r="N123"/>
  <c r="N132"/>
  <c r="N149"/>
  <c r="R153"/>
  <c r="N158"/>
  <c r="N159"/>
  <c r="N168"/>
  <c r="N125"/>
  <c r="N137"/>
  <c r="N138"/>
  <c r="N146"/>
  <c r="N161"/>
  <c r="N162"/>
  <c r="N166"/>
  <c r="N164"/>
  <c r="R164"/>
  <c r="R163"/>
  <c r="N9" i="176"/>
  <c r="R9"/>
  <c r="R15" i="159"/>
  <c r="N15"/>
  <c r="N157" i="125"/>
  <c r="R157"/>
  <c r="N135"/>
  <c r="R135"/>
  <c r="N152"/>
  <c r="R152"/>
  <c r="N145"/>
  <c r="R145"/>
  <c r="N141"/>
  <c r="R141"/>
  <c r="R134"/>
  <c r="R139"/>
  <c r="R140"/>
  <c r="R144"/>
  <c r="R150"/>
  <c r="R151"/>
  <c r="R156"/>
  <c r="N127"/>
  <c r="R127"/>
  <c r="N131"/>
  <c r="R131"/>
  <c r="N126"/>
  <c r="N130"/>
  <c r="R133"/>
  <c r="R117"/>
  <c r="N117"/>
  <c r="R112"/>
  <c r="N112"/>
  <c r="N105"/>
  <c r="R105"/>
  <c r="R113"/>
  <c r="N113"/>
  <c r="R120"/>
  <c r="N120"/>
  <c r="N109"/>
  <c r="R109"/>
  <c r="N107"/>
  <c r="R107"/>
  <c r="R106"/>
  <c r="N106"/>
  <c r="R116"/>
  <c r="N116"/>
  <c r="N118"/>
  <c r="R118"/>
  <c r="R104"/>
  <c r="R108"/>
  <c r="R114"/>
  <c r="R115"/>
  <c r="R119"/>
  <c r="N18" i="73"/>
  <c r="R18"/>
  <c r="N102" i="125"/>
  <c r="R102"/>
  <c r="R99"/>
  <c r="N99"/>
  <c r="R98"/>
  <c r="N23" i="163"/>
  <c r="R23"/>
  <c r="R26" i="34"/>
  <c r="N93" i="125"/>
  <c r="R93"/>
  <c r="R92"/>
  <c r="O91"/>
  <c r="K91"/>
  <c r="L91" s="1"/>
  <c r="O90"/>
  <c r="K90"/>
  <c r="L90" s="1"/>
  <c r="O89"/>
  <c r="L89"/>
  <c r="N89" s="1"/>
  <c r="K89"/>
  <c r="O88"/>
  <c r="L88"/>
  <c r="R88" s="1"/>
  <c r="K88"/>
  <c r="O87"/>
  <c r="L87"/>
  <c r="R87" s="1"/>
  <c r="K87"/>
  <c r="O86"/>
  <c r="K86"/>
  <c r="L86" s="1"/>
  <c r="O13" i="174"/>
  <c r="K13"/>
  <c r="L13" s="1"/>
  <c r="O12"/>
  <c r="M12"/>
  <c r="L12"/>
  <c r="N12" s="1"/>
  <c r="K12"/>
  <c r="O11"/>
  <c r="K11"/>
  <c r="L11" s="1"/>
  <c r="O10"/>
  <c r="M10"/>
  <c r="L10"/>
  <c r="N10" s="1"/>
  <c r="K10"/>
  <c r="O9"/>
  <c r="K9"/>
  <c r="L9" s="1"/>
  <c r="O8"/>
  <c r="M8"/>
  <c r="L8"/>
  <c r="N8" s="1"/>
  <c r="K8"/>
  <c r="O11" i="173"/>
  <c r="N11"/>
  <c r="L11"/>
  <c r="R11" s="1"/>
  <c r="O9"/>
  <c r="L9"/>
  <c r="N9" s="1"/>
  <c r="O7"/>
  <c r="L7"/>
  <c r="N7" s="1"/>
  <c r="K7"/>
  <c r="O85" i="125"/>
  <c r="L85"/>
  <c r="R85" s="1"/>
  <c r="K85"/>
  <c r="O84"/>
  <c r="N84"/>
  <c r="L84"/>
  <c r="R84" s="1"/>
  <c r="O83"/>
  <c r="K83"/>
  <c r="L83" s="1"/>
  <c r="O19" i="163"/>
  <c r="L19"/>
  <c r="N19" s="1"/>
  <c r="K19"/>
  <c r="Q42" i="33"/>
  <c r="O42"/>
  <c r="K42"/>
  <c r="L42" s="1"/>
  <c r="O82" i="125"/>
  <c r="K82"/>
  <c r="L82" s="1"/>
  <c r="O81"/>
  <c r="K81"/>
  <c r="L81" s="1"/>
  <c r="N81" s="1"/>
  <c r="O80"/>
  <c r="N80"/>
  <c r="L80"/>
  <c r="R80" s="1"/>
  <c r="O20" i="67"/>
  <c r="N20"/>
  <c r="L20"/>
  <c r="R20" s="1"/>
  <c r="K20"/>
  <c r="O22" i="169"/>
  <c r="N22"/>
  <c r="L22"/>
  <c r="R22" s="1"/>
  <c r="O21"/>
  <c r="N21"/>
  <c r="L21"/>
  <c r="R21" s="1"/>
  <c r="O79" i="125"/>
  <c r="K79"/>
  <c r="L79" s="1"/>
  <c r="O78"/>
  <c r="K78"/>
  <c r="L78" s="1"/>
  <c r="O77"/>
  <c r="K77"/>
  <c r="K216" s="1"/>
  <c r="O20" i="169"/>
  <c r="N20"/>
  <c r="L20"/>
  <c r="R20" s="1"/>
  <c r="O19"/>
  <c r="N19"/>
  <c r="L19"/>
  <c r="R19" s="1"/>
  <c r="Q40" i="33"/>
  <c r="O40"/>
  <c r="K40"/>
  <c r="L40" s="1"/>
  <c r="R79" i="125" l="1"/>
  <c r="N79"/>
  <c r="R91"/>
  <c r="N91"/>
  <c r="O216"/>
  <c r="L77"/>
  <c r="N85"/>
  <c r="N87"/>
  <c r="N88"/>
  <c r="N90"/>
  <c r="R90"/>
  <c r="N86"/>
  <c r="R86"/>
  <c r="R89"/>
  <c r="M9" i="174"/>
  <c r="R9"/>
  <c r="N9"/>
  <c r="M13"/>
  <c r="R13"/>
  <c r="N13"/>
  <c r="M11"/>
  <c r="N11" s="1"/>
  <c r="R11"/>
  <c r="R8"/>
  <c r="R10"/>
  <c r="R12"/>
  <c r="R7" i="173"/>
  <c r="R9"/>
  <c r="N83" i="125"/>
  <c r="R83"/>
  <c r="R19" i="163"/>
  <c r="R42" i="33"/>
  <c r="N42"/>
  <c r="R82" i="125"/>
  <c r="N82"/>
  <c r="R81"/>
  <c r="N78"/>
  <c r="R78"/>
  <c r="R77"/>
  <c r="R40" i="33"/>
  <c r="N40"/>
  <c r="O18" i="169"/>
  <c r="L18"/>
  <c r="N18" s="1"/>
  <c r="O15" i="105"/>
  <c r="L15"/>
  <c r="R15" s="1"/>
  <c r="K15"/>
  <c r="O14"/>
  <c r="L14"/>
  <c r="N14" s="1"/>
  <c r="O13"/>
  <c r="L13"/>
  <c r="N13" s="1"/>
  <c r="R18" i="169" l="1"/>
  <c r="N15" i="105"/>
  <c r="N77" i="125"/>
  <c r="N216" s="1"/>
  <c r="L216"/>
  <c r="R216"/>
  <c r="R13" i="105"/>
  <c r="R14"/>
  <c r="O115" i="23"/>
  <c r="N115"/>
  <c r="L115"/>
  <c r="R115" s="1"/>
  <c r="K115"/>
  <c r="O9" i="132"/>
  <c r="K9"/>
  <c r="L9" s="1"/>
  <c r="O12" i="105"/>
  <c r="L12"/>
  <c r="R12" s="1"/>
  <c r="O11"/>
  <c r="N11"/>
  <c r="L11"/>
  <c r="R11" s="1"/>
  <c r="O10"/>
  <c r="L10"/>
  <c r="R10" s="1"/>
  <c r="O9"/>
  <c r="L9"/>
  <c r="R9" s="1"/>
  <c r="O71" i="125"/>
  <c r="K71"/>
  <c r="L71" s="1"/>
  <c r="O13" i="166"/>
  <c r="N13"/>
  <c r="L13"/>
  <c r="R13" s="1"/>
  <c r="O12"/>
  <c r="N12"/>
  <c r="L12"/>
  <c r="R12" s="1"/>
  <c r="K12"/>
  <c r="Q27" i="43"/>
  <c r="N27"/>
  <c r="L27"/>
  <c r="R27" s="1"/>
  <c r="K27"/>
  <c r="I74" i="125"/>
  <c r="J74"/>
  <c r="M74"/>
  <c r="P74"/>
  <c r="H74"/>
  <c r="H75" s="1"/>
  <c r="O70"/>
  <c r="K70"/>
  <c r="L70" s="1"/>
  <c r="O69"/>
  <c r="L69"/>
  <c r="N69" s="1"/>
  <c r="N31" i="45"/>
  <c r="L31"/>
  <c r="R31" s="1"/>
  <c r="K31"/>
  <c r="N30"/>
  <c r="L30"/>
  <c r="R30" s="1"/>
  <c r="K30"/>
  <c r="L29"/>
  <c r="N29" s="1"/>
  <c r="K29"/>
  <c r="N9" i="105" l="1"/>
  <c r="R71" i="125"/>
  <c r="N71"/>
  <c r="N12" i="105"/>
  <c r="N10"/>
  <c r="N9" i="132"/>
  <c r="R9"/>
  <c r="N70" i="125"/>
  <c r="R70"/>
  <c r="R69"/>
  <c r="R29" i="45"/>
  <c r="O24" i="34"/>
  <c r="K24"/>
  <c r="L24" s="1"/>
  <c r="O17" i="163"/>
  <c r="K17"/>
  <c r="L17" s="1"/>
  <c r="O16"/>
  <c r="L16"/>
  <c r="N16" s="1"/>
  <c r="K16"/>
  <c r="Q25" i="43"/>
  <c r="L25"/>
  <c r="N25" s="1"/>
  <c r="K25"/>
  <c r="L28" i="45"/>
  <c r="N28" s="1"/>
  <c r="K28"/>
  <c r="L27"/>
  <c r="N27" s="1"/>
  <c r="K27"/>
  <c r="Q38" i="33"/>
  <c r="O38"/>
  <c r="K38"/>
  <c r="L38" s="1"/>
  <c r="O17" i="88"/>
  <c r="N17"/>
  <c r="L17"/>
  <c r="R17" s="1"/>
  <c r="K17"/>
  <c r="Q23" i="43"/>
  <c r="N23"/>
  <c r="L23"/>
  <c r="R23" s="1"/>
  <c r="K23"/>
  <c r="L49" i="50"/>
  <c r="N49" s="1"/>
  <c r="K49"/>
  <c r="H49"/>
  <c r="O7" i="172"/>
  <c r="N7"/>
  <c r="L7"/>
  <c r="R7" s="1"/>
  <c r="K7"/>
  <c r="O36" i="99"/>
  <c r="N36"/>
  <c r="L36"/>
  <c r="R36" s="1"/>
  <c r="O35"/>
  <c r="N35"/>
  <c r="L35"/>
  <c r="R35" s="1"/>
  <c r="K35"/>
  <c r="O14" i="163"/>
  <c r="K14"/>
  <c r="L14" s="1"/>
  <c r="R68" i="125"/>
  <c r="O68"/>
  <c r="L68"/>
  <c r="N68" s="1"/>
  <c r="O11" i="139"/>
  <c r="N11"/>
  <c r="L11"/>
  <c r="R11" s="1"/>
  <c r="K11"/>
  <c r="O67" i="125"/>
  <c r="N67"/>
  <c r="L67"/>
  <c r="R67" s="1"/>
  <c r="O66"/>
  <c r="L66"/>
  <c r="R66" s="1"/>
  <c r="O65"/>
  <c r="K65"/>
  <c r="L65" s="1"/>
  <c r="O64"/>
  <c r="K64"/>
  <c r="L64" s="1"/>
  <c r="O63"/>
  <c r="L63"/>
  <c r="N63" s="1"/>
  <c r="O62"/>
  <c r="L62"/>
  <c r="N62" s="1"/>
  <c r="K62"/>
  <c r="O61"/>
  <c r="L61"/>
  <c r="R61" s="1"/>
  <c r="O60"/>
  <c r="K60"/>
  <c r="L60" s="1"/>
  <c r="O59"/>
  <c r="K59"/>
  <c r="L59" s="1"/>
  <c r="O58"/>
  <c r="K58"/>
  <c r="L58" s="1"/>
  <c r="O57"/>
  <c r="L57"/>
  <c r="N57" s="1"/>
  <c r="K57"/>
  <c r="O7" i="171"/>
  <c r="K7"/>
  <c r="L7" s="1"/>
  <c r="O56" i="125"/>
  <c r="L56"/>
  <c r="R56" s="1"/>
  <c r="O55"/>
  <c r="N55"/>
  <c r="L55"/>
  <c r="R55" s="1"/>
  <c r="O54"/>
  <c r="L54"/>
  <c r="R54" s="1"/>
  <c r="O53"/>
  <c r="K53"/>
  <c r="L53" s="1"/>
  <c r="O52"/>
  <c r="K52"/>
  <c r="L52" s="1"/>
  <c r="O51"/>
  <c r="L51"/>
  <c r="N51" s="1"/>
  <c r="K51"/>
  <c r="O50"/>
  <c r="L50"/>
  <c r="R50" s="1"/>
  <c r="K50"/>
  <c r="O10" i="166"/>
  <c r="N10"/>
  <c r="L10"/>
  <c r="R10" s="1"/>
  <c r="O34" i="99"/>
  <c r="N34"/>
  <c r="L34"/>
  <c r="R34" s="1"/>
  <c r="K34"/>
  <c r="R33"/>
  <c r="O33"/>
  <c r="N33"/>
  <c r="L33"/>
  <c r="R26" i="45"/>
  <c r="N26"/>
  <c r="L26"/>
  <c r="K26"/>
  <c r="R25"/>
  <c r="N25"/>
  <c r="L25"/>
  <c r="K25"/>
  <c r="N24"/>
  <c r="L24"/>
  <c r="R24" s="1"/>
  <c r="K24"/>
  <c r="O113" i="23"/>
  <c r="N113"/>
  <c r="L113"/>
  <c r="R113" s="1"/>
  <c r="K113"/>
  <c r="O49" i="125"/>
  <c r="L49"/>
  <c r="R49" s="1"/>
  <c r="O48"/>
  <c r="K48"/>
  <c r="L48" s="1"/>
  <c r="O47"/>
  <c r="K47"/>
  <c r="L47" s="1"/>
  <c r="O46"/>
  <c r="O74" s="1"/>
  <c r="L46"/>
  <c r="K46"/>
  <c r="O32" i="99"/>
  <c r="N32"/>
  <c r="L32"/>
  <c r="R32" s="1"/>
  <c r="K32"/>
  <c r="O11" i="103"/>
  <c r="I11"/>
  <c r="K11" s="1"/>
  <c r="L11" s="1"/>
  <c r="O19" i="108"/>
  <c r="N19"/>
  <c r="L19"/>
  <c r="R19" s="1"/>
  <c r="K19"/>
  <c r="O26" i="107"/>
  <c r="N26"/>
  <c r="L26"/>
  <c r="R26" s="1"/>
  <c r="K26"/>
  <c r="K23" i="45"/>
  <c r="L23" s="1"/>
  <c r="K22"/>
  <c r="L22" s="1"/>
  <c r="O31" i="99"/>
  <c r="N31"/>
  <c r="L31"/>
  <c r="R31" s="1"/>
  <c r="K31"/>
  <c r="I18" i="130"/>
  <c r="K18" s="1"/>
  <c r="L18" s="1"/>
  <c r="O12" i="163"/>
  <c r="L12"/>
  <c r="N12" s="1"/>
  <c r="I12"/>
  <c r="I20" i="94"/>
  <c r="O111" i="23"/>
  <c r="N111"/>
  <c r="L111"/>
  <c r="R111" s="1"/>
  <c r="K111"/>
  <c r="O13" i="159"/>
  <c r="K13"/>
  <c r="L13" s="1"/>
  <c r="O18" i="67"/>
  <c r="N18"/>
  <c r="L18"/>
  <c r="R18" s="1"/>
  <c r="K18"/>
  <c r="O17"/>
  <c r="K17"/>
  <c r="L17" s="1"/>
  <c r="O17" i="169"/>
  <c r="L17"/>
  <c r="R17" s="1"/>
  <c r="K17"/>
  <c r="O30" i="99"/>
  <c r="K30"/>
  <c r="L30" s="1"/>
  <c r="N17" i="169" l="1"/>
  <c r="R65" i="125"/>
  <c r="N65"/>
  <c r="R53"/>
  <c r="N53"/>
  <c r="R59"/>
  <c r="N59"/>
  <c r="R48"/>
  <c r="N48"/>
  <c r="R60"/>
  <c r="N60"/>
  <c r="K74"/>
  <c r="N50"/>
  <c r="N54"/>
  <c r="N61"/>
  <c r="R46"/>
  <c r="L74"/>
  <c r="N49"/>
  <c r="N56"/>
  <c r="N66"/>
  <c r="N24" i="34"/>
  <c r="R24"/>
  <c r="R17" i="163"/>
  <c r="N17"/>
  <c r="R16"/>
  <c r="R25" i="43"/>
  <c r="R27" i="45"/>
  <c r="R28"/>
  <c r="N38" i="33"/>
  <c r="R38"/>
  <c r="R49" i="50"/>
  <c r="L23" i="172"/>
  <c r="L137" s="1"/>
  <c r="R14" i="163"/>
  <c r="N14"/>
  <c r="N58" i="125"/>
  <c r="R58"/>
  <c r="N64"/>
  <c r="R64"/>
  <c r="R57"/>
  <c r="R62"/>
  <c r="R63"/>
  <c r="N7" i="171"/>
  <c r="R7"/>
  <c r="N52" i="125"/>
  <c r="R52"/>
  <c r="R51"/>
  <c r="N47"/>
  <c r="R47"/>
  <c r="N46"/>
  <c r="R11" i="103"/>
  <c r="N11"/>
  <c r="N22" i="45"/>
  <c r="R22"/>
  <c r="N23"/>
  <c r="R23"/>
  <c r="N18" i="130"/>
  <c r="R18"/>
  <c r="R12" i="163"/>
  <c r="N13" i="159"/>
  <c r="R13"/>
  <c r="R17" i="67"/>
  <c r="N17"/>
  <c r="N30" i="99"/>
  <c r="R30"/>
  <c r="O13" i="131"/>
  <c r="K13"/>
  <c r="L13" s="1"/>
  <c r="O16" i="169"/>
  <c r="K16"/>
  <c r="L16" s="1"/>
  <c r="O109" i="23"/>
  <c r="N109"/>
  <c r="L109"/>
  <c r="R109" s="1"/>
  <c r="K109"/>
  <c r="O31" i="144"/>
  <c r="L31"/>
  <c r="M31" s="1"/>
  <c r="O83" i="87"/>
  <c r="L83"/>
  <c r="R83" s="1"/>
  <c r="K83"/>
  <c r="O22" i="150"/>
  <c r="L22"/>
  <c r="R22" s="1"/>
  <c r="K22"/>
  <c r="O21"/>
  <c r="K21"/>
  <c r="L21" s="1"/>
  <c r="O22" i="34"/>
  <c r="N22"/>
  <c r="L22"/>
  <c r="R22" s="1"/>
  <c r="K22"/>
  <c r="O82" i="87"/>
  <c r="N82"/>
  <c r="L82"/>
  <c r="R82" s="1"/>
  <c r="K82"/>
  <c r="O30" i="144"/>
  <c r="K30"/>
  <c r="L30" s="1"/>
  <c r="M30" s="1"/>
  <c r="O29"/>
  <c r="L29"/>
  <c r="R29" s="1"/>
  <c r="O28"/>
  <c r="N28"/>
  <c r="L28"/>
  <c r="R28" s="1"/>
  <c r="N83" i="87" l="1"/>
  <c r="N31" i="144"/>
  <c r="N29"/>
  <c r="N74" i="125"/>
  <c r="N13" i="131"/>
  <c r="R13"/>
  <c r="N16" i="169"/>
  <c r="R16"/>
  <c r="R31" i="144"/>
  <c r="N21" i="150"/>
  <c r="R21"/>
  <c r="N22"/>
  <c r="R30" i="144"/>
  <c r="N30"/>
  <c r="R8" i="170" l="1"/>
  <c r="O8"/>
  <c r="N8"/>
  <c r="L8"/>
  <c r="Q27" i="126"/>
  <c r="O27"/>
  <c r="L27"/>
  <c r="N27" s="1"/>
  <c r="K27"/>
  <c r="R13" i="154"/>
  <c r="O13"/>
  <c r="N13"/>
  <c r="L13"/>
  <c r="K20" i="150"/>
  <c r="L20" s="1"/>
  <c r="K19"/>
  <c r="L19" s="1"/>
  <c r="O15" i="169"/>
  <c r="L15"/>
  <c r="R15" s="1"/>
  <c r="K15"/>
  <c r="O29" i="156"/>
  <c r="N29"/>
  <c r="L29"/>
  <c r="R29" s="1"/>
  <c r="K29"/>
  <c r="O9" i="168"/>
  <c r="K9"/>
  <c r="L9" s="1"/>
  <c r="O27" i="144"/>
  <c r="L27"/>
  <c r="R27" s="1"/>
  <c r="O14" i="169"/>
  <c r="L14"/>
  <c r="R14" s="1"/>
  <c r="K14"/>
  <c r="O13"/>
  <c r="K13"/>
  <c r="L13" s="1"/>
  <c r="O8" i="168"/>
  <c r="K8"/>
  <c r="L8" s="1"/>
  <c r="O28" i="156"/>
  <c r="N28"/>
  <c r="M28"/>
  <c r="L28"/>
  <c r="R28" s="1"/>
  <c r="N18" i="150"/>
  <c r="L18"/>
  <c r="R18" s="1"/>
  <c r="K18"/>
  <c r="N17"/>
  <c r="L17"/>
  <c r="R17" s="1"/>
  <c r="K17"/>
  <c r="N16"/>
  <c r="L16"/>
  <c r="R16" s="1"/>
  <c r="K16"/>
  <c r="O8" i="166"/>
  <c r="N8"/>
  <c r="L8"/>
  <c r="R8" s="1"/>
  <c r="O11" i="163"/>
  <c r="K11"/>
  <c r="L11" s="1"/>
  <c r="R10"/>
  <c r="O10"/>
  <c r="N10"/>
  <c r="L10"/>
  <c r="O107" i="23"/>
  <c r="K107"/>
  <c r="L107" s="1"/>
  <c r="O11" i="154"/>
  <c r="N11"/>
  <c r="L11"/>
  <c r="R11" s="1"/>
  <c r="I11"/>
  <c r="O81" i="87"/>
  <c r="L81"/>
  <c r="N81" s="1"/>
  <c r="O27" i="156"/>
  <c r="N27"/>
  <c r="L27"/>
  <c r="R27" s="1"/>
  <c r="K27"/>
  <c r="P114" i="11"/>
  <c r="O17" i="104"/>
  <c r="N17"/>
  <c r="L17"/>
  <c r="R17" s="1"/>
  <c r="K17"/>
  <c r="O16"/>
  <c r="K16"/>
  <c r="L16" s="1"/>
  <c r="O15"/>
  <c r="L15"/>
  <c r="N15" s="1"/>
  <c r="K15"/>
  <c r="O14"/>
  <c r="N14"/>
  <c r="L14"/>
  <c r="R14" s="1"/>
  <c r="K14"/>
  <c r="O13"/>
  <c r="N13"/>
  <c r="L13"/>
  <c r="R13" s="1"/>
  <c r="K13"/>
  <c r="O12"/>
  <c r="K12"/>
  <c r="L12" s="1"/>
  <c r="Q21" i="43"/>
  <c r="K21"/>
  <c r="H21"/>
  <c r="L21" s="1"/>
  <c r="O12" i="169"/>
  <c r="N12"/>
  <c r="L12"/>
  <c r="R12" s="1"/>
  <c r="O11"/>
  <c r="N11"/>
  <c r="L11"/>
  <c r="R11" s="1"/>
  <c r="O15" i="150"/>
  <c r="L15"/>
  <c r="N15" s="1"/>
  <c r="K15"/>
  <c r="O26" i="156"/>
  <c r="L26"/>
  <c r="N26" s="1"/>
  <c r="N14" i="169" l="1"/>
  <c r="N15"/>
  <c r="N27" i="144"/>
  <c r="R27" i="126"/>
  <c r="N20" i="150"/>
  <c r="R20"/>
  <c r="N19"/>
  <c r="R19"/>
  <c r="N9" i="168"/>
  <c r="R9"/>
  <c r="N13" i="169"/>
  <c r="R13"/>
  <c r="R8" i="168"/>
  <c r="M8"/>
  <c r="N8" s="1"/>
  <c r="R11" i="163"/>
  <c r="N11"/>
  <c r="N107" i="23"/>
  <c r="R107"/>
  <c r="R81" i="87"/>
  <c r="N16" i="104"/>
  <c r="R16"/>
  <c r="N12"/>
  <c r="R12"/>
  <c r="R15"/>
  <c r="R21" i="43"/>
  <c r="N21"/>
  <c r="O21"/>
  <c r="R15" i="150"/>
  <c r="R26" i="156"/>
  <c r="O47" i="50"/>
  <c r="N47"/>
  <c r="L47"/>
  <c r="R47" s="1"/>
  <c r="K47"/>
  <c r="O46"/>
  <c r="K46"/>
  <c r="L46" s="1"/>
  <c r="R9" i="169"/>
  <c r="O9"/>
  <c r="N9"/>
  <c r="L9"/>
  <c r="O8"/>
  <c r="K8"/>
  <c r="L8" s="1"/>
  <c r="O25" i="156"/>
  <c r="N25"/>
  <c r="L25"/>
  <c r="R25" s="1"/>
  <c r="O7" i="168"/>
  <c r="K7"/>
  <c r="L7" s="1"/>
  <c r="O24" i="156"/>
  <c r="L24"/>
  <c r="N24" s="1"/>
  <c r="O23"/>
  <c r="M23"/>
  <c r="L23"/>
  <c r="N23" s="1"/>
  <c r="O14" i="150"/>
  <c r="L14"/>
  <c r="N14" s="1"/>
  <c r="K14"/>
  <c r="O13"/>
  <c r="N13"/>
  <c r="L13"/>
  <c r="R13" s="1"/>
  <c r="K13"/>
  <c r="N46" i="50" l="1"/>
  <c r="R46"/>
  <c r="N8" i="169"/>
  <c r="R8"/>
  <c r="N7" i="168"/>
  <c r="L23"/>
  <c r="L137" s="1"/>
  <c r="R7"/>
  <c r="R23" i="156"/>
  <c r="R24"/>
  <c r="R14" i="150"/>
  <c r="O8" i="167"/>
  <c r="L8"/>
  <c r="R8" s="1"/>
  <c r="K8"/>
  <c r="O21" i="98"/>
  <c r="N21"/>
  <c r="L21"/>
  <c r="R21" s="1"/>
  <c r="K21"/>
  <c r="O20"/>
  <c r="K20"/>
  <c r="L20" s="1"/>
  <c r="O19"/>
  <c r="L19"/>
  <c r="N19" s="1"/>
  <c r="K19"/>
  <c r="O57" i="102"/>
  <c r="N57"/>
  <c r="L57"/>
  <c r="R57" s="1"/>
  <c r="O56"/>
  <c r="K56"/>
  <c r="L56" s="1"/>
  <c r="O7" i="166"/>
  <c r="N7"/>
  <c r="M7"/>
  <c r="L7"/>
  <c r="R7" s="1"/>
  <c r="O76" i="28"/>
  <c r="N76"/>
  <c r="L76"/>
  <c r="R76" s="1"/>
  <c r="O22" i="156"/>
  <c r="N22"/>
  <c r="L22"/>
  <c r="R22" s="1"/>
  <c r="O105" i="23"/>
  <c r="N105"/>
  <c r="L105"/>
  <c r="R105" s="1"/>
  <c r="K105"/>
  <c r="O20" i="34"/>
  <c r="N20"/>
  <c r="L20"/>
  <c r="R20" s="1"/>
  <c r="K20"/>
  <c r="O75" i="28"/>
  <c r="N75"/>
  <c r="M75"/>
  <c r="L75"/>
  <c r="R75" s="1"/>
  <c r="O55" i="102"/>
  <c r="N55"/>
  <c r="L55"/>
  <c r="R55" s="1"/>
  <c r="O54"/>
  <c r="N54"/>
  <c r="L54"/>
  <c r="R54" s="1"/>
  <c r="O53"/>
  <c r="K53"/>
  <c r="L53" s="1"/>
  <c r="O52"/>
  <c r="L52"/>
  <c r="N52" s="1"/>
  <c r="K52"/>
  <c r="N8" i="167" l="1"/>
  <c r="N20" i="98"/>
  <c r="R20"/>
  <c r="R19"/>
  <c r="N56" i="102"/>
  <c r="R56"/>
  <c r="L23" i="166"/>
  <c r="L137" s="1"/>
  <c r="N53" i="102"/>
  <c r="R53"/>
  <c r="R52"/>
  <c r="O103" i="23" l="1"/>
  <c r="K103"/>
  <c r="L103" s="1"/>
  <c r="O28" i="27"/>
  <c r="N28"/>
  <c r="L28"/>
  <c r="R28" s="1"/>
  <c r="K28"/>
  <c r="O10" i="165"/>
  <c r="N10"/>
  <c r="L10"/>
  <c r="R10" s="1"/>
  <c r="K10"/>
  <c r="O9"/>
  <c r="K9"/>
  <c r="L9" s="1"/>
  <c r="O8"/>
  <c r="L8"/>
  <c r="N8" s="1"/>
  <c r="O7"/>
  <c r="L7"/>
  <c r="N7" s="1"/>
  <c r="O11" i="159"/>
  <c r="K11"/>
  <c r="L11" s="1"/>
  <c r="O15" i="67"/>
  <c r="N15"/>
  <c r="L15"/>
  <c r="R15" s="1"/>
  <c r="K15"/>
  <c r="Q25" i="126"/>
  <c r="O25"/>
  <c r="L25"/>
  <c r="N25" s="1"/>
  <c r="K25"/>
  <c r="O9" i="163"/>
  <c r="K9"/>
  <c r="L9" s="1"/>
  <c r="O74" i="28"/>
  <c r="N74"/>
  <c r="L74"/>
  <c r="R74" s="1"/>
  <c r="K74"/>
  <c r="R73"/>
  <c r="O73"/>
  <c r="N73"/>
  <c r="L73"/>
  <c r="R72"/>
  <c r="O72"/>
  <c r="N72"/>
  <c r="L72"/>
  <c r="O12" i="150"/>
  <c r="N12"/>
  <c r="L12"/>
  <c r="R12" s="1"/>
  <c r="O21" i="156"/>
  <c r="N21"/>
  <c r="L21"/>
  <c r="R21" s="1"/>
  <c r="O71" i="28"/>
  <c r="L71"/>
  <c r="M71" s="1"/>
  <c r="O70"/>
  <c r="L70"/>
  <c r="N70" s="1"/>
  <c r="R9" i="155"/>
  <c r="O9"/>
  <c r="L9"/>
  <c r="M9" s="1"/>
  <c r="R20" i="156"/>
  <c r="O20"/>
  <c r="L20"/>
  <c r="N20" s="1"/>
  <c r="R112" i="11"/>
  <c r="O112"/>
  <c r="L112"/>
  <c r="N112" s="1"/>
  <c r="O111"/>
  <c r="L111"/>
  <c r="N111" s="1"/>
  <c r="O110"/>
  <c r="L110"/>
  <c r="N110" s="1"/>
  <c r="R109"/>
  <c r="O109"/>
  <c r="L109"/>
  <c r="N109" s="1"/>
  <c r="O18" i="45"/>
  <c r="N18"/>
  <c r="L18"/>
  <c r="R18" s="1"/>
  <c r="K18"/>
  <c r="O17"/>
  <c r="K17"/>
  <c r="L17" s="1"/>
  <c r="O16"/>
  <c r="L16"/>
  <c r="N16" s="1"/>
  <c r="K16"/>
  <c r="O15"/>
  <c r="N15"/>
  <c r="L15"/>
  <c r="R15" s="1"/>
  <c r="K15"/>
  <c r="O14"/>
  <c r="N14"/>
  <c r="L14"/>
  <c r="R14" s="1"/>
  <c r="K14"/>
  <c r="O29" i="99"/>
  <c r="N29"/>
  <c r="L29"/>
  <c r="R29" s="1"/>
  <c r="O28"/>
  <c r="N28"/>
  <c r="L28"/>
  <c r="R28" s="1"/>
  <c r="Q36" i="33"/>
  <c r="O36"/>
  <c r="K36"/>
  <c r="L36" s="1"/>
  <c r="O19" i="156"/>
  <c r="K19"/>
  <c r="L19" s="1"/>
  <c r="O69" i="28"/>
  <c r="N69"/>
  <c r="L69"/>
  <c r="R69" s="1"/>
  <c r="K69"/>
  <c r="O108" i="11"/>
  <c r="L108"/>
  <c r="R108" s="1"/>
  <c r="O107"/>
  <c r="L107"/>
  <c r="R107" s="1"/>
  <c r="O106"/>
  <c r="L106"/>
  <c r="R106" s="1"/>
  <c r="O105"/>
  <c r="N105"/>
  <c r="L105"/>
  <c r="R105" s="1"/>
  <c r="O44" i="50"/>
  <c r="N44"/>
  <c r="L44"/>
  <c r="R44" s="1"/>
  <c r="K44"/>
  <c r="O14" i="157"/>
  <c r="N14"/>
  <c r="L14"/>
  <c r="R14" s="1"/>
  <c r="K14"/>
  <c r="O104" i="11"/>
  <c r="K104"/>
  <c r="L104" s="1"/>
  <c r="O103"/>
  <c r="K103"/>
  <c r="L103" s="1"/>
  <c r="O102"/>
  <c r="L102"/>
  <c r="N102" s="1"/>
  <c r="O101"/>
  <c r="O114" s="1"/>
  <c r="L101"/>
  <c r="N101" s="1"/>
  <c r="O42" i="50"/>
  <c r="N42"/>
  <c r="L42"/>
  <c r="R42" s="1"/>
  <c r="K42"/>
  <c r="O17" i="108"/>
  <c r="N17"/>
  <c r="L17"/>
  <c r="R17" s="1"/>
  <c r="K17"/>
  <c r="O18" i="156"/>
  <c r="N18"/>
  <c r="L18"/>
  <c r="R18" s="1"/>
  <c r="K18"/>
  <c r="O8" i="164"/>
  <c r="N8"/>
  <c r="L8"/>
  <c r="R8" s="1"/>
  <c r="K8"/>
  <c r="O50" i="102"/>
  <c r="K50"/>
  <c r="L50" s="1"/>
  <c r="O41" i="50"/>
  <c r="N41"/>
  <c r="L41"/>
  <c r="R41" s="1"/>
  <c r="K41"/>
  <c r="O68" i="28"/>
  <c r="N68"/>
  <c r="L68"/>
  <c r="R68" s="1"/>
  <c r="O67"/>
  <c r="N67"/>
  <c r="L67"/>
  <c r="R67" s="1"/>
  <c r="O66"/>
  <c r="N66"/>
  <c r="L66"/>
  <c r="R66" s="1"/>
  <c r="K66"/>
  <c r="R39" i="50"/>
  <c r="O39"/>
  <c r="L39"/>
  <c r="N39" s="1"/>
  <c r="O7" i="163"/>
  <c r="N7"/>
  <c r="L7"/>
  <c r="R7" s="1"/>
  <c r="O7" i="162"/>
  <c r="N7"/>
  <c r="L7"/>
  <c r="R7" s="1"/>
  <c r="O26" i="144"/>
  <c r="L26"/>
  <c r="R26" s="1"/>
  <c r="K26"/>
  <c r="O17" i="156"/>
  <c r="N17"/>
  <c r="L17"/>
  <c r="R17" s="1"/>
  <c r="K17"/>
  <c r="O101" i="23"/>
  <c r="N101"/>
  <c r="L101"/>
  <c r="R101" s="1"/>
  <c r="K101"/>
  <c r="O80" i="87"/>
  <c r="K80"/>
  <c r="L80" s="1"/>
  <c r="O65" i="28"/>
  <c r="N65"/>
  <c r="L65"/>
  <c r="R65" s="1"/>
  <c r="N107" i="11" l="1"/>
  <c r="N108"/>
  <c r="R104"/>
  <c r="N104"/>
  <c r="N114" s="1"/>
  <c r="N106"/>
  <c r="R111"/>
  <c r="R110"/>
  <c r="R11" i="159"/>
  <c r="N11"/>
  <c r="R50" i="102"/>
  <c r="N50"/>
  <c r="N26" i="144"/>
  <c r="N103" i="23"/>
  <c r="R103"/>
  <c r="N9" i="165"/>
  <c r="R9"/>
  <c r="R7"/>
  <c r="R8"/>
  <c r="R25" i="126"/>
  <c r="N9" i="163"/>
  <c r="R9"/>
  <c r="R71" i="28"/>
  <c r="R70"/>
  <c r="N71"/>
  <c r="N9" i="155"/>
  <c r="N17" i="45"/>
  <c r="R17"/>
  <c r="R16"/>
  <c r="R36" i="33"/>
  <c r="N36"/>
  <c r="R19" i="156"/>
  <c r="N19"/>
  <c r="N103" i="11"/>
  <c r="R103"/>
  <c r="R101"/>
  <c r="R102"/>
  <c r="L137" i="163"/>
  <c r="R80" i="87"/>
  <c r="N80"/>
  <c r="O16" i="156"/>
  <c r="N16"/>
  <c r="L16"/>
  <c r="R16" s="1"/>
  <c r="K16"/>
  <c r="O99" i="23"/>
  <c r="N99"/>
  <c r="L99"/>
  <c r="R99" s="1"/>
  <c r="K99"/>
  <c r="O11" i="131"/>
  <c r="K11"/>
  <c r="L11" s="1"/>
  <c r="O15" i="156"/>
  <c r="L15"/>
  <c r="N15" s="1"/>
  <c r="O14"/>
  <c r="L14"/>
  <c r="N14" s="1"/>
  <c r="O79" i="87"/>
  <c r="L79"/>
  <c r="N79" s="1"/>
  <c r="O15" i="88"/>
  <c r="N15"/>
  <c r="L15"/>
  <c r="R15" s="1"/>
  <c r="K15"/>
  <c r="O8" i="161"/>
  <c r="L8"/>
  <c r="N8" s="1"/>
  <c r="K8"/>
  <c r="R79" i="87" l="1"/>
  <c r="R11" i="131"/>
  <c r="N11"/>
  <c r="R14" i="156"/>
  <c r="R15"/>
  <c r="R8" i="161"/>
  <c r="O64" i="28"/>
  <c r="N64"/>
  <c r="L64"/>
  <c r="R64" s="1"/>
  <c r="O7" i="160"/>
  <c r="N7"/>
  <c r="L7"/>
  <c r="R7" s="1"/>
  <c r="O9" i="159"/>
  <c r="K9"/>
  <c r="L9" s="1"/>
  <c r="O8"/>
  <c r="K8"/>
  <c r="L8" s="1"/>
  <c r="N8" s="1"/>
  <c r="O13" i="100"/>
  <c r="K13"/>
  <c r="L13" s="1"/>
  <c r="O13" i="156"/>
  <c r="N13"/>
  <c r="L13"/>
  <c r="R13" s="1"/>
  <c r="K13"/>
  <c r="O77" i="87"/>
  <c r="N77"/>
  <c r="L77"/>
  <c r="R77" s="1"/>
  <c r="K77"/>
  <c r="O76"/>
  <c r="K76"/>
  <c r="L76" s="1"/>
  <c r="O63" i="28"/>
  <c r="N63"/>
  <c r="L63"/>
  <c r="R63" s="1"/>
  <c r="O37" i="50"/>
  <c r="N37"/>
  <c r="L37"/>
  <c r="R37" s="1"/>
  <c r="K37"/>
  <c r="O36"/>
  <c r="K36"/>
  <c r="L36" s="1"/>
  <c r="O12" i="157"/>
  <c r="N12"/>
  <c r="L12"/>
  <c r="R12" s="1"/>
  <c r="K12"/>
  <c r="O11"/>
  <c r="K11"/>
  <c r="L11" s="1"/>
  <c r="O12" i="101"/>
  <c r="N12"/>
  <c r="L12"/>
  <c r="R12" s="1"/>
  <c r="K12"/>
  <c r="O11"/>
  <c r="K11"/>
  <c r="L11" s="1"/>
  <c r="O16" i="73"/>
  <c r="N16"/>
  <c r="L16"/>
  <c r="R16" s="1"/>
  <c r="K16"/>
  <c r="O34" i="50"/>
  <c r="N34"/>
  <c r="L34"/>
  <c r="R34" s="1"/>
  <c r="K34"/>
  <c r="O24" i="144"/>
  <c r="K24"/>
  <c r="L24" s="1"/>
  <c r="O27" i="99"/>
  <c r="N27"/>
  <c r="L27"/>
  <c r="R27" s="1"/>
  <c r="O48" i="102"/>
  <c r="N48"/>
  <c r="L48"/>
  <c r="R48" s="1"/>
  <c r="O18" i="34"/>
  <c r="N18"/>
  <c r="L18"/>
  <c r="R18" s="1"/>
  <c r="K18"/>
  <c r="Q34" i="33"/>
  <c r="O34"/>
  <c r="K34"/>
  <c r="L34" s="1"/>
  <c r="O62" i="28"/>
  <c r="N62"/>
  <c r="L62"/>
  <c r="R62" s="1"/>
  <c r="O22" i="144"/>
  <c r="K22"/>
  <c r="L22" s="1"/>
  <c r="N22" s="1"/>
  <c r="O32" i="50"/>
  <c r="L32"/>
  <c r="R32" s="1"/>
  <c r="K32"/>
  <c r="O7" i="158"/>
  <c r="N7"/>
  <c r="L7"/>
  <c r="R7" s="1"/>
  <c r="K7"/>
  <c r="O10" i="150"/>
  <c r="N10"/>
  <c r="L10"/>
  <c r="R10" s="1"/>
  <c r="K10"/>
  <c r="O12" i="156"/>
  <c r="N12"/>
  <c r="L12"/>
  <c r="R12" s="1"/>
  <c r="K12"/>
  <c r="O30" i="50"/>
  <c r="N30"/>
  <c r="L30"/>
  <c r="R30" s="1"/>
  <c r="K30"/>
  <c r="O29"/>
  <c r="K29"/>
  <c r="L29" s="1"/>
  <c r="O12" i="138"/>
  <c r="N12"/>
  <c r="L12"/>
  <c r="R12" s="1"/>
  <c r="K12"/>
  <c r="O11"/>
  <c r="K11"/>
  <c r="L11" s="1"/>
  <c r="O61" i="28"/>
  <c r="N61"/>
  <c r="L61"/>
  <c r="R61" s="1"/>
  <c r="K61"/>
  <c r="O9" i="157"/>
  <c r="N9"/>
  <c r="L9"/>
  <c r="R9" s="1"/>
  <c r="K9"/>
  <c r="O8"/>
  <c r="L8"/>
  <c r="N8" s="1"/>
  <c r="K8"/>
  <c r="O7"/>
  <c r="N7"/>
  <c r="L7"/>
  <c r="R7" s="1"/>
  <c r="K7"/>
  <c r="O25" i="65"/>
  <c r="J25"/>
  <c r="K25" s="1"/>
  <c r="L25" s="1"/>
  <c r="O9" i="150"/>
  <c r="N9"/>
  <c r="L9"/>
  <c r="R9" s="1"/>
  <c r="K9"/>
  <c r="R24" i="144" l="1"/>
  <c r="N24"/>
  <c r="N9" i="159"/>
  <c r="R9"/>
  <c r="R8"/>
  <c r="N13" i="100"/>
  <c r="R13"/>
  <c r="N76" i="87"/>
  <c r="R76"/>
  <c r="N36" i="50"/>
  <c r="R36"/>
  <c r="N11" i="157"/>
  <c r="R11"/>
  <c r="R11" i="101"/>
  <c r="N11"/>
  <c r="R34" i="33"/>
  <c r="N34"/>
  <c r="R22" i="144"/>
  <c r="N32" i="50"/>
  <c r="N29"/>
  <c r="R29"/>
  <c r="N11" i="138"/>
  <c r="R11"/>
  <c r="R8" i="157"/>
  <c r="L23"/>
  <c r="L137" s="1"/>
  <c r="R25" i="65"/>
  <c r="N25"/>
  <c r="O9" i="103"/>
  <c r="N9"/>
  <c r="L9"/>
  <c r="R9" s="1"/>
  <c r="K9"/>
  <c r="O46" i="102"/>
  <c r="N46"/>
  <c r="L46"/>
  <c r="R46" s="1"/>
  <c r="K46"/>
  <c r="O11" i="156"/>
  <c r="K11"/>
  <c r="L11" s="1"/>
  <c r="R11" l="1"/>
  <c r="N11"/>
  <c r="O10"/>
  <c r="N10"/>
  <c r="L10"/>
  <c r="R10" s="1"/>
  <c r="O48" i="12"/>
  <c r="N48"/>
  <c r="L48"/>
  <c r="R48" s="1"/>
  <c r="O74" i="87"/>
  <c r="K74"/>
  <c r="L74" s="1"/>
  <c r="O73"/>
  <c r="K73"/>
  <c r="L73" s="1"/>
  <c r="N73" s="1"/>
  <c r="O97" i="23"/>
  <c r="K97"/>
  <c r="L97" s="1"/>
  <c r="O9" i="156"/>
  <c r="N9"/>
  <c r="L9"/>
  <c r="R9" s="1"/>
  <c r="O8"/>
  <c r="N8"/>
  <c r="L8"/>
  <c r="R8" s="1"/>
  <c r="K8"/>
  <c r="O27" i="50"/>
  <c r="N27"/>
  <c r="L27"/>
  <c r="R27" s="1"/>
  <c r="K27"/>
  <c r="R60" i="28"/>
  <c r="O60"/>
  <c r="N60"/>
  <c r="L60"/>
  <c r="O25" i="50"/>
  <c r="N25"/>
  <c r="L25"/>
  <c r="R25" s="1"/>
  <c r="O7" i="156"/>
  <c r="N7"/>
  <c r="L7"/>
  <c r="R7" s="1"/>
  <c r="K7"/>
  <c r="L139"/>
  <c r="R7" i="155"/>
  <c r="O7"/>
  <c r="N7"/>
  <c r="L7"/>
  <c r="O59" i="28"/>
  <c r="L59"/>
  <c r="N59" s="1"/>
  <c r="O20" i="144"/>
  <c r="L20"/>
  <c r="R20" s="1"/>
  <c r="N20" l="1"/>
  <c r="R74" i="87"/>
  <c r="N74"/>
  <c r="R73"/>
  <c r="N97" i="23"/>
  <c r="R97"/>
  <c r="L23" i="155"/>
  <c r="L137" s="1"/>
  <c r="R59" i="28"/>
  <c r="O95" i="23"/>
  <c r="N95"/>
  <c r="L95"/>
  <c r="R95" s="1"/>
  <c r="K95"/>
  <c r="O23" i="65"/>
  <c r="N23"/>
  <c r="L23"/>
  <c r="R23" s="1"/>
  <c r="O22"/>
  <c r="N22"/>
  <c r="L22"/>
  <c r="R22" s="1"/>
  <c r="O44" i="102"/>
  <c r="N44"/>
  <c r="L44"/>
  <c r="R44" s="1"/>
  <c r="K44"/>
  <c r="O16" i="130"/>
  <c r="K16"/>
  <c r="L16" s="1"/>
  <c r="O58" i="28"/>
  <c r="N58"/>
  <c r="L58"/>
  <c r="R58" s="1"/>
  <c r="K58"/>
  <c r="O12" i="124"/>
  <c r="L12"/>
  <c r="R12" s="1"/>
  <c r="K12"/>
  <c r="O11"/>
  <c r="K11"/>
  <c r="L11" s="1"/>
  <c r="O93" i="23"/>
  <c r="N93"/>
  <c r="L93"/>
  <c r="R93" s="1"/>
  <c r="K93"/>
  <c r="O23" i="50"/>
  <c r="L23"/>
  <c r="R23" s="1"/>
  <c r="K23"/>
  <c r="O18" i="144"/>
  <c r="L18"/>
  <c r="R18" s="1"/>
  <c r="O91" i="23"/>
  <c r="K91"/>
  <c r="L91" s="1"/>
  <c r="O21" i="25"/>
  <c r="K21"/>
  <c r="L21" s="1"/>
  <c r="O16" i="144"/>
  <c r="K16"/>
  <c r="L16" s="1"/>
  <c r="R72" i="87"/>
  <c r="O72"/>
  <c r="L72"/>
  <c r="N72" s="1"/>
  <c r="O9" i="145"/>
  <c r="K9"/>
  <c r="L9" s="1"/>
  <c r="O15" i="144"/>
  <c r="K15"/>
  <c r="L15" s="1"/>
  <c r="N18" l="1"/>
  <c r="N16" i="130"/>
  <c r="R16"/>
  <c r="N11" i="124"/>
  <c r="R11"/>
  <c r="N12"/>
  <c r="N23" i="50"/>
  <c r="N91" i="23"/>
  <c r="R91"/>
  <c r="N21" i="25"/>
  <c r="R21"/>
  <c r="N16" i="144"/>
  <c r="R16"/>
  <c r="N9" i="145"/>
  <c r="R9"/>
  <c r="N15" i="144"/>
  <c r="P15" s="1"/>
  <c r="R15"/>
  <c r="O89" i="23"/>
  <c r="N89"/>
  <c r="L89"/>
  <c r="R89" s="1"/>
  <c r="K89"/>
  <c r="O16" i="34"/>
  <c r="N16"/>
  <c r="L16"/>
  <c r="R16" s="1"/>
  <c r="K16"/>
  <c r="O71" i="87"/>
  <c r="L71"/>
  <c r="N71" s="1"/>
  <c r="O70"/>
  <c r="K70"/>
  <c r="L70" s="1"/>
  <c r="N70" s="1"/>
  <c r="O14" i="144"/>
  <c r="N14"/>
  <c r="P14" s="1"/>
  <c r="L14"/>
  <c r="R14" s="1"/>
  <c r="R70" i="87" l="1"/>
  <c r="R71"/>
  <c r="Q32" i="33"/>
  <c r="O32"/>
  <c r="K32"/>
  <c r="L32" s="1"/>
  <c r="O14" i="130"/>
  <c r="K14"/>
  <c r="L14" s="1"/>
  <c r="O9" i="154"/>
  <c r="K9"/>
  <c r="L9" s="1"/>
  <c r="L8" i="95"/>
  <c r="R8" s="1"/>
  <c r="O8"/>
  <c r="R10" i="153"/>
  <c r="O10"/>
  <c r="N10"/>
  <c r="L10"/>
  <c r="Q23" i="126"/>
  <c r="O23"/>
  <c r="L23"/>
  <c r="N23" s="1"/>
  <c r="K23"/>
  <c r="K26" i="27"/>
  <c r="H26"/>
  <c r="L26" s="1"/>
  <c r="O15" i="108"/>
  <c r="K15"/>
  <c r="L15" s="1"/>
  <c r="O69" i="87"/>
  <c r="N69"/>
  <c r="L69"/>
  <c r="R69" s="1"/>
  <c r="O12" i="144"/>
  <c r="L12"/>
  <c r="N12" s="1"/>
  <c r="R14" i="130" l="1"/>
  <c r="N14"/>
  <c r="R12" i="144"/>
  <c r="R32" i="33"/>
  <c r="N32"/>
  <c r="N9" i="154"/>
  <c r="R9"/>
  <c r="N8" i="95"/>
  <c r="R23" i="126"/>
  <c r="R26" i="27"/>
  <c r="N26"/>
  <c r="O26"/>
  <c r="N15" i="108"/>
  <c r="R15"/>
  <c r="Q27" i="16" l="1"/>
  <c r="O27"/>
  <c r="L27"/>
  <c r="N27" s="1"/>
  <c r="K27"/>
  <c r="Q8" i="152"/>
  <c r="O8"/>
  <c r="L8"/>
  <c r="N8" s="1"/>
  <c r="K8"/>
  <c r="R8" i="145"/>
  <c r="O8"/>
  <c r="L8"/>
  <c r="N8" s="1"/>
  <c r="O68" i="87"/>
  <c r="N68"/>
  <c r="L68"/>
  <c r="R68" s="1"/>
  <c r="R27" i="16" l="1"/>
  <c r="R8" i="152"/>
  <c r="R22" i="50"/>
  <c r="O22"/>
  <c r="L22"/>
  <c r="N22" s="1"/>
  <c r="O11" i="144"/>
  <c r="K11"/>
  <c r="L11" s="1"/>
  <c r="O33" i="46"/>
  <c r="K33"/>
  <c r="L33" s="1"/>
  <c r="O116" i="86"/>
  <c r="L116"/>
  <c r="R116" s="1"/>
  <c r="N11" i="144" l="1"/>
  <c r="R11"/>
  <c r="N33" i="46"/>
  <c r="R33"/>
  <c r="N116" i="86"/>
  <c r="P35" i="46"/>
  <c r="I35"/>
  <c r="O32"/>
  <c r="K32"/>
  <c r="L32" s="1"/>
  <c r="O31"/>
  <c r="K31"/>
  <c r="L31" s="1"/>
  <c r="O30"/>
  <c r="K30"/>
  <c r="L30" s="1"/>
  <c r="O29"/>
  <c r="K29"/>
  <c r="L29" s="1"/>
  <c r="O28"/>
  <c r="K28"/>
  <c r="L28" s="1"/>
  <c r="O27"/>
  <c r="K27"/>
  <c r="L27" s="1"/>
  <c r="O87" i="23"/>
  <c r="K87"/>
  <c r="L87" s="1"/>
  <c r="Q7" i="152"/>
  <c r="O7"/>
  <c r="K7"/>
  <c r="L7" s="1"/>
  <c r="O10" i="144"/>
  <c r="K10"/>
  <c r="L10" s="1"/>
  <c r="N32" i="46" l="1"/>
  <c r="R32"/>
  <c r="N28"/>
  <c r="R28"/>
  <c r="R30"/>
  <c r="N30"/>
  <c r="N27"/>
  <c r="R27"/>
  <c r="R29"/>
  <c r="N29"/>
  <c r="N31"/>
  <c r="R31"/>
  <c r="N87" i="23"/>
  <c r="R87"/>
  <c r="N7" i="152"/>
  <c r="R7"/>
  <c r="N10" i="144"/>
  <c r="R10"/>
  <c r="O26" i="46"/>
  <c r="K26"/>
  <c r="L26" s="1"/>
  <c r="O25"/>
  <c r="K25"/>
  <c r="L25" s="1"/>
  <c r="O24"/>
  <c r="K24"/>
  <c r="L24" s="1"/>
  <c r="O9" i="144"/>
  <c r="L9"/>
  <c r="N9" s="1"/>
  <c r="Q21" i="126"/>
  <c r="O21"/>
  <c r="K21"/>
  <c r="L21" s="1"/>
  <c r="O42" i="102"/>
  <c r="K42"/>
  <c r="L42" s="1"/>
  <c r="N42" s="1"/>
  <c r="O7" i="151"/>
  <c r="L7"/>
  <c r="N7" s="1"/>
  <c r="O115" i="86"/>
  <c r="K115"/>
  <c r="L115" s="1"/>
  <c r="O7" i="149"/>
  <c r="K7"/>
  <c r="L7" s="1"/>
  <c r="N7" s="1"/>
  <c r="O7" i="148"/>
  <c r="K7"/>
  <c r="L7" s="1"/>
  <c r="O8" i="144"/>
  <c r="N8"/>
  <c r="L8"/>
  <c r="R8" s="1"/>
  <c r="N26" i="46" l="1"/>
  <c r="R26"/>
  <c r="R24"/>
  <c r="N24"/>
  <c r="N25"/>
  <c r="R25"/>
  <c r="R9" i="144"/>
  <c r="N21" i="126"/>
  <c r="R21"/>
  <c r="R42" i="102"/>
  <c r="R7" i="151"/>
  <c r="L137"/>
  <c r="N115" i="86"/>
  <c r="R115"/>
  <c r="R7" i="149"/>
  <c r="N7" i="148"/>
  <c r="R7"/>
  <c r="O8" i="146"/>
  <c r="N8"/>
  <c r="L8"/>
  <c r="R8" s="1"/>
  <c r="K8"/>
  <c r="O7" i="147"/>
  <c r="N7"/>
  <c r="L7"/>
  <c r="R7" s="1"/>
  <c r="K7"/>
  <c r="Q19" i="126"/>
  <c r="O19"/>
  <c r="K19"/>
  <c r="L19" s="1"/>
  <c r="O56" i="28"/>
  <c r="L56"/>
  <c r="N56" s="1"/>
  <c r="K56"/>
  <c r="O85" i="23"/>
  <c r="K85"/>
  <c r="L85" s="1"/>
  <c r="O7" i="146"/>
  <c r="K7"/>
  <c r="L7" s="1"/>
  <c r="O67" i="87"/>
  <c r="K67"/>
  <c r="L67" s="1"/>
  <c r="O30" i="33"/>
  <c r="K30"/>
  <c r="L30" s="1"/>
  <c r="O7" i="145"/>
  <c r="N7"/>
  <c r="L7"/>
  <c r="R7" s="1"/>
  <c r="O66" i="87"/>
  <c r="K66"/>
  <c r="L66" s="1"/>
  <c r="N66" s="1"/>
  <c r="O7" i="144"/>
  <c r="M7"/>
  <c r="L7"/>
  <c r="R7" s="1"/>
  <c r="O55" i="28"/>
  <c r="L55"/>
  <c r="N55" s="1"/>
  <c r="O54"/>
  <c r="L54"/>
  <c r="N54" s="1"/>
  <c r="K54"/>
  <c r="O53"/>
  <c r="N53"/>
  <c r="L53"/>
  <c r="R53" s="1"/>
  <c r="K53"/>
  <c r="N7" i="144" l="1"/>
  <c r="R19" i="126"/>
  <c r="N19"/>
  <c r="R56" i="28"/>
  <c r="N85" i="23"/>
  <c r="R85"/>
  <c r="N7" i="146"/>
  <c r="R7"/>
  <c r="N67" i="87"/>
  <c r="R67"/>
  <c r="N30" i="33"/>
  <c r="R30"/>
  <c r="R66" i="87"/>
  <c r="L23" i="144"/>
  <c r="L136" s="1"/>
  <c r="R54" i="28"/>
  <c r="R55"/>
  <c r="I28" i="143"/>
  <c r="M28"/>
  <c r="P28"/>
  <c r="O23"/>
  <c r="N23"/>
  <c r="L23"/>
  <c r="R23" s="1"/>
  <c r="O22"/>
  <c r="N22"/>
  <c r="L22"/>
  <c r="R22" s="1"/>
  <c r="O21"/>
  <c r="N21"/>
  <c r="L21"/>
  <c r="R21" s="1"/>
  <c r="O20"/>
  <c r="L20"/>
  <c r="R20" s="1"/>
  <c r="O19"/>
  <c r="N19"/>
  <c r="L19"/>
  <c r="R19" s="1"/>
  <c r="O18"/>
  <c r="N18"/>
  <c r="L18"/>
  <c r="R18" s="1"/>
  <c r="O11" i="100"/>
  <c r="K11"/>
  <c r="L11" s="1"/>
  <c r="O9" i="131"/>
  <c r="N9"/>
  <c r="L9"/>
  <c r="R9" s="1"/>
  <c r="K9"/>
  <c r="O24" i="24"/>
  <c r="N24"/>
  <c r="L24"/>
  <c r="R24" s="1"/>
  <c r="K24"/>
  <c r="O20" i="50"/>
  <c r="N20"/>
  <c r="L20"/>
  <c r="R20" s="1"/>
  <c r="H20"/>
  <c r="O65" i="87"/>
  <c r="K65"/>
  <c r="L65" s="1"/>
  <c r="Q28" i="33"/>
  <c r="O28"/>
  <c r="K28"/>
  <c r="L28" s="1"/>
  <c r="O52" i="28"/>
  <c r="N52"/>
  <c r="L52"/>
  <c r="R52" s="1"/>
  <c r="K52"/>
  <c r="O51"/>
  <c r="K51"/>
  <c r="L51" s="1"/>
  <c r="O17" i="143"/>
  <c r="N17"/>
  <c r="L17"/>
  <c r="R17" s="1"/>
  <c r="O16"/>
  <c r="N16"/>
  <c r="L16"/>
  <c r="R16" s="1"/>
  <c r="K16"/>
  <c r="O15"/>
  <c r="N15"/>
  <c r="L15"/>
  <c r="R15" s="1"/>
  <c r="O14"/>
  <c r="N14"/>
  <c r="L14"/>
  <c r="R14" s="1"/>
  <c r="O13"/>
  <c r="N13"/>
  <c r="L13"/>
  <c r="R13" s="1"/>
  <c r="O12"/>
  <c r="N12"/>
  <c r="L12"/>
  <c r="R12" s="1"/>
  <c r="O11"/>
  <c r="N11"/>
  <c r="L11"/>
  <c r="R11" s="1"/>
  <c r="O10"/>
  <c r="N10"/>
  <c r="L10"/>
  <c r="R10" s="1"/>
  <c r="O9"/>
  <c r="N9"/>
  <c r="L9"/>
  <c r="R9" s="1"/>
  <c r="O17" i="98"/>
  <c r="N17"/>
  <c r="L17"/>
  <c r="R17" s="1"/>
  <c r="K17"/>
  <c r="O64" i="87"/>
  <c r="L64"/>
  <c r="R64" s="1"/>
  <c r="O50" i="28"/>
  <c r="L50"/>
  <c r="N50" s="1"/>
  <c r="O49"/>
  <c r="L49"/>
  <c r="N49" s="1"/>
  <c r="K49"/>
  <c r="O48"/>
  <c r="N48"/>
  <c r="L48"/>
  <c r="R48" s="1"/>
  <c r="Q19" i="43"/>
  <c r="O19"/>
  <c r="K19"/>
  <c r="L19" s="1"/>
  <c r="R8" i="143"/>
  <c r="O8"/>
  <c r="N8"/>
  <c r="L8"/>
  <c r="R7"/>
  <c r="O7"/>
  <c r="N7"/>
  <c r="L7"/>
  <c r="R6"/>
  <c r="O6"/>
  <c r="O28" s="1"/>
  <c r="N6"/>
  <c r="L6"/>
  <c r="Q26" i="33"/>
  <c r="O26"/>
  <c r="K26"/>
  <c r="L26" s="1"/>
  <c r="O8" i="135"/>
  <c r="L8"/>
  <c r="N8" s="1"/>
  <c r="K8"/>
  <c r="O7" i="142"/>
  <c r="N7"/>
  <c r="L7"/>
  <c r="R7" s="1"/>
  <c r="K7"/>
  <c r="O47" i="28"/>
  <c r="N47"/>
  <c r="L47"/>
  <c r="R47" s="1"/>
  <c r="K47"/>
  <c r="R46"/>
  <c r="O46"/>
  <c r="N46"/>
  <c r="L46"/>
  <c r="O10" i="141"/>
  <c r="K10"/>
  <c r="L10" s="1"/>
  <c r="N28" i="143" l="1"/>
  <c r="N20"/>
  <c r="L28"/>
  <c r="R65" i="87"/>
  <c r="N65"/>
  <c r="R10" i="141"/>
  <c r="N10"/>
  <c r="N11" i="100"/>
  <c r="R11"/>
  <c r="R28" i="33"/>
  <c r="N28"/>
  <c r="N51" i="28"/>
  <c r="R51"/>
  <c r="N64" i="87"/>
  <c r="R49" i="28"/>
  <c r="R50"/>
  <c r="R19" i="43"/>
  <c r="N19"/>
  <c r="R26" i="33"/>
  <c r="N26"/>
  <c r="R8" i="135"/>
  <c r="O9" i="104" l="1"/>
  <c r="N9"/>
  <c r="L9"/>
  <c r="R9" s="1"/>
  <c r="K9"/>
  <c r="Q24" i="33"/>
  <c r="O24"/>
  <c r="K24"/>
  <c r="L24" s="1"/>
  <c r="O9" i="141"/>
  <c r="L9"/>
  <c r="N9" s="1"/>
  <c r="O12" i="130"/>
  <c r="K12"/>
  <c r="L12" s="1"/>
  <c r="O63" i="87"/>
  <c r="K63"/>
  <c r="L63" s="1"/>
  <c r="O45" i="28"/>
  <c r="N45"/>
  <c r="L45"/>
  <c r="R45" s="1"/>
  <c r="O83" i="23"/>
  <c r="K83"/>
  <c r="L83" s="1"/>
  <c r="O44" i="28"/>
  <c r="N44"/>
  <c r="L44"/>
  <c r="R44" s="1"/>
  <c r="R12" i="130" l="1"/>
  <c r="N12"/>
  <c r="R63" i="87"/>
  <c r="N63"/>
  <c r="R24" i="33"/>
  <c r="N24"/>
  <c r="R9" i="141"/>
  <c r="N83" i="23"/>
  <c r="R83"/>
  <c r="O17" i="126"/>
  <c r="N17"/>
  <c r="L17"/>
  <c r="R17" s="1"/>
  <c r="K17"/>
  <c r="O43" i="28"/>
  <c r="N43"/>
  <c r="L43"/>
  <c r="R43" s="1"/>
  <c r="K43"/>
  <c r="O42"/>
  <c r="N42"/>
  <c r="L42"/>
  <c r="R42" s="1"/>
  <c r="Q22" i="33"/>
  <c r="O22"/>
  <c r="K22"/>
  <c r="L22" s="1"/>
  <c r="O9" i="139"/>
  <c r="N9"/>
  <c r="L9"/>
  <c r="R9" s="1"/>
  <c r="K9"/>
  <c r="O17" i="43"/>
  <c r="L17"/>
  <c r="N17" s="1"/>
  <c r="K17"/>
  <c r="O113" i="86"/>
  <c r="K113"/>
  <c r="L113" s="1"/>
  <c r="O112"/>
  <c r="K112"/>
  <c r="L112" s="1"/>
  <c r="O62" i="87"/>
  <c r="L62"/>
  <c r="R62" s="1"/>
  <c r="K62"/>
  <c r="O61"/>
  <c r="K61"/>
  <c r="L61" s="1"/>
  <c r="O60"/>
  <c r="L60"/>
  <c r="N60" s="1"/>
  <c r="K60"/>
  <c r="O7" i="141"/>
  <c r="L7"/>
  <c r="N7" s="1"/>
  <c r="R113" i="86" l="1"/>
  <c r="N113"/>
  <c r="N62" i="87"/>
  <c r="R7" i="141"/>
  <c r="N22" i="33"/>
  <c r="R22"/>
  <c r="R17" i="43"/>
  <c r="N112" i="86"/>
  <c r="R112"/>
  <c r="N61" i="87"/>
  <c r="R61"/>
  <c r="R60"/>
  <c r="O81" i="23"/>
  <c r="N81"/>
  <c r="L81"/>
  <c r="R81" s="1"/>
  <c r="K81"/>
  <c r="O10" i="130"/>
  <c r="L10"/>
  <c r="R10" s="1"/>
  <c r="K10"/>
  <c r="N10" l="1"/>
  <c r="I44" i="125"/>
  <c r="J44"/>
  <c r="O16" i="15"/>
  <c r="L16"/>
  <c r="R16" s="1"/>
  <c r="K16"/>
  <c r="O15"/>
  <c r="K15"/>
  <c r="L15" s="1"/>
  <c r="O14"/>
  <c r="L14"/>
  <c r="N14" s="1"/>
  <c r="K14"/>
  <c r="O40" i="102"/>
  <c r="L40"/>
  <c r="N40" s="1"/>
  <c r="O58" i="87"/>
  <c r="K58"/>
  <c r="L58" s="1"/>
  <c r="R58" s="1"/>
  <c r="N16" i="15" l="1"/>
  <c r="N15"/>
  <c r="R15"/>
  <c r="R14"/>
  <c r="R40" i="102"/>
  <c r="N58" i="87"/>
  <c r="Q44" i="125"/>
  <c r="R10"/>
  <c r="R11"/>
  <c r="R12"/>
  <c r="R13"/>
  <c r="R14"/>
  <c r="R15"/>
  <c r="R16"/>
  <c r="R17"/>
  <c r="R18"/>
  <c r="R19"/>
  <c r="R20"/>
  <c r="R21"/>
  <c r="R22"/>
  <c r="R23"/>
  <c r="R24"/>
  <c r="R25"/>
  <c r="R26"/>
  <c r="R27"/>
  <c r="R28"/>
  <c r="R29"/>
  <c r="R30"/>
  <c r="R31"/>
  <c r="R32"/>
  <c r="R33"/>
  <c r="R34"/>
  <c r="R35"/>
  <c r="R36"/>
  <c r="R37"/>
  <c r="R38"/>
  <c r="R39"/>
  <c r="R40"/>
  <c r="R41"/>
  <c r="R42"/>
  <c r="R8"/>
  <c r="R9"/>
  <c r="R7"/>
  <c r="M44"/>
  <c r="P44"/>
  <c r="O42"/>
  <c r="K42"/>
  <c r="L42" s="1"/>
  <c r="N42" s="1"/>
  <c r="O41"/>
  <c r="N41"/>
  <c r="L41"/>
  <c r="O40"/>
  <c r="K40"/>
  <c r="L40" s="1"/>
  <c r="O39"/>
  <c r="L39"/>
  <c r="N39" s="1"/>
  <c r="O56" i="87"/>
  <c r="L56"/>
  <c r="R56" s="1"/>
  <c r="O55"/>
  <c r="K55"/>
  <c r="L55" s="1"/>
  <c r="O38" i="125"/>
  <c r="L38"/>
  <c r="N38" s="1"/>
  <c r="O37"/>
  <c r="K37"/>
  <c r="L37" s="1"/>
  <c r="N37" s="1"/>
  <c r="O36"/>
  <c r="N36"/>
  <c r="L36"/>
  <c r="O20" i="115"/>
  <c r="L20"/>
  <c r="N20" s="1"/>
  <c r="K20"/>
  <c r="O19"/>
  <c r="N19"/>
  <c r="L19"/>
  <c r="R19" s="1"/>
  <c r="K19"/>
  <c r="O18"/>
  <c r="N18"/>
  <c r="L18"/>
  <c r="R18" s="1"/>
  <c r="O54" i="87"/>
  <c r="L54"/>
  <c r="N54" s="1"/>
  <c r="O53"/>
  <c r="L53"/>
  <c r="N53" s="1"/>
  <c r="O52"/>
  <c r="L52"/>
  <c r="N52" s="1"/>
  <c r="O51"/>
  <c r="K51"/>
  <c r="L51" s="1"/>
  <c r="N51" s="1"/>
  <c r="O35" i="125"/>
  <c r="K35"/>
  <c r="L35" s="1"/>
  <c r="N35" s="1"/>
  <c r="O34"/>
  <c r="K34"/>
  <c r="L34" s="1"/>
  <c r="O33"/>
  <c r="K33"/>
  <c r="L33" s="1"/>
  <c r="N33" s="1"/>
  <c r="O32"/>
  <c r="K32"/>
  <c r="L32" s="1"/>
  <c r="N32" s="1"/>
  <c r="O6" i="140"/>
  <c r="N6"/>
  <c r="L6"/>
  <c r="R6" s="1"/>
  <c r="K6"/>
  <c r="O7" i="139"/>
  <c r="N7"/>
  <c r="L7"/>
  <c r="R7" s="1"/>
  <c r="K7"/>
  <c r="O25" i="99"/>
  <c r="N25"/>
  <c r="L25"/>
  <c r="R25" s="1"/>
  <c r="K25"/>
  <c r="R55" i="87" l="1"/>
  <c r="N55"/>
  <c r="N56"/>
  <c r="N40" i="125"/>
  <c r="R20" i="115"/>
  <c r="R51" i="87"/>
  <c r="R52"/>
  <c r="R53"/>
  <c r="R54"/>
  <c r="N34" i="125"/>
  <c r="L20" i="140"/>
  <c r="Q7" i="138"/>
  <c r="I7"/>
  <c r="H7"/>
  <c r="L7" s="1"/>
  <c r="O7" i="137"/>
  <c r="N7"/>
  <c r="L7"/>
  <c r="R7" s="1"/>
  <c r="O6"/>
  <c r="K6"/>
  <c r="L6" s="1"/>
  <c r="R23" i="99"/>
  <c r="O23"/>
  <c r="N23"/>
  <c r="L23"/>
  <c r="O17" i="115"/>
  <c r="N17"/>
  <c r="L17"/>
  <c r="R17" s="1"/>
  <c r="O24" i="107"/>
  <c r="N24"/>
  <c r="L24"/>
  <c r="R24" s="1"/>
  <c r="O79" i="23"/>
  <c r="N79"/>
  <c r="L79"/>
  <c r="R79" s="1"/>
  <c r="K79"/>
  <c r="O14" i="34"/>
  <c r="K14"/>
  <c r="L14" s="1"/>
  <c r="O50" i="87"/>
  <c r="L50"/>
  <c r="R50" s="1"/>
  <c r="K50"/>
  <c r="O49"/>
  <c r="K49"/>
  <c r="L49" s="1"/>
  <c r="O7" i="135"/>
  <c r="N7"/>
  <c r="L7"/>
  <c r="R7" s="1"/>
  <c r="K7"/>
  <c r="O48" i="87"/>
  <c r="K48"/>
  <c r="L48" s="1"/>
  <c r="N48" s="1"/>
  <c r="O47"/>
  <c r="K47"/>
  <c r="L47" s="1"/>
  <c r="N47" s="1"/>
  <c r="O18" i="50"/>
  <c r="N18"/>
  <c r="L18"/>
  <c r="I18"/>
  <c r="O17"/>
  <c r="N17"/>
  <c r="L17"/>
  <c r="R17" s="1"/>
  <c r="O38" i="102"/>
  <c r="N38"/>
  <c r="L38"/>
  <c r="O22" i="107"/>
  <c r="N22"/>
  <c r="L22"/>
  <c r="O77" i="23"/>
  <c r="N77"/>
  <c r="L77"/>
  <c r="R77" s="1"/>
  <c r="K77"/>
  <c r="O31" i="125"/>
  <c r="L31"/>
  <c r="N31" s="1"/>
  <c r="K31"/>
  <c r="O15" i="115"/>
  <c r="N15"/>
  <c r="L15"/>
  <c r="K15"/>
  <c r="O21" i="99"/>
  <c r="N21"/>
  <c r="L21"/>
  <c r="O45" i="87"/>
  <c r="K45"/>
  <c r="L45" s="1"/>
  <c r="O30" i="125"/>
  <c r="K30"/>
  <c r="L30" s="1"/>
  <c r="N30" s="1"/>
  <c r="O29"/>
  <c r="K29"/>
  <c r="L29" s="1"/>
  <c r="O28"/>
  <c r="L28"/>
  <c r="N28" s="1"/>
  <c r="K28"/>
  <c r="O27"/>
  <c r="L27"/>
  <c r="N27" s="1"/>
  <c r="O26"/>
  <c r="K26"/>
  <c r="L26" s="1"/>
  <c r="N26" s="1"/>
  <c r="O6" i="134"/>
  <c r="N6"/>
  <c r="L6"/>
  <c r="O16" i="50"/>
  <c r="N16"/>
  <c r="L16"/>
  <c r="R16" s="1"/>
  <c r="N50" i="87" l="1"/>
  <c r="R45"/>
  <c r="N45"/>
  <c r="N7" i="138"/>
  <c r="R7"/>
  <c r="O7"/>
  <c r="R6" i="137"/>
  <c r="N6"/>
  <c r="L20"/>
  <c r="N14" i="34"/>
  <c r="R14"/>
  <c r="R49" i="87"/>
  <c r="N49"/>
  <c r="N29" i="125"/>
  <c r="L20" i="134"/>
  <c r="R6"/>
  <c r="O9" i="133"/>
  <c r="N9"/>
  <c r="L9"/>
  <c r="R9" s="1"/>
  <c r="K9"/>
  <c r="O12" i="34"/>
  <c r="N12"/>
  <c r="L12"/>
  <c r="R12" s="1"/>
  <c r="K12"/>
  <c r="O15" i="50"/>
  <c r="L15"/>
  <c r="R15" s="1"/>
  <c r="O25" i="125"/>
  <c r="K25"/>
  <c r="L25" s="1"/>
  <c r="N25" s="1"/>
  <c r="O24"/>
  <c r="N24"/>
  <c r="L24"/>
  <c r="O23"/>
  <c r="K23"/>
  <c r="L23" s="1"/>
  <c r="N23" s="1"/>
  <c r="O22"/>
  <c r="L22"/>
  <c r="N22" s="1"/>
  <c r="K22"/>
  <c r="O21"/>
  <c r="K21"/>
  <c r="L21" s="1"/>
  <c r="N21" s="1"/>
  <c r="N15" i="50" l="1"/>
  <c r="O20" i="125"/>
  <c r="N20"/>
  <c r="L20"/>
  <c r="O19"/>
  <c r="L19"/>
  <c r="N19" s="1"/>
  <c r="K19"/>
  <c r="O18"/>
  <c r="L18"/>
  <c r="N18" s="1"/>
  <c r="K18"/>
  <c r="O17"/>
  <c r="L17"/>
  <c r="N17" s="1"/>
  <c r="O16"/>
  <c r="L16"/>
  <c r="N16" s="1"/>
  <c r="O15"/>
  <c r="L15"/>
  <c r="N15" s="1"/>
  <c r="O13" i="108"/>
  <c r="N13"/>
  <c r="L13"/>
  <c r="R13" s="1"/>
  <c r="K13"/>
  <c r="O7" i="133"/>
  <c r="N7"/>
  <c r="L7"/>
  <c r="R7" s="1"/>
  <c r="K7"/>
  <c r="O7" i="132"/>
  <c r="N7"/>
  <c r="L7"/>
  <c r="R7" s="1"/>
  <c r="K7"/>
  <c r="O14" i="125"/>
  <c r="K14"/>
  <c r="L14" s="1"/>
  <c r="N14" s="1"/>
  <c r="O13"/>
  <c r="N13"/>
  <c r="L13"/>
  <c r="Q15" i="126"/>
  <c r="O15"/>
  <c r="K15"/>
  <c r="L15" s="1"/>
  <c r="O7" i="131"/>
  <c r="N7"/>
  <c r="L7"/>
  <c r="R7" s="1"/>
  <c r="K7"/>
  <c r="O8" i="130"/>
  <c r="K8"/>
  <c r="L8" s="1"/>
  <c r="O13" i="88"/>
  <c r="N13"/>
  <c r="L13"/>
  <c r="R13" s="1"/>
  <c r="K13"/>
  <c r="O13" i="67"/>
  <c r="N13"/>
  <c r="L13"/>
  <c r="R13" s="1"/>
  <c r="K13"/>
  <c r="O36" i="102"/>
  <c r="N36"/>
  <c r="L36"/>
  <c r="R36" s="1"/>
  <c r="K36"/>
  <c r="O7" i="130"/>
  <c r="K7"/>
  <c r="L7" s="1"/>
  <c r="O43" i="87"/>
  <c r="K43"/>
  <c r="L43" s="1"/>
  <c r="R8" i="130" l="1"/>
  <c r="N8"/>
  <c r="R7"/>
  <c r="N7"/>
  <c r="R43" i="87"/>
  <c r="N43"/>
  <c r="R15" i="126"/>
  <c r="N15"/>
  <c r="L23" i="130"/>
  <c r="L137" s="1"/>
  <c r="O13" i="115"/>
  <c r="N13"/>
  <c r="L13"/>
  <c r="R13" s="1"/>
  <c r="Q14" i="126"/>
  <c r="O14"/>
  <c r="K14"/>
  <c r="L14" s="1"/>
  <c r="O75" i="23"/>
  <c r="K75"/>
  <c r="L75" s="1"/>
  <c r="R14" i="126" l="1"/>
  <c r="N14"/>
  <c r="N75" i="23"/>
  <c r="R75"/>
  <c r="O12" i="126"/>
  <c r="N12"/>
  <c r="L12"/>
  <c r="K12"/>
  <c r="O7" i="129"/>
  <c r="K7"/>
  <c r="L7" s="1"/>
  <c r="N7" s="1"/>
  <c r="O40" i="87" l="1"/>
  <c r="K40"/>
  <c r="L40" s="1"/>
  <c r="O12" i="125"/>
  <c r="L12"/>
  <c r="N12" s="1"/>
  <c r="O39" i="87"/>
  <c r="L39"/>
  <c r="R39" s="1"/>
  <c r="K39"/>
  <c r="Q11" i="126"/>
  <c r="O11"/>
  <c r="N11"/>
  <c r="L11"/>
  <c r="R11" s="1"/>
  <c r="K11"/>
  <c r="R40" i="87" l="1"/>
  <c r="N40"/>
  <c r="N39"/>
  <c r="O11" i="125"/>
  <c r="L11"/>
  <c r="N11" s="1"/>
  <c r="O10"/>
  <c r="L10"/>
  <c r="N10" s="1"/>
  <c r="O9"/>
  <c r="L9"/>
  <c r="N9" s="1"/>
  <c r="O7" i="128"/>
  <c r="N7"/>
  <c r="L7"/>
  <c r="R7" s="1"/>
  <c r="Q9" i="126"/>
  <c r="O9"/>
  <c r="K9"/>
  <c r="L9" s="1"/>
  <c r="Q15" i="43"/>
  <c r="O15"/>
  <c r="K15"/>
  <c r="L15" s="1"/>
  <c r="O11" i="122"/>
  <c r="N11"/>
  <c r="L11"/>
  <c r="R11" s="1"/>
  <c r="K11"/>
  <c r="Q13" i="50"/>
  <c r="O13"/>
  <c r="N13"/>
  <c r="L13"/>
  <c r="R13" s="1"/>
  <c r="K13"/>
  <c r="O11"/>
  <c r="K11"/>
  <c r="L11" s="1"/>
  <c r="O10"/>
  <c r="L10"/>
  <c r="N10" s="1"/>
  <c r="K10"/>
  <c r="I10"/>
  <c r="O10" i="117"/>
  <c r="L10"/>
  <c r="R10" s="1"/>
  <c r="O6" i="127"/>
  <c r="K6"/>
  <c r="L6" s="1"/>
  <c r="O8" i="125"/>
  <c r="K8"/>
  <c r="L8" s="1"/>
  <c r="N8" s="1"/>
  <c r="Q7" i="126"/>
  <c r="O7"/>
  <c r="K7"/>
  <c r="L7" s="1"/>
  <c r="O15" i="114"/>
  <c r="K15"/>
  <c r="L15" s="1"/>
  <c r="O9" i="124"/>
  <c r="L9"/>
  <c r="R9" s="1"/>
  <c r="K9"/>
  <c r="O35" i="102"/>
  <c r="N35"/>
  <c r="L35"/>
  <c r="R35" s="1"/>
  <c r="O19" i="99"/>
  <c r="N19"/>
  <c r="L19"/>
  <c r="R19" s="1"/>
  <c r="O73" i="23"/>
  <c r="N73"/>
  <c r="L73"/>
  <c r="R73" s="1"/>
  <c r="K73"/>
  <c r="O7" i="125"/>
  <c r="L7"/>
  <c r="K7"/>
  <c r="K44" s="1"/>
  <c r="O9" i="122"/>
  <c r="N9"/>
  <c r="L9"/>
  <c r="R9" s="1"/>
  <c r="K9"/>
  <c r="O8" i="124"/>
  <c r="L8"/>
  <c r="N8" s="1"/>
  <c r="K8"/>
  <c r="O7"/>
  <c r="N7"/>
  <c r="L7"/>
  <c r="R7" s="1"/>
  <c r="K7"/>
  <c r="O46" i="12"/>
  <c r="N46"/>
  <c r="L46"/>
  <c r="R46" s="1"/>
  <c r="K46"/>
  <c r="O7" i="123"/>
  <c r="N7"/>
  <c r="L7"/>
  <c r="R7" s="1"/>
  <c r="K7"/>
  <c r="O20" i="107"/>
  <c r="L20"/>
  <c r="N20" s="1"/>
  <c r="O7" i="122"/>
  <c r="N7"/>
  <c r="L7"/>
  <c r="R7" s="1"/>
  <c r="K7"/>
  <c r="O37" i="87"/>
  <c r="K37"/>
  <c r="L37" s="1"/>
  <c r="O17" i="99"/>
  <c r="N17"/>
  <c r="L17"/>
  <c r="R17" s="1"/>
  <c r="K17"/>
  <c r="O15"/>
  <c r="N15"/>
  <c r="L15"/>
  <c r="R15" s="1"/>
  <c r="K15"/>
  <c r="O35" i="87"/>
  <c r="K35"/>
  <c r="L35" s="1"/>
  <c r="N10" i="117" l="1"/>
  <c r="L44" i="125"/>
  <c r="O44"/>
  <c r="N7"/>
  <c r="N44" s="1"/>
  <c r="R37" i="87"/>
  <c r="N37"/>
  <c r="N9" i="126"/>
  <c r="R9"/>
  <c r="N15" i="43"/>
  <c r="R15"/>
  <c r="N11" i="50"/>
  <c r="R11"/>
  <c r="R10"/>
  <c r="N6" i="127"/>
  <c r="L20"/>
  <c r="R6"/>
  <c r="R7" i="126"/>
  <c r="N7"/>
  <c r="R15" i="114"/>
  <c r="N15"/>
  <c r="N9" i="124"/>
  <c r="R8"/>
  <c r="R20" i="107"/>
  <c r="N35" i="87"/>
  <c r="R35"/>
  <c r="O33" i="102"/>
  <c r="K33"/>
  <c r="L33" s="1"/>
  <c r="O71" i="23"/>
  <c r="K71"/>
  <c r="L71" s="1"/>
  <c r="O9" i="100"/>
  <c r="N9"/>
  <c r="L9"/>
  <c r="R9" s="1"/>
  <c r="K9"/>
  <c r="O7" i="121"/>
  <c r="N7"/>
  <c r="L7"/>
  <c r="R7" s="1"/>
  <c r="K7"/>
  <c r="O22" i="24"/>
  <c r="K22"/>
  <c r="L22" s="1"/>
  <c r="O21"/>
  <c r="L21"/>
  <c r="N21" s="1"/>
  <c r="K21"/>
  <c r="O11" i="88"/>
  <c r="N11"/>
  <c r="L11"/>
  <c r="R11" s="1"/>
  <c r="K11"/>
  <c r="O10" i="17"/>
  <c r="N10"/>
  <c r="L10"/>
  <c r="R10" s="1"/>
  <c r="K10"/>
  <c r="O10" i="120"/>
  <c r="N10"/>
  <c r="L10"/>
  <c r="R10" s="1"/>
  <c r="O9"/>
  <c r="N9"/>
  <c r="L9"/>
  <c r="R9" s="1"/>
  <c r="O69" i="23"/>
  <c r="K69"/>
  <c r="L69" s="1"/>
  <c r="O10" i="34"/>
  <c r="K10"/>
  <c r="L10" s="1"/>
  <c r="R8" i="120"/>
  <c r="O8"/>
  <c r="N8"/>
  <c r="L8"/>
  <c r="R7"/>
  <c r="O7"/>
  <c r="N7"/>
  <c r="L7"/>
  <c r="O13" i="18"/>
  <c r="K13"/>
  <c r="L13" s="1"/>
  <c r="O9" i="101"/>
  <c r="L9"/>
  <c r="N9" s="1"/>
  <c r="K9"/>
  <c r="O11" i="108"/>
  <c r="L11"/>
  <c r="N11" s="1"/>
  <c r="K11"/>
  <c r="O13" i="114"/>
  <c r="K13"/>
  <c r="L13" s="1"/>
  <c r="O8" i="119"/>
  <c r="N8"/>
  <c r="L8"/>
  <c r="R8" s="1"/>
  <c r="K8"/>
  <c r="O7"/>
  <c r="K7"/>
  <c r="L7" s="1"/>
  <c r="Q20" i="33"/>
  <c r="O20"/>
  <c r="K20"/>
  <c r="L20" s="1"/>
  <c r="O14" i="73"/>
  <c r="N14"/>
  <c r="L14"/>
  <c r="R14" s="1"/>
  <c r="K14"/>
  <c r="O44" i="12"/>
  <c r="N44"/>
  <c r="L44"/>
  <c r="R44" s="1"/>
  <c r="Q19" i="33"/>
  <c r="O19"/>
  <c r="K19"/>
  <c r="L19" s="1"/>
  <c r="O11" i="115"/>
  <c r="N11"/>
  <c r="L11"/>
  <c r="R11" s="1"/>
  <c r="K11"/>
  <c r="O42" i="12"/>
  <c r="N42"/>
  <c r="L42"/>
  <c r="R42" s="1"/>
  <c r="K42"/>
  <c r="O15" i="98"/>
  <c r="K15"/>
  <c r="L15" s="1"/>
  <c r="O14"/>
  <c r="N14"/>
  <c r="L14"/>
  <c r="R14" s="1"/>
  <c r="K14"/>
  <c r="O9" i="115"/>
  <c r="N9"/>
  <c r="L9"/>
  <c r="R9" s="1"/>
  <c r="K9"/>
  <c r="O31" i="102"/>
  <c r="K31"/>
  <c r="L31" s="1"/>
  <c r="O12" i="80"/>
  <c r="N12"/>
  <c r="L12"/>
  <c r="R12" s="1"/>
  <c r="K12"/>
  <c r="Q17" i="33"/>
  <c r="O17"/>
  <c r="K17"/>
  <c r="L17" s="1"/>
  <c r="O33" i="87"/>
  <c r="N33"/>
  <c r="L33"/>
  <c r="R33" s="1"/>
  <c r="I33"/>
  <c r="O32"/>
  <c r="L32"/>
  <c r="N32" s="1"/>
  <c r="O7" i="118"/>
  <c r="K7"/>
  <c r="L7" s="1"/>
  <c r="R31" i="102" l="1"/>
  <c r="N31"/>
  <c r="R33"/>
  <c r="N33"/>
  <c r="R32" i="87"/>
  <c r="N71" i="23"/>
  <c r="R71"/>
  <c r="N22" i="24"/>
  <c r="R22"/>
  <c r="R21"/>
  <c r="N69" i="23"/>
  <c r="R69"/>
  <c r="R10" i="34"/>
  <c r="N10"/>
  <c r="R13" i="18"/>
  <c r="N13"/>
  <c r="R9" i="101"/>
  <c r="R11" i="108"/>
  <c r="S13" i="114"/>
  <c r="N13"/>
  <c r="N7" i="119"/>
  <c r="R7"/>
  <c r="R20" i="33"/>
  <c r="N20"/>
  <c r="R19"/>
  <c r="N19"/>
  <c r="N15" i="98"/>
  <c r="R15"/>
  <c r="R17" i="33"/>
  <c r="N17"/>
  <c r="N7" i="118"/>
  <c r="R7"/>
  <c r="O10" i="80"/>
  <c r="N10"/>
  <c r="L10"/>
  <c r="R10" s="1"/>
  <c r="K10"/>
  <c r="O8" i="36"/>
  <c r="N8"/>
  <c r="L8"/>
  <c r="R8" s="1"/>
  <c r="K8"/>
  <c r="O30" i="87"/>
  <c r="K30"/>
  <c r="L30" s="1"/>
  <c r="O67" i="23"/>
  <c r="L67"/>
  <c r="N67" s="1"/>
  <c r="K67"/>
  <c r="O11" i="67"/>
  <c r="N11"/>
  <c r="L11"/>
  <c r="R11" s="1"/>
  <c r="K11"/>
  <c r="O65" i="23"/>
  <c r="K65"/>
  <c r="L65" s="1"/>
  <c r="O29" i="87"/>
  <c r="K29"/>
  <c r="L29" s="1"/>
  <c r="O28"/>
  <c r="K28"/>
  <c r="L28" s="1"/>
  <c r="O27"/>
  <c r="K27"/>
  <c r="L27" s="1"/>
  <c r="O26"/>
  <c r="L26"/>
  <c r="N26" s="1"/>
  <c r="K26"/>
  <c r="O24"/>
  <c r="K24"/>
  <c r="L24" s="1"/>
  <c r="K19"/>
  <c r="L19" s="1"/>
  <c r="K20"/>
  <c r="L20" s="1"/>
  <c r="O23"/>
  <c r="K23"/>
  <c r="L23" s="1"/>
  <c r="K25" i="27"/>
  <c r="H25"/>
  <c r="L25" s="1"/>
  <c r="O63" i="23"/>
  <c r="N63"/>
  <c r="L63"/>
  <c r="R63" s="1"/>
  <c r="K63"/>
  <c r="O29" i="102"/>
  <c r="K29"/>
  <c r="L29" s="1"/>
  <c r="O61" i="23"/>
  <c r="N61"/>
  <c r="L61"/>
  <c r="R61" s="1"/>
  <c r="K61"/>
  <c r="O22" i="87"/>
  <c r="K22"/>
  <c r="L22" s="1"/>
  <c r="O21"/>
  <c r="L21"/>
  <c r="R21" s="1"/>
  <c r="K21"/>
  <c r="O20"/>
  <c r="O19"/>
  <c r="O59" i="23"/>
  <c r="N59"/>
  <c r="L59"/>
  <c r="R59" s="1"/>
  <c r="K59"/>
  <c r="O19" i="24"/>
  <c r="N19"/>
  <c r="L19"/>
  <c r="R19" s="1"/>
  <c r="K19"/>
  <c r="O18" i="107"/>
  <c r="N18"/>
  <c r="L18"/>
  <c r="R18" s="1"/>
  <c r="O12" i="98"/>
  <c r="N12"/>
  <c r="L12"/>
  <c r="R12" s="1"/>
  <c r="K12"/>
  <c r="O21" i="61"/>
  <c r="N21"/>
  <c r="L21"/>
  <c r="R21" s="1"/>
  <c r="K21"/>
  <c r="O7" i="117"/>
  <c r="K7"/>
  <c r="L7" s="1"/>
  <c r="O57" i="23"/>
  <c r="N57"/>
  <c r="L57"/>
  <c r="R57" s="1"/>
  <c r="K57"/>
  <c r="O17" i="107"/>
  <c r="N17"/>
  <c r="L17"/>
  <c r="R17" s="1"/>
  <c r="K17"/>
  <c r="O11" i="114"/>
  <c r="L11"/>
  <c r="R11" s="1"/>
  <c r="K11"/>
  <c r="O27" i="102"/>
  <c r="K27"/>
  <c r="L27" s="1"/>
  <c r="O26"/>
  <c r="K26"/>
  <c r="L26" s="1"/>
  <c r="O30" i="56"/>
  <c r="K30"/>
  <c r="L30" s="1"/>
  <c r="O29"/>
  <c r="K29"/>
  <c r="L29" s="1"/>
  <c r="N25"/>
  <c r="L21" i="110"/>
  <c r="R21" s="1"/>
  <c r="L12"/>
  <c r="N12" s="1"/>
  <c r="O20"/>
  <c r="N20"/>
  <c r="L20"/>
  <c r="R20" s="1"/>
  <c r="K20"/>
  <c r="O19"/>
  <c r="K19"/>
  <c r="L19" s="1"/>
  <c r="I19"/>
  <c r="O18"/>
  <c r="N18"/>
  <c r="L18"/>
  <c r="R18" s="1"/>
  <c r="K18"/>
  <c r="O17"/>
  <c r="N17"/>
  <c r="L17"/>
  <c r="R17" s="1"/>
  <c r="K17"/>
  <c r="O16"/>
  <c r="O15"/>
  <c r="L15"/>
  <c r="N15" s="1"/>
  <c r="K15"/>
  <c r="O14"/>
  <c r="N14"/>
  <c r="L14"/>
  <c r="R14" s="1"/>
  <c r="K14"/>
  <c r="O55" i="23"/>
  <c r="N55"/>
  <c r="L55"/>
  <c r="R55" s="1"/>
  <c r="K55"/>
  <c r="R26" i="102" l="1"/>
  <c r="N26"/>
  <c r="R27"/>
  <c r="N27"/>
  <c r="R29" i="56"/>
  <c r="N29"/>
  <c r="R30"/>
  <c r="N30"/>
  <c r="R29" i="87"/>
  <c r="N29"/>
  <c r="R30"/>
  <c r="N30"/>
  <c r="R28"/>
  <c r="N28"/>
  <c r="N21"/>
  <c r="R67" i="23"/>
  <c r="N65"/>
  <c r="R65"/>
  <c r="N27" i="87"/>
  <c r="R27"/>
  <c r="R26"/>
  <c r="N24"/>
  <c r="R24"/>
  <c r="N19"/>
  <c r="R19"/>
  <c r="N20"/>
  <c r="R20"/>
  <c r="R22"/>
  <c r="N22"/>
  <c r="N23"/>
  <c r="R23"/>
  <c r="R25" i="27"/>
  <c r="N25"/>
  <c r="O25"/>
  <c r="R29" i="102"/>
  <c r="N29"/>
  <c r="R7" i="117"/>
  <c r="N7"/>
  <c r="N11" i="114"/>
  <c r="N21" i="110"/>
  <c r="N16"/>
  <c r="R16"/>
  <c r="N19"/>
  <c r="R19"/>
  <c r="R15"/>
  <c r="O19" i="61"/>
  <c r="N19"/>
  <c r="L19"/>
  <c r="R19" s="1"/>
  <c r="K19"/>
  <c r="O25" i="102"/>
  <c r="K25"/>
  <c r="L25" s="1"/>
  <c r="O24"/>
  <c r="K24"/>
  <c r="L24" s="1"/>
  <c r="O16" i="107"/>
  <c r="N16"/>
  <c r="L16"/>
  <c r="R16" s="1"/>
  <c r="K16"/>
  <c r="O7" i="116"/>
  <c r="L7"/>
  <c r="N7" s="1"/>
  <c r="K7"/>
  <c r="O7" i="115"/>
  <c r="K7"/>
  <c r="L7" s="1"/>
  <c r="O9" i="114"/>
  <c r="N9"/>
  <c r="L9"/>
  <c r="R9" s="1"/>
  <c r="O22" i="102"/>
  <c r="N22"/>
  <c r="L22"/>
  <c r="R22" s="1"/>
  <c r="K22"/>
  <c r="O12" i="73"/>
  <c r="N12"/>
  <c r="L12"/>
  <c r="R12" s="1"/>
  <c r="K12"/>
  <c r="O11" i="18"/>
  <c r="L11"/>
  <c r="N11" s="1"/>
  <c r="K11"/>
  <c r="O21" i="102"/>
  <c r="L21"/>
  <c r="N21" s="1"/>
  <c r="O17" i="24"/>
  <c r="N17"/>
  <c r="L17"/>
  <c r="R17" s="1"/>
  <c r="K17"/>
  <c r="O20" i="102"/>
  <c r="K20"/>
  <c r="L20" s="1"/>
  <c r="O7" i="114"/>
  <c r="N7"/>
  <c r="L7"/>
  <c r="R7" s="1"/>
  <c r="K7"/>
  <c r="O53" i="23"/>
  <c r="N53"/>
  <c r="L53"/>
  <c r="R53" s="1"/>
  <c r="K53"/>
  <c r="R19" i="102"/>
  <c r="O19"/>
  <c r="L19"/>
  <c r="N19" s="1"/>
  <c r="O51" i="23"/>
  <c r="N51"/>
  <c r="L51"/>
  <c r="R51" s="1"/>
  <c r="K51"/>
  <c r="O8" i="17"/>
  <c r="N8"/>
  <c r="L8"/>
  <c r="R8" s="1"/>
  <c r="K8"/>
  <c r="L9" i="98"/>
  <c r="O11"/>
  <c r="N11"/>
  <c r="L11"/>
  <c r="R11" s="1"/>
  <c r="K11"/>
  <c r="O23" i="27"/>
  <c r="K23"/>
  <c r="L23" s="1"/>
  <c r="O19" i="25"/>
  <c r="N19"/>
  <c r="L19"/>
  <c r="R19" s="1"/>
  <c r="K19"/>
  <c r="R24" i="56"/>
  <c r="O24"/>
  <c r="L24"/>
  <c r="N24" s="1"/>
  <c r="O23"/>
  <c r="K23"/>
  <c r="L23" s="1"/>
  <c r="R22"/>
  <c r="O22"/>
  <c r="N22"/>
  <c r="L22"/>
  <c r="O21"/>
  <c r="K21"/>
  <c r="L21" s="1"/>
  <c r="R20"/>
  <c r="O20"/>
  <c r="N20"/>
  <c r="L20"/>
  <c r="R19"/>
  <c r="O19"/>
  <c r="N19"/>
  <c r="L19"/>
  <c r="O49" i="23"/>
  <c r="K49"/>
  <c r="L49" s="1"/>
  <c r="O47"/>
  <c r="L47"/>
  <c r="N47" s="1"/>
  <c r="K47"/>
  <c r="O16" i="87"/>
  <c r="L16"/>
  <c r="R16" s="1"/>
  <c r="O15"/>
  <c r="N15"/>
  <c r="L15"/>
  <c r="R15" s="1"/>
  <c r="O45" i="23"/>
  <c r="K45"/>
  <c r="L45" s="1"/>
  <c r="O9" i="67"/>
  <c r="K9"/>
  <c r="L9" s="1"/>
  <c r="O16" i="102"/>
  <c r="K16"/>
  <c r="L16" s="1"/>
  <c r="O18" i="56"/>
  <c r="K18"/>
  <c r="L18" s="1"/>
  <c r="O43" i="23"/>
  <c r="K43"/>
  <c r="L43" s="1"/>
  <c r="O17" i="56"/>
  <c r="K17"/>
  <c r="L17" s="1"/>
  <c r="O8" i="111"/>
  <c r="K8"/>
  <c r="L8" s="1"/>
  <c r="O41" i="23"/>
  <c r="K41"/>
  <c r="L41" s="1"/>
  <c r="O39"/>
  <c r="K39"/>
  <c r="L39" s="1"/>
  <c r="O7" i="112"/>
  <c r="L7"/>
  <c r="N7" s="1"/>
  <c r="K7"/>
  <c r="O7" i="111"/>
  <c r="K7"/>
  <c r="L7" s="1"/>
  <c r="N16" i="87" l="1"/>
  <c r="R25" i="102"/>
  <c r="N25"/>
  <c r="R21"/>
  <c r="N24"/>
  <c r="R24"/>
  <c r="R7" i="116"/>
  <c r="N7" i="115"/>
  <c r="R7"/>
  <c r="R11" i="18"/>
  <c r="N20" i="102"/>
  <c r="R20"/>
  <c r="N23" i="27"/>
  <c r="R23"/>
  <c r="R23" i="56"/>
  <c r="N23"/>
  <c r="N21"/>
  <c r="R21"/>
  <c r="N49" i="23"/>
  <c r="R49"/>
  <c r="R47"/>
  <c r="N45"/>
  <c r="R45"/>
  <c r="R9" i="67"/>
  <c r="N9"/>
  <c r="R16" i="102"/>
  <c r="N16"/>
  <c r="N18" i="56"/>
  <c r="R18"/>
  <c r="N43" i="23"/>
  <c r="R43"/>
  <c r="N17" i="56"/>
  <c r="R17"/>
  <c r="N8" i="111"/>
  <c r="R8"/>
  <c r="N41" i="23"/>
  <c r="R41"/>
  <c r="N39"/>
  <c r="R39"/>
  <c r="R7" i="112"/>
  <c r="N7" i="111"/>
  <c r="R7"/>
  <c r="O11" i="110"/>
  <c r="L11"/>
  <c r="N11" s="1"/>
  <c r="R14" i="61"/>
  <c r="O14"/>
  <c r="N14"/>
  <c r="L14"/>
  <c r="O110" i="86"/>
  <c r="K110"/>
  <c r="L110" s="1"/>
  <c r="R11" i="107"/>
  <c r="O11"/>
  <c r="N11"/>
  <c r="L11"/>
  <c r="O10" i="110"/>
  <c r="L10"/>
  <c r="N10" s="1"/>
  <c r="K10"/>
  <c r="O9"/>
  <c r="N9"/>
  <c r="L9"/>
  <c r="K9"/>
  <c r="O8"/>
  <c r="N8"/>
  <c r="L8"/>
  <c r="O7"/>
  <c r="K7"/>
  <c r="L7" s="1"/>
  <c r="O14" i="102"/>
  <c r="K14"/>
  <c r="L14" s="1"/>
  <c r="R15" i="84"/>
  <c r="O15"/>
  <c r="L15"/>
  <c r="N15" s="1"/>
  <c r="O13" i="43"/>
  <c r="N13"/>
  <c r="L13"/>
  <c r="R13" s="1"/>
  <c r="O13" i="84"/>
  <c r="K13"/>
  <c r="L13" s="1"/>
  <c r="O13" i="87"/>
  <c r="K13"/>
  <c r="L13" s="1"/>
  <c r="O109" i="86"/>
  <c r="N109"/>
  <c r="L109"/>
  <c r="R109" s="1"/>
  <c r="O108"/>
  <c r="K108"/>
  <c r="L108" s="1"/>
  <c r="O107"/>
  <c r="L107"/>
  <c r="N107" s="1"/>
  <c r="K107"/>
  <c r="O106"/>
  <c r="N106"/>
  <c r="L106"/>
  <c r="R106" s="1"/>
  <c r="K106"/>
  <c r="O105"/>
  <c r="N105"/>
  <c r="L105"/>
  <c r="R105" s="1"/>
  <c r="K105"/>
  <c r="O104"/>
  <c r="K104"/>
  <c r="L104" s="1"/>
  <c r="O103"/>
  <c r="K103"/>
  <c r="L103" s="1"/>
  <c r="N103" s="1"/>
  <c r="O8" i="108"/>
  <c r="N8"/>
  <c r="L8"/>
  <c r="R8" s="1"/>
  <c r="K8"/>
  <c r="O102" i="86"/>
  <c r="K102"/>
  <c r="L102" s="1"/>
  <c r="O101"/>
  <c r="K101"/>
  <c r="L101" s="1"/>
  <c r="N101" s="1"/>
  <c r="O100"/>
  <c r="K100"/>
  <c r="L100" s="1"/>
  <c r="O99"/>
  <c r="K99"/>
  <c r="L99" s="1"/>
  <c r="O98"/>
  <c r="K98"/>
  <c r="L98" s="1"/>
  <c r="O97"/>
  <c r="L97"/>
  <c r="N97" s="1"/>
  <c r="K97"/>
  <c r="M6" i="109"/>
  <c r="K6"/>
  <c r="L6" s="1"/>
  <c r="R99" i="86" l="1"/>
  <c r="N99"/>
  <c r="R100"/>
  <c r="N100"/>
  <c r="R11" i="110"/>
  <c r="N110" i="86"/>
  <c r="R110"/>
  <c r="N7" i="110"/>
  <c r="R7"/>
  <c r="N14" i="102"/>
  <c r="R14"/>
  <c r="N13" i="84"/>
  <c r="R13"/>
  <c r="N13" i="87"/>
  <c r="R13"/>
  <c r="N108" i="86"/>
  <c r="R108"/>
  <c r="N104"/>
  <c r="R104"/>
  <c r="R103"/>
  <c r="R107"/>
  <c r="R98"/>
  <c r="N98"/>
  <c r="N102"/>
  <c r="R102"/>
  <c r="R97"/>
  <c r="R101"/>
  <c r="O37" i="23"/>
  <c r="K37"/>
  <c r="L37" s="1"/>
  <c r="O17" i="25"/>
  <c r="K17"/>
  <c r="L17" s="1"/>
  <c r="O12" i="102"/>
  <c r="N12"/>
  <c r="L12"/>
  <c r="R12" s="1"/>
  <c r="O96" i="86"/>
  <c r="K96"/>
  <c r="L96" s="1"/>
  <c r="O95"/>
  <c r="K95"/>
  <c r="L95" s="1"/>
  <c r="N95" s="1"/>
  <c r="O12" i="87"/>
  <c r="K12"/>
  <c r="L12" s="1"/>
  <c r="O13" i="99"/>
  <c r="K13"/>
  <c r="L13" s="1"/>
  <c r="N37" i="23" l="1"/>
  <c r="R37"/>
  <c r="R17" i="25"/>
  <c r="N17"/>
  <c r="N96" i="86"/>
  <c r="R96"/>
  <c r="R95"/>
  <c r="N12" i="87"/>
  <c r="R12"/>
  <c r="N13" i="99"/>
  <c r="R13"/>
  <c r="O15" i="24"/>
  <c r="K15"/>
  <c r="L15" s="1"/>
  <c r="O8" i="68"/>
  <c r="K8"/>
  <c r="L8" s="1"/>
  <c r="O94" i="86"/>
  <c r="L94"/>
  <c r="N94" s="1"/>
  <c r="O93"/>
  <c r="K93"/>
  <c r="L93" s="1"/>
  <c r="O92"/>
  <c r="L92"/>
  <c r="N92" s="1"/>
  <c r="K92"/>
  <c r="O91"/>
  <c r="N91"/>
  <c r="L91"/>
  <c r="R91" s="1"/>
  <c r="K91"/>
  <c r="O90"/>
  <c r="N90"/>
  <c r="L90"/>
  <c r="R90" s="1"/>
  <c r="R7" i="107"/>
  <c r="N7"/>
  <c r="L7"/>
  <c r="I7"/>
  <c r="O35" i="23"/>
  <c r="K35"/>
  <c r="L35" s="1"/>
  <c r="O7" i="106"/>
  <c r="K7"/>
  <c r="L7" s="1"/>
  <c r="O89" i="86"/>
  <c r="K89"/>
  <c r="L89" s="1"/>
  <c r="O88"/>
  <c r="L88"/>
  <c r="N88" s="1"/>
  <c r="K88"/>
  <c r="O87"/>
  <c r="N87"/>
  <c r="L87"/>
  <c r="R87" s="1"/>
  <c r="K87"/>
  <c r="O86"/>
  <c r="N86"/>
  <c r="L86"/>
  <c r="R86" s="1"/>
  <c r="O85"/>
  <c r="L85"/>
  <c r="R85" s="1"/>
  <c r="K85"/>
  <c r="O84"/>
  <c r="K84"/>
  <c r="L84" s="1"/>
  <c r="O7" i="105"/>
  <c r="L7"/>
  <c r="R7" s="1"/>
  <c r="K7"/>
  <c r="O7" i="104"/>
  <c r="K7"/>
  <c r="L7" s="1"/>
  <c r="P8"/>
  <c r="O83" i="86"/>
  <c r="N83"/>
  <c r="L83"/>
  <c r="R83" s="1"/>
  <c r="O12" i="99"/>
  <c r="K12"/>
  <c r="L12" s="1"/>
  <c r="R82" i="86"/>
  <c r="O82"/>
  <c r="L82"/>
  <c r="N82" s="1"/>
  <c r="O81"/>
  <c r="L81"/>
  <c r="N81" s="1"/>
  <c r="O80"/>
  <c r="K80"/>
  <c r="L80" s="1"/>
  <c r="O79"/>
  <c r="L79"/>
  <c r="N79" s="1"/>
  <c r="O78"/>
  <c r="K78"/>
  <c r="L78" s="1"/>
  <c r="N78" s="1"/>
  <c r="O77"/>
  <c r="L77"/>
  <c r="R77" s="1"/>
  <c r="O76"/>
  <c r="K76"/>
  <c r="L76" s="1"/>
  <c r="O75"/>
  <c r="K75"/>
  <c r="L75" s="1"/>
  <c r="O74"/>
  <c r="K74"/>
  <c r="L74" s="1"/>
  <c r="R9" i="102"/>
  <c r="O9"/>
  <c r="L9"/>
  <c r="N9" s="1"/>
  <c r="O11" i="99"/>
  <c r="K11"/>
  <c r="L11" s="1"/>
  <c r="R76" i="86" l="1"/>
  <c r="N76"/>
  <c r="N77"/>
  <c r="R81"/>
  <c r="N85"/>
  <c r="R94"/>
  <c r="N7" i="105"/>
  <c r="R15" i="24"/>
  <c r="N15"/>
  <c r="R8" i="68"/>
  <c r="N8"/>
  <c r="N93" i="86"/>
  <c r="R93"/>
  <c r="R92"/>
  <c r="N35" i="23"/>
  <c r="R35"/>
  <c r="R7" i="106"/>
  <c r="N7"/>
  <c r="N84" i="86"/>
  <c r="R84"/>
  <c r="N89"/>
  <c r="R89"/>
  <c r="R88"/>
  <c r="N7" i="104"/>
  <c r="R7"/>
  <c r="R12" i="99"/>
  <c r="N12"/>
  <c r="R74" i="86"/>
  <c r="N74"/>
  <c r="R80"/>
  <c r="N80"/>
  <c r="R75"/>
  <c r="N75"/>
  <c r="R78"/>
  <c r="R79"/>
  <c r="R11" i="99"/>
  <c r="N11"/>
  <c r="O73" i="86"/>
  <c r="K73"/>
  <c r="L73" s="1"/>
  <c r="O8" i="102"/>
  <c r="K8"/>
  <c r="L8" s="1"/>
  <c r="O7" i="103"/>
  <c r="K7"/>
  <c r="L7" s="1"/>
  <c r="R72" i="86"/>
  <c r="O72"/>
  <c r="L72"/>
  <c r="N72" s="1"/>
  <c r="O71"/>
  <c r="K71"/>
  <c r="L71" s="1"/>
  <c r="O70"/>
  <c r="K70"/>
  <c r="L70" s="1"/>
  <c r="R70" s="1"/>
  <c r="O69"/>
  <c r="L69"/>
  <c r="R69" s="1"/>
  <c r="K69"/>
  <c r="O68"/>
  <c r="K68"/>
  <c r="L68" s="1"/>
  <c r="O67"/>
  <c r="L67"/>
  <c r="N67" s="1"/>
  <c r="O66"/>
  <c r="K66"/>
  <c r="L66" s="1"/>
  <c r="N66" s="1"/>
  <c r="O12" i="74"/>
  <c r="K12"/>
  <c r="L12" s="1"/>
  <c r="O65" i="86"/>
  <c r="K65"/>
  <c r="L65" s="1"/>
  <c r="O64"/>
  <c r="K64"/>
  <c r="L64" s="1"/>
  <c r="N64" s="1"/>
  <c r="O63"/>
  <c r="K63"/>
  <c r="L63" s="1"/>
  <c r="O62"/>
  <c r="K62"/>
  <c r="L62" s="1"/>
  <c r="O7" i="102"/>
  <c r="K7"/>
  <c r="L7" s="1"/>
  <c r="O26" i="59"/>
  <c r="K26"/>
  <c r="L26" s="1"/>
  <c r="O10" i="99"/>
  <c r="K10"/>
  <c r="L10" s="1"/>
  <c r="O21" i="27"/>
  <c r="K21"/>
  <c r="L21" s="1"/>
  <c r="L10" i="102" l="1"/>
  <c r="R63" i="86"/>
  <c r="N63"/>
  <c r="N69"/>
  <c r="N70"/>
  <c r="R73"/>
  <c r="N73"/>
  <c r="N8" i="102"/>
  <c r="R8"/>
  <c r="N7" i="103"/>
  <c r="R7"/>
  <c r="R71" i="86"/>
  <c r="N71"/>
  <c r="N68"/>
  <c r="R68"/>
  <c r="R66"/>
  <c r="R67"/>
  <c r="R12" i="74"/>
  <c r="N12"/>
  <c r="R65" i="86"/>
  <c r="N65"/>
  <c r="R62"/>
  <c r="N62"/>
  <c r="R64"/>
  <c r="N7" i="102"/>
  <c r="R7"/>
  <c r="R26" i="59"/>
  <c r="N26"/>
  <c r="N10" i="99"/>
  <c r="R10"/>
  <c r="N21" i="27"/>
  <c r="R21"/>
  <c r="O61" i="86"/>
  <c r="K61"/>
  <c r="L61" s="1"/>
  <c r="O60"/>
  <c r="K60"/>
  <c r="L60" s="1"/>
  <c r="O59"/>
  <c r="K59"/>
  <c r="L59" s="1"/>
  <c r="O58"/>
  <c r="K58"/>
  <c r="L58" s="1"/>
  <c r="R58" s="1"/>
  <c r="O11" i="57"/>
  <c r="K11"/>
  <c r="L11" s="1"/>
  <c r="O40" i="12"/>
  <c r="K40"/>
  <c r="L40" s="1"/>
  <c r="O33" i="23"/>
  <c r="K33"/>
  <c r="L33" s="1"/>
  <c r="O7" i="101"/>
  <c r="K7"/>
  <c r="L7" s="1"/>
  <c r="O7" i="100"/>
  <c r="N7"/>
  <c r="L7"/>
  <c r="R7" s="1"/>
  <c r="K7"/>
  <c r="R59" i="86" l="1"/>
  <c r="N59"/>
  <c r="R61"/>
  <c r="N61"/>
  <c r="N60"/>
  <c r="R60"/>
  <c r="N58"/>
  <c r="N11" i="57"/>
  <c r="R11"/>
  <c r="N40" i="12"/>
  <c r="R40"/>
  <c r="N33" i="23"/>
  <c r="R33"/>
  <c r="N7" i="101"/>
  <c r="R7"/>
  <c r="O8" i="98"/>
  <c r="K8"/>
  <c r="L8" s="1"/>
  <c r="O57" i="86"/>
  <c r="L57"/>
  <c r="N57" s="1"/>
  <c r="K57"/>
  <c r="O56"/>
  <c r="L56"/>
  <c r="N56" s="1"/>
  <c r="K56"/>
  <c r="O55"/>
  <c r="L55"/>
  <c r="N55" s="1"/>
  <c r="K55"/>
  <c r="O54"/>
  <c r="K54"/>
  <c r="L54" s="1"/>
  <c r="N54" s="1"/>
  <c r="O53"/>
  <c r="L53"/>
  <c r="N53" s="1"/>
  <c r="K53"/>
  <c r="O52"/>
  <c r="L52"/>
  <c r="N52" s="1"/>
  <c r="K52"/>
  <c r="O51"/>
  <c r="K51"/>
  <c r="L51" s="1"/>
  <c r="N51" s="1"/>
  <c r="O50"/>
  <c r="K50"/>
  <c r="L50" s="1"/>
  <c r="N50" s="1"/>
  <c r="O49"/>
  <c r="L49"/>
  <c r="N49" s="1"/>
  <c r="K49"/>
  <c r="O48"/>
  <c r="K48"/>
  <c r="L48" s="1"/>
  <c r="N48" s="1"/>
  <c r="O47"/>
  <c r="L47"/>
  <c r="N47" s="1"/>
  <c r="K47"/>
  <c r="O21" i="46"/>
  <c r="N21"/>
  <c r="L21"/>
  <c r="R21" s="1"/>
  <c r="K21"/>
  <c r="I23"/>
  <c r="O20"/>
  <c r="N20"/>
  <c r="L20"/>
  <c r="K20"/>
  <c r="O19"/>
  <c r="N19"/>
  <c r="L19"/>
  <c r="K19"/>
  <c r="O18"/>
  <c r="N18"/>
  <c r="L18"/>
  <c r="K18"/>
  <c r="O17"/>
  <c r="N17"/>
  <c r="L17"/>
  <c r="K17"/>
  <c r="O46" i="86"/>
  <c r="K46"/>
  <c r="L46" s="1"/>
  <c r="N46" s="1"/>
  <c r="O45"/>
  <c r="K45"/>
  <c r="L45" s="1"/>
  <c r="N45" s="1"/>
  <c r="O44"/>
  <c r="K44"/>
  <c r="L44" s="1"/>
  <c r="N44" s="1"/>
  <c r="O31" i="23"/>
  <c r="K31"/>
  <c r="L31" s="1"/>
  <c r="O16" i="46"/>
  <c r="K16"/>
  <c r="L16" s="1"/>
  <c r="O15"/>
  <c r="L15"/>
  <c r="N15" s="1"/>
  <c r="K15"/>
  <c r="O14"/>
  <c r="K14"/>
  <c r="L14" s="1"/>
  <c r="O12" i="15"/>
  <c r="K12"/>
  <c r="L12" s="1"/>
  <c r="O11"/>
  <c r="L11"/>
  <c r="N11" s="1"/>
  <c r="K11"/>
  <c r="N8" i="98" l="1"/>
  <c r="R8"/>
  <c r="R31" i="23"/>
  <c r="N31"/>
  <c r="R14" i="46"/>
  <c r="N14"/>
  <c r="R16"/>
  <c r="N16"/>
  <c r="R15"/>
  <c r="N12" i="15"/>
  <c r="R12"/>
  <c r="R11"/>
  <c r="O21" i="62"/>
  <c r="K21"/>
  <c r="L21" s="1"/>
  <c r="O15" i="33"/>
  <c r="L15"/>
  <c r="N15" s="1"/>
  <c r="K15"/>
  <c r="O14"/>
  <c r="L14"/>
  <c r="N14" s="1"/>
  <c r="K14"/>
  <c r="R7" i="99"/>
  <c r="O7"/>
  <c r="L7"/>
  <c r="N7" s="1"/>
  <c r="O29" i="23"/>
  <c r="K29"/>
  <c r="L29" s="1"/>
  <c r="O43" i="86"/>
  <c r="K43"/>
  <c r="L43" s="1"/>
  <c r="N43" s="1"/>
  <c r="O42"/>
  <c r="K42"/>
  <c r="L42" s="1"/>
  <c r="N42" s="1"/>
  <c r="O41"/>
  <c r="K41"/>
  <c r="L41" s="1"/>
  <c r="N41" s="1"/>
  <c r="O40"/>
  <c r="K40"/>
  <c r="L40" s="1"/>
  <c r="N40" s="1"/>
  <c r="O39"/>
  <c r="K39"/>
  <c r="L39" s="1"/>
  <c r="N39" s="1"/>
  <c r="O38"/>
  <c r="K38"/>
  <c r="L38" s="1"/>
  <c r="N38" s="1"/>
  <c r="O37"/>
  <c r="K37"/>
  <c r="L37" s="1"/>
  <c r="N37" s="1"/>
  <c r="O36"/>
  <c r="K36"/>
  <c r="L36" s="1"/>
  <c r="N36" s="1"/>
  <c r="R12" i="93"/>
  <c r="O12"/>
  <c r="N12"/>
  <c r="L12"/>
  <c r="Q8" i="31"/>
  <c r="O8"/>
  <c r="L8"/>
  <c r="N8" s="1"/>
  <c r="K8"/>
  <c r="O35" i="86"/>
  <c r="K35"/>
  <c r="L35" s="1"/>
  <c r="N35" s="1"/>
  <c r="O34"/>
  <c r="K34"/>
  <c r="L34" s="1"/>
  <c r="N34" s="1"/>
  <c r="O33"/>
  <c r="K33"/>
  <c r="L33" s="1"/>
  <c r="N33" s="1"/>
  <c r="O32"/>
  <c r="K32"/>
  <c r="L32" s="1"/>
  <c r="N32" s="1"/>
  <c r="O31"/>
  <c r="K31"/>
  <c r="L31" s="1"/>
  <c r="N31" s="1"/>
  <c r="O30"/>
  <c r="K30"/>
  <c r="L30" s="1"/>
  <c r="N30" s="1"/>
  <c r="O29"/>
  <c r="K29"/>
  <c r="L29" s="1"/>
  <c r="N29" s="1"/>
  <c r="O11" i="93"/>
  <c r="K11"/>
  <c r="L11" s="1"/>
  <c r="N11" s="1"/>
  <c r="O28" i="86"/>
  <c r="K28"/>
  <c r="L28" s="1"/>
  <c r="N28" s="1"/>
  <c r="O27"/>
  <c r="K27"/>
  <c r="L27" s="1"/>
  <c r="N27" s="1"/>
  <c r="O26"/>
  <c r="K26"/>
  <c r="L26" s="1"/>
  <c r="N26" s="1"/>
  <c r="O25"/>
  <c r="K25"/>
  <c r="L25" s="1"/>
  <c r="N25" s="1"/>
  <c r="O24"/>
  <c r="K24"/>
  <c r="L24" s="1"/>
  <c r="N24" s="1"/>
  <c r="O23"/>
  <c r="K23"/>
  <c r="L23" s="1"/>
  <c r="N23" s="1"/>
  <c r="O7" i="98"/>
  <c r="K7"/>
  <c r="L7" s="1"/>
  <c r="O7" i="97"/>
  <c r="K7"/>
  <c r="L7" s="1"/>
  <c r="O22" i="86"/>
  <c r="K22"/>
  <c r="L22" s="1"/>
  <c r="N22" s="1"/>
  <c r="O21"/>
  <c r="K21"/>
  <c r="L21" s="1"/>
  <c r="N21" s="1"/>
  <c r="O20"/>
  <c r="K20"/>
  <c r="L20" s="1"/>
  <c r="O19"/>
  <c r="K19"/>
  <c r="L19" s="1"/>
  <c r="N19" s="1"/>
  <c r="R10" i="93"/>
  <c r="O10"/>
  <c r="N10"/>
  <c r="L10"/>
  <c r="O11" i="74"/>
  <c r="L11"/>
  <c r="N11" s="1"/>
  <c r="R21" i="62" l="1"/>
  <c r="N21"/>
  <c r="N29" i="23"/>
  <c r="R29"/>
  <c r="R8" i="31"/>
  <c r="N7" i="98"/>
  <c r="R7"/>
  <c r="N7" i="97"/>
  <c r="R7"/>
  <c r="L20"/>
  <c r="N20" i="86"/>
  <c r="R20"/>
  <c r="R19"/>
  <c r="O18"/>
  <c r="K18"/>
  <c r="L18" s="1"/>
  <c r="N18" s="1"/>
  <c r="O17"/>
  <c r="K17"/>
  <c r="L17" s="1"/>
  <c r="N17" s="1"/>
  <c r="O15"/>
  <c r="K15"/>
  <c r="L15" s="1"/>
  <c r="O38" i="12"/>
  <c r="K38"/>
  <c r="L38" s="1"/>
  <c r="N38" s="1"/>
  <c r="O7" i="96"/>
  <c r="K7"/>
  <c r="L7" s="1"/>
  <c r="O9" i="93"/>
  <c r="N9"/>
  <c r="L9"/>
  <c r="K9"/>
  <c r="O8"/>
  <c r="N8"/>
  <c r="L8"/>
  <c r="K8"/>
  <c r="O10" i="74"/>
  <c r="N10"/>
  <c r="L10"/>
  <c r="K10"/>
  <c r="O11" i="94"/>
  <c r="N11"/>
  <c r="L11"/>
  <c r="K11"/>
  <c r="O10"/>
  <c r="N10"/>
  <c r="L10"/>
  <c r="K10"/>
  <c r="O9"/>
  <c r="K9"/>
  <c r="L9" s="1"/>
  <c r="O8"/>
  <c r="K8"/>
  <c r="L8" s="1"/>
  <c r="N8" s="1"/>
  <c r="O7"/>
  <c r="L7"/>
  <c r="N7" s="1"/>
  <c r="K7"/>
  <c r="O7" i="93"/>
  <c r="K7"/>
  <c r="L7" s="1"/>
  <c r="N7" s="1"/>
  <c r="O7" i="92"/>
  <c r="K7"/>
  <c r="L7" s="1"/>
  <c r="O36" i="12"/>
  <c r="N36"/>
  <c r="L36"/>
  <c r="K36"/>
  <c r="O7" i="91"/>
  <c r="K7"/>
  <c r="L7" s="1"/>
  <c r="O10" i="71"/>
  <c r="N10"/>
  <c r="L10"/>
  <c r="K10"/>
  <c r="N15" i="86" l="1"/>
  <c r="R7" i="96"/>
  <c r="N7"/>
  <c r="N9" i="94"/>
  <c r="R9"/>
  <c r="R7"/>
  <c r="N7" i="92"/>
  <c r="R7"/>
  <c r="N7" i="91"/>
  <c r="R7"/>
  <c r="L16" i="79"/>
  <c r="L12"/>
  <c r="R14"/>
  <c r="O14"/>
  <c r="N14"/>
  <c r="L14"/>
  <c r="O27" i="23"/>
  <c r="K27"/>
  <c r="L27" s="1"/>
  <c r="O7" i="90"/>
  <c r="K7"/>
  <c r="L7" s="1"/>
  <c r="N7" s="1"/>
  <c r="N27" i="23" l="1"/>
  <c r="R27"/>
  <c r="O13" i="24"/>
  <c r="N13"/>
  <c r="L13"/>
  <c r="K13"/>
  <c r="O9" i="73"/>
  <c r="K9"/>
  <c r="L9" s="1"/>
  <c r="O15" i="25"/>
  <c r="K15"/>
  <c r="L15" s="1"/>
  <c r="O13" i="85"/>
  <c r="K13"/>
  <c r="L13" s="1"/>
  <c r="O14" i="60"/>
  <c r="K14"/>
  <c r="L14" s="1"/>
  <c r="O19" i="27"/>
  <c r="K19"/>
  <c r="L19" s="1"/>
  <c r="O8" i="18"/>
  <c r="K8"/>
  <c r="L8" s="1"/>
  <c r="N8" s="1"/>
  <c r="O11" i="24"/>
  <c r="L11"/>
  <c r="N11" s="1"/>
  <c r="K11"/>
  <c r="O9" i="74"/>
  <c r="N9"/>
  <c r="L9"/>
  <c r="O12" i="86"/>
  <c r="L12"/>
  <c r="N12" s="1"/>
  <c r="K12"/>
  <c r="O13" i="60"/>
  <c r="L13"/>
  <c r="N13" s="1"/>
  <c r="O12"/>
  <c r="N12"/>
  <c r="L12"/>
  <c r="O11"/>
  <c r="L11"/>
  <c r="N11" s="1"/>
  <c r="O10"/>
  <c r="N10"/>
  <c r="L10"/>
  <c r="O6" i="89"/>
  <c r="N6"/>
  <c r="L6"/>
  <c r="K6"/>
  <c r="O9" i="84"/>
  <c r="K9"/>
  <c r="L9" s="1"/>
  <c r="N9" s="1"/>
  <c r="O11" i="85"/>
  <c r="L11"/>
  <c r="N11" s="1"/>
  <c r="O11" i="83"/>
  <c r="L11"/>
  <c r="N11" s="1"/>
  <c r="K11"/>
  <c r="O9" i="60"/>
  <c r="N9"/>
  <c r="L9"/>
  <c r="O9" i="88"/>
  <c r="L9"/>
  <c r="N9" s="1"/>
  <c r="K9"/>
  <c r="P7"/>
  <c r="O9" i="52"/>
  <c r="O9" i="86"/>
  <c r="K9"/>
  <c r="L9" s="1"/>
  <c r="N9" s="1"/>
  <c r="O10" i="87"/>
  <c r="L10"/>
  <c r="N10" s="1"/>
  <c r="O19" i="62"/>
  <c r="L19"/>
  <c r="N19" s="1"/>
  <c r="K19"/>
  <c r="O25" i="23"/>
  <c r="K25"/>
  <c r="L25" s="1"/>
  <c r="O8" i="86"/>
  <c r="K8"/>
  <c r="L8" s="1"/>
  <c r="N8" s="1"/>
  <c r="O9" i="87"/>
  <c r="N9"/>
  <c r="L9"/>
  <c r="O8"/>
  <c r="N8"/>
  <c r="L8"/>
  <c r="O7"/>
  <c r="L7"/>
  <c r="N7" s="1"/>
  <c r="N9" i="73" l="1"/>
  <c r="R9"/>
  <c r="N15" i="25"/>
  <c r="R15"/>
  <c r="N13" i="85"/>
  <c r="R13"/>
  <c r="R14" i="60"/>
  <c r="N14"/>
  <c r="L17"/>
  <c r="N19" i="27"/>
  <c r="R19"/>
  <c r="P6" i="89"/>
  <c r="L20"/>
  <c r="N25" i="23"/>
  <c r="R25"/>
  <c r="O7" i="86"/>
  <c r="K7"/>
  <c r="L7" s="1"/>
  <c r="L13" s="1"/>
  <c r="R52" i="26"/>
  <c r="O52"/>
  <c r="L52"/>
  <c r="M52" s="1"/>
  <c r="K52"/>
  <c r="M24" i="23"/>
  <c r="K24"/>
  <c r="L24" s="1"/>
  <c r="M33" i="12"/>
  <c r="L33"/>
  <c r="P33" s="1"/>
  <c r="K33"/>
  <c r="N7" i="86" l="1"/>
  <c r="R7"/>
  <c r="N52" i="26"/>
  <c r="M7" i="81"/>
  <c r="L7"/>
  <c r="P7" s="1"/>
  <c r="K7"/>
  <c r="M25" i="16"/>
  <c r="L25"/>
  <c r="P25" s="1"/>
  <c r="K25"/>
  <c r="M17" i="62"/>
  <c r="K17"/>
  <c r="L17" s="1"/>
  <c r="P17" s="1"/>
  <c r="M11" i="61" l="1"/>
  <c r="L11"/>
  <c r="K11"/>
  <c r="M8" i="74"/>
  <c r="K8"/>
  <c r="L8" s="1"/>
  <c r="P8" s="1"/>
  <c r="M16" i="62"/>
  <c r="K16"/>
  <c r="L16" s="1"/>
  <c r="P16" s="1"/>
  <c r="M22" i="23"/>
  <c r="L22"/>
  <c r="K22"/>
  <c r="L22" i="76"/>
  <c r="M8" i="85" l="1"/>
  <c r="L8"/>
  <c r="K8"/>
  <c r="M7" i="84"/>
  <c r="L7"/>
  <c r="K7"/>
  <c r="M11" i="79"/>
  <c r="K11"/>
  <c r="L11" s="1"/>
  <c r="N51" i="26"/>
  <c r="K51"/>
  <c r="L51" s="1"/>
  <c r="M7" i="83"/>
  <c r="K7"/>
  <c r="L7" s="1"/>
  <c r="M14" i="76"/>
  <c r="L14"/>
  <c r="K14"/>
  <c r="M13"/>
  <c r="L13"/>
  <c r="K13"/>
  <c r="M11" i="77"/>
  <c r="K11"/>
  <c r="L11" s="1"/>
  <c r="M10"/>
  <c r="K10"/>
  <c r="L10" s="1"/>
  <c r="M12" i="76"/>
  <c r="K12"/>
  <c r="L12" s="1"/>
  <c r="M11"/>
  <c r="L11"/>
  <c r="K11"/>
  <c r="N50" i="26"/>
  <c r="L50"/>
  <c r="K50"/>
  <c r="M10" i="79"/>
  <c r="K10"/>
  <c r="L10" s="1"/>
  <c r="P7" i="84" l="1"/>
  <c r="L20"/>
  <c r="L14" i="83"/>
  <c r="M7" i="82"/>
  <c r="L7"/>
  <c r="K7"/>
  <c r="M6" i="81"/>
  <c r="K6"/>
  <c r="L6" s="1"/>
  <c r="M10" i="76"/>
  <c r="L10"/>
  <c r="K10"/>
  <c r="M9"/>
  <c r="K9"/>
  <c r="L9" s="1"/>
  <c r="M8" i="80"/>
  <c r="K8"/>
  <c r="L8" s="1"/>
  <c r="N49" i="26"/>
  <c r="K49"/>
  <c r="L49" s="1"/>
  <c r="M9" i="77"/>
  <c r="L9"/>
  <c r="K9"/>
  <c r="M9" i="79"/>
  <c r="L9"/>
  <c r="K9"/>
  <c r="M8"/>
  <c r="L8"/>
  <c r="K8"/>
  <c r="M7"/>
  <c r="K7"/>
  <c r="L7" s="1"/>
  <c r="M8" i="71"/>
  <c r="K8"/>
  <c r="L8" s="1"/>
  <c r="M6" i="78"/>
  <c r="K6"/>
  <c r="L6" s="1"/>
  <c r="M8" i="77"/>
  <c r="K8"/>
  <c r="L8" s="1"/>
  <c r="M7"/>
  <c r="L7"/>
  <c r="K7"/>
  <c r="N48" i="26"/>
  <c r="L48"/>
  <c r="K48"/>
  <c r="M8" i="76"/>
  <c r="L8"/>
  <c r="K8"/>
  <c r="Q47" i="26"/>
  <c r="N47"/>
  <c r="L47"/>
  <c r="K47"/>
  <c r="M7" i="75"/>
  <c r="L7"/>
  <c r="K7"/>
  <c r="M20" i="65"/>
  <c r="L20"/>
  <c r="K20"/>
  <c r="M19"/>
  <c r="L19"/>
  <c r="K19"/>
  <c r="M18"/>
  <c r="K18"/>
  <c r="L18" s="1"/>
  <c r="Q46" i="26"/>
  <c r="N46"/>
  <c r="L46"/>
  <c r="K46"/>
  <c r="Q45"/>
  <c r="N45"/>
  <c r="L45"/>
  <c r="K45"/>
  <c r="M24" i="20"/>
  <c r="K24"/>
  <c r="L24" s="1"/>
  <c r="P24" s="1"/>
  <c r="P9" i="61"/>
  <c r="M9"/>
  <c r="L9"/>
  <c r="K9"/>
  <c r="M7" i="74"/>
  <c r="K7"/>
  <c r="L7" s="1"/>
  <c r="O23" i="16"/>
  <c r="M23"/>
  <c r="L23"/>
  <c r="P23" s="1"/>
  <c r="K23"/>
  <c r="M13" i="25"/>
  <c r="L13"/>
  <c r="P13" s="1"/>
  <c r="K13"/>
  <c r="M7" i="73"/>
  <c r="L7"/>
  <c r="K7"/>
  <c r="L17" i="81" l="1"/>
  <c r="P6" i="78"/>
  <c r="L20"/>
  <c r="P7" i="77"/>
  <c r="L20"/>
  <c r="L20" i="74"/>
  <c r="P7"/>
  <c r="M10" i="72"/>
  <c r="L10"/>
  <c r="K10"/>
  <c r="M31" i="12"/>
  <c r="L31"/>
  <c r="K31"/>
  <c r="N43" i="26"/>
  <c r="L43"/>
  <c r="Q43" s="1"/>
  <c r="K43"/>
  <c r="N42"/>
  <c r="L42"/>
  <c r="Q42" s="1"/>
  <c r="K42"/>
  <c r="N41"/>
  <c r="L41"/>
  <c r="Q41" s="1"/>
  <c r="K41"/>
  <c r="M9" i="72"/>
  <c r="L9"/>
  <c r="K9"/>
  <c r="M39" i="28"/>
  <c r="L39"/>
  <c r="K39"/>
  <c r="M8" i="72"/>
  <c r="L8"/>
  <c r="K8"/>
  <c r="M7" i="71"/>
  <c r="L7"/>
  <c r="P7" s="1"/>
  <c r="K7"/>
  <c r="M7" i="70"/>
  <c r="L7"/>
  <c r="L20" s="1"/>
  <c r="K7"/>
  <c r="P29" i="12"/>
  <c r="M29"/>
  <c r="L29"/>
  <c r="K29"/>
  <c r="Q40" i="26"/>
  <c r="N40"/>
  <c r="L40"/>
  <c r="K40"/>
  <c r="Q39"/>
  <c r="N39"/>
  <c r="L39"/>
  <c r="K39"/>
  <c r="Q38"/>
  <c r="N38"/>
  <c r="L38"/>
  <c r="K38"/>
  <c r="Q37"/>
  <c r="N37"/>
  <c r="L37"/>
  <c r="K37"/>
  <c r="M17" i="27"/>
  <c r="K17"/>
  <c r="L17" s="1"/>
  <c r="M7" i="69"/>
  <c r="K7"/>
  <c r="L7" s="1"/>
  <c r="L20" s="1"/>
  <c r="M22" i="20" l="1"/>
  <c r="L22"/>
  <c r="K22"/>
  <c r="N35" i="26"/>
  <c r="L35"/>
  <c r="K35"/>
  <c r="M14" i="64"/>
  <c r="K14"/>
  <c r="L14" s="1"/>
  <c r="M13"/>
  <c r="K13"/>
  <c r="L13" s="1"/>
  <c r="M38" i="35"/>
  <c r="N38"/>
  <c r="L38"/>
  <c r="I38"/>
  <c r="M21" i="59"/>
  <c r="N21"/>
  <c r="L21"/>
  <c r="M11"/>
  <c r="N11"/>
  <c r="L11"/>
  <c r="M6" i="68"/>
  <c r="K6"/>
  <c r="L6" s="1"/>
  <c r="N34" i="26"/>
  <c r="K34"/>
  <c r="L34" s="1"/>
  <c r="N33"/>
  <c r="K33"/>
  <c r="L33" s="1"/>
  <c r="N32"/>
  <c r="K32"/>
  <c r="L32" s="1"/>
  <c r="P6" i="68" l="1"/>
  <c r="L20"/>
  <c r="M37" i="35"/>
  <c r="K37"/>
  <c r="L37" s="1"/>
  <c r="N30" i="26"/>
  <c r="K30"/>
  <c r="L30" s="1"/>
  <c r="P14" i="62"/>
  <c r="M14"/>
  <c r="L14"/>
  <c r="K14"/>
  <c r="M20" i="23"/>
  <c r="L20"/>
  <c r="P20" s="1"/>
  <c r="K20"/>
  <c r="M7" i="67"/>
  <c r="K7"/>
  <c r="L7" s="1"/>
  <c r="P7" s="1"/>
  <c r="M36" i="35"/>
  <c r="K36"/>
  <c r="L36" s="1"/>
  <c r="M35"/>
  <c r="L35"/>
  <c r="K35"/>
  <c r="M9" i="57"/>
  <c r="L9"/>
  <c r="K9"/>
  <c r="M16" i="65"/>
  <c r="L16"/>
  <c r="K16"/>
  <c r="M15"/>
  <c r="L15"/>
  <c r="K15"/>
  <c r="M14"/>
  <c r="K14"/>
  <c r="L14" s="1"/>
  <c r="K19" i="64" l="1"/>
  <c r="H19"/>
  <c r="L19"/>
  <c r="M11"/>
  <c r="K11"/>
  <c r="L11" s="1"/>
  <c r="M10"/>
  <c r="K10"/>
  <c r="L10" s="1"/>
  <c r="M9"/>
  <c r="K9"/>
  <c r="L9" s="1"/>
  <c r="M13" i="65"/>
  <c r="L13"/>
  <c r="K13"/>
  <c r="M12"/>
  <c r="L12"/>
  <c r="K12"/>
  <c r="M11"/>
  <c r="K11"/>
  <c r="L11" s="1"/>
  <c r="M7" i="66"/>
  <c r="K7"/>
  <c r="L7" s="1"/>
  <c r="M10" i="65"/>
  <c r="L10"/>
  <c r="P10" s="1"/>
  <c r="K10"/>
  <c r="M9"/>
  <c r="L9"/>
  <c r="P9" s="1"/>
  <c r="K9"/>
  <c r="M8"/>
  <c r="L8"/>
  <c r="P8" s="1"/>
  <c r="K8"/>
  <c r="M27" i="12"/>
  <c r="L27"/>
  <c r="P27" s="1"/>
  <c r="K27"/>
  <c r="M8" i="64"/>
  <c r="K8"/>
  <c r="L8" s="1"/>
  <c r="P8" s="1"/>
  <c r="M7"/>
  <c r="K7"/>
  <c r="L7" s="1"/>
  <c r="P7" s="1"/>
  <c r="N29" i="26"/>
  <c r="K29"/>
  <c r="L29" s="1"/>
  <c r="M13" i="62"/>
  <c r="K13"/>
  <c r="L13" s="1"/>
  <c r="P13" s="1"/>
  <c r="M12"/>
  <c r="K12"/>
  <c r="L12" s="1"/>
  <c r="P12" s="1"/>
  <c r="O10"/>
  <c r="M10"/>
  <c r="K10"/>
  <c r="L10" s="1"/>
  <c r="P10" s="1"/>
  <c r="P11"/>
  <c r="M11"/>
  <c r="L11"/>
  <c r="K11"/>
  <c r="M13" i="58"/>
  <c r="L13"/>
  <c r="P13" s="1"/>
  <c r="K13"/>
  <c r="P18" i="23"/>
  <c r="M18"/>
  <c r="L18"/>
  <c r="K18"/>
  <c r="M9" i="15"/>
  <c r="K9"/>
  <c r="L9" s="1"/>
  <c r="M32" i="35"/>
  <c r="L32"/>
  <c r="K32"/>
  <c r="M31"/>
  <c r="L31"/>
  <c r="K31"/>
  <c r="M30"/>
  <c r="K30"/>
  <c r="L30" s="1"/>
  <c r="M25" i="12"/>
  <c r="L25"/>
  <c r="K25"/>
  <c r="M8" i="63"/>
  <c r="L8"/>
  <c r="K8"/>
  <c r="M7"/>
  <c r="L7"/>
  <c r="K7"/>
  <c r="N28" i="26"/>
  <c r="K28"/>
  <c r="L28" s="1"/>
  <c r="M29" i="35"/>
  <c r="L29"/>
  <c r="K29"/>
  <c r="M28"/>
  <c r="L28"/>
  <c r="K28"/>
  <c r="M27"/>
  <c r="K27"/>
  <c r="L27" s="1"/>
  <c r="M26"/>
  <c r="L26"/>
  <c r="K26"/>
  <c r="M25"/>
  <c r="L25"/>
  <c r="K25"/>
  <c r="M24"/>
  <c r="L24"/>
  <c r="K24"/>
  <c r="M20" i="59"/>
  <c r="L20"/>
  <c r="K20"/>
  <c r="M19"/>
  <c r="L19"/>
  <c r="K19"/>
  <c r="M37" i="28"/>
  <c r="L37"/>
  <c r="P37" s="1"/>
  <c r="K37"/>
  <c r="P9" i="62"/>
  <c r="M9"/>
  <c r="L9"/>
  <c r="K9"/>
  <c r="P7"/>
  <c r="M7"/>
  <c r="L7"/>
  <c r="K7"/>
  <c r="M23" i="35"/>
  <c r="L23"/>
  <c r="K23"/>
  <c r="M22"/>
  <c r="L22"/>
  <c r="K22"/>
  <c r="M18" i="59"/>
  <c r="K18"/>
  <c r="L18" s="1"/>
  <c r="M17"/>
  <c r="L17"/>
  <c r="K17"/>
  <c r="M16"/>
  <c r="K16"/>
  <c r="L16" s="1"/>
  <c r="M12" i="58"/>
  <c r="L12"/>
  <c r="K12"/>
  <c r="M11" i="45"/>
  <c r="L11"/>
  <c r="K11"/>
  <c r="M21" i="16"/>
  <c r="K21"/>
  <c r="L21" s="1"/>
  <c r="M11" i="43"/>
  <c r="K11"/>
  <c r="L11" s="1"/>
  <c r="M21" i="35"/>
  <c r="L21"/>
  <c r="K21"/>
  <c r="M20"/>
  <c r="L20"/>
  <c r="K20"/>
  <c r="M19"/>
  <c r="K19"/>
  <c r="L19" s="1"/>
  <c r="N27" i="26"/>
  <c r="K27"/>
  <c r="L27" s="1"/>
  <c r="N26"/>
  <c r="K26"/>
  <c r="L26" s="1"/>
  <c r="P7" i="61"/>
  <c r="M7"/>
  <c r="L7"/>
  <c r="K7"/>
  <c r="M15" i="59"/>
  <c r="K15"/>
  <c r="L15" s="1"/>
  <c r="M14"/>
  <c r="L14"/>
  <c r="K14"/>
  <c r="M13"/>
  <c r="K13"/>
  <c r="L13" s="1"/>
  <c r="M12"/>
  <c r="L12"/>
  <c r="K12"/>
  <c r="M10"/>
  <c r="K10"/>
  <c r="L10" s="1"/>
  <c r="M9"/>
  <c r="L9"/>
  <c r="K9"/>
  <c r="M7" i="60"/>
  <c r="L7"/>
  <c r="P7" s="1"/>
  <c r="K7"/>
  <c r="M11" i="25"/>
  <c r="L11"/>
  <c r="K11"/>
  <c r="M36" i="28"/>
  <c r="L36"/>
  <c r="K36"/>
  <c r="M11" i="58"/>
  <c r="L11"/>
  <c r="K11"/>
  <c r="M35" i="28"/>
  <c r="L35"/>
  <c r="K35"/>
  <c r="M8" i="59"/>
  <c r="K8"/>
  <c r="L8" s="1"/>
  <c r="M10" i="58"/>
  <c r="K10"/>
  <c r="L10" s="1"/>
  <c r="M13" i="56"/>
  <c r="L13"/>
  <c r="K13"/>
  <c r="N25" i="26"/>
  <c r="K25"/>
  <c r="L25" s="1"/>
  <c r="M9" i="58"/>
  <c r="K9"/>
  <c r="L9" s="1"/>
  <c r="M7" i="59"/>
  <c r="L7"/>
  <c r="K7"/>
  <c r="M34" i="28"/>
  <c r="L34"/>
  <c r="K34"/>
  <c r="M23" i="12"/>
  <c r="L23"/>
  <c r="P23" s="1"/>
  <c r="K23"/>
  <c r="M12" i="56"/>
  <c r="L12"/>
  <c r="P12" s="1"/>
  <c r="K12"/>
  <c r="M6" i="59"/>
  <c r="K6"/>
  <c r="L6" s="1"/>
  <c r="M10" i="56"/>
  <c r="K10"/>
  <c r="L10" s="1"/>
  <c r="M15" i="27"/>
  <c r="K15"/>
  <c r="L15" s="1"/>
  <c r="N24" i="26"/>
  <c r="K24"/>
  <c r="L24" s="1"/>
  <c r="L20" i="66" l="1"/>
  <c r="L24" i="59"/>
  <c r="M16" i="23"/>
  <c r="L16"/>
  <c r="P16" s="1"/>
  <c r="K16"/>
  <c r="M19" i="16"/>
  <c r="L19"/>
  <c r="P19" s="1"/>
  <c r="K19"/>
  <c r="N23" i="26"/>
  <c r="K23"/>
  <c r="L23" s="1"/>
  <c r="M8" i="58"/>
  <c r="K8"/>
  <c r="L8" s="1"/>
  <c r="M33" i="28"/>
  <c r="K33"/>
  <c r="L33" s="1"/>
  <c r="P33" s="1"/>
  <c r="P6" i="58"/>
  <c r="M6"/>
  <c r="L6"/>
  <c r="K6"/>
  <c r="M8" i="56" l="1"/>
  <c r="L8"/>
  <c r="K8"/>
  <c r="P7" i="57" l="1"/>
  <c r="M7"/>
  <c r="L7"/>
  <c r="K7"/>
  <c r="M9" i="47"/>
  <c r="L9"/>
  <c r="K9"/>
  <c r="N22" i="26"/>
  <c r="K22"/>
  <c r="L22" s="1"/>
  <c r="M7" i="56"/>
  <c r="L7"/>
  <c r="P7" s="1"/>
  <c r="K7"/>
  <c r="P7" i="55"/>
  <c r="M7"/>
  <c r="L7"/>
  <c r="K7"/>
  <c r="N21" i="26"/>
  <c r="K21"/>
  <c r="L21" s="1"/>
  <c r="M205" i="54"/>
  <c r="M188"/>
  <c r="M21" i="12"/>
  <c r="K21"/>
  <c r="L21" s="1"/>
  <c r="P21" s="1"/>
  <c r="M14" i="35"/>
  <c r="N14"/>
  <c r="L14"/>
  <c r="M17"/>
  <c r="L17"/>
  <c r="P17" s="1"/>
  <c r="K17"/>
  <c r="M9" i="25"/>
  <c r="L9"/>
  <c r="P9" s="1"/>
  <c r="K9"/>
  <c r="P32" i="28"/>
  <c r="M32"/>
  <c r="L32"/>
  <c r="K32"/>
  <c r="L14" i="57" l="1"/>
  <c r="L207" i="54"/>
  <c r="L205"/>
  <c r="L198"/>
  <c r="L187"/>
  <c r="L176"/>
  <c r="M127"/>
  <c r="L127"/>
  <c r="K127"/>
  <c r="M126"/>
  <c r="L126"/>
  <c r="K126"/>
  <c r="M125"/>
  <c r="K125"/>
  <c r="L125" s="1"/>
  <c r="M124"/>
  <c r="K124"/>
  <c r="L124" s="1"/>
  <c r="M123"/>
  <c r="L123"/>
  <c r="K123"/>
  <c r="M122"/>
  <c r="L122"/>
  <c r="K122"/>
  <c r="M121"/>
  <c r="K121"/>
  <c r="L121" s="1"/>
  <c r="M120"/>
  <c r="K120"/>
  <c r="L120" s="1"/>
  <c r="M119"/>
  <c r="L119"/>
  <c r="K119"/>
  <c r="M118"/>
  <c r="L118"/>
  <c r="K118"/>
  <c r="M117"/>
  <c r="K117"/>
  <c r="L117" s="1"/>
  <c r="M116"/>
  <c r="K116"/>
  <c r="L116" s="1"/>
  <c r="M115"/>
  <c r="L115"/>
  <c r="K115"/>
  <c r="M114"/>
  <c r="L114"/>
  <c r="K114"/>
  <c r="M113"/>
  <c r="K113"/>
  <c r="L113" s="1"/>
  <c r="M112"/>
  <c r="K112"/>
  <c r="L112" s="1"/>
  <c r="M111"/>
  <c r="L111"/>
  <c r="K111"/>
  <c r="M110"/>
  <c r="L110"/>
  <c r="K110"/>
  <c r="M109"/>
  <c r="K109"/>
  <c r="L109" s="1"/>
  <c r="M108"/>
  <c r="K108"/>
  <c r="L108" s="1"/>
  <c r="M107"/>
  <c r="L107"/>
  <c r="K107"/>
  <c r="M106"/>
  <c r="L106"/>
  <c r="K106"/>
  <c r="M105"/>
  <c r="K105"/>
  <c r="L105" s="1"/>
  <c r="N96"/>
  <c r="M95"/>
  <c r="L95"/>
  <c r="P95" s="1"/>
  <c r="K95"/>
  <c r="M94"/>
  <c r="L94"/>
  <c r="P94" s="1"/>
  <c r="K94"/>
  <c r="M93"/>
  <c r="L93"/>
  <c r="P93" s="1"/>
  <c r="K93"/>
  <c r="M92"/>
  <c r="L92"/>
  <c r="P92" s="1"/>
  <c r="K92"/>
  <c r="M91"/>
  <c r="L91"/>
  <c r="P91" s="1"/>
  <c r="K91"/>
  <c r="M90"/>
  <c r="L90"/>
  <c r="P90" s="1"/>
  <c r="K90"/>
  <c r="M88"/>
  <c r="L88"/>
  <c r="K88"/>
  <c r="M87"/>
  <c r="K87"/>
  <c r="L87" s="1"/>
  <c r="M86"/>
  <c r="L86"/>
  <c r="K86"/>
  <c r="M85"/>
  <c r="K85"/>
  <c r="L85" s="1"/>
  <c r="M84"/>
  <c r="L84"/>
  <c r="K84"/>
  <c r="M83"/>
  <c r="K83"/>
  <c r="L83" s="1"/>
  <c r="M82"/>
  <c r="L82"/>
  <c r="K82"/>
  <c r="M81"/>
  <c r="K81"/>
  <c r="L81" s="1"/>
  <c r="M80"/>
  <c r="L80"/>
  <c r="K80"/>
  <c r="M79"/>
  <c r="K79"/>
  <c r="L79" s="1"/>
  <c r="M78"/>
  <c r="L78"/>
  <c r="K78"/>
  <c r="M77"/>
  <c r="K77"/>
  <c r="L77" s="1"/>
  <c r="M76"/>
  <c r="L76"/>
  <c r="K76"/>
  <c r="M75"/>
  <c r="K75"/>
  <c r="L75" s="1"/>
  <c r="M74"/>
  <c r="L74"/>
  <c r="K74"/>
  <c r="M73"/>
  <c r="K73"/>
  <c r="L73" s="1"/>
  <c r="M72"/>
  <c r="L72"/>
  <c r="K72"/>
  <c r="M71"/>
  <c r="K71"/>
  <c r="L71" s="1"/>
  <c r="M70"/>
  <c r="L70"/>
  <c r="K70"/>
  <c r="M69"/>
  <c r="K69"/>
  <c r="L69" s="1"/>
  <c r="M68"/>
  <c r="L68"/>
  <c r="K68"/>
  <c r="M67"/>
  <c r="K67"/>
  <c r="L67" s="1"/>
  <c r="M66"/>
  <c r="L66"/>
  <c r="K66"/>
  <c r="M65"/>
  <c r="K65"/>
  <c r="L65" s="1"/>
  <c r="M64"/>
  <c r="L64"/>
  <c r="K64"/>
  <c r="M63"/>
  <c r="K63"/>
  <c r="L63" s="1"/>
  <c r="M62"/>
  <c r="L62"/>
  <c r="K62"/>
  <c r="M61"/>
  <c r="K61"/>
  <c r="L61" s="1"/>
  <c r="M60"/>
  <c r="L60"/>
  <c r="K60"/>
  <c r="M59"/>
  <c r="K59"/>
  <c r="L59" s="1"/>
  <c r="M58"/>
  <c r="L58"/>
  <c r="K58"/>
  <c r="M57"/>
  <c r="K57"/>
  <c r="L57" s="1"/>
  <c r="M56"/>
  <c r="L56"/>
  <c r="K56"/>
  <c r="M55"/>
  <c r="K55"/>
  <c r="L55" s="1"/>
  <c r="M54"/>
  <c r="L54"/>
  <c r="K54"/>
  <c r="M53"/>
  <c r="K53"/>
  <c r="L53" s="1"/>
  <c r="M52"/>
  <c r="L52"/>
  <c r="K52"/>
  <c r="M51"/>
  <c r="K51"/>
  <c r="L51" s="1"/>
  <c r="M50"/>
  <c r="L50"/>
  <c r="K50"/>
  <c r="M49"/>
  <c r="K49"/>
  <c r="L49" s="1"/>
  <c r="M48"/>
  <c r="L48"/>
  <c r="K48"/>
  <c r="M47"/>
  <c r="K47"/>
  <c r="L47" s="1"/>
  <c r="M46"/>
  <c r="L46"/>
  <c r="K46"/>
  <c r="M45"/>
  <c r="K45"/>
  <c r="L45" s="1"/>
  <c r="M44"/>
  <c r="L44"/>
  <c r="K44"/>
  <c r="M43"/>
  <c r="K43"/>
  <c r="L43" s="1"/>
  <c r="M42"/>
  <c r="L42"/>
  <c r="K42"/>
  <c r="M41"/>
  <c r="K41"/>
  <c r="L41" s="1"/>
  <c r="M40"/>
  <c r="L40"/>
  <c r="K40"/>
  <c r="M39"/>
  <c r="K39"/>
  <c r="L39" s="1"/>
  <c r="M38"/>
  <c r="L38"/>
  <c r="K38"/>
  <c r="M37"/>
  <c r="K37"/>
  <c r="L37" s="1"/>
  <c r="M36"/>
  <c r="L36"/>
  <c r="K36"/>
  <c r="M35"/>
  <c r="K35"/>
  <c r="L35" s="1"/>
  <c r="M34"/>
  <c r="L34"/>
  <c r="K34"/>
  <c r="M33"/>
  <c r="K33"/>
  <c r="L33" s="1"/>
  <c r="M32"/>
  <c r="L32"/>
  <c r="K32"/>
  <c r="M31"/>
  <c r="K31"/>
  <c r="L31" s="1"/>
  <c r="M30"/>
  <c r="L30"/>
  <c r="K30"/>
  <c r="M29"/>
  <c r="K29"/>
  <c r="L29" s="1"/>
  <c r="M28"/>
  <c r="L28"/>
  <c r="K28"/>
  <c r="M27"/>
  <c r="K27"/>
  <c r="L27" s="1"/>
  <c r="M26"/>
  <c r="L26"/>
  <c r="K26"/>
  <c r="M25"/>
  <c r="K25"/>
  <c r="L25" s="1"/>
  <c r="M24"/>
  <c r="L24"/>
  <c r="K24"/>
  <c r="M23"/>
  <c r="K23"/>
  <c r="L23" s="1"/>
  <c r="M22"/>
  <c r="L22"/>
  <c r="K22"/>
  <c r="M21"/>
  <c r="K21"/>
  <c r="L21" s="1"/>
  <c r="M20"/>
  <c r="L20"/>
  <c r="K20"/>
  <c r="M19"/>
  <c r="K19"/>
  <c r="L19" s="1"/>
  <c r="M18"/>
  <c r="L18"/>
  <c r="K18"/>
  <c r="M17"/>
  <c r="K17"/>
  <c r="L17" s="1"/>
  <c r="M16"/>
  <c r="L16"/>
  <c r="K16"/>
  <c r="M15"/>
  <c r="K15"/>
  <c r="L15" s="1"/>
  <c r="M14"/>
  <c r="L14"/>
  <c r="K14"/>
  <c r="M13"/>
  <c r="K13"/>
  <c r="L13" s="1"/>
  <c r="M12"/>
  <c r="L12"/>
  <c r="K12"/>
  <c r="M11"/>
  <c r="K11"/>
  <c r="L11" s="1"/>
  <c r="M10"/>
  <c r="L10"/>
  <c r="K10"/>
  <c r="M9"/>
  <c r="K9"/>
  <c r="L9" s="1"/>
  <c r="M8"/>
  <c r="L8"/>
  <c r="K8"/>
  <c r="M7"/>
  <c r="K7"/>
  <c r="L7" s="1"/>
  <c r="M6"/>
  <c r="L6"/>
  <c r="K6"/>
  <c r="M8" i="47"/>
  <c r="K8"/>
  <c r="L8" s="1"/>
  <c r="P8" s="1"/>
  <c r="M13" i="39"/>
  <c r="N13"/>
  <c r="L13"/>
  <c r="M9" i="45"/>
  <c r="K9"/>
  <c r="L9" s="1"/>
  <c r="P9" s="1"/>
  <c r="P7" i="53"/>
  <c r="M7"/>
  <c r="L7"/>
  <c r="K7"/>
  <c r="L89" i="54" l="1"/>
  <c r="L99" s="1"/>
  <c r="L14" i="53"/>
  <c r="P31" i="28"/>
  <c r="M31"/>
  <c r="L31"/>
  <c r="K31"/>
  <c r="M30"/>
  <c r="K30"/>
  <c r="L30" s="1"/>
  <c r="P30" s="1"/>
  <c r="M19" i="12"/>
  <c r="L19"/>
  <c r="P19" s="1"/>
  <c r="K19"/>
  <c r="M7" i="52" l="1"/>
  <c r="L7"/>
  <c r="P7" s="1"/>
  <c r="K7"/>
  <c r="M23" i="22"/>
  <c r="L23"/>
  <c r="P23" s="1"/>
  <c r="K23"/>
  <c r="N96" i="11"/>
  <c r="P7" i="51"/>
  <c r="M7"/>
  <c r="L7"/>
  <c r="K7"/>
  <c r="M9" i="43"/>
  <c r="K9"/>
  <c r="L9" s="1"/>
  <c r="P9" s="1"/>
  <c r="O17" i="16"/>
  <c r="M17"/>
  <c r="K17"/>
  <c r="L17" s="1"/>
  <c r="P17" s="1"/>
  <c r="P7" i="50"/>
  <c r="M7"/>
  <c r="L7"/>
  <c r="K7"/>
  <c r="M9" i="40"/>
  <c r="K9"/>
  <c r="L9" s="1"/>
  <c r="P9" s="1"/>
  <c r="M14" i="23"/>
  <c r="K14"/>
  <c r="L14" s="1"/>
  <c r="P14" s="1"/>
  <c r="P6" i="49"/>
  <c r="M6"/>
  <c r="L6"/>
  <c r="K6"/>
  <c r="L20" l="1"/>
  <c r="P7" i="48"/>
  <c r="M7"/>
  <c r="L7"/>
  <c r="K7"/>
  <c r="P7" i="47"/>
  <c r="M7"/>
  <c r="L7"/>
  <c r="K7"/>
  <c r="M10" i="46"/>
  <c r="K10"/>
  <c r="L10" s="1"/>
  <c r="P10" s="1"/>
  <c r="P9"/>
  <c r="M9"/>
  <c r="L9"/>
  <c r="K9"/>
  <c r="P7" i="45"/>
  <c r="M7"/>
  <c r="L7"/>
  <c r="K7"/>
  <c r="P28" i="28"/>
  <c r="M28"/>
  <c r="L28"/>
  <c r="K28"/>
  <c r="P8" i="46" l="1"/>
  <c r="M8"/>
  <c r="L8"/>
  <c r="K8"/>
  <c r="P7"/>
  <c r="M7"/>
  <c r="L7"/>
  <c r="K7"/>
  <c r="M27" i="28"/>
  <c r="L27"/>
  <c r="P27" s="1"/>
  <c r="K27"/>
  <c r="M6" i="45"/>
  <c r="L6"/>
  <c r="P6" s="1"/>
  <c r="K6"/>
  <c r="M7" i="44"/>
  <c r="L7"/>
  <c r="P7" s="1"/>
  <c r="K7"/>
  <c r="M25" i="28"/>
  <c r="L25"/>
  <c r="P25" s="1"/>
  <c r="K25"/>
  <c r="M13" i="27"/>
  <c r="L13"/>
  <c r="P13" s="1"/>
  <c r="K13"/>
  <c r="M17" i="12"/>
  <c r="K17"/>
  <c r="L17" s="1"/>
  <c r="P17" s="1"/>
  <c r="N19" i="26"/>
  <c r="K19"/>
  <c r="L19" s="1"/>
  <c r="M12" i="23"/>
  <c r="K12"/>
  <c r="L12" s="1"/>
  <c r="P12" s="1"/>
  <c r="M20" i="20"/>
  <c r="L20"/>
  <c r="P20" s="1"/>
  <c r="K20"/>
  <c r="N18" i="26"/>
  <c r="K18"/>
  <c r="L18" s="1"/>
  <c r="P8" i="34"/>
  <c r="M8"/>
  <c r="L8"/>
  <c r="K8"/>
  <c r="P9" i="24"/>
  <c r="M9"/>
  <c r="L9"/>
  <c r="K9"/>
  <c r="M24" i="28"/>
  <c r="K24"/>
  <c r="L24" s="1"/>
  <c r="P24" s="1"/>
  <c r="O12" i="33"/>
  <c r="M12"/>
  <c r="L12"/>
  <c r="P12" s="1"/>
  <c r="K12"/>
  <c r="P15" i="12"/>
  <c r="M15"/>
  <c r="L15"/>
  <c r="K15"/>
  <c r="N17" i="26"/>
  <c r="K17"/>
  <c r="L17" s="1"/>
  <c r="M19" i="20"/>
  <c r="L19"/>
  <c r="P19" s="1"/>
  <c r="K19"/>
  <c r="M10" i="23"/>
  <c r="L10"/>
  <c r="P10" s="1"/>
  <c r="K10"/>
  <c r="P23" i="28"/>
  <c r="M23"/>
  <c r="L23"/>
  <c r="K23"/>
  <c r="N16" i="26"/>
  <c r="K16"/>
  <c r="L16" s="1"/>
  <c r="N15"/>
  <c r="K15"/>
  <c r="L15" s="1"/>
  <c r="M7" i="43"/>
  <c r="L7"/>
  <c r="K7"/>
  <c r="P12"/>
  <c r="M15" i="16"/>
  <c r="L15"/>
  <c r="K15"/>
  <c r="M10" i="33"/>
  <c r="K10"/>
  <c r="L10" s="1"/>
  <c r="P22" i="28"/>
  <c r="M22"/>
  <c r="L22"/>
  <c r="K22"/>
  <c r="M8" i="33"/>
  <c r="K8"/>
  <c r="L8" s="1"/>
  <c r="P8" s="1"/>
  <c r="M18" i="20"/>
  <c r="K18"/>
  <c r="L18" s="1"/>
  <c r="P18" s="1"/>
  <c r="N14" i="26"/>
  <c r="L14"/>
  <c r="K14"/>
  <c r="P16" i="20"/>
  <c r="P17"/>
  <c r="M7" i="42"/>
  <c r="L7"/>
  <c r="P7" s="1"/>
  <c r="K7"/>
  <c r="P11" i="32"/>
  <c r="M11"/>
  <c r="L11"/>
  <c r="K11"/>
  <c r="M7" i="41"/>
  <c r="L7"/>
  <c r="K7"/>
  <c r="M17" i="20"/>
  <c r="L17"/>
  <c r="K17"/>
  <c r="M13" i="12"/>
  <c r="L13"/>
  <c r="P13" s="1"/>
  <c r="K13"/>
  <c r="M7" i="40"/>
  <c r="L7"/>
  <c r="P7" s="1"/>
  <c r="K7"/>
  <c r="L11" i="27"/>
  <c r="P11" s="1"/>
  <c r="K11"/>
  <c r="M8" i="39"/>
  <c r="L8"/>
  <c r="P8" s="1"/>
  <c r="K8"/>
  <c r="M7"/>
  <c r="L7"/>
  <c r="P7" s="1"/>
  <c r="K7"/>
  <c r="M6"/>
  <c r="L6"/>
  <c r="P6" s="1"/>
  <c r="K6"/>
  <c r="M12" i="16"/>
  <c r="K12"/>
  <c r="L12" s="1"/>
  <c r="P12" s="1"/>
  <c r="M9" i="27"/>
  <c r="K9"/>
  <c r="L9" s="1"/>
  <c r="P9" s="1"/>
  <c r="M6" i="37"/>
  <c r="L6"/>
  <c r="P6" s="1"/>
  <c r="K6"/>
  <c r="M6" i="38"/>
  <c r="L6"/>
  <c r="K6"/>
  <c r="M11" i="12"/>
  <c r="L11"/>
  <c r="P11" s="1"/>
  <c r="K11"/>
  <c r="M11" i="35"/>
  <c r="L11"/>
  <c r="P11" s="1"/>
  <c r="K11"/>
  <c r="M95" i="11"/>
  <c r="L95"/>
  <c r="P95" s="1"/>
  <c r="K95"/>
  <c r="P6" i="36"/>
  <c r="M6"/>
  <c r="L6"/>
  <c r="K6"/>
  <c r="M9" i="32"/>
  <c r="L9"/>
  <c r="P9" s="1"/>
  <c r="K9"/>
  <c r="L20" i="45" l="1"/>
  <c r="L14" i="44"/>
  <c r="L20" i="36"/>
  <c r="M10" i="35" l="1"/>
  <c r="L10"/>
  <c r="P10" s="1"/>
  <c r="K10"/>
  <c r="M9"/>
  <c r="L9"/>
  <c r="P9" s="1"/>
  <c r="K9"/>
  <c r="M8"/>
  <c r="L8"/>
  <c r="P8" s="1"/>
  <c r="K8"/>
  <c r="M94" i="11"/>
  <c r="K94"/>
  <c r="L94" s="1"/>
  <c r="P94" s="1"/>
  <c r="M93"/>
  <c r="K93"/>
  <c r="L93" s="1"/>
  <c r="P93" s="1"/>
  <c r="M92"/>
  <c r="K92"/>
  <c r="L92" s="1"/>
  <c r="P92" s="1"/>
  <c r="M91"/>
  <c r="K91"/>
  <c r="L91" s="1"/>
  <c r="P91" s="1"/>
  <c r="M15" i="20"/>
  <c r="K15"/>
  <c r="L15" s="1"/>
  <c r="P15" s="1"/>
  <c r="M14"/>
  <c r="K14"/>
  <c r="L14" s="1"/>
  <c r="P14" s="1"/>
  <c r="M13"/>
  <c r="K13"/>
  <c r="L13" s="1"/>
  <c r="P13" s="1"/>
  <c r="M12"/>
  <c r="K12"/>
  <c r="L12" s="1"/>
  <c r="P12" s="1"/>
  <c r="M90" i="11" l="1"/>
  <c r="K90"/>
  <c r="L90" s="1"/>
  <c r="P90" s="1"/>
  <c r="M19" i="28"/>
  <c r="L19"/>
  <c r="P19" s="1"/>
  <c r="K19"/>
  <c r="M7" i="35"/>
  <c r="L7"/>
  <c r="P7" s="1"/>
  <c r="K7"/>
  <c r="M6"/>
  <c r="L6"/>
  <c r="P6" s="1"/>
  <c r="K6"/>
  <c r="M18" i="22"/>
  <c r="K18"/>
  <c r="L18" s="1"/>
  <c r="P18" s="1"/>
  <c r="M17"/>
  <c r="K17"/>
  <c r="L17" s="1"/>
  <c r="P17" s="1"/>
  <c r="M18" i="28"/>
  <c r="L18"/>
  <c r="P18" s="1"/>
  <c r="K18"/>
  <c r="M8" i="32"/>
  <c r="L8"/>
  <c r="P8" s="1"/>
  <c r="K8"/>
  <c r="M17" i="28"/>
  <c r="L17"/>
  <c r="P17" s="1"/>
  <c r="K17"/>
  <c r="M7" i="32" l="1"/>
  <c r="K7"/>
  <c r="L7" s="1"/>
  <c r="P7" s="1"/>
  <c r="M13" i="29"/>
  <c r="L13"/>
  <c r="P13" s="1"/>
  <c r="K13"/>
  <c r="M12"/>
  <c r="L12"/>
  <c r="P12" s="1"/>
  <c r="K12"/>
  <c r="N12" i="26"/>
  <c r="K12"/>
  <c r="L12" s="1"/>
  <c r="M16" i="22"/>
  <c r="L16"/>
  <c r="K16"/>
  <c r="M15"/>
  <c r="L15"/>
  <c r="K15"/>
  <c r="N11" i="26"/>
  <c r="K11"/>
  <c r="L11" s="1"/>
  <c r="N10"/>
  <c r="K10"/>
  <c r="L10" s="1"/>
  <c r="M16" i="28"/>
  <c r="L16"/>
  <c r="K16"/>
  <c r="M15"/>
  <c r="K15"/>
  <c r="L15" s="1"/>
  <c r="K7" i="27"/>
  <c r="L7" s="1"/>
  <c r="M6" i="34"/>
  <c r="L6"/>
  <c r="K6"/>
  <c r="M11" i="29"/>
  <c r="L11"/>
  <c r="K11"/>
  <c r="N9" i="26"/>
  <c r="L9"/>
  <c r="K9"/>
  <c r="N8"/>
  <c r="K8"/>
  <c r="L8" s="1"/>
  <c r="N5"/>
  <c r="K5"/>
  <c r="L5" s="1"/>
  <c r="M88" i="11"/>
  <c r="L88"/>
  <c r="K88"/>
  <c r="M87"/>
  <c r="K87"/>
  <c r="L87" s="1"/>
  <c r="M86"/>
  <c r="L86"/>
  <c r="K86"/>
  <c r="M14" i="28"/>
  <c r="L14"/>
  <c r="K14"/>
  <c r="N7" i="26"/>
  <c r="K7"/>
  <c r="L7" s="1"/>
  <c r="N6"/>
  <c r="L6"/>
  <c r="K6"/>
  <c r="M85" i="11"/>
  <c r="L85"/>
  <c r="K85"/>
  <c r="M84"/>
  <c r="K84"/>
  <c r="L84" s="1"/>
  <c r="M83"/>
  <c r="L83"/>
  <c r="K83"/>
  <c r="M82"/>
  <c r="L82"/>
  <c r="K82"/>
  <c r="M81"/>
  <c r="K81"/>
  <c r="L81" s="1"/>
  <c r="M80"/>
  <c r="K80"/>
  <c r="L80" s="1"/>
  <c r="M79"/>
  <c r="K79"/>
  <c r="L79" s="1"/>
  <c r="M78"/>
  <c r="K78"/>
  <c r="L78" s="1"/>
  <c r="M77"/>
  <c r="K77"/>
  <c r="L77" s="1"/>
  <c r="M76"/>
  <c r="K76"/>
  <c r="L76" s="1"/>
  <c r="M75"/>
  <c r="K75"/>
  <c r="L75" s="1"/>
  <c r="M74"/>
  <c r="K74"/>
  <c r="L74" s="1"/>
  <c r="M73"/>
  <c r="L73"/>
  <c r="K73"/>
  <c r="M72"/>
  <c r="K72"/>
  <c r="L72" s="1"/>
  <c r="M71"/>
  <c r="K71"/>
  <c r="L71" s="1"/>
  <c r="M70"/>
  <c r="K70"/>
  <c r="L70" s="1"/>
  <c r="M69"/>
  <c r="K69"/>
  <c r="L69" s="1"/>
  <c r="M68"/>
  <c r="K68"/>
  <c r="L68" s="1"/>
  <c r="M67"/>
  <c r="K67"/>
  <c r="L67" s="1"/>
  <c r="M6" i="33"/>
  <c r="L6"/>
  <c r="K6"/>
  <c r="M10" i="29"/>
  <c r="L10"/>
  <c r="K10"/>
  <c r="M10" i="12"/>
  <c r="L10"/>
  <c r="K10"/>
  <c r="M13" i="28"/>
  <c r="L13"/>
  <c r="K13"/>
  <c r="M6" i="32"/>
  <c r="L6"/>
  <c r="K6"/>
  <c r="M66" i="11"/>
  <c r="K66"/>
  <c r="L66" s="1"/>
  <c r="M65"/>
  <c r="K65"/>
  <c r="L65" s="1"/>
  <c r="M64"/>
  <c r="K64"/>
  <c r="L64" s="1"/>
  <c r="M63"/>
  <c r="K63"/>
  <c r="L63" s="1"/>
  <c r="M62"/>
  <c r="K62"/>
  <c r="L62" s="1"/>
  <c r="M61"/>
  <c r="K61"/>
  <c r="L61" s="1"/>
  <c r="M60"/>
  <c r="K60"/>
  <c r="L60" s="1"/>
  <c r="M59"/>
  <c r="L59"/>
  <c r="K59"/>
  <c r="M58"/>
  <c r="L58"/>
  <c r="K58"/>
  <c r="M57"/>
  <c r="K57"/>
  <c r="L57" s="1"/>
  <c r="M56"/>
  <c r="L56"/>
  <c r="K56"/>
  <c r="M9" i="12"/>
  <c r="L9"/>
  <c r="K9"/>
  <c r="M6" i="31"/>
  <c r="L6"/>
  <c r="K6"/>
  <c r="M10" i="16"/>
  <c r="L10"/>
  <c r="K10"/>
  <c r="M55" i="11"/>
  <c r="L55"/>
  <c r="K55"/>
  <c r="M54"/>
  <c r="K54"/>
  <c r="L54" s="1"/>
  <c r="M53"/>
  <c r="K53"/>
  <c r="L53" s="1"/>
  <c r="M52"/>
  <c r="L52"/>
  <c r="K52"/>
  <c r="M51"/>
  <c r="K51"/>
  <c r="L51" s="1"/>
  <c r="M50"/>
  <c r="K50"/>
  <c r="L50" s="1"/>
  <c r="M49"/>
  <c r="K49"/>
  <c r="L49" s="1"/>
  <c r="M48"/>
  <c r="K48"/>
  <c r="L48" s="1"/>
  <c r="M47"/>
  <c r="K47"/>
  <c r="L47" s="1"/>
  <c r="M46"/>
  <c r="K46"/>
  <c r="L46" s="1"/>
  <c r="M45"/>
  <c r="K45"/>
  <c r="L45" s="1"/>
  <c r="M44"/>
  <c r="K44"/>
  <c r="L44" s="1"/>
  <c r="M43"/>
  <c r="K43"/>
  <c r="L43" s="1"/>
  <c r="M42"/>
  <c r="K42"/>
  <c r="L42" s="1"/>
  <c r="M41"/>
  <c r="L41"/>
  <c r="K41"/>
  <c r="M40"/>
  <c r="K40"/>
  <c r="L40" s="1"/>
  <c r="M39"/>
  <c r="K39"/>
  <c r="L39" s="1"/>
  <c r="M38"/>
  <c r="K38"/>
  <c r="L38" s="1"/>
  <c r="M37"/>
  <c r="K37"/>
  <c r="L37" s="1"/>
  <c r="M36"/>
  <c r="K36"/>
  <c r="L36" s="1"/>
  <c r="M35"/>
  <c r="K35"/>
  <c r="L35" s="1"/>
  <c r="M34"/>
  <c r="K34"/>
  <c r="L34" s="1"/>
  <c r="M33"/>
  <c r="K33"/>
  <c r="L33" s="1"/>
  <c r="M32"/>
  <c r="K32"/>
  <c r="L32" s="1"/>
  <c r="M9" i="29"/>
  <c r="L9"/>
  <c r="K9"/>
  <c r="M8"/>
  <c r="L8"/>
  <c r="K8"/>
  <c r="M14" i="22"/>
  <c r="L14"/>
  <c r="K14"/>
  <c r="M8" i="23"/>
  <c r="L8"/>
  <c r="K8"/>
  <c r="M7" i="30"/>
  <c r="L7"/>
  <c r="K7"/>
  <c r="N4" i="26"/>
  <c r="K4"/>
  <c r="L4" s="1"/>
  <c r="M7" i="25"/>
  <c r="L7"/>
  <c r="K7"/>
  <c r="M31" i="11"/>
  <c r="L31"/>
  <c r="K31"/>
  <c r="M30"/>
  <c r="K30"/>
  <c r="L30" s="1"/>
  <c r="M29"/>
  <c r="K29"/>
  <c r="L29" s="1"/>
  <c r="M28"/>
  <c r="K28"/>
  <c r="L28" s="1"/>
  <c r="M12" i="28"/>
  <c r="L12"/>
  <c r="K12"/>
  <c r="L15" i="14"/>
  <c r="M17"/>
  <c r="L17"/>
  <c r="K17"/>
  <c r="M7" i="29"/>
  <c r="L7"/>
  <c r="K7"/>
  <c r="M8" i="16"/>
  <c r="L8"/>
  <c r="K8"/>
  <c r="M27" i="11"/>
  <c r="K27"/>
  <c r="L27" s="1"/>
  <c r="M26"/>
  <c r="K26"/>
  <c r="L26" s="1"/>
  <c r="M25"/>
  <c r="K25"/>
  <c r="L25" s="1"/>
  <c r="M24"/>
  <c r="K24"/>
  <c r="L24" s="1"/>
  <c r="M13" i="22"/>
  <c r="L13"/>
  <c r="K13"/>
  <c r="I13"/>
  <c r="M12"/>
  <c r="L12"/>
  <c r="K12"/>
  <c r="I12"/>
  <c r="M11"/>
  <c r="L11"/>
  <c r="K11"/>
  <c r="I11"/>
  <c r="M10"/>
  <c r="L10"/>
  <c r="K10"/>
  <c r="M11" i="28"/>
  <c r="L11"/>
  <c r="K11"/>
  <c r="M23" i="11"/>
  <c r="K23"/>
  <c r="L23" s="1"/>
  <c r="M22"/>
  <c r="L22"/>
  <c r="K22"/>
  <c r="M21"/>
  <c r="K21"/>
  <c r="L21" s="1"/>
  <c r="M20"/>
  <c r="K20"/>
  <c r="L20" s="1"/>
  <c r="M9" i="22"/>
  <c r="L9"/>
  <c r="K9"/>
  <c r="M6" i="29"/>
  <c r="L6"/>
  <c r="K6"/>
  <c r="M10" i="28"/>
  <c r="L10"/>
  <c r="K10"/>
  <c r="M19" i="11"/>
  <c r="L19"/>
  <c r="K19"/>
  <c r="M18"/>
  <c r="L18"/>
  <c r="K18"/>
  <c r="L20" i="22"/>
  <c r="M8"/>
  <c r="L8"/>
  <c r="K8"/>
  <c r="M17" i="11"/>
  <c r="K17"/>
  <c r="L17" s="1"/>
  <c r="M16"/>
  <c r="K16"/>
  <c r="L16" s="1"/>
  <c r="M15"/>
  <c r="K15"/>
  <c r="L15" s="1"/>
  <c r="M14"/>
  <c r="K14"/>
  <c r="L14" s="1"/>
  <c r="M13"/>
  <c r="L13"/>
  <c r="K13"/>
  <c r="M12"/>
  <c r="K12"/>
  <c r="L12" s="1"/>
  <c r="M7" i="22"/>
  <c r="K7"/>
  <c r="L7" s="1"/>
  <c r="M7" i="28"/>
  <c r="L7"/>
  <c r="K7"/>
  <c r="M6"/>
  <c r="K6"/>
  <c r="L6" s="1"/>
  <c r="K6" i="27"/>
  <c r="L20" i="32" l="1"/>
  <c r="L20" i="29"/>
  <c r="M9" i="20"/>
  <c r="L9"/>
  <c r="K9"/>
  <c r="M8"/>
  <c r="K8"/>
  <c r="L8" s="1"/>
  <c r="M7"/>
  <c r="L7"/>
  <c r="K7"/>
  <c r="M6" i="24"/>
  <c r="L6"/>
  <c r="K6"/>
  <c r="M6" i="22"/>
  <c r="L6"/>
  <c r="K6"/>
  <c r="N3" i="26"/>
  <c r="K3"/>
  <c r="L3" s="1"/>
  <c r="L20" i="13"/>
  <c r="M6" i="21"/>
  <c r="L6"/>
  <c r="K6"/>
  <c r="M6" i="20"/>
  <c r="L6"/>
  <c r="K6"/>
  <c r="M11" i="11"/>
  <c r="K11"/>
  <c r="L11" s="1"/>
  <c r="M10"/>
  <c r="K10"/>
  <c r="L10" s="1"/>
  <c r="M9"/>
  <c r="K9"/>
  <c r="L9" s="1"/>
  <c r="M6" i="19"/>
  <c r="L6"/>
  <c r="K6"/>
  <c r="M8" i="11"/>
  <c r="K8"/>
  <c r="L8" s="1"/>
  <c r="M6" i="18"/>
  <c r="L6"/>
  <c r="K6"/>
  <c r="M6" i="17"/>
  <c r="L6"/>
  <c r="K6"/>
  <c r="M6" i="16"/>
  <c r="L6"/>
  <c r="K6"/>
  <c r="M7" i="12"/>
  <c r="L7"/>
  <c r="K7"/>
  <c r="M7" i="15"/>
  <c r="L7"/>
  <c r="K7"/>
  <c r="M6"/>
  <c r="K6"/>
  <c r="L6" s="1"/>
  <c r="M11" i="14"/>
  <c r="L11"/>
  <c r="K11"/>
  <c r="M10"/>
  <c r="K10"/>
  <c r="L10" s="1"/>
  <c r="M9"/>
  <c r="L9"/>
  <c r="K9"/>
  <c r="M8"/>
  <c r="L8"/>
  <c r="K8"/>
  <c r="M7"/>
  <c r="K7"/>
  <c r="L7" s="1"/>
  <c r="M6"/>
  <c r="K6"/>
  <c r="L6" s="1"/>
  <c r="M9" i="13"/>
  <c r="L9"/>
  <c r="K9"/>
  <c r="M8"/>
  <c r="K8"/>
  <c r="L8" s="1"/>
  <c r="M7"/>
  <c r="L7"/>
  <c r="K7"/>
  <c r="M6"/>
  <c r="L6"/>
  <c r="K6"/>
  <c r="M7" i="11"/>
  <c r="L7"/>
  <c r="K7"/>
  <c r="M6" i="12"/>
  <c r="L6"/>
  <c r="K6"/>
  <c r="M6" i="11"/>
  <c r="K6"/>
  <c r="L6" s="1"/>
  <c r="M6" i="10"/>
  <c r="L6"/>
  <c r="K6"/>
  <c r="L89" i="11" l="1"/>
  <c r="L99" s="1"/>
</calcChain>
</file>

<file path=xl/sharedStrings.xml><?xml version="1.0" encoding="utf-8"?>
<sst xmlns="http://schemas.openxmlformats.org/spreadsheetml/2006/main" count="23830" uniqueCount="4098">
  <si>
    <t>Krishibid Feed Ltd.</t>
  </si>
  <si>
    <t>Nishinda, Bhaluka, Mymensingh</t>
  </si>
  <si>
    <t>Remarks</t>
  </si>
  <si>
    <t>Date</t>
  </si>
  <si>
    <t>Party Name</t>
  </si>
  <si>
    <t>Items Name</t>
  </si>
  <si>
    <t>Unit</t>
  </si>
  <si>
    <t>Challan No.</t>
  </si>
  <si>
    <t>MRR No.</t>
  </si>
  <si>
    <t>Gross wt</t>
  </si>
  <si>
    <t>Bags Qty</t>
  </si>
  <si>
    <t>MRR Qty</t>
  </si>
  <si>
    <t>Truck Fare</t>
  </si>
  <si>
    <t>21.05.17</t>
  </si>
  <si>
    <t>Shahin Enterprise</t>
  </si>
  <si>
    <t>Pulm Oil</t>
  </si>
  <si>
    <t>Kg</t>
  </si>
  <si>
    <t>Total Less Qty</t>
  </si>
  <si>
    <t xml:space="preserve">Bag Less Qty </t>
  </si>
  <si>
    <t>LC (KFL)</t>
  </si>
  <si>
    <t>Rape Seed</t>
  </si>
  <si>
    <t>22.05.17</t>
  </si>
  <si>
    <t>Dulal Enterprise</t>
  </si>
  <si>
    <t>Ful Fat Soya</t>
  </si>
  <si>
    <t>SBM</t>
  </si>
  <si>
    <t>23.05.17</t>
  </si>
  <si>
    <t>24.05.17</t>
  </si>
  <si>
    <t>L Lysine</t>
  </si>
  <si>
    <t>25.05.17</t>
  </si>
  <si>
    <t>Maa Traders</t>
  </si>
  <si>
    <t>Salt</t>
  </si>
  <si>
    <t>Zympex 008</t>
  </si>
  <si>
    <t>Intest Plus</t>
  </si>
  <si>
    <t>L Tryptophan</t>
  </si>
  <si>
    <t>M A S Additive Trading</t>
  </si>
  <si>
    <t>Century Agro Ltd.</t>
  </si>
  <si>
    <t>Labour Bill</t>
  </si>
  <si>
    <t>Truck No.</t>
  </si>
  <si>
    <t>DMT 11-1806</t>
  </si>
  <si>
    <t>DMT 20-3899</t>
  </si>
  <si>
    <t>DMT 16-8313</t>
  </si>
  <si>
    <t>DMT 14-5124</t>
  </si>
  <si>
    <t>MT 05-0022</t>
  </si>
  <si>
    <t>DMD 6229</t>
  </si>
  <si>
    <t>DMD 6234</t>
  </si>
  <si>
    <t>RT 05-0174</t>
  </si>
  <si>
    <t>KMT 02-0014</t>
  </si>
  <si>
    <t>RT 05-0173</t>
  </si>
  <si>
    <t>DMN 9946</t>
  </si>
  <si>
    <t>GPT 11-0032</t>
  </si>
  <si>
    <t>MYT 05-0022</t>
  </si>
  <si>
    <t>DMT 6234</t>
  </si>
  <si>
    <t>DMT 11-0083</t>
  </si>
  <si>
    <t>CMT 11-6743</t>
  </si>
  <si>
    <t>DMT 20-1795</t>
  </si>
  <si>
    <t>DMT 18-6480</t>
  </si>
  <si>
    <t>DMT 14-0471</t>
  </si>
  <si>
    <t>DMT 51-0645</t>
  </si>
  <si>
    <t>DMT 11-0914</t>
  </si>
  <si>
    <t>DMT 14-0662</t>
  </si>
  <si>
    <t>DMT 11-1923</t>
  </si>
  <si>
    <t>DMT 14-5845</t>
  </si>
  <si>
    <t>26.05.17</t>
  </si>
  <si>
    <t>RMT 11-0064</t>
  </si>
  <si>
    <t>RMT 11-0158</t>
  </si>
  <si>
    <t>27.05.17</t>
  </si>
  <si>
    <t>DMT 11-0426</t>
  </si>
  <si>
    <t>DMD 5445</t>
  </si>
  <si>
    <t>M M Trading</t>
  </si>
  <si>
    <t xml:space="preserve">ACE Phermaceutical </t>
  </si>
  <si>
    <t>Immune Wall</t>
  </si>
  <si>
    <t>DMN 7347</t>
  </si>
  <si>
    <t>DMT 11-0361</t>
  </si>
  <si>
    <t>DMN 16-5447</t>
  </si>
  <si>
    <t>28.05.17</t>
  </si>
  <si>
    <t>Krishibid Firm Ltd.</t>
  </si>
  <si>
    <t>29.05.17</t>
  </si>
  <si>
    <t>Order Date</t>
  </si>
  <si>
    <t>Order No.</t>
  </si>
  <si>
    <t>Order Qty</t>
  </si>
  <si>
    <t>Exp Date</t>
  </si>
  <si>
    <t>02.06.17</t>
  </si>
  <si>
    <t>20.05.17</t>
  </si>
  <si>
    <t>LL-20000PCS</t>
  </si>
  <si>
    <t>500kg</t>
  </si>
  <si>
    <t>30.05.17</t>
  </si>
  <si>
    <t>15.06.17</t>
  </si>
  <si>
    <t>Ambea Enterprise</t>
  </si>
  <si>
    <t>Maize</t>
  </si>
  <si>
    <t>DMT 16-4006</t>
  </si>
  <si>
    <t>Five Star Feed Ltd</t>
  </si>
  <si>
    <t>DORB</t>
  </si>
  <si>
    <t>DMT 20-3040</t>
  </si>
  <si>
    <t>Biopharma Ltd.</t>
  </si>
  <si>
    <t>Cattle  Vittamin</t>
  </si>
  <si>
    <t>DMN 14-4836</t>
  </si>
  <si>
    <t>09.05.17</t>
  </si>
  <si>
    <t>15.05.17</t>
  </si>
  <si>
    <t>Received date-19.05.17-25000kg</t>
  </si>
  <si>
    <t>31.05.17</t>
  </si>
  <si>
    <t>Zaman &amp; Brothers</t>
  </si>
  <si>
    <t>Diesel</t>
  </si>
  <si>
    <t>Pabna 08-0005</t>
  </si>
  <si>
    <t>M A Consortium</t>
  </si>
  <si>
    <t>DMT 18-1710</t>
  </si>
  <si>
    <t>DMT 16-9038</t>
  </si>
  <si>
    <t>DMT 16-7265</t>
  </si>
  <si>
    <t>Pabna 11-0039</t>
  </si>
  <si>
    <t>RMT 11-0174</t>
  </si>
  <si>
    <t>DMT 11-5997</t>
  </si>
  <si>
    <t>DMT 11-4372</t>
  </si>
  <si>
    <t>JT 11-0325</t>
  </si>
  <si>
    <t>01.06.17</t>
  </si>
  <si>
    <t>DMT 16-7267</t>
  </si>
  <si>
    <t>DMT 18-2499</t>
  </si>
  <si>
    <t xml:space="preserve">M A Consortium </t>
  </si>
  <si>
    <t>DMT 11-8350</t>
  </si>
  <si>
    <t xml:space="preserve">Mofiz Flower Mill </t>
  </si>
  <si>
    <t>Wheat Flour</t>
  </si>
  <si>
    <t>DMT 18-7381</t>
  </si>
  <si>
    <t>BGT 11-0449</t>
  </si>
  <si>
    <t>RMT 02-0088</t>
  </si>
  <si>
    <t>RMT 05-0003</t>
  </si>
  <si>
    <t>DMT 14-7310</t>
  </si>
  <si>
    <t>DMT 11-9634</t>
  </si>
  <si>
    <t xml:space="preserve">rate </t>
  </si>
  <si>
    <t>04.06.17</t>
  </si>
  <si>
    <t>MA Haque Enter</t>
  </si>
  <si>
    <t>rate</t>
  </si>
  <si>
    <t>03.06.17</t>
  </si>
  <si>
    <t>JST 11-2068</t>
  </si>
  <si>
    <t>DMT 13-0224</t>
  </si>
  <si>
    <t>JST 11-2292</t>
  </si>
  <si>
    <t>DMT 16-0155</t>
  </si>
  <si>
    <t>BGT 11-0211</t>
  </si>
  <si>
    <t>CMT 11-0349</t>
  </si>
  <si>
    <t>DMT 13-3929</t>
  </si>
  <si>
    <t>st 11-0264</t>
  </si>
  <si>
    <t>Tomtom</t>
  </si>
  <si>
    <t>Cash</t>
  </si>
  <si>
    <t>DMTA-18-9783</t>
  </si>
  <si>
    <t>KRISHIBID FARMS LTD</t>
  </si>
  <si>
    <t>DMAU-11-2003</t>
  </si>
  <si>
    <t>M.A CONSORTIUM</t>
  </si>
  <si>
    <t>MAIZE</t>
  </si>
  <si>
    <t>DMTA-18-1710</t>
  </si>
  <si>
    <t>KRISHIBID FEED LTD</t>
  </si>
  <si>
    <t>RAJ M TA-11-0020</t>
  </si>
  <si>
    <t>DMTA-11-5669</t>
  </si>
  <si>
    <t>DINAJ TA-11-0044</t>
  </si>
  <si>
    <t>DMTA-11-9642</t>
  </si>
  <si>
    <t>05.06.17</t>
  </si>
  <si>
    <t>JIMS TEC INTERNATIONAL</t>
  </si>
  <si>
    <t>Phytase/Natuphos</t>
  </si>
  <si>
    <t>BY MAN</t>
  </si>
  <si>
    <t>AMBIA ENTERPRISE</t>
  </si>
  <si>
    <t>DMTA-13-2318</t>
  </si>
  <si>
    <t>CHOLIN CHLORIDE</t>
  </si>
  <si>
    <t>PHARMAAGRO LTD</t>
  </si>
  <si>
    <t>DMTA-11-5489</t>
  </si>
  <si>
    <t>17-06/A</t>
  </si>
  <si>
    <t>ZUMAR BAG INDUSTRIES</t>
  </si>
  <si>
    <t>PP BAG (L/L)</t>
  </si>
  <si>
    <t>DMAU-14-1119</t>
  </si>
  <si>
    <t>DMTA-16-7267</t>
  </si>
  <si>
    <t>DMTA-18-0233</t>
  </si>
  <si>
    <t>DMTA-20-0379</t>
  </si>
  <si>
    <t>DMTA-14-6512</t>
  </si>
  <si>
    <t>DMTA-11-0717</t>
  </si>
  <si>
    <t>KHU M TA-11-0061</t>
  </si>
  <si>
    <t>CMTA-11-0017</t>
  </si>
  <si>
    <t>DMTA-14-1816</t>
  </si>
  <si>
    <t>DMTA-11-9415</t>
  </si>
  <si>
    <t>RAJ M TA-02-0010</t>
  </si>
  <si>
    <t>NOB TA-02-0030</t>
  </si>
  <si>
    <t>PAB TA-11-0039</t>
  </si>
  <si>
    <t>DMTA-11-0989</t>
  </si>
  <si>
    <t>06.06.17</t>
  </si>
  <si>
    <t>RAJ M TA-11-0153</t>
  </si>
  <si>
    <t>DMTA-14-7310</t>
  </si>
  <si>
    <t>TANG TA-02-0533</t>
  </si>
  <si>
    <t>DMTA-14-7320</t>
  </si>
  <si>
    <t>DMTA-11-0426</t>
  </si>
  <si>
    <t>DMTA-11-5663</t>
  </si>
  <si>
    <t>DMDA-11-5997</t>
  </si>
  <si>
    <t>RAJ M TA-02-0048</t>
  </si>
  <si>
    <t>DMTA-14-3507</t>
  </si>
  <si>
    <t>RAJ M TA-11-0158</t>
  </si>
  <si>
    <t>RAJ M TA-11-0064</t>
  </si>
  <si>
    <t>JINAI TA-11-0325</t>
  </si>
  <si>
    <t>RAJ M TA-11-0174</t>
  </si>
  <si>
    <t>DMTA-16-2592</t>
  </si>
  <si>
    <t>DMTA-11-1724</t>
  </si>
  <si>
    <t>BTA-02-0236</t>
  </si>
  <si>
    <t>DMTA-11-2710</t>
  </si>
  <si>
    <t>MA TRADERS</t>
  </si>
  <si>
    <t>DMAU-11-2657</t>
  </si>
  <si>
    <t>BADOL STORE</t>
  </si>
  <si>
    <t>DMAU-11-2658</t>
  </si>
  <si>
    <t>DMTA-16-6496</t>
  </si>
  <si>
    <t>07.06.17</t>
  </si>
  <si>
    <t>PAB TA-02-0096</t>
  </si>
  <si>
    <t>DMTA-20-3178</t>
  </si>
  <si>
    <t>DMTA-16-0678</t>
  </si>
  <si>
    <t>CHU TA-11-0418</t>
  </si>
  <si>
    <t>RAJ M TA-02-0088</t>
  </si>
  <si>
    <t>JESS TA-11-0261</t>
  </si>
  <si>
    <t>DMTA-18-7492</t>
  </si>
  <si>
    <t>DMTA-14-9799</t>
  </si>
  <si>
    <t>DMTA-16-9038</t>
  </si>
  <si>
    <t>08.06.17</t>
  </si>
  <si>
    <t>DMT 18-2344</t>
  </si>
  <si>
    <t>KMT 11-0412</t>
  </si>
  <si>
    <t>M A Haque Enterprise</t>
  </si>
  <si>
    <t>DMT 20-0379</t>
  </si>
  <si>
    <t>Bhai Bhai Store</t>
  </si>
  <si>
    <t>DMT 18-1777</t>
  </si>
  <si>
    <t>DMT 11-4373</t>
  </si>
  <si>
    <t>DMT 14-4723</t>
  </si>
  <si>
    <t>JT 11-0889</t>
  </si>
  <si>
    <t>DMT 11-0422</t>
  </si>
  <si>
    <t>DMT 11-2494</t>
  </si>
  <si>
    <t>DMT 16-9728</t>
  </si>
  <si>
    <t>DMT 11-2160</t>
  </si>
  <si>
    <t>DMT 11-0510</t>
  </si>
  <si>
    <t>DMT 11-2912</t>
  </si>
  <si>
    <t>09.06.17</t>
  </si>
  <si>
    <t>DMT 14-4682</t>
  </si>
  <si>
    <t>DMT 11-5892</t>
  </si>
  <si>
    <t>DMT 11-4071</t>
  </si>
  <si>
    <t>DMT 18-5021</t>
  </si>
  <si>
    <t>DMT 14-1816</t>
  </si>
  <si>
    <t>DMT 11-0153</t>
  </si>
  <si>
    <t>KMT 11-0304</t>
  </si>
  <si>
    <t>DMT 11-0349</t>
  </si>
  <si>
    <t>DMT 14-6512</t>
  </si>
  <si>
    <t>10.06.17</t>
  </si>
  <si>
    <t>DMT 11-1213</t>
  </si>
  <si>
    <t>DMT 16-7744</t>
  </si>
  <si>
    <t>DMT 20-4779</t>
  </si>
  <si>
    <t>DMD 14-2157</t>
  </si>
  <si>
    <t>DMT 02-0586</t>
  </si>
  <si>
    <t>DMT 20-1916</t>
  </si>
  <si>
    <t>11.06.17</t>
  </si>
  <si>
    <t>JT 11-3179</t>
  </si>
  <si>
    <t>DMT 16-5001</t>
  </si>
  <si>
    <t>DMT 18-9783</t>
  </si>
  <si>
    <t>Shaheen Enterprise</t>
  </si>
  <si>
    <t>DMT 11-1655</t>
  </si>
  <si>
    <t>PT 08-0005</t>
  </si>
  <si>
    <t>13.06.17</t>
  </si>
  <si>
    <t>DMA 14-6823</t>
  </si>
  <si>
    <t>DMT 13-1338</t>
  </si>
  <si>
    <t>DMA 14-2140</t>
  </si>
  <si>
    <t>DMT 18-5829</t>
  </si>
  <si>
    <t>DMA 16-7265</t>
  </si>
  <si>
    <t>Rate / kg</t>
  </si>
  <si>
    <t>Total Values</t>
  </si>
  <si>
    <t>Rate</t>
  </si>
  <si>
    <t>over phone</t>
  </si>
  <si>
    <t>14.06.17</t>
  </si>
  <si>
    <t>DMT 11-5526</t>
  </si>
  <si>
    <t>DMA 16-0303</t>
  </si>
  <si>
    <t>DMT 16-8674</t>
  </si>
  <si>
    <t>16.06.17</t>
  </si>
  <si>
    <t>DMD 11-8116</t>
  </si>
  <si>
    <t>DMT 18-8673</t>
  </si>
  <si>
    <t>17.06.17</t>
  </si>
  <si>
    <t>CGM / MGM</t>
  </si>
  <si>
    <t>DMT 16-3650</t>
  </si>
  <si>
    <t>DMT 11-3347</t>
  </si>
  <si>
    <t>18.06.17</t>
  </si>
  <si>
    <t>DMT 14-1935</t>
  </si>
  <si>
    <t>19.06.17</t>
  </si>
  <si>
    <t>DMT 13-4074</t>
  </si>
  <si>
    <t>DMT 14-5771</t>
  </si>
  <si>
    <t>DMT 16-1523</t>
  </si>
  <si>
    <t>DMT 11-1688</t>
  </si>
  <si>
    <t>DMT 14-5101</t>
  </si>
  <si>
    <t>DMT 14-1259</t>
  </si>
  <si>
    <t>DMT 14-1656</t>
  </si>
  <si>
    <t>DMT 18-8491</t>
  </si>
  <si>
    <t>DMT 11-2688</t>
  </si>
  <si>
    <t>DMT 16-6425</t>
  </si>
  <si>
    <t>20.06.17</t>
  </si>
  <si>
    <t>DMT 16-1120</t>
  </si>
  <si>
    <t>Mohamadia Crasing Centre</t>
  </si>
  <si>
    <t>Lime Stone Powder</t>
  </si>
  <si>
    <t>DMT 14-1706</t>
  </si>
  <si>
    <t>DMT 14-3176</t>
  </si>
  <si>
    <t>KMT 11-0314</t>
  </si>
  <si>
    <t>21.06.17</t>
  </si>
  <si>
    <t>L Valine</t>
  </si>
  <si>
    <t>CMT 11-6137</t>
  </si>
  <si>
    <t>L- Threonine</t>
  </si>
  <si>
    <t>DMT 13-3812</t>
  </si>
  <si>
    <t>DMT 14-9027</t>
  </si>
  <si>
    <t>M K Filling Station (Local)</t>
  </si>
  <si>
    <t>Maa Traders (Local)</t>
  </si>
  <si>
    <t>23.06.17</t>
  </si>
  <si>
    <t>KFL (Ababil Feed Mill)</t>
  </si>
  <si>
    <t>DMT 14-2100</t>
  </si>
  <si>
    <t>25.06.17</t>
  </si>
  <si>
    <t>MCP</t>
  </si>
  <si>
    <t>DMT 16-8637</t>
  </si>
  <si>
    <t>DMT 20-4162</t>
  </si>
  <si>
    <t>DMT 11-3975</t>
  </si>
  <si>
    <t>01.07.17</t>
  </si>
  <si>
    <t>Nil</t>
  </si>
  <si>
    <t>Soyabean Meal</t>
  </si>
  <si>
    <t>DMT 14-2311</t>
  </si>
  <si>
    <t>Hazi Traders</t>
  </si>
  <si>
    <t>DMD 14-4664</t>
  </si>
  <si>
    <t>02.07.17</t>
  </si>
  <si>
    <t>Five Stare Feed Mill</t>
  </si>
  <si>
    <t>01.07.16</t>
  </si>
  <si>
    <t>10.07.17</t>
  </si>
  <si>
    <t>04.07.17</t>
  </si>
  <si>
    <t>mineral</t>
  </si>
  <si>
    <t>03.07.17</t>
  </si>
  <si>
    <t>DMT 16-3910</t>
  </si>
  <si>
    <t>DMD 14-1697</t>
  </si>
  <si>
    <t>DMN 18-7468</t>
  </si>
  <si>
    <t>DMU 14-2099</t>
  </si>
  <si>
    <t>DMN 16-4389</t>
  </si>
  <si>
    <t>Uria</t>
  </si>
  <si>
    <t>05.07.17</t>
  </si>
  <si>
    <t>DMT 16-2975</t>
  </si>
  <si>
    <t>DMT 16-5279</t>
  </si>
  <si>
    <t>06.07.17</t>
  </si>
  <si>
    <t>Zumar Bag Industries Ltd.</t>
  </si>
  <si>
    <t>Feed Bags</t>
  </si>
  <si>
    <t>DMA 14-1119</t>
  </si>
  <si>
    <t>B/G-4900PCS, L/L-5000PCS</t>
  </si>
  <si>
    <t>07.07.17</t>
  </si>
  <si>
    <t>DMT 16-0049</t>
  </si>
  <si>
    <t>DMT 14-9918</t>
  </si>
  <si>
    <t>DMN 18-4307</t>
  </si>
  <si>
    <t>08.07.17</t>
  </si>
  <si>
    <t>DMT 18-3935</t>
  </si>
  <si>
    <t>Bio Pharma Ltd.</t>
  </si>
  <si>
    <t>Biovit Mineral</t>
  </si>
  <si>
    <t>DMA 11-1194</t>
  </si>
  <si>
    <t>09.07.17</t>
  </si>
  <si>
    <t>DMT 14-8338</t>
  </si>
  <si>
    <t>DMN 4459</t>
  </si>
  <si>
    <t>Zumar Bags Industrise Ltd.</t>
  </si>
  <si>
    <t>D/R-5000pcs</t>
  </si>
  <si>
    <t>11.07.17</t>
  </si>
  <si>
    <t>DMD 14-1509</t>
  </si>
  <si>
    <t>DMT 18-1966</t>
  </si>
  <si>
    <t>12.07.17</t>
  </si>
  <si>
    <t>DMA 16-5856</t>
  </si>
  <si>
    <t>MBM</t>
  </si>
  <si>
    <t>DMT 18-8882</t>
  </si>
  <si>
    <t>13.07.17</t>
  </si>
  <si>
    <t>J M Trading</t>
  </si>
  <si>
    <t xml:space="preserve">SBM </t>
  </si>
  <si>
    <t>DMT 16-0662</t>
  </si>
  <si>
    <t>DMU 14-2100</t>
  </si>
  <si>
    <t>Animal Oil</t>
  </si>
  <si>
    <t>DMT 15-0903</t>
  </si>
  <si>
    <t>DMT 11-6522</t>
  </si>
  <si>
    <t>14.07.17</t>
  </si>
  <si>
    <t>PT 11-0004</t>
  </si>
  <si>
    <t>DMU 11-1375</t>
  </si>
  <si>
    <t>DMT 18-2550</t>
  </si>
  <si>
    <t>15.07.17</t>
  </si>
  <si>
    <t>Mugda Traders</t>
  </si>
  <si>
    <t>DMT 18-0358</t>
  </si>
  <si>
    <t>Kemin Industries South Asia</t>
  </si>
  <si>
    <t>Myco Curb Dry (Mold Inhabitor)</t>
  </si>
  <si>
    <t>DMM 11-4166</t>
  </si>
  <si>
    <t>17.07.17</t>
  </si>
  <si>
    <t>City Sugur Industries Ltd.</t>
  </si>
  <si>
    <t>Molases</t>
  </si>
  <si>
    <t>DMT 20-2236</t>
  </si>
  <si>
    <t>Zumar Bags Industries Ltd</t>
  </si>
  <si>
    <t>DMU 11-4183</t>
  </si>
  <si>
    <t>PGF-5000pcs, CGF-5000pcs, TSF-4900pcs, CGS-4800pcs</t>
  </si>
  <si>
    <t>19.07.17</t>
  </si>
  <si>
    <t>KFL (Cash)</t>
  </si>
  <si>
    <t>DMU 11-3559</t>
  </si>
  <si>
    <t>DMD 14-0092</t>
  </si>
  <si>
    <t xml:space="preserve">S A International </t>
  </si>
  <si>
    <t>Mobil</t>
  </si>
  <si>
    <t>DMN 18-4380</t>
  </si>
  <si>
    <t>4 Drum</t>
  </si>
  <si>
    <t>Maa Traders (KFL Cash)</t>
  </si>
  <si>
    <t>23.07.17</t>
  </si>
  <si>
    <t>Five Stare Feed Mill Ltd.</t>
  </si>
  <si>
    <t>Sigma Bangladesh</t>
  </si>
  <si>
    <t>Nutrikem XLP Plus Dry</t>
  </si>
  <si>
    <t>CNG</t>
  </si>
  <si>
    <t>24.07.17</t>
  </si>
  <si>
    <t>DMT 11-6538</t>
  </si>
  <si>
    <t>25.07.17</t>
  </si>
  <si>
    <t>DMT 18-7503</t>
  </si>
  <si>
    <t>26.07.17</t>
  </si>
  <si>
    <t>DMT 18-0477</t>
  </si>
  <si>
    <t>DMT 18-8845</t>
  </si>
  <si>
    <t>Gold Tech</t>
  </si>
  <si>
    <t>27.07.17</t>
  </si>
  <si>
    <t>DMD 811</t>
  </si>
  <si>
    <t>29.07.17</t>
  </si>
  <si>
    <t>JT 11-1322</t>
  </si>
  <si>
    <t>0085</t>
  </si>
  <si>
    <t>0004</t>
  </si>
  <si>
    <t>LC No.</t>
  </si>
  <si>
    <t>30.07.17</t>
  </si>
  <si>
    <t>RT 11-0242</t>
  </si>
  <si>
    <t>Jims Tech International</t>
  </si>
  <si>
    <t>Optipose</t>
  </si>
  <si>
    <t>31.07.17</t>
  </si>
  <si>
    <t>CGM</t>
  </si>
  <si>
    <t>DMT 13-4428</t>
  </si>
  <si>
    <t>03.08.17</t>
  </si>
  <si>
    <t>DMT 14-4133</t>
  </si>
  <si>
    <t>DMT 16-3083</t>
  </si>
  <si>
    <t>04.08.17</t>
  </si>
  <si>
    <t>Shimul Enterprise</t>
  </si>
  <si>
    <t>DMT 18-7140</t>
  </si>
  <si>
    <t>05.08.17</t>
  </si>
  <si>
    <t>TT 02-0043</t>
  </si>
  <si>
    <t>Pakua Trading Concern</t>
  </si>
  <si>
    <t>DMT 20-0237</t>
  </si>
  <si>
    <t>06.08.17</t>
  </si>
  <si>
    <t>DMT 14-7183</t>
  </si>
  <si>
    <t>07.08.17</t>
  </si>
  <si>
    <t>MHK International Co.</t>
  </si>
  <si>
    <t>DMT 20-0577</t>
  </si>
  <si>
    <t>08.08.17</t>
  </si>
  <si>
    <t>DMT 16-7150</t>
  </si>
  <si>
    <t>DMT 16-6266</t>
  </si>
  <si>
    <t>09.08.17</t>
  </si>
  <si>
    <t>DMT 14-0637</t>
  </si>
  <si>
    <t>Ma Traders</t>
  </si>
  <si>
    <t>DMN 17-2569</t>
  </si>
  <si>
    <t>Zumar Bag Industries</t>
  </si>
  <si>
    <t>DR-5000Pcs, BR-5100Pcs</t>
  </si>
  <si>
    <t>10.08.17</t>
  </si>
  <si>
    <t>DD 0083</t>
  </si>
  <si>
    <t>DMT 11-5460</t>
  </si>
  <si>
    <t>11.08.17</t>
  </si>
  <si>
    <t>DDGS</t>
  </si>
  <si>
    <t>ST 11-0245</t>
  </si>
  <si>
    <t>12.08.17</t>
  </si>
  <si>
    <t>DMT 20-3635</t>
  </si>
  <si>
    <t>13.08.17</t>
  </si>
  <si>
    <t>DMU 14-2102</t>
  </si>
  <si>
    <t>CMT 11-5097</t>
  </si>
  <si>
    <t>DMT 11-7811</t>
  </si>
  <si>
    <t>14.08.17</t>
  </si>
  <si>
    <t>DMT 18-4475</t>
  </si>
  <si>
    <t>DMT 11-9409</t>
  </si>
  <si>
    <t>DMT 18-2668</t>
  </si>
  <si>
    <t>Lotus</t>
  </si>
  <si>
    <t>15.08.17</t>
  </si>
  <si>
    <t>ST 11-0327</t>
  </si>
  <si>
    <t>17.08.17</t>
  </si>
  <si>
    <t>RT 11-0265</t>
  </si>
  <si>
    <t xml:space="preserve">Jims Tech International </t>
  </si>
  <si>
    <t>Phytase</t>
  </si>
  <si>
    <t>18.08.17</t>
  </si>
  <si>
    <t>Alal Enterprise</t>
  </si>
  <si>
    <t>DMT 11-8331</t>
  </si>
  <si>
    <t>DMT 18-4634</t>
  </si>
  <si>
    <t>DMT 18-4635</t>
  </si>
  <si>
    <t>19.08.17</t>
  </si>
  <si>
    <t>Aden Trade Ltd.</t>
  </si>
  <si>
    <t>JT 11-1101</t>
  </si>
  <si>
    <t>DMT 15-0726</t>
  </si>
  <si>
    <t>CMT 11-5802</t>
  </si>
  <si>
    <t>DMT 15-0596</t>
  </si>
  <si>
    <t>CMT 11-5804</t>
  </si>
  <si>
    <t>20.08.17</t>
  </si>
  <si>
    <t>DMT 16-8096</t>
  </si>
  <si>
    <t>DMT 14-9268</t>
  </si>
  <si>
    <t>DMU 11-3185</t>
  </si>
  <si>
    <t>DMT 11-8853</t>
  </si>
  <si>
    <t>DMU 11-3174</t>
  </si>
  <si>
    <t>Urea</t>
  </si>
  <si>
    <t>Pick up</t>
  </si>
  <si>
    <t>21.08.17</t>
  </si>
  <si>
    <t>DMT 16-7840</t>
  </si>
  <si>
    <t>DMT 15-1908</t>
  </si>
  <si>
    <t>CMT 11-4069</t>
  </si>
  <si>
    <t>DMT 20-5863</t>
  </si>
  <si>
    <t>CMT 11-6932</t>
  </si>
  <si>
    <t>CMT 11-5237</t>
  </si>
  <si>
    <t>CMT 11-5266</t>
  </si>
  <si>
    <t>22.08.17</t>
  </si>
  <si>
    <t>M K Filling Station</t>
  </si>
  <si>
    <t>Disesl</t>
  </si>
  <si>
    <t>Pickup</t>
  </si>
  <si>
    <t>BT 11-1570</t>
  </si>
  <si>
    <t>DMT 13-4210</t>
  </si>
  <si>
    <t>CMT 11-6373</t>
  </si>
  <si>
    <t>DMT 15-1011</t>
  </si>
  <si>
    <t>DMT 18-4870</t>
  </si>
  <si>
    <t>DMT 20-2599</t>
  </si>
  <si>
    <t>DMT 20-5531</t>
  </si>
  <si>
    <t>23.08.17</t>
  </si>
  <si>
    <t>DMT 11-0834</t>
  </si>
  <si>
    <t>M H Enterprise</t>
  </si>
  <si>
    <t>DMT 02-0517</t>
  </si>
  <si>
    <t>PT 11-0346</t>
  </si>
  <si>
    <t>DMT 14-6447</t>
  </si>
  <si>
    <t>CMT 11-5577</t>
  </si>
  <si>
    <t>CMT 11-5267</t>
  </si>
  <si>
    <t>CMT 11-5523</t>
  </si>
  <si>
    <t>L Lysine Sulphate</t>
  </si>
  <si>
    <t>DMT 13-2452</t>
  </si>
  <si>
    <t>DMU 11-3339</t>
  </si>
  <si>
    <t>LL-5200pcs, BG-5100Pcs</t>
  </si>
  <si>
    <t>BT 11-1372</t>
  </si>
  <si>
    <t>24.08.17</t>
  </si>
  <si>
    <t>26.08.17</t>
  </si>
  <si>
    <t>25.08.17</t>
  </si>
  <si>
    <t>27.08.17</t>
  </si>
  <si>
    <t>31.08.17</t>
  </si>
  <si>
    <t>28.08.17</t>
  </si>
  <si>
    <t>DMT 16-5747</t>
  </si>
  <si>
    <t>Plastic Bags</t>
  </si>
  <si>
    <t>PCF Feed Iidustries</t>
  </si>
  <si>
    <t>DMT 13-2154</t>
  </si>
  <si>
    <t>DMT 13-2151</t>
  </si>
  <si>
    <t>DMT 18-4300</t>
  </si>
  <si>
    <t>DMT 13-2690</t>
  </si>
  <si>
    <t>DMT 11-9157</t>
  </si>
  <si>
    <t>DMT 15-0382</t>
  </si>
  <si>
    <t>Lotus Feed Ltd.</t>
  </si>
  <si>
    <t>29.08.17</t>
  </si>
  <si>
    <t>Sultan Hayder Ali Flowers Mill</t>
  </si>
  <si>
    <t>Wheat Flours</t>
  </si>
  <si>
    <t>DMT 15-0164</t>
  </si>
  <si>
    <t>BGT 11-1245</t>
  </si>
  <si>
    <t>DMT 15-0384</t>
  </si>
  <si>
    <t>DMT 15-0373</t>
  </si>
  <si>
    <t>DMT 11-3968</t>
  </si>
  <si>
    <t>CMT 11-0539</t>
  </si>
  <si>
    <t>MyT 11-0055</t>
  </si>
  <si>
    <t>30.08.17</t>
  </si>
  <si>
    <t>DMT 15-0381</t>
  </si>
  <si>
    <t>DMT 11-8336</t>
  </si>
  <si>
    <t>Paqua Trading Concern</t>
  </si>
  <si>
    <t>DMT 16-8155</t>
  </si>
  <si>
    <t>DMT 20-3076</t>
  </si>
  <si>
    <t>DMT 16-4045</t>
  </si>
  <si>
    <t>AR Animal Health</t>
  </si>
  <si>
    <t>Choline Chloride &amp; Decoquinate</t>
  </si>
  <si>
    <t>DMN 17-2968</t>
  </si>
  <si>
    <t>CC-1000KG DEC-500KG</t>
  </si>
  <si>
    <t>DMN 13-0915</t>
  </si>
  <si>
    <t>C/G-5000PCS</t>
  </si>
  <si>
    <t>DMU 11-2657</t>
  </si>
  <si>
    <t>DMT 20-4084</t>
  </si>
  <si>
    <t>06.09.17</t>
  </si>
  <si>
    <t>DMT 17-0210</t>
  </si>
  <si>
    <t>08.09.17</t>
  </si>
  <si>
    <t>DMU 11-2620</t>
  </si>
  <si>
    <t>Shanta Traders</t>
  </si>
  <si>
    <t>DMD 44-0559</t>
  </si>
  <si>
    <t>09.09.17</t>
  </si>
  <si>
    <t>PCF Industries Ltd.</t>
  </si>
  <si>
    <t>MyMT 11-0055</t>
  </si>
  <si>
    <t>JT 02-0445</t>
  </si>
  <si>
    <t>10.09.17</t>
  </si>
  <si>
    <t>RT 11-0378</t>
  </si>
  <si>
    <t>11.09.17</t>
  </si>
  <si>
    <t>National Feed Ltd.</t>
  </si>
  <si>
    <t>As A Loan</t>
  </si>
  <si>
    <t>DMD 44-0529</t>
  </si>
  <si>
    <t>DMT 16-2240</t>
  </si>
  <si>
    <t>DMT 13-1662</t>
  </si>
  <si>
    <t>DMT 14-7871</t>
  </si>
  <si>
    <t>Plastic Bag</t>
  </si>
  <si>
    <t>12.09.17</t>
  </si>
  <si>
    <t>DMT 16-9534</t>
  </si>
  <si>
    <t>DMT 18-8687</t>
  </si>
  <si>
    <t>Shahjalal Flour Mill</t>
  </si>
  <si>
    <t>DMT 11-5937</t>
  </si>
  <si>
    <t>Tazan Agro Ltd.</t>
  </si>
  <si>
    <t>Pellet Binder</t>
  </si>
  <si>
    <t>CMM 51-0756</t>
  </si>
  <si>
    <t>14.09.17</t>
  </si>
  <si>
    <t>M Y Enterprise</t>
  </si>
  <si>
    <t>DMT 14-3404</t>
  </si>
  <si>
    <t>DMT 16-2206</t>
  </si>
  <si>
    <t>15.09.17</t>
  </si>
  <si>
    <t>DMT 11-2971</t>
  </si>
  <si>
    <t>16.09.17</t>
  </si>
  <si>
    <t>DMT 14-7335</t>
  </si>
  <si>
    <t>DMT 16-2608</t>
  </si>
  <si>
    <t>DMT 18-3556</t>
  </si>
  <si>
    <t>17.09.17</t>
  </si>
  <si>
    <t>ACE Pharmaceutical</t>
  </si>
  <si>
    <t>Immunowall</t>
  </si>
  <si>
    <t>DMM 11-4966</t>
  </si>
  <si>
    <t>18.09.17</t>
  </si>
  <si>
    <t>Phytus / Optiphos</t>
  </si>
  <si>
    <t>19.09.17</t>
  </si>
  <si>
    <t>DMN 16-5302</t>
  </si>
  <si>
    <t>DMT 16-7713</t>
  </si>
  <si>
    <t>DMT 16-6978</t>
  </si>
  <si>
    <t>DD 811</t>
  </si>
  <si>
    <t>20.09.17</t>
  </si>
  <si>
    <t>PT 11-0207</t>
  </si>
  <si>
    <t>12 Bags Reject</t>
  </si>
  <si>
    <t>21.09.17</t>
  </si>
  <si>
    <t>DMT 11-8332</t>
  </si>
  <si>
    <t>DMT 13-0148</t>
  </si>
  <si>
    <t>Brenntag Bangladesh Ltd.</t>
  </si>
  <si>
    <t>Toxin Binder (Neubafix)</t>
  </si>
  <si>
    <t>DMM 54-2629</t>
  </si>
  <si>
    <t>m90</t>
  </si>
  <si>
    <t>22.09.17</t>
  </si>
  <si>
    <t>23.09.17</t>
  </si>
  <si>
    <t>Uttra Trading</t>
  </si>
  <si>
    <t>DMT 20-2491</t>
  </si>
  <si>
    <t>DMT 147-1657</t>
  </si>
  <si>
    <t>Filter Bran</t>
  </si>
  <si>
    <t>Mokka Poultry</t>
  </si>
  <si>
    <t>DMN 16-8158</t>
  </si>
  <si>
    <t>DMA 11-3314</t>
  </si>
  <si>
    <t>24.09.17</t>
  </si>
  <si>
    <t>S H Traders</t>
  </si>
  <si>
    <t>DMT 16-0658</t>
  </si>
  <si>
    <t>DMT 16-4601</t>
  </si>
  <si>
    <t>BGT 11-1298</t>
  </si>
  <si>
    <t>DMN 17-1657</t>
  </si>
  <si>
    <t>DMT 18-3986</t>
  </si>
  <si>
    <t>MM Trading</t>
  </si>
  <si>
    <t>DMT 18-2526</t>
  </si>
  <si>
    <t>DMT 16-1666</t>
  </si>
  <si>
    <t>BGT 11-0846</t>
  </si>
  <si>
    <t xml:space="preserve">Lotus Feed </t>
  </si>
  <si>
    <t>DMT 11-9014</t>
  </si>
  <si>
    <t>Pharma Agro Ltd.</t>
  </si>
  <si>
    <t>Choline Chloride</t>
  </si>
  <si>
    <t>DMT 11-5489</t>
  </si>
  <si>
    <t>25.09.17</t>
  </si>
  <si>
    <t>BGT 11-1688</t>
  </si>
  <si>
    <t>DMT 18-4944</t>
  </si>
  <si>
    <t>DMT 18-2387</t>
  </si>
  <si>
    <t>26.09.17</t>
  </si>
  <si>
    <t>DMT 14-8337</t>
  </si>
  <si>
    <t>BGT 11-1032</t>
  </si>
  <si>
    <t>Gold H</t>
  </si>
  <si>
    <t>DMT 16-8309</t>
  </si>
  <si>
    <t>27.09.17</t>
  </si>
  <si>
    <t>DMT 14-9418</t>
  </si>
  <si>
    <t>BGT 11-1199</t>
  </si>
  <si>
    <t>DMT 14-7989</t>
  </si>
  <si>
    <t>DMT 16-9515</t>
  </si>
  <si>
    <t>PCF Feed Industrise</t>
  </si>
  <si>
    <t>28.09.17</t>
  </si>
  <si>
    <t>Zumar Bags Industries</t>
  </si>
  <si>
    <t>Linner 26" x 47"</t>
  </si>
  <si>
    <t>Mymch-11-0279</t>
  </si>
  <si>
    <t>29.09.17</t>
  </si>
  <si>
    <t>DMT 11-7568</t>
  </si>
  <si>
    <t>DMT 18-3831</t>
  </si>
  <si>
    <t>Ful Fat Soyabean</t>
  </si>
  <si>
    <t>DMT 20-2858</t>
  </si>
  <si>
    <t>30.09.17</t>
  </si>
  <si>
    <t>DMU 14-2101</t>
  </si>
  <si>
    <t>DMN 14-6184</t>
  </si>
  <si>
    <t>DMU 14-2535</t>
  </si>
  <si>
    <t>01.10.17</t>
  </si>
  <si>
    <t>DMT 14-6664</t>
  </si>
  <si>
    <t>PCF Feed Industrise Ltd.</t>
  </si>
  <si>
    <t>DMT 13-1669</t>
  </si>
  <si>
    <t>Zumar Bags Industrise</t>
  </si>
  <si>
    <t>PFF-3100pcs, PGF-2900pcs, kprest-2100pcs, cg-3900pcs, ll-3000pcs, ply-26x47-6000pcs, 23x35-18000pcs, 23x42-4000pcs</t>
  </si>
  <si>
    <t>next rate 40.00</t>
  </si>
  <si>
    <t>Net  Qty</t>
  </si>
  <si>
    <t>Moistur / Fungus Less Qty</t>
  </si>
  <si>
    <t>02.10.17</t>
  </si>
  <si>
    <t>Moistur Deduction 1.5%</t>
  </si>
  <si>
    <t>03.10.17</t>
  </si>
  <si>
    <t>Modina Trading</t>
  </si>
  <si>
    <t>DMT 11-1261</t>
  </si>
  <si>
    <t>04.10.17</t>
  </si>
  <si>
    <t>Krishibid Trading Ltd.</t>
  </si>
  <si>
    <t>DMD 5959</t>
  </si>
  <si>
    <t>TT 11-0291</t>
  </si>
  <si>
    <t>PT 11-0353</t>
  </si>
  <si>
    <t>DMT 11-8229</t>
  </si>
  <si>
    <t>Liner-26x47-8000pcs, 23x35-24000pcs,cgf-3000pcs</t>
  </si>
  <si>
    <t>05.10.17</t>
  </si>
  <si>
    <t>DMU 14-2026</t>
  </si>
  <si>
    <t>DMT 14-0197</t>
  </si>
  <si>
    <t>DMT 13-4354</t>
  </si>
  <si>
    <t>Mycocurb Dry</t>
  </si>
  <si>
    <t>06.10.17</t>
  </si>
  <si>
    <t>Gold Age</t>
  </si>
  <si>
    <t>CMT 11-6605</t>
  </si>
  <si>
    <t>DMT 11-8607</t>
  </si>
  <si>
    <t>DMT 13-4429</t>
  </si>
  <si>
    <t>DMT 18-1246</t>
  </si>
  <si>
    <t>DMT 16-7811</t>
  </si>
  <si>
    <t>Orin Enterprise</t>
  </si>
  <si>
    <t>DMT 16-2603</t>
  </si>
  <si>
    <t>07.10.17</t>
  </si>
  <si>
    <t>DMT 15-0372</t>
  </si>
  <si>
    <t>DMT 15-0385</t>
  </si>
  <si>
    <t>DMT 14-1967</t>
  </si>
  <si>
    <t>DMT 20-2980</t>
  </si>
  <si>
    <t>Bio Pharma Ltd</t>
  </si>
  <si>
    <t>Broiler Vitamin</t>
  </si>
  <si>
    <t>DMN 11-8750</t>
  </si>
  <si>
    <t>M A S Additives Trading</t>
  </si>
  <si>
    <t>GCH 11-0563</t>
  </si>
  <si>
    <t>08.10.17</t>
  </si>
  <si>
    <t>Jaman &amp; Brothers</t>
  </si>
  <si>
    <t>DT 0083</t>
  </si>
  <si>
    <t>DMT 15-1102</t>
  </si>
  <si>
    <t>09.10.17</t>
  </si>
  <si>
    <t>DMN 11-8380</t>
  </si>
  <si>
    <t>Broiler  Vitamin</t>
  </si>
  <si>
    <t>DMN 16-1471</t>
  </si>
  <si>
    <t>10.10.17</t>
  </si>
  <si>
    <t>Payra Feed Ltd</t>
  </si>
  <si>
    <t>Layer Vitamin</t>
  </si>
  <si>
    <t>Tnter Transfer</t>
  </si>
  <si>
    <t>26x47-4000pcs, sg-1900pcs</t>
  </si>
  <si>
    <t>DMT 16-2202</t>
  </si>
  <si>
    <t>11.10.17</t>
  </si>
  <si>
    <t>Tazan Agro Limited</t>
  </si>
  <si>
    <t>CMT 51-0756</t>
  </si>
  <si>
    <t>Ample Anomal Care</t>
  </si>
  <si>
    <t>Lipidol</t>
  </si>
  <si>
    <t>DMM 51-5496</t>
  </si>
  <si>
    <t>JT 11-0247</t>
  </si>
  <si>
    <t>12.10.17</t>
  </si>
  <si>
    <t>Shomadhan Machineries</t>
  </si>
  <si>
    <t>Sewing Thread</t>
  </si>
  <si>
    <t>9 Bosta</t>
  </si>
  <si>
    <t>13.10.17</t>
  </si>
  <si>
    <t>Salah Uddin Enterprise</t>
  </si>
  <si>
    <t>DMT 18-1504</t>
  </si>
  <si>
    <t>Toxin Binder</t>
  </si>
  <si>
    <t>DMT 18-7136</t>
  </si>
  <si>
    <t>DMT 20-0684</t>
  </si>
  <si>
    <t>DMT 15-0323</t>
  </si>
  <si>
    <t>14.10.17</t>
  </si>
  <si>
    <t>DMT 15-0321</t>
  </si>
  <si>
    <t>DMT 14-3992</t>
  </si>
  <si>
    <t>DMT 14-5265</t>
  </si>
  <si>
    <t>15.10.17</t>
  </si>
  <si>
    <t>DMT 16-2293</t>
  </si>
  <si>
    <t>Mitali Salt Industries</t>
  </si>
  <si>
    <t>17.10.17</t>
  </si>
  <si>
    <t>Poultry Meal</t>
  </si>
  <si>
    <t>CMT 11-4562</t>
  </si>
  <si>
    <t>DMT 13-0523</t>
  </si>
  <si>
    <t>18.10.17</t>
  </si>
  <si>
    <t>SYT 11-0086</t>
  </si>
  <si>
    <t>DMT 13-1152</t>
  </si>
  <si>
    <t>19.10.17</t>
  </si>
  <si>
    <t>DMD 14-4040</t>
  </si>
  <si>
    <t>BGT 11-1423</t>
  </si>
  <si>
    <t>DMT 14-1261</t>
  </si>
  <si>
    <t>TGT 11-0131</t>
  </si>
  <si>
    <t>20.10.17</t>
  </si>
  <si>
    <t>DMT 15-1598</t>
  </si>
  <si>
    <t>21.10.17</t>
  </si>
  <si>
    <t>DMT 13-1449</t>
  </si>
  <si>
    <t>JST 11-0747</t>
  </si>
  <si>
    <t>22.10.17</t>
  </si>
  <si>
    <t>DMT 16-9791</t>
  </si>
  <si>
    <t>DMT 13-1681</t>
  </si>
  <si>
    <t>DMT 16-5333</t>
  </si>
  <si>
    <t>FRT 11-0190</t>
  </si>
  <si>
    <t>DMT 13-0271</t>
  </si>
  <si>
    <t>FRT 11-0370</t>
  </si>
  <si>
    <t>DMT 15-1762</t>
  </si>
  <si>
    <t>DMD 14-1348</t>
  </si>
  <si>
    <t>23.10.17</t>
  </si>
  <si>
    <t>DMT 15-1104</t>
  </si>
  <si>
    <t>DMT 11-7400</t>
  </si>
  <si>
    <t>DMT 14-7556</t>
  </si>
  <si>
    <t>DMT 18-2262</t>
  </si>
  <si>
    <t>JT 02-0420</t>
  </si>
  <si>
    <t>DMT 13-0005</t>
  </si>
  <si>
    <t>Badol Store</t>
  </si>
  <si>
    <t>Palm Oil</t>
  </si>
  <si>
    <t>24.10.17</t>
  </si>
  <si>
    <t>DMD 11-1812</t>
  </si>
  <si>
    <t>DMD 14-2211</t>
  </si>
  <si>
    <t>DMT 11-2737</t>
  </si>
  <si>
    <t>KMT 11-0844</t>
  </si>
  <si>
    <t>DMT 13-0920</t>
  </si>
  <si>
    <t>DMT 11-3103</t>
  </si>
  <si>
    <t>GT 02-0057</t>
  </si>
  <si>
    <t>DMT 13-3886</t>
  </si>
  <si>
    <t>DMT 13-3885</t>
  </si>
  <si>
    <t>DMT 16-7889</t>
  </si>
  <si>
    <t>GH 11-0325</t>
  </si>
  <si>
    <t>PGF-2900Pcs</t>
  </si>
  <si>
    <t>25.10.17</t>
  </si>
  <si>
    <t>Tom Tom</t>
  </si>
  <si>
    <t>DMD 14-6184</t>
  </si>
  <si>
    <t>26.10.17</t>
  </si>
  <si>
    <t>DMD 14-1630</t>
  </si>
  <si>
    <t>DMT 13-4697</t>
  </si>
  <si>
    <t>CMT 11-6824</t>
  </si>
  <si>
    <t>CGT 05-0207</t>
  </si>
  <si>
    <t>CMT 11-4559</t>
  </si>
  <si>
    <t>BG-2000PCS, SG-1500PCS, LL-2100PCS</t>
  </si>
  <si>
    <t>27.10.17</t>
  </si>
  <si>
    <t>DMT 20-4650</t>
  </si>
  <si>
    <t>DMT 18-4344</t>
  </si>
  <si>
    <t>DMT 18-3560</t>
  </si>
  <si>
    <t>CTG 05-0156</t>
  </si>
  <si>
    <t>CMT 11-0879</t>
  </si>
  <si>
    <t>CMT 11-3549</t>
  </si>
  <si>
    <t>DMT 14-8373</t>
  </si>
  <si>
    <t>28.10.17</t>
  </si>
  <si>
    <t>DDA 1059</t>
  </si>
  <si>
    <t>DMT 14-7876</t>
  </si>
  <si>
    <t>DMT 16-2195</t>
  </si>
  <si>
    <t>CMT 02-0132</t>
  </si>
  <si>
    <t>KST 11-1402</t>
  </si>
  <si>
    <t>DMT 13-1153</t>
  </si>
  <si>
    <t>DMT 16-3816</t>
  </si>
  <si>
    <t>JST 11-2069</t>
  </si>
  <si>
    <t>DMT 18-7909</t>
  </si>
  <si>
    <t>KST 11-1194</t>
  </si>
  <si>
    <t>RT 11-0040</t>
  </si>
  <si>
    <t>29.10.17</t>
  </si>
  <si>
    <t>DMT 20-2051</t>
  </si>
  <si>
    <t>Innova Animal Health</t>
  </si>
  <si>
    <t>Natupro</t>
  </si>
  <si>
    <t>Van</t>
  </si>
  <si>
    <t>Doctor's Agro Vet Ltd.</t>
  </si>
  <si>
    <t>Alquernat Zycox</t>
  </si>
  <si>
    <t>DMN 18-1368</t>
  </si>
  <si>
    <t>DMO 14-1119</t>
  </si>
  <si>
    <t>BR-2900pcs</t>
  </si>
  <si>
    <t>30.10.17</t>
  </si>
  <si>
    <t>JT 11-1399</t>
  </si>
  <si>
    <t>Taquwa Trading</t>
  </si>
  <si>
    <t>DMT 11-7867</t>
  </si>
  <si>
    <t>DMT 20-7091</t>
  </si>
  <si>
    <t>DMT 14-6927</t>
  </si>
  <si>
    <t>Taquwa</t>
  </si>
  <si>
    <t>DMT 0083</t>
  </si>
  <si>
    <t>31.10.17</t>
  </si>
  <si>
    <t>DMT 14-2671</t>
  </si>
  <si>
    <t>DMT 11-3956</t>
  </si>
  <si>
    <t>DMT 11-3255</t>
  </si>
  <si>
    <t>DMT 13-1448</t>
  </si>
  <si>
    <t>DMT 11-1753</t>
  </si>
  <si>
    <t>01.11.17</t>
  </si>
  <si>
    <t>DMT 11-3189</t>
  </si>
  <si>
    <t>DMT 11-0048</t>
  </si>
  <si>
    <t>DMT 18-3663</t>
  </si>
  <si>
    <t>DMT 13-0967</t>
  </si>
  <si>
    <t>DMT 13-0272</t>
  </si>
  <si>
    <t>Jaker &amp; Shajahan</t>
  </si>
  <si>
    <t>DMT 18-5503</t>
  </si>
  <si>
    <t>02.11.17</t>
  </si>
  <si>
    <t>Krishibid Trading</t>
  </si>
  <si>
    <t>DMT 13-4080</t>
  </si>
  <si>
    <t>03.11.17</t>
  </si>
  <si>
    <t>DMT 20-7066</t>
  </si>
  <si>
    <t>DMT 13-2662</t>
  </si>
  <si>
    <t>DMT 14-8878</t>
  </si>
  <si>
    <t>DMT 16-5066</t>
  </si>
  <si>
    <t>GT 02-0142</t>
  </si>
  <si>
    <t>DMT 14-4304</t>
  </si>
  <si>
    <t>RBT 11-0040</t>
  </si>
  <si>
    <t>04.11.17</t>
  </si>
  <si>
    <t>DMT 16-4808</t>
  </si>
  <si>
    <t>DMT 18-4513</t>
  </si>
  <si>
    <t>05.11.17</t>
  </si>
  <si>
    <t>DMT 14-1814</t>
  </si>
  <si>
    <t>DMT 11-2561</t>
  </si>
  <si>
    <t>CMT 11-5632</t>
  </si>
  <si>
    <t>Feed Bag</t>
  </si>
  <si>
    <t>DMA 11-3339</t>
  </si>
  <si>
    <t>PG(S)-2300Pcs</t>
  </si>
  <si>
    <t>06.11.17</t>
  </si>
  <si>
    <t>FRT 11-0169</t>
  </si>
  <si>
    <t>JT 02-0191</t>
  </si>
  <si>
    <t>DMT 14-1796</t>
  </si>
  <si>
    <t>DMT 11-2085</t>
  </si>
  <si>
    <t>DMD 44-0615</t>
  </si>
  <si>
    <t>Bag wt &amp; Labor Bill No Deduct order by Atiqur Rahman</t>
  </si>
  <si>
    <t>Broiler Mineral</t>
  </si>
  <si>
    <t>DMN 11-5875</t>
  </si>
  <si>
    <t>07.11.17</t>
  </si>
  <si>
    <t>DMT 13-0004</t>
  </si>
  <si>
    <t>6.11.17</t>
  </si>
  <si>
    <t>2.11.17</t>
  </si>
  <si>
    <t>08.11.17</t>
  </si>
  <si>
    <t>DMT 13-0987</t>
  </si>
  <si>
    <t>C/G S-3960pcs</t>
  </si>
  <si>
    <t>09.11.17</t>
  </si>
  <si>
    <t>DMT 18-3382</t>
  </si>
  <si>
    <t>FRT 11-0194</t>
  </si>
  <si>
    <t>FRT 11-0188</t>
  </si>
  <si>
    <t>FRT 11-0163</t>
  </si>
  <si>
    <t>Feedox (Anti Oxidant)</t>
  </si>
  <si>
    <t>NT 11-0001</t>
  </si>
  <si>
    <t>10.11.17</t>
  </si>
  <si>
    <t>DMT 20-4079</t>
  </si>
  <si>
    <t>JT 11-1880</t>
  </si>
  <si>
    <t>CHT 11-0735</t>
  </si>
  <si>
    <t>CHT 11-0734</t>
  </si>
  <si>
    <t>CHT 11-0680</t>
  </si>
  <si>
    <t>DMT 14-7901</t>
  </si>
  <si>
    <t>DMT 18-6629</t>
  </si>
  <si>
    <t>DMT 14-5913</t>
  </si>
  <si>
    <t>11.11.17</t>
  </si>
  <si>
    <t>DMT 16-5023</t>
  </si>
  <si>
    <t>DMT 13-1975</t>
  </si>
  <si>
    <t>12.11.17</t>
  </si>
  <si>
    <t>DMT 13-3576</t>
  </si>
  <si>
    <t>13.11.17</t>
  </si>
  <si>
    <t>DMT 15-1533</t>
  </si>
  <si>
    <t>DMT 19-1676</t>
  </si>
  <si>
    <t>DMT 15-0516</t>
  </si>
  <si>
    <t>DMT 20-0876</t>
  </si>
  <si>
    <t>vMBM</t>
  </si>
  <si>
    <t>14.11.17</t>
  </si>
  <si>
    <t>DMT 16-3853</t>
  </si>
  <si>
    <t>DMT 18-0978</t>
  </si>
  <si>
    <t>DMT 20-6182</t>
  </si>
  <si>
    <t>15.11.17</t>
  </si>
  <si>
    <t>PCF Feed Ltd.</t>
  </si>
  <si>
    <t>DMT 13-0495</t>
  </si>
  <si>
    <t>PGF-5180Pcs</t>
  </si>
  <si>
    <t>16.11.17</t>
  </si>
  <si>
    <t>revised</t>
  </si>
  <si>
    <t>DMU 14-1119</t>
  </si>
  <si>
    <t>LL-5100Pcs</t>
  </si>
  <si>
    <t>100mt</t>
  </si>
  <si>
    <t>19.11.17</t>
  </si>
  <si>
    <t>DMT 20-6678</t>
  </si>
  <si>
    <t>21.11.17</t>
  </si>
  <si>
    <t>DR-3000Pcs</t>
  </si>
  <si>
    <t>DMT 20-2828</t>
  </si>
  <si>
    <t>22.11.17</t>
  </si>
  <si>
    <t>DMT 14-5112</t>
  </si>
  <si>
    <t>23.11.17</t>
  </si>
  <si>
    <t>A R Animal Health Ltd.</t>
  </si>
  <si>
    <t>GN 11-0136</t>
  </si>
  <si>
    <t>TGF-4840Pcs</t>
  </si>
  <si>
    <t>27.11.17</t>
  </si>
  <si>
    <t>DMT 11-0909</t>
  </si>
  <si>
    <t>28.11.17</t>
  </si>
  <si>
    <t>BG-4750Pcs</t>
  </si>
  <si>
    <t>30.11.17</t>
  </si>
  <si>
    <t>L/L-4820Pcs, P/S F-5070Pcs</t>
  </si>
  <si>
    <t>01.12.17</t>
  </si>
  <si>
    <t>DMT 18-7975</t>
  </si>
  <si>
    <t>03.12.17</t>
  </si>
  <si>
    <t>04.12.17</t>
  </si>
  <si>
    <t>DMT 20-0686</t>
  </si>
  <si>
    <t>06.12.17</t>
  </si>
  <si>
    <t>DMD 14-2243</t>
  </si>
  <si>
    <t>07.12.17</t>
  </si>
  <si>
    <t>Anti Oxidant (Feedox)</t>
  </si>
  <si>
    <t>DMU 11-4193</t>
  </si>
  <si>
    <t>PGF-5070kg</t>
  </si>
  <si>
    <t>09.12.17</t>
  </si>
  <si>
    <t>CMT 11-3180</t>
  </si>
  <si>
    <t>CGF-4850Pcs</t>
  </si>
  <si>
    <t>Eon Animal Health Ltd.</t>
  </si>
  <si>
    <t>DMT 14-9587</t>
  </si>
  <si>
    <t>Only Received &amp; Transfer</t>
  </si>
  <si>
    <t>No MRR</t>
  </si>
  <si>
    <t>10.12.17</t>
  </si>
  <si>
    <t>CMT 11-6855</t>
  </si>
  <si>
    <t>Broiler Mineral &amp; Layer Vitamin</t>
  </si>
  <si>
    <t>Broiler Mineral -200kg &amp; Layer Vitamin-500kg</t>
  </si>
  <si>
    <t>DMN 17-0425</t>
  </si>
  <si>
    <t>L V-500kg &amp; B. M-200kg</t>
  </si>
  <si>
    <t>L V-390kg &amp; B. M-165kg</t>
  </si>
  <si>
    <t>11.12.17</t>
  </si>
  <si>
    <t>DMT 20-0469</t>
  </si>
  <si>
    <t>ACE Pharmaceuticals</t>
  </si>
  <si>
    <t>Immuno Wall</t>
  </si>
  <si>
    <t>12.12.17</t>
  </si>
  <si>
    <t>DMT 20-3584</t>
  </si>
  <si>
    <t>15.12.17</t>
  </si>
  <si>
    <t>DMT 14-4768</t>
  </si>
  <si>
    <t>16.12.17</t>
  </si>
  <si>
    <t>Krishibid Trading Ltd. (Kopottakko)</t>
  </si>
  <si>
    <t>DMT 16-6375</t>
  </si>
  <si>
    <t>Mixed RM-96.24kg,DORB-34.84kg,MBM-151.48,DDGS-63.56,Poultry Meal-197.44kg, Demage CGM-136.40kg</t>
  </si>
  <si>
    <t>DMT 18-9255</t>
  </si>
  <si>
    <t>DMT 14-7467</t>
  </si>
  <si>
    <t>DMT 16-6503</t>
  </si>
  <si>
    <t>17.12.17</t>
  </si>
  <si>
    <t>BGT 11-1379</t>
  </si>
  <si>
    <t>18.12.17</t>
  </si>
  <si>
    <t>Krishibid Feed Ltd. (Kopottakko)</t>
  </si>
  <si>
    <t>20.12.17</t>
  </si>
  <si>
    <t>Zumar Bags Industries Ltd.</t>
  </si>
  <si>
    <t>TGS-5100Pcs, LL-4900Pcs</t>
  </si>
  <si>
    <t>21.12.17</t>
  </si>
  <si>
    <t>DMT 18-3728</t>
  </si>
  <si>
    <t>DMT 13-2192</t>
  </si>
  <si>
    <t>DMT 13-1332</t>
  </si>
  <si>
    <t>DMT 11-9280</t>
  </si>
  <si>
    <t>DMT 16-9967</t>
  </si>
  <si>
    <t>DMT 13-1808</t>
  </si>
  <si>
    <t>DMT 113-3883</t>
  </si>
  <si>
    <t>DMT 18-4767</t>
  </si>
  <si>
    <t>22.12.17</t>
  </si>
  <si>
    <t>DMT 20-7078</t>
  </si>
  <si>
    <t>26.12.17</t>
  </si>
  <si>
    <t>DDGS-1001.8kg,RS-6624.8kg, Sodimu-4375kg, MCP-1000kg</t>
  </si>
  <si>
    <t>27.12.17</t>
  </si>
  <si>
    <t>DMN 13-4928</t>
  </si>
  <si>
    <t>30.12.17</t>
  </si>
  <si>
    <t>DMT 11-6024</t>
  </si>
  <si>
    <t>CG(S)-4890Pcs</t>
  </si>
  <si>
    <t>31.12.17</t>
  </si>
  <si>
    <t>Uniq Fish &amp; Poultry Feed</t>
  </si>
  <si>
    <t>DMT 11-5480</t>
  </si>
  <si>
    <t>01.01.18</t>
  </si>
  <si>
    <t>DMT 18-7319</t>
  </si>
  <si>
    <t>02.01.18</t>
  </si>
  <si>
    <t>04.01.18</t>
  </si>
  <si>
    <t>CMT 11-4967</t>
  </si>
  <si>
    <t>DMN 14-0235</t>
  </si>
  <si>
    <t>DMM 51-3932</t>
  </si>
  <si>
    <t>DR-2110Pcs, BR-5150Pcs, SG-2200Pcs, TGF-2130Pcs</t>
  </si>
  <si>
    <t>05.01.18</t>
  </si>
  <si>
    <t>BT 11-0001</t>
  </si>
  <si>
    <t>DMT 20-3793</t>
  </si>
  <si>
    <t>06.01.18</t>
  </si>
  <si>
    <t>DMT 11-7090</t>
  </si>
  <si>
    <t>SG-1000Pcs, PGF-2180Pcs, TGF-1000Pcs</t>
  </si>
  <si>
    <t>07.01.18</t>
  </si>
  <si>
    <t>Kopotakhoi Feed Ltd.</t>
  </si>
  <si>
    <t>CGM, Lysine, Valine, Threonine, Sodium</t>
  </si>
  <si>
    <t>DMT 16-7109</t>
  </si>
  <si>
    <t>CGM-1428kg,, Lysine-1875kg, , Valine-450kg, Threonine-825kg, Sodium-150kg</t>
  </si>
  <si>
    <t>08.01.18</t>
  </si>
  <si>
    <t>DMA 11-2657</t>
  </si>
  <si>
    <t>PGF-830Pcs, Dhi-2870Pcs</t>
  </si>
  <si>
    <t>09.01.18</t>
  </si>
  <si>
    <t>11.01.18</t>
  </si>
  <si>
    <t>DMT 11-3731</t>
  </si>
  <si>
    <t>14.01.18</t>
  </si>
  <si>
    <t>DMT 14-9214</t>
  </si>
  <si>
    <t>18.01.18</t>
  </si>
  <si>
    <t>DMT 18-5785</t>
  </si>
  <si>
    <t>DMT 20-5747</t>
  </si>
  <si>
    <t>DMT 16-9731</t>
  </si>
  <si>
    <t>20.01.18</t>
  </si>
  <si>
    <t>DMT 11-1011</t>
  </si>
  <si>
    <t>BS-5070Pcs, DR-4990Pcs</t>
  </si>
  <si>
    <t>23.01.18</t>
  </si>
  <si>
    <t>Maduramicin &amp; Decoquinate</t>
  </si>
  <si>
    <t>DMN 14-3952</t>
  </si>
  <si>
    <t>Maduramicin-500kg &amp; Decoquinate-500kg</t>
  </si>
  <si>
    <t>25.01.18</t>
  </si>
  <si>
    <t>LL-5000Pcs</t>
  </si>
  <si>
    <t>29.01.18</t>
  </si>
  <si>
    <t>DJP 11-0048</t>
  </si>
  <si>
    <t>31.01.18</t>
  </si>
  <si>
    <t>Mohammadia Crushing Center</t>
  </si>
  <si>
    <t>01.02.18</t>
  </si>
  <si>
    <t>DMT 16-5227</t>
  </si>
  <si>
    <t>02.02.18</t>
  </si>
  <si>
    <t>Santa Traders</t>
  </si>
  <si>
    <t>DMT 16-5328</t>
  </si>
  <si>
    <t>BT 11-1803</t>
  </si>
  <si>
    <t>DMT 18-1205</t>
  </si>
  <si>
    <t>Bhai Bhai store</t>
  </si>
  <si>
    <t>Soyabean Oil</t>
  </si>
  <si>
    <t>DMN 16-5023</t>
  </si>
  <si>
    <t>SBM (Hi)</t>
  </si>
  <si>
    <t>02.02.17</t>
  </si>
  <si>
    <t>03.02.18</t>
  </si>
  <si>
    <t>BT 11-1420</t>
  </si>
  <si>
    <t>DMT 20-7887</t>
  </si>
  <si>
    <t>GT 02-0081</t>
  </si>
  <si>
    <t>CMT 11-7551</t>
  </si>
  <si>
    <t>04.02.18</t>
  </si>
  <si>
    <t>Soyabean Oil &amp; Quality</t>
  </si>
  <si>
    <t>DMN 14-3888</t>
  </si>
  <si>
    <t>Quality Supper-8 Drum, Soya Oil-2 Drum</t>
  </si>
  <si>
    <t>05.02.18</t>
  </si>
  <si>
    <t>DMT 20-8435</t>
  </si>
  <si>
    <t>06.02.18</t>
  </si>
  <si>
    <t xml:space="preserve">ACE Pharmaceutical </t>
  </si>
  <si>
    <t>DMT 11-4966</t>
  </si>
  <si>
    <t xml:space="preserve">Soyabean Oil </t>
  </si>
  <si>
    <t>DMT 15-3377</t>
  </si>
  <si>
    <t>07.02.18</t>
  </si>
  <si>
    <t>SMC Poultry &amp; Hatchery</t>
  </si>
  <si>
    <t>ST 11-0050</t>
  </si>
  <si>
    <t>Inter Transfer</t>
  </si>
  <si>
    <t>Rana Feed Ltd.</t>
  </si>
  <si>
    <t>07.02.17</t>
  </si>
  <si>
    <t>08.02.18</t>
  </si>
  <si>
    <t>Century Agro Limited</t>
  </si>
  <si>
    <t>Feedox (Antioxident)</t>
  </si>
  <si>
    <t>DMN 17-2429</t>
  </si>
  <si>
    <t>M A S Addititives Trading</t>
  </si>
  <si>
    <t xml:space="preserve">Intest Plus </t>
  </si>
  <si>
    <t>GPH 11-0150</t>
  </si>
  <si>
    <t>09.02.18</t>
  </si>
  <si>
    <t>Shahed Enterprise</t>
  </si>
  <si>
    <t>DMT 14-0113</t>
  </si>
  <si>
    <t>DMU 14-0130</t>
  </si>
  <si>
    <t>Zumar Bags Indusries Ltd.</t>
  </si>
  <si>
    <t>LL-4830Pcs</t>
  </si>
  <si>
    <t>10.02.18</t>
  </si>
  <si>
    <t>DMT 16-7327</t>
  </si>
  <si>
    <t>DMT 16-3475</t>
  </si>
  <si>
    <t>DMM 51-8295</t>
  </si>
  <si>
    <t>11.02.18</t>
  </si>
  <si>
    <t>Lysofrte Dry</t>
  </si>
  <si>
    <t>BioPharma Ltd.</t>
  </si>
  <si>
    <t>DMN 17-3231</t>
  </si>
  <si>
    <t>12.02.18</t>
  </si>
  <si>
    <t>Hoovers Agrovet Ltd.</t>
  </si>
  <si>
    <t>Quantam Blue</t>
  </si>
  <si>
    <t>Hand</t>
  </si>
  <si>
    <t>13.02.18</t>
  </si>
  <si>
    <t>DMN 18-0709</t>
  </si>
  <si>
    <t>D Hi-4970Pcs, BG-4500Pcs</t>
  </si>
  <si>
    <t>14.02.18</t>
  </si>
  <si>
    <t>DMT 20-5112</t>
  </si>
  <si>
    <t>16.02.18</t>
  </si>
  <si>
    <t>ST 11-0002</t>
  </si>
  <si>
    <t>17.02.18</t>
  </si>
  <si>
    <t>DMT 18-9781</t>
  </si>
  <si>
    <t>18.02.18</t>
  </si>
  <si>
    <t>DMD 14-1531</t>
  </si>
  <si>
    <t>19.02.18</t>
  </si>
  <si>
    <t>DMT 16-3251</t>
  </si>
  <si>
    <t>Abdulla Traders</t>
  </si>
  <si>
    <t>DMT 15-2207</t>
  </si>
  <si>
    <t>21.02.18</t>
  </si>
  <si>
    <t>DMT 15-2968</t>
  </si>
  <si>
    <t>22.02.18</t>
  </si>
  <si>
    <t>Eon Animal Health Production Ltd.</t>
  </si>
  <si>
    <t>23.02.18</t>
  </si>
  <si>
    <t>DMT 11-5962</t>
  </si>
  <si>
    <t>JT 1517</t>
  </si>
  <si>
    <t>24.02.18</t>
  </si>
  <si>
    <t>DMT 13-4666</t>
  </si>
  <si>
    <t>DMT 02-0764</t>
  </si>
  <si>
    <t>SG-2080Pcs, LG-1960Pcs, 1.00mm-4920Pcs</t>
  </si>
  <si>
    <t>25.02.18</t>
  </si>
  <si>
    <t>DMT 14-9820</t>
  </si>
  <si>
    <t>25.02.17</t>
  </si>
  <si>
    <t>26.02.18</t>
  </si>
  <si>
    <t>DMT 11-0373</t>
  </si>
  <si>
    <t>27.02.18</t>
  </si>
  <si>
    <t>Khan Store</t>
  </si>
  <si>
    <t>28.02.18</t>
  </si>
  <si>
    <t>LC (KFL)10258</t>
  </si>
  <si>
    <t>DMT 11-2276</t>
  </si>
  <si>
    <t>Mokka Poultry Feeds</t>
  </si>
  <si>
    <t>Lime Stone Granular</t>
  </si>
  <si>
    <t>Unique Fish Feed</t>
  </si>
  <si>
    <t>DMU 14-1577</t>
  </si>
  <si>
    <t>DMD 14-2335</t>
  </si>
  <si>
    <t>Lory</t>
  </si>
  <si>
    <t>01.03.18</t>
  </si>
  <si>
    <t>DMT 14-9639</t>
  </si>
  <si>
    <t>Abdullah Traders</t>
  </si>
  <si>
    <t>CMT 11-7424</t>
  </si>
  <si>
    <t>Bay Agro Industrise Ltd.</t>
  </si>
  <si>
    <t>Fish Meal</t>
  </si>
  <si>
    <t>DMT 16-7007</t>
  </si>
  <si>
    <t>DMT 16-7111</t>
  </si>
  <si>
    <t>DMT 11-2407</t>
  </si>
  <si>
    <t>02.03.18</t>
  </si>
  <si>
    <t>Local (Cash) Bhai Bhai Store</t>
  </si>
  <si>
    <t>DMT 18-7534</t>
  </si>
  <si>
    <t>03.03.18</t>
  </si>
  <si>
    <t>DMT 14-3513</t>
  </si>
  <si>
    <t>04.03.18</t>
  </si>
  <si>
    <t>DMT 13-2564</t>
  </si>
  <si>
    <t>Salauddin Enterprise</t>
  </si>
  <si>
    <t>NT 02-0002</t>
  </si>
  <si>
    <t>Zumar Bag Industris Ltd.</t>
  </si>
  <si>
    <t>Feed Mags</t>
  </si>
  <si>
    <t>LG-3100Pcs, SG-3000Pcs</t>
  </si>
  <si>
    <t>05.03.18</t>
  </si>
  <si>
    <t xml:space="preserve">Loknath Vander </t>
  </si>
  <si>
    <t>DMT 13-4303</t>
  </si>
  <si>
    <t>06.03.18</t>
  </si>
  <si>
    <t>Khadiza Poultry (Local Cash)</t>
  </si>
  <si>
    <t>On Test</t>
  </si>
  <si>
    <t xml:space="preserve">A R Animal Health </t>
  </si>
  <si>
    <t xml:space="preserve">Maduramicin </t>
  </si>
  <si>
    <t>DMN 17-4985</t>
  </si>
  <si>
    <t>Lysoforte Dry &amp; Kemtrace</t>
  </si>
  <si>
    <t>DMN 13-0995</t>
  </si>
  <si>
    <t>07.03.18</t>
  </si>
  <si>
    <t>Modina Poultry &amp; Fish Feed</t>
  </si>
  <si>
    <t>Kazi Agro Ltd.</t>
  </si>
  <si>
    <t>Antamix ME</t>
  </si>
  <si>
    <t>DMN 11-7769</t>
  </si>
  <si>
    <t>08.03.18</t>
  </si>
  <si>
    <t>DMT 18-2624</t>
  </si>
  <si>
    <t>DMT 18-1112</t>
  </si>
  <si>
    <t>Adyan Agro Ltd.</t>
  </si>
  <si>
    <t>Robaviotic</t>
  </si>
  <si>
    <t>DMM 55-0008</t>
  </si>
  <si>
    <t>Argon International</t>
  </si>
  <si>
    <t>Lipidin</t>
  </si>
  <si>
    <t>DMN 15-3404</t>
  </si>
  <si>
    <t>16/18</t>
  </si>
  <si>
    <t>09.03.18</t>
  </si>
  <si>
    <t>CMT 1245</t>
  </si>
  <si>
    <t>DMT 14-4528</t>
  </si>
  <si>
    <t>RPT 11-0089</t>
  </si>
  <si>
    <t>DMT 14-3229</t>
  </si>
  <si>
    <t>DMT 16-6828</t>
  </si>
  <si>
    <t>CMT 11-5537</t>
  </si>
  <si>
    <t>10.03.18</t>
  </si>
  <si>
    <t>JU 11-0006</t>
  </si>
  <si>
    <t>JT 11-0129</t>
  </si>
  <si>
    <t>JT 11-1019</t>
  </si>
  <si>
    <t>PT 11-0783</t>
  </si>
  <si>
    <t>DMT 13-3370</t>
  </si>
  <si>
    <t>On test</t>
  </si>
  <si>
    <t>DMT 11-9225</t>
  </si>
  <si>
    <t>Lincomycin (eurolinco)</t>
  </si>
  <si>
    <t>11.03.18</t>
  </si>
  <si>
    <t>Shaharia Enterprise</t>
  </si>
  <si>
    <t>DMT 18-8820</t>
  </si>
  <si>
    <t>DMT 11-5339</t>
  </si>
  <si>
    <t>DMT 16-3831</t>
  </si>
  <si>
    <t>DMT 11-0282</t>
  </si>
  <si>
    <t>DMT 14-3219</t>
  </si>
  <si>
    <t>DMT 11-9964</t>
  </si>
  <si>
    <t>12.03.18</t>
  </si>
  <si>
    <t>DMT 11-0755</t>
  </si>
  <si>
    <t>13.03.18</t>
  </si>
  <si>
    <t>LL-3100Pcs, BG-350Pcs</t>
  </si>
  <si>
    <t>14.03.18</t>
  </si>
  <si>
    <t>DMT 14-5366</t>
  </si>
  <si>
    <t>15.03.18</t>
  </si>
  <si>
    <t>DMN 13-7091</t>
  </si>
  <si>
    <t>16.03.18</t>
  </si>
  <si>
    <t>DMT 11-1164</t>
  </si>
  <si>
    <t>DMT 16-5285</t>
  </si>
  <si>
    <t>DL Methionine</t>
  </si>
  <si>
    <t>JT 11-0626</t>
  </si>
  <si>
    <t>thouci enterprise</t>
  </si>
  <si>
    <t>19.03.18</t>
  </si>
  <si>
    <t>DMT 11-4536</t>
  </si>
  <si>
    <t>Krishibid Trading Ltd. (Mokka)</t>
  </si>
  <si>
    <t>DMT 20-6463</t>
  </si>
  <si>
    <t>CGS-4950Pcs, LL-5050Pcs</t>
  </si>
  <si>
    <t>20.03.18</t>
  </si>
  <si>
    <t xml:space="preserve">MBM </t>
  </si>
  <si>
    <t>JDT 11-1572</t>
  </si>
  <si>
    <t>DMT 14-4829</t>
  </si>
  <si>
    <t>Tomal Mothso Khamar</t>
  </si>
  <si>
    <t>DMN 18-2576</t>
  </si>
  <si>
    <t>607-9</t>
  </si>
  <si>
    <t>21.03.18</t>
  </si>
  <si>
    <t>DMT 13-3708</t>
  </si>
  <si>
    <t>ACI Ltd.</t>
  </si>
  <si>
    <t>DMM 54-3187</t>
  </si>
  <si>
    <t>610-11</t>
  </si>
  <si>
    <t>22.03.18</t>
  </si>
  <si>
    <t>ST 11-0013</t>
  </si>
  <si>
    <t>DMT 16-0956</t>
  </si>
  <si>
    <t>PT 11-0287</t>
  </si>
  <si>
    <t>JT 11-0562</t>
  </si>
  <si>
    <t>DMT 14-7421</t>
  </si>
  <si>
    <t>DMT 13-4352</t>
  </si>
  <si>
    <t>23.03.18</t>
  </si>
  <si>
    <t>DMT 16-9786</t>
  </si>
  <si>
    <t>SBM (Hipro)</t>
  </si>
  <si>
    <t>DMT 14-2943</t>
  </si>
  <si>
    <t>DMT 11-1137</t>
  </si>
  <si>
    <t>DMT 13-1012</t>
  </si>
  <si>
    <t>JT 11-0144</t>
  </si>
  <si>
    <t>JT 11-0272</t>
  </si>
  <si>
    <t>DMT 20-0560</t>
  </si>
  <si>
    <t>24.03.18</t>
  </si>
  <si>
    <t>DMU 11-2390</t>
  </si>
  <si>
    <t>DNP 02-0097</t>
  </si>
  <si>
    <t>CMT 02-0115</t>
  </si>
  <si>
    <t>DMT 22-0619</t>
  </si>
  <si>
    <t>RBT 11-0388</t>
  </si>
  <si>
    <t>PBT 11-0575</t>
  </si>
  <si>
    <t>26.03.18</t>
  </si>
  <si>
    <t>27.03.18</t>
  </si>
  <si>
    <t>DMT 15-1892</t>
  </si>
  <si>
    <t>DMT 18-7240</t>
  </si>
  <si>
    <t>DMT 18-7239</t>
  </si>
  <si>
    <t>28.03.18</t>
  </si>
  <si>
    <t>29.03.18</t>
  </si>
  <si>
    <t>LL-4500Pcs</t>
  </si>
  <si>
    <t>30.03.18</t>
  </si>
  <si>
    <t>Modina Trading Corpn</t>
  </si>
  <si>
    <t>BGT 11-1722</t>
  </si>
  <si>
    <t>DMT 11-3202</t>
  </si>
  <si>
    <t>DMU 11-1159</t>
  </si>
  <si>
    <t>ST 11-0039</t>
  </si>
  <si>
    <t>DMT 11-7974</t>
  </si>
  <si>
    <t>DMT 16-8664</t>
  </si>
  <si>
    <t>31.03.18</t>
  </si>
  <si>
    <t>01.04.18</t>
  </si>
  <si>
    <t>Bhai Bhai Store (Local Cash)</t>
  </si>
  <si>
    <t>Soabean Oil</t>
  </si>
  <si>
    <t>DMN 14-4184</t>
  </si>
  <si>
    <t>02.04.18</t>
  </si>
  <si>
    <t>DMT 20-1348</t>
  </si>
  <si>
    <t>03.04.18</t>
  </si>
  <si>
    <t>DMT 14-9662</t>
  </si>
  <si>
    <t>04.04.18</t>
  </si>
  <si>
    <t>DMT 16-4774</t>
  </si>
  <si>
    <t>LL-6840Pcs</t>
  </si>
  <si>
    <t>DMT 20-7700</t>
  </si>
  <si>
    <t>Plastic</t>
  </si>
  <si>
    <t>Plastic-254Bag Chat-150Bags</t>
  </si>
  <si>
    <t>05.04.18</t>
  </si>
  <si>
    <t>Modina Poultry &amp; Fish (Khadija)</t>
  </si>
  <si>
    <t>DMN 14-3630</t>
  </si>
  <si>
    <t>DMT 15-1530</t>
  </si>
  <si>
    <t>06.04.18</t>
  </si>
  <si>
    <t>JT 11-1129</t>
  </si>
  <si>
    <t>DMT 14-0535</t>
  </si>
  <si>
    <t>DMT 18-9549</t>
  </si>
  <si>
    <t>3-Option Agrovet Ltd.</t>
  </si>
  <si>
    <t>DMM 51-5525</t>
  </si>
  <si>
    <t>DMN 17-3659</t>
  </si>
  <si>
    <t>Modina Poultry &amp; Fish (Khadija)Cash</t>
  </si>
  <si>
    <t>Khan Store (Local Cash)</t>
  </si>
  <si>
    <t>CMT 11-7468</t>
  </si>
  <si>
    <t>DMT 20-7096</t>
  </si>
  <si>
    <t>DMT 20-3014</t>
  </si>
  <si>
    <t>07.04.18</t>
  </si>
  <si>
    <t>Bhai Bhai Traders</t>
  </si>
  <si>
    <t>DMT 13-2648</t>
  </si>
  <si>
    <t>TT 02-0268</t>
  </si>
  <si>
    <t>Chat</t>
  </si>
  <si>
    <t>DMT 18-2084</t>
  </si>
  <si>
    <t>DMT 20-8373</t>
  </si>
  <si>
    <t>DMT 16-4657</t>
  </si>
  <si>
    <t>DMT 18-4049</t>
  </si>
  <si>
    <t>DMT 18-0847</t>
  </si>
  <si>
    <t>CMT 11-7296</t>
  </si>
  <si>
    <t>DMT 20-3023</t>
  </si>
  <si>
    <t>DMT 16-5601</t>
  </si>
  <si>
    <t>CMT 11-3129</t>
  </si>
  <si>
    <t>DMT 15-2457</t>
  </si>
  <si>
    <t>DMT 20-9589</t>
  </si>
  <si>
    <t>08.04.18</t>
  </si>
  <si>
    <t>DMT 20-0253</t>
  </si>
  <si>
    <t>DMT 20-4612</t>
  </si>
  <si>
    <t>Super Quality</t>
  </si>
  <si>
    <t>DMT 14-4407</t>
  </si>
  <si>
    <t>Layer Vitamine</t>
  </si>
  <si>
    <t>DMN 13-2288</t>
  </si>
  <si>
    <t>GT 11-0004</t>
  </si>
  <si>
    <t>CMT 11-5836</t>
  </si>
  <si>
    <t>DMT 20-3580</t>
  </si>
  <si>
    <t>CMT 11-6604</t>
  </si>
  <si>
    <t>CMT 11-3096</t>
  </si>
  <si>
    <t>DMT 11-5349</t>
  </si>
  <si>
    <t>DMD 14-6328</t>
  </si>
  <si>
    <t>09.04.18</t>
  </si>
  <si>
    <t>CMT 02-0758</t>
  </si>
  <si>
    <t>BGT 11-0307</t>
  </si>
  <si>
    <t>DMT 18-8396</t>
  </si>
  <si>
    <t>DMT 18-2201</t>
  </si>
  <si>
    <t>Rice Polish</t>
  </si>
  <si>
    <t>KT 11-2112</t>
  </si>
  <si>
    <t>10.04.18</t>
  </si>
  <si>
    <t>DMT 16-3366</t>
  </si>
  <si>
    <t>DMT 11-4794</t>
  </si>
  <si>
    <t>GT 11-0310</t>
  </si>
  <si>
    <t>BG-4950Pcs</t>
  </si>
  <si>
    <t>11.04.18</t>
  </si>
  <si>
    <t>DMT 20-5418</t>
  </si>
  <si>
    <t>DMN 13-4083</t>
  </si>
  <si>
    <t>Khan Traders</t>
  </si>
  <si>
    <t>DMT 11-5345</t>
  </si>
  <si>
    <t>DMT 16-3408</t>
  </si>
  <si>
    <t>DMN 15-3377</t>
  </si>
  <si>
    <t>12.04.18</t>
  </si>
  <si>
    <t>DMT 15-2130</t>
  </si>
  <si>
    <t>DMT 18-8621</t>
  </si>
  <si>
    <t>13.04.18</t>
  </si>
  <si>
    <t>Modina Trading Corp</t>
  </si>
  <si>
    <t>DMT 11-6505</t>
  </si>
  <si>
    <t>Nurunnahar Traders</t>
  </si>
  <si>
    <t>DMT 13-0648</t>
  </si>
  <si>
    <t>DMT 16-9636</t>
  </si>
  <si>
    <t>14.04.18</t>
  </si>
  <si>
    <t>DMT 14-7822</t>
  </si>
  <si>
    <t>JT 11-2570</t>
  </si>
  <si>
    <t>DMT 20-3332</t>
  </si>
  <si>
    <t>15.04.18</t>
  </si>
  <si>
    <t>DMT 18-7684</t>
  </si>
  <si>
    <t>Rafit Oil Meal</t>
  </si>
  <si>
    <t>D Hi-3500Pcs, Liner (25x45)-2950Pcs</t>
  </si>
  <si>
    <t>NKT 11-0159</t>
  </si>
  <si>
    <t>CMT 11-6550</t>
  </si>
  <si>
    <t>CMT 02-0251</t>
  </si>
  <si>
    <t>FT 05-0082</t>
  </si>
  <si>
    <t>CMT 02-0449</t>
  </si>
  <si>
    <t>CMT 11-7462</t>
  </si>
  <si>
    <t>16.04.18</t>
  </si>
  <si>
    <t>DMT 14-3736</t>
  </si>
  <si>
    <t>KST 05-0069</t>
  </si>
  <si>
    <t>BGT 11-0930</t>
  </si>
  <si>
    <t>DMD 14-0956</t>
  </si>
  <si>
    <t>17.04.18</t>
  </si>
  <si>
    <t>DMT 14-8104</t>
  </si>
  <si>
    <t>DMT 15-1976</t>
  </si>
  <si>
    <t>All Amin Store (Local Cash)</t>
  </si>
  <si>
    <t>Rafit Oil Meal Local Cash)</t>
  </si>
  <si>
    <t>DMT 18-0881</t>
  </si>
  <si>
    <t>18.04.18</t>
  </si>
  <si>
    <t>DMT 18-2381</t>
  </si>
  <si>
    <t>Gute Care</t>
  </si>
  <si>
    <t xml:space="preserve">Zaman &amp; Brothers </t>
  </si>
  <si>
    <t>Krishibid Salt Ltd.</t>
  </si>
  <si>
    <t>Dry Fish</t>
  </si>
  <si>
    <t>19.04.18</t>
  </si>
  <si>
    <t>DMT 18-0528</t>
  </si>
  <si>
    <t>20.04.18</t>
  </si>
  <si>
    <t>21.04.18</t>
  </si>
  <si>
    <t>DMT 20-8050</t>
  </si>
  <si>
    <t>Dhi-1500Pcs</t>
  </si>
  <si>
    <t>22.04.18</t>
  </si>
  <si>
    <t>DMT 14-9029</t>
  </si>
  <si>
    <t>DMT 20-6313</t>
  </si>
  <si>
    <t>23.04.18</t>
  </si>
  <si>
    <t>DMU 11-1380</t>
  </si>
  <si>
    <t>JT 11-0722</t>
  </si>
  <si>
    <t>Krishibid Trading Ltd.(Tomal Motsho)</t>
  </si>
  <si>
    <t>DR-4900pcs</t>
  </si>
  <si>
    <t>24.04.18</t>
  </si>
  <si>
    <t>Bonik store</t>
  </si>
  <si>
    <t>Krishibid Trading Ltd. (Samaila)</t>
  </si>
  <si>
    <t>CGF-4790Pcs, PGF-4780Pcs</t>
  </si>
  <si>
    <t>25.04.18</t>
  </si>
  <si>
    <t>DMT 20-2573</t>
  </si>
  <si>
    <t>DMT 20-8024</t>
  </si>
  <si>
    <t>DMN 15-5289</t>
  </si>
  <si>
    <t>DMT 13-2717</t>
  </si>
  <si>
    <t>DMT 13-2692</t>
  </si>
  <si>
    <t>PFS-4835Pcs, PGS-500Pcs, LL-5150Pcs</t>
  </si>
  <si>
    <t>26.04.18</t>
  </si>
  <si>
    <t>Plastic280 &amp; Chat-34</t>
  </si>
  <si>
    <t>DMT 14-4734</t>
  </si>
  <si>
    <t>Konabari Traders</t>
  </si>
  <si>
    <t>DMT 16-7916</t>
  </si>
  <si>
    <t>27.04.18</t>
  </si>
  <si>
    <t>Plastic-60%, Chat-40%</t>
  </si>
  <si>
    <t>28.04.18</t>
  </si>
  <si>
    <t>30 , 29</t>
  </si>
  <si>
    <t>DMT 16-8969</t>
  </si>
  <si>
    <t>KMT 11-1026</t>
  </si>
  <si>
    <t>PGS-4530Pcs</t>
  </si>
  <si>
    <t>29.04.18</t>
  </si>
  <si>
    <t>Krishibid Trading Ltd. (Nurunahar)</t>
  </si>
  <si>
    <t>DMT 20-8057</t>
  </si>
  <si>
    <t>DMT 22-1162</t>
  </si>
  <si>
    <t>30.04.18</t>
  </si>
  <si>
    <t>DMD 14-6506</t>
  </si>
  <si>
    <t>DMT 20-8213</t>
  </si>
  <si>
    <t>01.05.18</t>
  </si>
  <si>
    <t>DMT 11-7610</t>
  </si>
  <si>
    <t>DMT 20-5798</t>
  </si>
  <si>
    <t>Haji Jaker Hossain</t>
  </si>
  <si>
    <t>JT 11-3986</t>
  </si>
  <si>
    <t>Fufat Soya</t>
  </si>
  <si>
    <t>02.05.18</t>
  </si>
  <si>
    <t>03.05.18</t>
  </si>
  <si>
    <t>Nurunnaher Traders</t>
  </si>
  <si>
    <t>DMD 14-1892</t>
  </si>
  <si>
    <t>BT 11-1257</t>
  </si>
  <si>
    <t>Bonik Store (Tomal Mothso)</t>
  </si>
  <si>
    <t>lory</t>
  </si>
  <si>
    <t>04.05.18</t>
  </si>
  <si>
    <t>05.05.18</t>
  </si>
  <si>
    <t>06.05.18</t>
  </si>
  <si>
    <t>DMT 14-6596</t>
  </si>
  <si>
    <t>DMT 16-0690</t>
  </si>
  <si>
    <t>ACI LTD</t>
  </si>
  <si>
    <t>DMT 18-9638</t>
  </si>
  <si>
    <t>DMT 16-8921</t>
  </si>
  <si>
    <t>DMT 16-5795</t>
  </si>
  <si>
    <t>DMT 20-0247</t>
  </si>
  <si>
    <t>07.05.18</t>
  </si>
  <si>
    <t>08.05.18</t>
  </si>
  <si>
    <t>M S Trading</t>
  </si>
  <si>
    <t>DMU 14-2758</t>
  </si>
  <si>
    <t>DMU 12-0860</t>
  </si>
  <si>
    <t>MYM 02-0060</t>
  </si>
  <si>
    <t>DMD 14-1526</t>
  </si>
  <si>
    <t>Immunowal</t>
  </si>
  <si>
    <t>09.05.18</t>
  </si>
  <si>
    <t>Doctor's Agro- Vet Ltd.</t>
  </si>
  <si>
    <t>Alqurmold Natural (Mold Inhabitor)</t>
  </si>
  <si>
    <t>DMN 13-7892</t>
  </si>
  <si>
    <t>Alquernat Nebsui (Growth Promotor)</t>
  </si>
  <si>
    <t>DMD 14-3191</t>
  </si>
  <si>
    <t>Bonik Store (Tomal Mothso) Cash</t>
  </si>
  <si>
    <t>DMT 14-0684</t>
  </si>
  <si>
    <t>DMT 20-8058</t>
  </si>
  <si>
    <t>Krishibid Trading (Nurunnahar)</t>
  </si>
  <si>
    <t>10.05.18</t>
  </si>
  <si>
    <t>Innova Animel Health</t>
  </si>
  <si>
    <t>GT 11-0735</t>
  </si>
  <si>
    <t>alltech biotechnology pvt ltd.</t>
  </si>
  <si>
    <t>Yaa Sacc</t>
  </si>
  <si>
    <t>DMD 11-2602</t>
  </si>
  <si>
    <t>Optigen</t>
  </si>
  <si>
    <t>11.05.18</t>
  </si>
  <si>
    <t xml:space="preserve">Rape Seed </t>
  </si>
  <si>
    <t>DMT 22-1643</t>
  </si>
  <si>
    <t>Arifs Bangladesh Ltd.</t>
  </si>
  <si>
    <t>Hemicell HT</t>
  </si>
  <si>
    <t>DMA 14-1572</t>
  </si>
  <si>
    <t>Kemtrace Broiler Dry</t>
  </si>
  <si>
    <t>on test</t>
  </si>
  <si>
    <t>12.05.18</t>
  </si>
  <si>
    <t>DMT 14-1055</t>
  </si>
  <si>
    <t>DMD 11-9688</t>
  </si>
  <si>
    <t>DMT 14-7998</t>
  </si>
  <si>
    <t>DMM 13-0383</t>
  </si>
  <si>
    <t>DMA 11-4183</t>
  </si>
  <si>
    <t>LL-5475Pcs</t>
  </si>
  <si>
    <t>13.05.18</t>
  </si>
  <si>
    <t>DMT 14-8578</t>
  </si>
  <si>
    <t>14.05.18</t>
  </si>
  <si>
    <t>BG-4550Pcs, LL-5140Pcs</t>
  </si>
  <si>
    <t>15.05.18</t>
  </si>
  <si>
    <t>DMT 18-0598</t>
  </si>
  <si>
    <t>DMT 02-0847</t>
  </si>
  <si>
    <t>Mondol Feed Ltd.</t>
  </si>
  <si>
    <t>DMT 15-0445</t>
  </si>
  <si>
    <t>CT 11-0211</t>
  </si>
  <si>
    <t>DMT 11-9273</t>
  </si>
  <si>
    <t>16.05.18</t>
  </si>
  <si>
    <t>PT 11-0039</t>
  </si>
  <si>
    <t>DMT 14-5034</t>
  </si>
  <si>
    <t>TT 02-0752</t>
  </si>
  <si>
    <t>DMU 14-2752</t>
  </si>
  <si>
    <t>17.05.18</t>
  </si>
  <si>
    <t>Testy Fish &amp; Feed Industries</t>
  </si>
  <si>
    <t>Fish Premix</t>
  </si>
  <si>
    <t>DMD 11-2166</t>
  </si>
  <si>
    <t>DMT 20-8094</t>
  </si>
  <si>
    <t>Feedox</t>
  </si>
  <si>
    <t>LC (KFL) 45</t>
  </si>
  <si>
    <t>DMT 14-0894</t>
  </si>
  <si>
    <t>PMT 11-0783</t>
  </si>
  <si>
    <t>DMT 16-6685</t>
  </si>
  <si>
    <t>18.05.18</t>
  </si>
  <si>
    <t>Bonik Store</t>
  </si>
  <si>
    <t>NBT 02-0018</t>
  </si>
  <si>
    <t>DMT 20-1716</t>
  </si>
  <si>
    <t>PBT 11-0916</t>
  </si>
  <si>
    <t>19.05.18</t>
  </si>
  <si>
    <t>DMT 11-2958</t>
  </si>
  <si>
    <t>DMT 18-2727</t>
  </si>
  <si>
    <t>DMN 11-6184</t>
  </si>
  <si>
    <t>CMT 02-0083</t>
  </si>
  <si>
    <t>DMT 14-1070</t>
  </si>
  <si>
    <t>DMT 14-2079</t>
  </si>
  <si>
    <t>DMT 11-4273</t>
  </si>
  <si>
    <t>DMT 11-1029</t>
  </si>
  <si>
    <t>DMT 11-1724</t>
  </si>
  <si>
    <t>Krishibid Trading (Dobir Traders)</t>
  </si>
  <si>
    <t>20.05.18</t>
  </si>
  <si>
    <t>TT 11-0196</t>
  </si>
  <si>
    <t>DMT 13-4394</t>
  </si>
  <si>
    <t>DMT 15-2149</t>
  </si>
  <si>
    <t>21.05.18</t>
  </si>
  <si>
    <t>DMT 11-4642</t>
  </si>
  <si>
    <t>DMT 16-7417</t>
  </si>
  <si>
    <t>22.05.18</t>
  </si>
  <si>
    <t>DMT 20-5399</t>
  </si>
  <si>
    <t>DMT 14-6922</t>
  </si>
  <si>
    <t>DMT 18-4526</t>
  </si>
  <si>
    <t>DMT 16-7681</t>
  </si>
  <si>
    <t>DMN 13-1721</t>
  </si>
  <si>
    <t>A R Animel Health Ltd.</t>
  </si>
  <si>
    <t>Choline Cloride</t>
  </si>
  <si>
    <t>Allzyme Vegpro</t>
  </si>
  <si>
    <t>DMN 13-0310</t>
  </si>
  <si>
    <t>SMC Corporation</t>
  </si>
  <si>
    <t>DMT 18-6587</t>
  </si>
  <si>
    <t>DMT 22-0819</t>
  </si>
  <si>
    <t>DMT 15-0043</t>
  </si>
  <si>
    <t>DMT 20-7967</t>
  </si>
  <si>
    <t>9012.5 Ltr</t>
  </si>
  <si>
    <t>LL-5260Pcs</t>
  </si>
  <si>
    <t>Krishibid Trading (SMC)</t>
  </si>
  <si>
    <t>Mondol Feed Ltd. (Tomal)</t>
  </si>
  <si>
    <t>23.05.18</t>
  </si>
  <si>
    <t>Krishibid Trading (M S Trading)</t>
  </si>
  <si>
    <t>Krishibid Trading (Salauddin)</t>
  </si>
  <si>
    <t>DMU 14-2683</t>
  </si>
  <si>
    <t>DMT 14-8931</t>
  </si>
  <si>
    <t>CMT 11-7804</t>
  </si>
  <si>
    <t>DMT 14-9171</t>
  </si>
  <si>
    <t>PBT 11-0919</t>
  </si>
  <si>
    <t>BG-5100Pcs, TGF-8100Pcs</t>
  </si>
  <si>
    <t>24.05.18</t>
  </si>
  <si>
    <t>DMT 14-1646</t>
  </si>
  <si>
    <t>Samayla Enterprise</t>
  </si>
  <si>
    <t>DMT 14-9737</t>
  </si>
  <si>
    <t>DMT 13-3362</t>
  </si>
  <si>
    <t>DMT 20-2771</t>
  </si>
  <si>
    <t>Krishibid Trading (Hazi Mujahid)</t>
  </si>
  <si>
    <t>DMT 18-0524</t>
  </si>
  <si>
    <t>DMT 14-8022</t>
  </si>
  <si>
    <t>Mokka Poultry Feed</t>
  </si>
  <si>
    <t>25.05.18</t>
  </si>
  <si>
    <t>DMT 11-6332</t>
  </si>
  <si>
    <t>DMT 20-1372</t>
  </si>
  <si>
    <t>Fungus-3.5%</t>
  </si>
  <si>
    <t>Shahriar Enterprise</t>
  </si>
  <si>
    <t>SYT 11-0402</t>
  </si>
  <si>
    <t>26.05.18</t>
  </si>
  <si>
    <t>BGT 11-1372</t>
  </si>
  <si>
    <t>27.05.18</t>
  </si>
  <si>
    <t>TT 02-0819</t>
  </si>
  <si>
    <t>DMT 16-0140</t>
  </si>
  <si>
    <t>28.05.18</t>
  </si>
  <si>
    <t>Krishibid Trading (Bay Agro)</t>
  </si>
  <si>
    <t>DMN 13-0162</t>
  </si>
  <si>
    <t>Minarel Premix</t>
  </si>
  <si>
    <t>L Threonine</t>
  </si>
  <si>
    <t>DMT 16-2606</t>
  </si>
  <si>
    <t>Mayer Doya Enterprise (Local)</t>
  </si>
  <si>
    <t>521 &amp; 347</t>
  </si>
  <si>
    <t>29.05.18</t>
  </si>
  <si>
    <t>DMT 15-0301</t>
  </si>
  <si>
    <t>Krishibid Trading (J M Trad))</t>
  </si>
  <si>
    <t>DMT 06-0017</t>
  </si>
  <si>
    <t>Seven Star Salt crasing</t>
  </si>
  <si>
    <t>CGS-5060Pcs</t>
  </si>
  <si>
    <t>30.05.18</t>
  </si>
  <si>
    <t>Mondol Feed Ltd. (showrob)</t>
  </si>
  <si>
    <t>TT 02-0402</t>
  </si>
  <si>
    <t>DMT 20-8093</t>
  </si>
  <si>
    <t>31.05.18</t>
  </si>
  <si>
    <t>100MT</t>
  </si>
  <si>
    <t>JT 11-0506</t>
  </si>
  <si>
    <t>DMT 16-7079</t>
  </si>
  <si>
    <t>DMT 22-1186</t>
  </si>
  <si>
    <t>FT 11-0199</t>
  </si>
  <si>
    <t>DMD 14-2841</t>
  </si>
  <si>
    <t>BGT 11-1317</t>
  </si>
  <si>
    <t>3% Deduction for Fungus</t>
  </si>
  <si>
    <t>2.5% Deduction for Fungus</t>
  </si>
  <si>
    <t>01.06.18</t>
  </si>
  <si>
    <t>Krishibid Trading (samayle)</t>
  </si>
  <si>
    <t>JMT 11-0003</t>
  </si>
  <si>
    <t>Shahariar Enterprise</t>
  </si>
  <si>
    <t>TT 02-0877</t>
  </si>
  <si>
    <t>SYT 11-0099</t>
  </si>
  <si>
    <t>DMT 18-8173</t>
  </si>
  <si>
    <t>DMD 14-6693</t>
  </si>
  <si>
    <t>03.06.18</t>
  </si>
  <si>
    <t>Krishibid Feed Ltd. (M M Enterprise)</t>
  </si>
  <si>
    <t>Suruj Store (Local Cash)</t>
  </si>
  <si>
    <t>DMN 18-7869</t>
  </si>
  <si>
    <t xml:space="preserve">Gazi Mahmuda </t>
  </si>
  <si>
    <t>DMT 18-3099</t>
  </si>
  <si>
    <t>04.06.18</t>
  </si>
  <si>
    <t>DMT 18-3207</t>
  </si>
  <si>
    <t>DMT 11-9742</t>
  </si>
  <si>
    <t>05.06.18</t>
  </si>
  <si>
    <t>DMT 16-9532</t>
  </si>
  <si>
    <t>Krishibid Trading (J M Trading)</t>
  </si>
  <si>
    <t>TT 02-0815</t>
  </si>
  <si>
    <t>DMT 14-4623</t>
  </si>
  <si>
    <t>DMT 14-2597</t>
  </si>
  <si>
    <t>07.06.18</t>
  </si>
  <si>
    <t>BS-5880Pcs, Liner 26x47-10000Pcs</t>
  </si>
  <si>
    <t>08.06.18</t>
  </si>
  <si>
    <t>DMT 15-1770</t>
  </si>
  <si>
    <t>09.06.18</t>
  </si>
  <si>
    <t>DMT 11-9479</t>
  </si>
  <si>
    <t>AR Animal Health Ltd.</t>
  </si>
  <si>
    <t>DMN 11-7788</t>
  </si>
  <si>
    <t>Maduramicin</t>
  </si>
  <si>
    <t>Alltech Biotechnology pvt</t>
  </si>
  <si>
    <t>DMN 13-0210</t>
  </si>
  <si>
    <t>DR-4900Pcs</t>
  </si>
  <si>
    <t>11.06.18</t>
  </si>
  <si>
    <t>DMT 13-3547</t>
  </si>
  <si>
    <t>Modina Poultry &amp; Fish Feed (Khadija)</t>
  </si>
  <si>
    <t>DMN 17-2503</t>
  </si>
  <si>
    <t>J M Trading (Makki Feed)</t>
  </si>
  <si>
    <t>DMT 22-0419</t>
  </si>
  <si>
    <t>DMT 15-3657</t>
  </si>
  <si>
    <t>Antioxident (Feedox)</t>
  </si>
  <si>
    <t>DMA 11-4215</t>
  </si>
  <si>
    <t>12.06.18</t>
  </si>
  <si>
    <t>Jaker Traders</t>
  </si>
  <si>
    <t>DMT 18-5947</t>
  </si>
  <si>
    <t>DMT 16-1766</t>
  </si>
  <si>
    <t>DMN 18-9103</t>
  </si>
  <si>
    <t>LC (KFL) 0147</t>
  </si>
  <si>
    <t>DMT 11-1779</t>
  </si>
  <si>
    <t>DMT 20-3136</t>
  </si>
  <si>
    <t>DMT 15-3298</t>
  </si>
  <si>
    <t>BGT 11-1493</t>
  </si>
  <si>
    <t>DMU 17-6790</t>
  </si>
  <si>
    <t>Hatchery (Bahadurpur)-4740Pcs, BR-2700Pcs</t>
  </si>
  <si>
    <t>DMN 13-3936</t>
  </si>
  <si>
    <t>13.06.18</t>
  </si>
  <si>
    <t>DMT 11-0950</t>
  </si>
  <si>
    <t>BGT 11-1043</t>
  </si>
  <si>
    <t>DMT 22-0745</t>
  </si>
  <si>
    <t>DMT 14-9756</t>
  </si>
  <si>
    <t>DMT 11-5114</t>
  </si>
  <si>
    <t>BGT 11-0082</t>
  </si>
  <si>
    <t>DMT 20-1167</t>
  </si>
  <si>
    <t>DMT 13-1847</t>
  </si>
  <si>
    <t>DMT 13-1816</t>
  </si>
  <si>
    <t>LC (KFL) 0148</t>
  </si>
  <si>
    <t>LC (KFL) 0149</t>
  </si>
  <si>
    <t>DMT 20-8395</t>
  </si>
  <si>
    <t>DMT 20-5216</t>
  </si>
  <si>
    <t>14.06.18</t>
  </si>
  <si>
    <t>DMT 14-9164</t>
  </si>
  <si>
    <t>DMT 20-6023</t>
  </si>
  <si>
    <t>DMT 18-1579</t>
  </si>
  <si>
    <t>BGT 11-1887</t>
  </si>
  <si>
    <t>DMT 16-5527</t>
  </si>
  <si>
    <t>BGT 11-1889</t>
  </si>
  <si>
    <t>DMT 15-0035</t>
  </si>
  <si>
    <t>DMT 14-9860</t>
  </si>
  <si>
    <t>DMT 14-3249</t>
  </si>
  <si>
    <t>DMT 22-2351</t>
  </si>
  <si>
    <t>DMT 20-7977</t>
  </si>
  <si>
    <t>ACI Ltd</t>
  </si>
  <si>
    <t>Cattle Primix (Calfostoric)</t>
  </si>
  <si>
    <t>15.06.18</t>
  </si>
  <si>
    <t>DMT 16-7594</t>
  </si>
  <si>
    <t>BGT 11-1387</t>
  </si>
  <si>
    <t>DMT 11-9117</t>
  </si>
  <si>
    <t>BGT 11-1886</t>
  </si>
  <si>
    <t>Rejowane Traders</t>
  </si>
  <si>
    <t>DMT 13-0161</t>
  </si>
  <si>
    <t>19.06.18</t>
  </si>
  <si>
    <t>Modina Poultry &amp; Fish Feed(Khadija)</t>
  </si>
  <si>
    <t>75 &amp; 76</t>
  </si>
  <si>
    <t>Bhai Bhai Traders (Local)</t>
  </si>
  <si>
    <t>DMN 14-7926</t>
  </si>
  <si>
    <t>Kemtrace</t>
  </si>
  <si>
    <t>Kemin Industries South Asia pvt Ltd.</t>
  </si>
  <si>
    <t>DMN 11-1706</t>
  </si>
  <si>
    <t>20.06.18</t>
  </si>
  <si>
    <t>DMD 12-0719</t>
  </si>
  <si>
    <t>JT 11-1838</t>
  </si>
  <si>
    <t>Bhai Bhai Store (Local)</t>
  </si>
  <si>
    <t>21.06.18</t>
  </si>
  <si>
    <t>Lory 1</t>
  </si>
  <si>
    <t>Lory 2</t>
  </si>
  <si>
    <t>22.06.18</t>
  </si>
  <si>
    <t>23.06.18</t>
  </si>
  <si>
    <t>DMN 9326</t>
  </si>
  <si>
    <t>DMT 20-6675</t>
  </si>
  <si>
    <t>DMT 22-1728</t>
  </si>
  <si>
    <t>Shahin Traders (Local)</t>
  </si>
  <si>
    <t>DMN 6202</t>
  </si>
  <si>
    <t>24.06.18</t>
  </si>
  <si>
    <t>DMT 22-1934</t>
  </si>
  <si>
    <t>DMT 18-0378</t>
  </si>
  <si>
    <t>DMT 13-1936</t>
  </si>
  <si>
    <t>Modina Trading Corporation</t>
  </si>
  <si>
    <t>DMT 11-6273</t>
  </si>
  <si>
    <t>DMT 13-2663</t>
  </si>
  <si>
    <t>DMT 11-8606</t>
  </si>
  <si>
    <t>DMT 15-1103</t>
  </si>
  <si>
    <t>Rovabio</t>
  </si>
  <si>
    <t>Zumar Bag Industries Ltd</t>
  </si>
  <si>
    <t>LL-4720 Pcs</t>
  </si>
  <si>
    <t>Shortage</t>
  </si>
  <si>
    <t>26.06.18</t>
  </si>
  <si>
    <t>DMT 13-4090</t>
  </si>
  <si>
    <t>27.06.18</t>
  </si>
  <si>
    <t>DMT 15-1761</t>
  </si>
  <si>
    <t>DMT 11-7973</t>
  </si>
  <si>
    <t>28.06.18</t>
  </si>
  <si>
    <t>DMT 15-2688</t>
  </si>
  <si>
    <t>DMT 13-0805</t>
  </si>
  <si>
    <t>JT 11-2198</t>
  </si>
  <si>
    <t>29.06.18</t>
  </si>
  <si>
    <t>Super Soyabean Oil</t>
  </si>
  <si>
    <t>DMT 22-2480</t>
  </si>
  <si>
    <t>DMT 14-5478</t>
  </si>
  <si>
    <t>DMT 20-6742</t>
  </si>
  <si>
    <t>BGT 11-1023</t>
  </si>
  <si>
    <t>LC (KTL) 0184</t>
  </si>
  <si>
    <t>DMT 13-4362</t>
  </si>
  <si>
    <t>DMT 20-4841</t>
  </si>
  <si>
    <t>DMT 16-1853</t>
  </si>
  <si>
    <t>30.06.18</t>
  </si>
  <si>
    <t>01.07.18</t>
  </si>
  <si>
    <t>DMT 16-0350</t>
  </si>
  <si>
    <t>BGT 11-0856</t>
  </si>
  <si>
    <t>BGT 11-1115</t>
  </si>
  <si>
    <t>DMT 11-9828</t>
  </si>
  <si>
    <t>DMT 13-0075</t>
  </si>
  <si>
    <t>02.07.18</t>
  </si>
  <si>
    <t>Krishibid Trading (Khan Traders)</t>
  </si>
  <si>
    <t>ESEL Trading</t>
  </si>
  <si>
    <t>DMT 11-2102</t>
  </si>
  <si>
    <t>DMT 15-0941</t>
  </si>
  <si>
    <t>DMT 15-2018</t>
  </si>
  <si>
    <t>DMT 22-2005</t>
  </si>
  <si>
    <t>DMT 16-0836</t>
  </si>
  <si>
    <t>DMT 14-6718</t>
  </si>
  <si>
    <t>BGT 11-0854</t>
  </si>
  <si>
    <t>DMT 20-4857</t>
  </si>
  <si>
    <t>DMT 20-3894</t>
  </si>
  <si>
    <t>DMT 11-4853</t>
  </si>
  <si>
    <t>DMT 15-1223</t>
  </si>
  <si>
    <t>03.07.18</t>
  </si>
  <si>
    <t>Arma Chemicals</t>
  </si>
  <si>
    <t>Magnesium Oxied</t>
  </si>
  <si>
    <t>DMM 54-1471</t>
  </si>
  <si>
    <t>Nil Trading Corporation</t>
  </si>
  <si>
    <t>DMT 22-0627</t>
  </si>
  <si>
    <t>DMT 13-2066</t>
  </si>
  <si>
    <t>DMT 16-2411</t>
  </si>
  <si>
    <t>DMT 22-1977</t>
  </si>
  <si>
    <t>04.07.18</t>
  </si>
  <si>
    <t>Sayabean Oil</t>
  </si>
  <si>
    <t>DMT 13-2524</t>
  </si>
  <si>
    <t>DMT16-6284</t>
  </si>
  <si>
    <t>DMT 11-0376</t>
  </si>
  <si>
    <t>DMT 13-1082</t>
  </si>
  <si>
    <t>DMT 16-0689</t>
  </si>
  <si>
    <t>DMT 14-8111</t>
  </si>
  <si>
    <t>DMT 20-6087</t>
  </si>
  <si>
    <t>DMT 20-3703</t>
  </si>
  <si>
    <t>05.07.18</t>
  </si>
  <si>
    <t>Immunowall (Prebiotice)</t>
  </si>
  <si>
    <t>DMD 14-1667</t>
  </si>
  <si>
    <t>DMT 15-3597</t>
  </si>
  <si>
    <t>BT 11-2159</t>
  </si>
  <si>
    <t>DMT 18-0764</t>
  </si>
  <si>
    <t>BGT 11-0707</t>
  </si>
  <si>
    <t>DMT 20-9320</t>
  </si>
  <si>
    <t>DMT 14-6653</t>
  </si>
  <si>
    <t>DMT 16-9145</t>
  </si>
  <si>
    <t>BGT 11-0987</t>
  </si>
  <si>
    <t>DMT 18-5293</t>
  </si>
  <si>
    <t>CMT 11-5808</t>
  </si>
  <si>
    <t>DMT 18-4168</t>
  </si>
  <si>
    <t>DMT 16-6176</t>
  </si>
  <si>
    <t>BGT 11-1551</t>
  </si>
  <si>
    <t>DMT 22-1826</t>
  </si>
  <si>
    <t>06.07.18</t>
  </si>
  <si>
    <t>DMT 13-2723</t>
  </si>
  <si>
    <t>DMT 16-5938</t>
  </si>
  <si>
    <t>DMT 13-3625</t>
  </si>
  <si>
    <t>DMT 22-0300</t>
  </si>
  <si>
    <t>DMT 20-7659</t>
  </si>
  <si>
    <t>DMU 14-2637</t>
  </si>
  <si>
    <t>DMT 11-9299</t>
  </si>
  <si>
    <t>DMT 13-2670</t>
  </si>
  <si>
    <t>DMT 11-9301</t>
  </si>
  <si>
    <t>DMT 22-2408</t>
  </si>
  <si>
    <t>DMT 13-0067</t>
  </si>
  <si>
    <t>BGT 11-1921</t>
  </si>
  <si>
    <t>DMT 14-9596</t>
  </si>
  <si>
    <t>07.07.18</t>
  </si>
  <si>
    <t>DMT 11-2907</t>
  </si>
  <si>
    <t>DMT 22-0143</t>
  </si>
  <si>
    <t>DMT 20-5487</t>
  </si>
  <si>
    <t>DMT 15-3493</t>
  </si>
  <si>
    <t>DMT 14-6845</t>
  </si>
  <si>
    <t>DMT 13-3935</t>
  </si>
  <si>
    <t>DMT 11-8402</t>
  </si>
  <si>
    <t>BGT 11-2150</t>
  </si>
  <si>
    <t>BGT 11-0689</t>
  </si>
  <si>
    <t>DMT 11-8968</t>
  </si>
  <si>
    <t>DMT 18-5177</t>
  </si>
  <si>
    <t>DMT 16-7340</t>
  </si>
  <si>
    <t>DMT 16-3620</t>
  </si>
  <si>
    <t>DMT 11-0171</t>
  </si>
  <si>
    <t>DMT 20-8944</t>
  </si>
  <si>
    <t>DMT 13-4365</t>
  </si>
  <si>
    <t>DMT 16-6096</t>
  </si>
  <si>
    <t>DMT 15-3816</t>
  </si>
  <si>
    <t>BGT 11-1325</t>
  </si>
  <si>
    <t>DMT 16-0209</t>
  </si>
  <si>
    <t>BGT 11-0786</t>
  </si>
  <si>
    <t>DMT 14-3525</t>
  </si>
  <si>
    <t>08.07.18</t>
  </si>
  <si>
    <t>Alltech Biotechnology Ltd.</t>
  </si>
  <si>
    <t>DMT 11-2759</t>
  </si>
  <si>
    <t>DMT 18-9977</t>
  </si>
  <si>
    <t>DMT 14-8321</t>
  </si>
  <si>
    <t>DMT 11-4741</t>
  </si>
  <si>
    <t>RPT 11-0017</t>
  </si>
  <si>
    <t>BGT 11-0945</t>
  </si>
  <si>
    <t>BGT 11-0556</t>
  </si>
  <si>
    <t>JT 02-0261</t>
  </si>
  <si>
    <t>DMT 22-0656</t>
  </si>
  <si>
    <t>DMT 16-3169</t>
  </si>
  <si>
    <t>BGT 11-1153</t>
  </si>
  <si>
    <t>DMT 11-2693</t>
  </si>
  <si>
    <t>09.07.18</t>
  </si>
  <si>
    <t>DMT 14-6491</t>
  </si>
  <si>
    <t>BGT 11-0890</t>
  </si>
  <si>
    <t>DMT 22-1285</t>
  </si>
  <si>
    <t>DMT 20-7173</t>
  </si>
  <si>
    <t>DMT 18-8279</t>
  </si>
  <si>
    <t>DMT 14-2499</t>
  </si>
  <si>
    <t>BGT 11-1401</t>
  </si>
  <si>
    <t>DMT 14-6651</t>
  </si>
  <si>
    <t>DMD 14-2591</t>
  </si>
  <si>
    <t>BGT 11-0780</t>
  </si>
  <si>
    <t>BGT 11-0420</t>
  </si>
  <si>
    <t>CMT 11-0060</t>
  </si>
  <si>
    <t>10.07.18</t>
  </si>
  <si>
    <t>DMT 14-3166</t>
  </si>
  <si>
    <t>LSP</t>
  </si>
  <si>
    <t>Toly</t>
  </si>
  <si>
    <t>JNS Technology</t>
  </si>
  <si>
    <t>Maduramycin</t>
  </si>
  <si>
    <t>DMN 11-7824</t>
  </si>
  <si>
    <t>11.07.18</t>
  </si>
  <si>
    <t>DMP 11-5381</t>
  </si>
  <si>
    <t>Doctor's Agro Ltd.</t>
  </si>
  <si>
    <t>Alquermold Natural</t>
  </si>
  <si>
    <t>GMCH 11-0116</t>
  </si>
  <si>
    <t>Alquernat Nebsui</t>
  </si>
  <si>
    <t>DMD 14-5105</t>
  </si>
  <si>
    <t>12.07.18</t>
  </si>
  <si>
    <t>Mondol Feed Ltd</t>
  </si>
  <si>
    <t>Filter Atta</t>
  </si>
  <si>
    <t>DMN 17-5880</t>
  </si>
  <si>
    <t>DMT 13-0998</t>
  </si>
  <si>
    <t>DMT 18-1671</t>
  </si>
  <si>
    <t>DMT 18-9518</t>
  </si>
  <si>
    <t>DMT 20-5274</t>
  </si>
  <si>
    <t>13.07.18</t>
  </si>
  <si>
    <t>14.07.18</t>
  </si>
  <si>
    <t>DMT 18-3863</t>
  </si>
  <si>
    <t>DMT 14-8639</t>
  </si>
  <si>
    <t>colfostonic</t>
  </si>
  <si>
    <t>DMU 14-1006</t>
  </si>
  <si>
    <t>15.07.18</t>
  </si>
  <si>
    <t>DMT 16-8665</t>
  </si>
  <si>
    <t>Amin Trade &amp; Enginering</t>
  </si>
  <si>
    <t>BWTC</t>
  </si>
  <si>
    <t>DMT 26-2246</t>
  </si>
  <si>
    <t>16.07.18</t>
  </si>
  <si>
    <t>PT 14-0031</t>
  </si>
  <si>
    <t>7150kg</t>
  </si>
  <si>
    <t>17.07.18</t>
  </si>
  <si>
    <t>DMT 22-0701</t>
  </si>
  <si>
    <t>BGT 11-0424</t>
  </si>
  <si>
    <t>DMT 18-0969</t>
  </si>
  <si>
    <t>DMT 16-8296</t>
  </si>
  <si>
    <t>DMT 11-8438</t>
  </si>
  <si>
    <t>DMT 13-0825</t>
  </si>
  <si>
    <t>18.07.18</t>
  </si>
  <si>
    <t>DMT 20-5449</t>
  </si>
  <si>
    <t>DMN 14-8284</t>
  </si>
  <si>
    <t>Rickshow</t>
  </si>
  <si>
    <t>DMT 14-1552</t>
  </si>
  <si>
    <t>BGT 11-1392</t>
  </si>
  <si>
    <t>DMT 22-0302</t>
  </si>
  <si>
    <t>19.07.18</t>
  </si>
  <si>
    <t>DMU 14-2688</t>
  </si>
  <si>
    <t>RPT 02-0073</t>
  </si>
  <si>
    <t>DMT 18-2275</t>
  </si>
  <si>
    <t>DMT 13-5781</t>
  </si>
  <si>
    <t>CMT 11-8009</t>
  </si>
  <si>
    <t>PFF-5000Pcs, CGF-4920pcs, LL-1380Pcs</t>
  </si>
  <si>
    <t>20.07.18</t>
  </si>
  <si>
    <t>21.07.18</t>
  </si>
  <si>
    <t>93 &amp;92</t>
  </si>
  <si>
    <t>DMT 14-4779</t>
  </si>
  <si>
    <t>DMD 14-2478</t>
  </si>
  <si>
    <t>22.07.18</t>
  </si>
  <si>
    <t>DMT 13-4848</t>
  </si>
  <si>
    <t>DMT 18-7234</t>
  </si>
  <si>
    <t>BGT 11-0377</t>
  </si>
  <si>
    <t>24.07.18</t>
  </si>
  <si>
    <t>DMU 14-1466</t>
  </si>
  <si>
    <t>26.07.18</t>
  </si>
  <si>
    <t>27.07.18</t>
  </si>
  <si>
    <t>DMU 14-4711</t>
  </si>
  <si>
    <t>DMT 16-7833</t>
  </si>
  <si>
    <t>28.07.18</t>
  </si>
  <si>
    <t>DMT 16-4706</t>
  </si>
  <si>
    <t>DMN 17-2236</t>
  </si>
  <si>
    <t>103 &amp; 104</t>
  </si>
  <si>
    <t>PFF-280Pcs, LS-5230Pcs</t>
  </si>
  <si>
    <t>29.07.18</t>
  </si>
  <si>
    <t>CMT 11-2897</t>
  </si>
  <si>
    <t>DMT 11-8603</t>
  </si>
  <si>
    <t>DMT 20-9934</t>
  </si>
  <si>
    <t>DMU 14-2313</t>
  </si>
  <si>
    <t>30.07.18</t>
  </si>
  <si>
    <t>Sanjoy Trading</t>
  </si>
  <si>
    <t>DMT 14-2357</t>
  </si>
  <si>
    <t>DMT 13-13-1076</t>
  </si>
  <si>
    <t>DMT 20-1030</t>
  </si>
  <si>
    <t>DMT 11-9120</t>
  </si>
  <si>
    <t>DMT 22-2835</t>
  </si>
  <si>
    <t>DMT 14-8522</t>
  </si>
  <si>
    <t>Sanjoy Trading co.</t>
  </si>
  <si>
    <t>31.07.18</t>
  </si>
  <si>
    <t>JT 11-1200</t>
  </si>
  <si>
    <t>PCT 11-0107</t>
  </si>
  <si>
    <t>JST 11-1395</t>
  </si>
  <si>
    <t>DMT 14-6558</t>
  </si>
  <si>
    <t>DMT 16-0440</t>
  </si>
  <si>
    <t>Pabna Chemicals Supply</t>
  </si>
  <si>
    <t>DMN 11-9688</t>
  </si>
  <si>
    <t>BGT 11-0855</t>
  </si>
  <si>
    <t>01.08.18</t>
  </si>
  <si>
    <t>DMT 15-1323</t>
  </si>
  <si>
    <t>DMT 13-1284</t>
  </si>
  <si>
    <t>DMT 13-1866</t>
  </si>
  <si>
    <t>DMT 16-0383</t>
  </si>
  <si>
    <t>02.08.18</t>
  </si>
  <si>
    <t>Denuguard (Moldkiller)</t>
  </si>
  <si>
    <t>DMN 51-5525</t>
  </si>
  <si>
    <t>Zumar Bag Industries Ltd,</t>
  </si>
  <si>
    <t>Layer Grower</t>
  </si>
  <si>
    <t>LG-5250Pcs</t>
  </si>
  <si>
    <t>03.08.18</t>
  </si>
  <si>
    <t>DMT 20-9465</t>
  </si>
  <si>
    <t>Salstop</t>
  </si>
  <si>
    <t>DMA 51-8295</t>
  </si>
  <si>
    <t>Bangal Agrovet Ltd.</t>
  </si>
  <si>
    <t>Colizag (Colistin Sulphate)</t>
  </si>
  <si>
    <t>NKN 11-0053</t>
  </si>
  <si>
    <t>Zymyeast 100</t>
  </si>
  <si>
    <t>DMT 20-1376</t>
  </si>
  <si>
    <t>04.08.18</t>
  </si>
  <si>
    <t>Aver Agro Ltd.</t>
  </si>
  <si>
    <t>Feed Like</t>
  </si>
  <si>
    <t>DMG 17-3365</t>
  </si>
  <si>
    <t>05.08.18</t>
  </si>
  <si>
    <t>Tazon Agro Ltd.</t>
  </si>
  <si>
    <t>DMT 13-0903</t>
  </si>
  <si>
    <t>Krishibid Poultry Ltd. (Gugium)</t>
  </si>
  <si>
    <t>Propac</t>
  </si>
  <si>
    <t>06.08.18</t>
  </si>
  <si>
    <t>DMT 18-8750</t>
  </si>
  <si>
    <t>Kemtrac Broiler Dry</t>
  </si>
  <si>
    <t>07.08.18</t>
  </si>
  <si>
    <t>DMT 20-1232</t>
  </si>
  <si>
    <t>Alltech Biotechnology pvt Ltd.</t>
  </si>
  <si>
    <t>DMA 11-2759</t>
  </si>
  <si>
    <t>mc-3-07</t>
  </si>
  <si>
    <t>Allzyme Vigpro</t>
  </si>
  <si>
    <t>08.08.18</t>
  </si>
  <si>
    <t>DMT 16-7444</t>
  </si>
  <si>
    <t>DMT 22-1225</t>
  </si>
  <si>
    <t>Arif Bangladesh</t>
  </si>
  <si>
    <t xml:space="preserve">Propak </t>
  </si>
  <si>
    <t>DMA 14-1573</t>
  </si>
  <si>
    <t>Anti Oxidant</t>
  </si>
  <si>
    <t>11.08.18</t>
  </si>
  <si>
    <t>Doctor's Agrp Vet Ltd.</t>
  </si>
  <si>
    <t>GC 11-0117</t>
  </si>
  <si>
    <t xml:space="preserve">Jems Tech Internatinal </t>
  </si>
  <si>
    <t>BMD 10%</t>
  </si>
  <si>
    <t>DMN 17-1797</t>
  </si>
  <si>
    <t>DMA 14-2427</t>
  </si>
  <si>
    <t>12.08.18</t>
  </si>
  <si>
    <t>Bonik store (Tomal Mothso)</t>
  </si>
  <si>
    <t>647-48</t>
  </si>
  <si>
    <t>DMN 13-0383</t>
  </si>
  <si>
    <t>13.08.18</t>
  </si>
  <si>
    <t>DMT 11-9226</t>
  </si>
  <si>
    <t>Sanjoy Traders</t>
  </si>
  <si>
    <t>KST 11-1149</t>
  </si>
  <si>
    <t>Muslim Varities Store</t>
  </si>
  <si>
    <t>110MT</t>
  </si>
  <si>
    <t>Azizullah Mia Traders</t>
  </si>
  <si>
    <t>14.08.18</t>
  </si>
  <si>
    <t>DMT 13-0522</t>
  </si>
  <si>
    <t>DMT 20-3668</t>
  </si>
  <si>
    <t>DMT 22-3569</t>
  </si>
  <si>
    <t>Sobuj Bangla Enterprise</t>
  </si>
  <si>
    <t>15.08.18</t>
  </si>
  <si>
    <t>16.08.18</t>
  </si>
  <si>
    <t>DMD 11-2297</t>
  </si>
  <si>
    <t>DMT 22-2617</t>
  </si>
  <si>
    <t>17.08.18</t>
  </si>
  <si>
    <t>DMT 15-0340</t>
  </si>
  <si>
    <t>DMT 20-8900</t>
  </si>
  <si>
    <t>18.08.18</t>
  </si>
  <si>
    <t>Maduramycine</t>
  </si>
  <si>
    <t>2018/87</t>
  </si>
  <si>
    <t>BGT 11-0518</t>
  </si>
  <si>
    <t>19.08.18</t>
  </si>
  <si>
    <t>DMA 11-4812</t>
  </si>
  <si>
    <t>Beef R-4810Pcs, CGS-5090Pc, LL-2650Pcs</t>
  </si>
  <si>
    <t>DMU 16-0421</t>
  </si>
  <si>
    <t>LC (KFL) 20056</t>
  </si>
  <si>
    <t>BGT 11-1281</t>
  </si>
  <si>
    <t>DMT 16-3034</t>
  </si>
  <si>
    <t>BGT 11-2056</t>
  </si>
  <si>
    <t>S A International</t>
  </si>
  <si>
    <t>Mobile</t>
  </si>
  <si>
    <t>3 Drum</t>
  </si>
  <si>
    <t>20.08.18</t>
  </si>
  <si>
    <t>Liner</t>
  </si>
  <si>
    <t>DMN 15-4533</t>
  </si>
  <si>
    <t>23x42=5000pc, 26x47=5000pc</t>
  </si>
  <si>
    <t>DMT 20-9176</t>
  </si>
  <si>
    <t>DMT 14-2033</t>
  </si>
  <si>
    <t>21.08.18</t>
  </si>
  <si>
    <t>DMT 20-0344</t>
  </si>
  <si>
    <t>KST 11-2476</t>
  </si>
  <si>
    <t>DMT 11-4364</t>
  </si>
  <si>
    <t>DMT 13-3995</t>
  </si>
  <si>
    <t>DMT 18-3233</t>
  </si>
  <si>
    <t>DMT 22-1741</t>
  </si>
  <si>
    <t>CMT 11-7892</t>
  </si>
  <si>
    <t>KUST 11-0092</t>
  </si>
  <si>
    <t>DMT 13-5507</t>
  </si>
  <si>
    <t>DMT 20-2142</t>
  </si>
  <si>
    <t>DMT 15-0467</t>
  </si>
  <si>
    <t>JTA-11-1370</t>
  </si>
  <si>
    <t>DMT 20-1791</t>
  </si>
  <si>
    <t>CMT 11-6514</t>
  </si>
  <si>
    <t>DMT 20-2593</t>
  </si>
  <si>
    <t>DMT 18-5046</t>
  </si>
  <si>
    <t>DMT 18-9456</t>
  </si>
  <si>
    <t>DMU 14-1394</t>
  </si>
  <si>
    <t>23.08.18</t>
  </si>
  <si>
    <t>CMT 11-6956</t>
  </si>
  <si>
    <t>DMT 18-4185</t>
  </si>
  <si>
    <t>24.08.18</t>
  </si>
  <si>
    <t>DMT 11-3884</t>
  </si>
  <si>
    <t>DMT 18-2186</t>
  </si>
  <si>
    <t>DMT 11-3882</t>
  </si>
  <si>
    <t>DMT 18-0588</t>
  </si>
  <si>
    <t>DMT 11-3885</t>
  </si>
  <si>
    <t>DMT 11-3662</t>
  </si>
  <si>
    <t>DMT 11-3739</t>
  </si>
  <si>
    <t>DMT 11-3661</t>
  </si>
  <si>
    <t>25.08.18</t>
  </si>
  <si>
    <t>DMT 16-7801</t>
  </si>
  <si>
    <t>JST 11-4146</t>
  </si>
  <si>
    <t>JST 11-4374</t>
  </si>
  <si>
    <t>KST 11-1776</t>
  </si>
  <si>
    <t>DMT 11-2074</t>
  </si>
  <si>
    <t>KST 11-2385</t>
  </si>
  <si>
    <t>26.08.18</t>
  </si>
  <si>
    <t>JT 11-4411</t>
  </si>
  <si>
    <t>JT 11-3769</t>
  </si>
  <si>
    <t>JT 11-4666</t>
  </si>
  <si>
    <t>JT 11-3956</t>
  </si>
  <si>
    <t>JT 11-4147</t>
  </si>
  <si>
    <t>STh 11-0306</t>
  </si>
  <si>
    <t>28.08.18</t>
  </si>
  <si>
    <t>DMT 18-7943</t>
  </si>
  <si>
    <t>30.08.18</t>
  </si>
  <si>
    <t>Nurunnaher Trading</t>
  </si>
  <si>
    <t>DMT 11-9017</t>
  </si>
  <si>
    <t>DMT 18-9190</t>
  </si>
  <si>
    <t>31.08.18</t>
  </si>
  <si>
    <t>DMT 15-0753</t>
  </si>
  <si>
    <t>01.09.18</t>
  </si>
  <si>
    <t>DMT 16-3009</t>
  </si>
  <si>
    <t>Sanjoy Trading Co.</t>
  </si>
  <si>
    <t>03.09.18</t>
  </si>
  <si>
    <t>DMT 14-6714</t>
  </si>
  <si>
    <t>CMT 11-6274</t>
  </si>
  <si>
    <t>KT 11-1149</t>
  </si>
  <si>
    <t>SG-5020Pcs, DR-5060Pcs</t>
  </si>
  <si>
    <t>05.09.18</t>
  </si>
  <si>
    <t>Antioxident (Matoxistop)</t>
  </si>
  <si>
    <t>Doctor's Agro -vet Ltd.</t>
  </si>
  <si>
    <t>DMN 17-0906</t>
  </si>
  <si>
    <t>LL-5110Pcs, Dhi-4850Pcs</t>
  </si>
  <si>
    <t>06.09.18</t>
  </si>
  <si>
    <t>Rovabio Adv. T Flex</t>
  </si>
  <si>
    <t>DMA 55-0008</t>
  </si>
  <si>
    <t>DMA 11-4166</t>
  </si>
  <si>
    <t>07.09.18</t>
  </si>
  <si>
    <t>08.09.18</t>
  </si>
  <si>
    <t>DMT 20-0906</t>
  </si>
  <si>
    <t>DMT 22-0474</t>
  </si>
  <si>
    <t>DMT 11-9466</t>
  </si>
  <si>
    <t>BMD</t>
  </si>
  <si>
    <t>DMN 13-2690</t>
  </si>
  <si>
    <t>Maduuramycin</t>
  </si>
  <si>
    <t>DMU 11-4196</t>
  </si>
  <si>
    <t>09.09.18</t>
  </si>
  <si>
    <t>DMT 15-1040</t>
  </si>
  <si>
    <t>DMN 14-4351</t>
  </si>
  <si>
    <t>10.09.18</t>
  </si>
  <si>
    <t>Grease</t>
  </si>
  <si>
    <t>DMN 14-8521</t>
  </si>
  <si>
    <t>11.09.18</t>
  </si>
  <si>
    <t>DMT 11-4029</t>
  </si>
  <si>
    <t>DMT 18-0318</t>
  </si>
  <si>
    <t>DMT 20-0614</t>
  </si>
  <si>
    <t>Krishibid Trading Ltd. Bashundhara)</t>
  </si>
  <si>
    <t>12.09.18</t>
  </si>
  <si>
    <t>DMN 11-4966</t>
  </si>
  <si>
    <t>13.09.18</t>
  </si>
  <si>
    <t>Vetsfarema Bangladesh</t>
  </si>
  <si>
    <t>DCP</t>
  </si>
  <si>
    <t>DMN 13-8614</t>
  </si>
  <si>
    <t>14.09.18</t>
  </si>
  <si>
    <t>DMT 16-6923</t>
  </si>
  <si>
    <t>15.09.18</t>
  </si>
  <si>
    <t>CT 11-0687</t>
  </si>
  <si>
    <t>CT 11-1175</t>
  </si>
  <si>
    <t>16.09.18</t>
  </si>
  <si>
    <t>DMT 14-2535</t>
  </si>
  <si>
    <t>DMT 16-2394</t>
  </si>
  <si>
    <t>18.09.18</t>
  </si>
  <si>
    <t>DMT 13-5348</t>
  </si>
  <si>
    <t>Bikash Purpose Extra Truck Fare</t>
  </si>
  <si>
    <t>Demurrage Purpose Extra Truck Fare</t>
  </si>
  <si>
    <t>19.09.18</t>
  </si>
  <si>
    <t>DMT 6463</t>
  </si>
  <si>
    <t>TSF-4850pc, TGF-3500pc, CGS-2000PCs</t>
  </si>
  <si>
    <t>23.09.18</t>
  </si>
  <si>
    <t>24.09.18</t>
  </si>
  <si>
    <t>DMD 14-2381</t>
  </si>
  <si>
    <t>LL-5060Pcs, BG-5040Pcs, TGF-950Pcs, CGS-3010Pcs</t>
  </si>
  <si>
    <t>25.09.18</t>
  </si>
  <si>
    <t>28.09.18</t>
  </si>
  <si>
    <t>Krishibid Trading (Bashundhara)</t>
  </si>
  <si>
    <t>30.09.18</t>
  </si>
  <si>
    <t>DMT 14-5736</t>
  </si>
  <si>
    <t>01.10.18</t>
  </si>
  <si>
    <t>Modina Trading Corpn.</t>
  </si>
  <si>
    <t>DMT 14-4520</t>
  </si>
  <si>
    <t>Mondol Feed</t>
  </si>
  <si>
    <t>KT 11-0959</t>
  </si>
  <si>
    <t>01.10.19</t>
  </si>
  <si>
    <t>02.10.18</t>
  </si>
  <si>
    <t>Dobir Traders</t>
  </si>
  <si>
    <t>DMT 14-2243</t>
  </si>
  <si>
    <t>DMD 14-2993</t>
  </si>
  <si>
    <t>03.10.18</t>
  </si>
  <si>
    <t>JT 11-3256</t>
  </si>
  <si>
    <t>DMT 16-5960</t>
  </si>
  <si>
    <t>DMT 14-8939</t>
  </si>
  <si>
    <t>Shahin Traders</t>
  </si>
  <si>
    <t>05.10.18</t>
  </si>
  <si>
    <t>06.10.18</t>
  </si>
  <si>
    <t>JT 11-1271</t>
  </si>
  <si>
    <t>layer Vitamin</t>
  </si>
  <si>
    <t>DMN 18-2121</t>
  </si>
  <si>
    <t>Alquarmold Naural</t>
  </si>
  <si>
    <t>Alquarent Nebsui</t>
  </si>
  <si>
    <t>DMU 17-5388</t>
  </si>
  <si>
    <t>07.10.18</t>
  </si>
  <si>
    <t>08.10.18</t>
  </si>
  <si>
    <t>DMN 16-2941</t>
  </si>
  <si>
    <t>Choline Choline</t>
  </si>
  <si>
    <t>DMN 13-4007</t>
  </si>
  <si>
    <t>09.10.18</t>
  </si>
  <si>
    <t>DMT 13-5835</t>
  </si>
  <si>
    <t>BT 11-1077</t>
  </si>
  <si>
    <t>Innova animal health</t>
  </si>
  <si>
    <t>DMU 11-4181</t>
  </si>
  <si>
    <t>PGF-4980Pcs, CGF-4670Pcs</t>
  </si>
  <si>
    <t>DMN 17-3737</t>
  </si>
  <si>
    <t>10.10.18</t>
  </si>
  <si>
    <t>DMT 22-2453</t>
  </si>
  <si>
    <t>Krishibid Trading (City)</t>
  </si>
  <si>
    <t>DMT 20-4100</t>
  </si>
  <si>
    <t>DMT 20-9654</t>
  </si>
  <si>
    <t>DMN 15-4929</t>
  </si>
  <si>
    <t>11.10.18</t>
  </si>
  <si>
    <t>DMT 16-9315</t>
  </si>
  <si>
    <t>BT 11-1245</t>
  </si>
  <si>
    <t>BT 11-1937</t>
  </si>
  <si>
    <t>BGT 11-1906</t>
  </si>
  <si>
    <t>DMT 20-7685</t>
  </si>
  <si>
    <t>DR-4750Pcs</t>
  </si>
  <si>
    <t>12.10.18</t>
  </si>
  <si>
    <t>13.10.18</t>
  </si>
  <si>
    <t>CMT 11-8448</t>
  </si>
  <si>
    <t>DMT 11-7027</t>
  </si>
  <si>
    <t>CMT 11-8408</t>
  </si>
  <si>
    <t>DMT 22-3683</t>
  </si>
  <si>
    <t>DMT 20-9489</t>
  </si>
  <si>
    <t>DMT 15-4261</t>
  </si>
  <si>
    <t>DMT 13-6415</t>
  </si>
  <si>
    <t>DMT 15-3560</t>
  </si>
  <si>
    <t>DMT 20-0078</t>
  </si>
  <si>
    <t>Dhi-5180Pcs, BR -5040Pcs, TGS-5200Pcs</t>
  </si>
  <si>
    <t>14.10.18</t>
  </si>
  <si>
    <t>DMT 13-4439</t>
  </si>
  <si>
    <t>DMT 13-4441</t>
  </si>
  <si>
    <t>DMT 15-3599</t>
  </si>
  <si>
    <t>DMT 13-3013</t>
  </si>
  <si>
    <t>DMT 22-1909</t>
  </si>
  <si>
    <t>DMT 20-7087</t>
  </si>
  <si>
    <t>DMT 20-7088</t>
  </si>
  <si>
    <t>DMT 15-3798</t>
  </si>
  <si>
    <t>DMT 22-0018</t>
  </si>
  <si>
    <t>DMT 11-8599</t>
  </si>
  <si>
    <t>15.10.18</t>
  </si>
  <si>
    <t>Rich Polish</t>
  </si>
  <si>
    <t>DMT 13-2613</t>
  </si>
  <si>
    <t>CMT 11-7926</t>
  </si>
  <si>
    <t>CMT 11-2537</t>
  </si>
  <si>
    <t>DMT 11-8844</t>
  </si>
  <si>
    <t>CMT 11-7743</t>
  </si>
  <si>
    <t>CMT 11-7297</t>
  </si>
  <si>
    <t>CMT 11-7749</t>
  </si>
  <si>
    <t>DMT 13-4112</t>
  </si>
  <si>
    <t>16.10.18</t>
  </si>
  <si>
    <t>DMT 20-4556</t>
  </si>
  <si>
    <t>DMT 22-3807</t>
  </si>
  <si>
    <t>CMT 11-5511</t>
  </si>
  <si>
    <t>DMT 22-3391</t>
  </si>
  <si>
    <t>CMT 11-7522</t>
  </si>
  <si>
    <t>DMT 15-4283</t>
  </si>
  <si>
    <t>DMT 11-5425</t>
  </si>
  <si>
    <t>DMT 13-1813</t>
  </si>
  <si>
    <t>DMT 11-8840</t>
  </si>
  <si>
    <t>17.10.18</t>
  </si>
  <si>
    <t>Ashia Feed</t>
  </si>
  <si>
    <t>DMT 14-8882</t>
  </si>
  <si>
    <t>DMT 16-8802</t>
  </si>
  <si>
    <t>DMT 20-2671</t>
  </si>
  <si>
    <t>DMT 18-3387</t>
  </si>
  <si>
    <t>18.10.18</t>
  </si>
  <si>
    <t>DMT 14-7034</t>
  </si>
  <si>
    <t>19.10.18</t>
  </si>
  <si>
    <t>21.10.18</t>
  </si>
  <si>
    <t>Elitox</t>
  </si>
  <si>
    <t>DMA 14-0471</t>
  </si>
  <si>
    <t>Butipearl</t>
  </si>
  <si>
    <t>Chromflex C Dry</t>
  </si>
  <si>
    <t>23.10.18</t>
  </si>
  <si>
    <t>Seven Stare Salt Crasing Industries</t>
  </si>
  <si>
    <t>Moisture 10% deduct 4%</t>
  </si>
  <si>
    <t>25.10.18</t>
  </si>
  <si>
    <t>Krishibid Trading Ltd. (R S Enter)</t>
  </si>
  <si>
    <t>DMT 14-0431</t>
  </si>
  <si>
    <t>15235-36</t>
  </si>
  <si>
    <t>LL-6000Pcs, Liner 26x47=10000Pcs</t>
  </si>
  <si>
    <t>27.10.18</t>
  </si>
  <si>
    <t>Seaco Pvt Ltd.</t>
  </si>
  <si>
    <t>KMT 11-1237</t>
  </si>
  <si>
    <t>28.10.18</t>
  </si>
  <si>
    <t>DMT 13-4351</t>
  </si>
  <si>
    <t>DMT 13-4363</t>
  </si>
  <si>
    <t>DR-5060Pc, LL-3730pc, BG-4900pc</t>
  </si>
  <si>
    <t>29.10.18</t>
  </si>
  <si>
    <t>30.10.18</t>
  </si>
  <si>
    <t>DMT 13-6150</t>
  </si>
  <si>
    <t>DMT 13-2042</t>
  </si>
  <si>
    <t>BS-5070Pcs, SG-2000Pcs</t>
  </si>
  <si>
    <t>31.10.18</t>
  </si>
  <si>
    <t>JT 11-0606</t>
  </si>
  <si>
    <t>DMT 11-1692</t>
  </si>
  <si>
    <t>DMT 15-0558</t>
  </si>
  <si>
    <t>01.11.18</t>
  </si>
  <si>
    <t>Fariha Trade International</t>
  </si>
  <si>
    <t>DMT 13-2691</t>
  </si>
  <si>
    <t>Modina Trading Copn</t>
  </si>
  <si>
    <t>DMT 15-1998</t>
  </si>
  <si>
    <t>DMT 15-3188</t>
  </si>
  <si>
    <t>02.11.18</t>
  </si>
  <si>
    <t>DMT 22-4534</t>
  </si>
  <si>
    <t>DMT 15-1101</t>
  </si>
  <si>
    <t>03.11.18</t>
  </si>
  <si>
    <t>DMT 15-1640</t>
  </si>
  <si>
    <t>50MT</t>
  </si>
  <si>
    <t>DMT 15-1618</t>
  </si>
  <si>
    <t>04.11.18</t>
  </si>
  <si>
    <t>DMN 17-3962</t>
  </si>
  <si>
    <t>08.11.18</t>
  </si>
  <si>
    <t>DMT 20-9186</t>
  </si>
  <si>
    <t>10.11.18</t>
  </si>
  <si>
    <t>DMT 22-1816</t>
  </si>
  <si>
    <t>18-114</t>
  </si>
  <si>
    <t>DMT 14-6979</t>
  </si>
  <si>
    <t>11.11.18</t>
  </si>
  <si>
    <t>Krishibid Trading  (Khadija)</t>
  </si>
  <si>
    <t>DMT 15-0295</t>
  </si>
  <si>
    <t>Doctor's Agro Vet</t>
  </si>
  <si>
    <t>DMN 17-5388</t>
  </si>
  <si>
    <t>Rovabio Advance</t>
  </si>
  <si>
    <t>12.11.18</t>
  </si>
  <si>
    <t xml:space="preserve">Alal Enterprise </t>
  </si>
  <si>
    <t>Optiphose</t>
  </si>
  <si>
    <t>DMT 11-5381</t>
  </si>
  <si>
    <t>Zaman &amp; Brother</t>
  </si>
  <si>
    <t>NT 01-0003</t>
  </si>
  <si>
    <t xml:space="preserve">Immunowall </t>
  </si>
  <si>
    <t>Payra Feeds Ltd.</t>
  </si>
  <si>
    <t>Inter</t>
  </si>
  <si>
    <t>13.11.18</t>
  </si>
  <si>
    <t>DMT 15-2689</t>
  </si>
  <si>
    <t>SG-3160Pcs</t>
  </si>
  <si>
    <t>14.11.18</t>
  </si>
  <si>
    <t>DMT 14-2325</t>
  </si>
  <si>
    <t>DMT 16-6304</t>
  </si>
  <si>
    <t>DMT 22-3093</t>
  </si>
  <si>
    <t>DMT 18-1954</t>
  </si>
  <si>
    <t>DMU 12-0263</t>
  </si>
  <si>
    <t>15.11.18</t>
  </si>
  <si>
    <t>SLT 11-0086</t>
  </si>
  <si>
    <t>DMT 15-0388</t>
  </si>
  <si>
    <t>DMT 20-6897</t>
  </si>
  <si>
    <t>DMT 14-4567</t>
  </si>
  <si>
    <t>DMU 12-0264</t>
  </si>
  <si>
    <t>DMN 11-4166</t>
  </si>
  <si>
    <t>16.11.18</t>
  </si>
  <si>
    <t>DMT 18-9868</t>
  </si>
  <si>
    <t>DMT 18-2768</t>
  </si>
  <si>
    <t>DMT 20-7516</t>
  </si>
  <si>
    <t>PBT 11-0473</t>
  </si>
  <si>
    <t>DMT 13-1076</t>
  </si>
  <si>
    <t>18.11.18</t>
  </si>
  <si>
    <t>19.11.18</t>
  </si>
  <si>
    <t>DMT 22-5906</t>
  </si>
  <si>
    <t>Krishibid Trading  Ltd.</t>
  </si>
  <si>
    <t>Mould Inhabitor (Denuguard)</t>
  </si>
  <si>
    <t>DMN 14-4130</t>
  </si>
  <si>
    <t>DMT 15-3823</t>
  </si>
  <si>
    <t>20.11.18</t>
  </si>
  <si>
    <t>LC (KFL) 10193</t>
  </si>
  <si>
    <t>RPT 11-0146</t>
  </si>
  <si>
    <t>GT 11-0061</t>
  </si>
  <si>
    <t>DMT 15-2348</t>
  </si>
  <si>
    <t>DMT 13-6331</t>
  </si>
  <si>
    <t>DMT 18-6275</t>
  </si>
  <si>
    <t>Sobuj bangla Enterprise</t>
  </si>
  <si>
    <t>van</t>
  </si>
  <si>
    <t>21.11.18</t>
  </si>
  <si>
    <t>DMT 11-8908</t>
  </si>
  <si>
    <t>Stafac 110</t>
  </si>
  <si>
    <t>DMN 17-8470</t>
  </si>
  <si>
    <t>DMT 13-6207</t>
  </si>
  <si>
    <t>DMT 15-3904</t>
  </si>
  <si>
    <t>DMT 15-3905</t>
  </si>
  <si>
    <t>DMT 20-5276</t>
  </si>
  <si>
    <t>DMT 22-1636</t>
  </si>
  <si>
    <t>22.11.18</t>
  </si>
  <si>
    <t>Alltech Biotechnology Pvt</t>
  </si>
  <si>
    <t>DMN 17-8657</t>
  </si>
  <si>
    <t>24.11.18</t>
  </si>
  <si>
    <t>DMT 11-8498</t>
  </si>
  <si>
    <t>DMT 22-0787</t>
  </si>
  <si>
    <t>25.11.18</t>
  </si>
  <si>
    <t>DMT 18-7340</t>
  </si>
  <si>
    <t>DMT 14-8749</t>
  </si>
  <si>
    <t>26.11.18</t>
  </si>
  <si>
    <t>DMT 18-9871</t>
  </si>
  <si>
    <t>DMT 11-1198</t>
  </si>
  <si>
    <t>DMT 11-3207</t>
  </si>
  <si>
    <t>27.11.18</t>
  </si>
  <si>
    <t>DMT 15-4407</t>
  </si>
  <si>
    <t>DMT 15-4408</t>
  </si>
  <si>
    <t>DMT 14-5335</t>
  </si>
  <si>
    <t>DMT 15-1907</t>
  </si>
  <si>
    <t>Maa baber doya Enterprise</t>
  </si>
  <si>
    <t>29.11.18</t>
  </si>
  <si>
    <t>DMT 11-9408</t>
  </si>
  <si>
    <t>DMT 14-6666</t>
  </si>
  <si>
    <t>DMN 17-1159</t>
  </si>
  <si>
    <t>30.11.18</t>
  </si>
  <si>
    <t>DMT 13-0923</t>
  </si>
  <si>
    <t>01.12.18</t>
  </si>
  <si>
    <t>DMT 22-3109</t>
  </si>
  <si>
    <t>v MBM</t>
  </si>
  <si>
    <t>MBM v</t>
  </si>
  <si>
    <t>03.12.18</t>
  </si>
  <si>
    <t>04.12.18</t>
  </si>
  <si>
    <t>Omecron Agrovet Ltd.</t>
  </si>
  <si>
    <t>Tegamold (Mold Inhabitor)</t>
  </si>
  <si>
    <t>DMN 17-3921</t>
  </si>
  <si>
    <t>06.12.18</t>
  </si>
  <si>
    <t>07.12.18</t>
  </si>
  <si>
    <t>DMT 20-3417</t>
  </si>
  <si>
    <t>DMT 14-9205</t>
  </si>
  <si>
    <t>DMT 15-1372</t>
  </si>
  <si>
    <t>Krishibid Food &amp; Beverage Ltd.</t>
  </si>
  <si>
    <t>Westage Biscuit</t>
  </si>
  <si>
    <t>08.12.18</t>
  </si>
  <si>
    <t>Sonarbangla Enterprise</t>
  </si>
  <si>
    <t>DMT 14-9476</t>
  </si>
  <si>
    <t>DMT 14-6539</t>
  </si>
  <si>
    <t>DMT 15-2422</t>
  </si>
  <si>
    <t>DMT 20-2902</t>
  </si>
  <si>
    <t>DMD 14-2446</t>
  </si>
  <si>
    <t>TT 11-0131</t>
  </si>
  <si>
    <t>09.12.18</t>
  </si>
  <si>
    <t>CDT 11-0504</t>
  </si>
  <si>
    <t>10.12.18</t>
  </si>
  <si>
    <t>DMT 16-5194</t>
  </si>
  <si>
    <t xml:space="preserve">Rovabio advance </t>
  </si>
  <si>
    <t>ACE Phermaceutical</t>
  </si>
  <si>
    <t>TGF-5120Pcs, LL-4000Pcs</t>
  </si>
  <si>
    <t>11.12.18</t>
  </si>
  <si>
    <t>Altech Biotechnology pvt ltd.</t>
  </si>
  <si>
    <t>Allzyme vegpro</t>
  </si>
  <si>
    <t>MC 1-11</t>
  </si>
  <si>
    <t>12.12.18</t>
  </si>
  <si>
    <t>DMT 13-2424</t>
  </si>
  <si>
    <t>A R Animel Health</t>
  </si>
  <si>
    <t>Bengal Agro vet Ltd.</t>
  </si>
  <si>
    <t>Cattle Premix</t>
  </si>
  <si>
    <t>DMN 18-1902</t>
  </si>
  <si>
    <t>Arma Chemical</t>
  </si>
  <si>
    <t>Magesium Oxid</t>
  </si>
  <si>
    <t>DMN 15-4914</t>
  </si>
  <si>
    <t>DMA 114-1119</t>
  </si>
  <si>
    <t>LL-5930Pcs</t>
  </si>
  <si>
    <t>13.12.18</t>
  </si>
  <si>
    <t>DMT 13-2764</t>
  </si>
  <si>
    <t>DMN 13-5701</t>
  </si>
  <si>
    <t>14.12.18</t>
  </si>
  <si>
    <t>15.12.18</t>
  </si>
  <si>
    <t>DMU 11-4215</t>
  </si>
  <si>
    <t>16.12.18</t>
  </si>
  <si>
    <t>TT 02-0367</t>
  </si>
  <si>
    <t>DMT 14-5884</t>
  </si>
  <si>
    <t>DMT 14-7881</t>
  </si>
  <si>
    <t>DMT 11-1693</t>
  </si>
  <si>
    <t>SKT 11-0447</t>
  </si>
  <si>
    <t>DMT 20-1089</t>
  </si>
  <si>
    <t>Krishibid Trading Ltd. (Nurunnaher)</t>
  </si>
  <si>
    <t>17.12.18</t>
  </si>
  <si>
    <t>BGT 11-0540</t>
  </si>
  <si>
    <t>Naafco Agrovet Ltd.</t>
  </si>
  <si>
    <t>DMU 11-4527</t>
  </si>
  <si>
    <t>BG-4940Pcs</t>
  </si>
  <si>
    <t>18.12.18</t>
  </si>
  <si>
    <t>DMN 18-3062</t>
  </si>
  <si>
    <t>20.12.18</t>
  </si>
  <si>
    <t>SS-5240Pcs, DR-4200Pcs</t>
  </si>
  <si>
    <t>22.12.18</t>
  </si>
  <si>
    <t>DMT 15-3455</t>
  </si>
  <si>
    <t>DMT 15-1054</t>
  </si>
  <si>
    <t>23.12.18</t>
  </si>
  <si>
    <t>24.12.18</t>
  </si>
  <si>
    <t>DMT 13-6023</t>
  </si>
  <si>
    <t>DMT 15-0590</t>
  </si>
  <si>
    <t>Reduanur International</t>
  </si>
  <si>
    <t>DMT 15-5020</t>
  </si>
  <si>
    <t>DMT 11-6274</t>
  </si>
  <si>
    <t>25.12.18</t>
  </si>
  <si>
    <t>DMT 15-1116</t>
  </si>
  <si>
    <t>DMT 15-4158</t>
  </si>
  <si>
    <t>DMT 13-4982</t>
  </si>
  <si>
    <t>26.12.18</t>
  </si>
  <si>
    <t>DMT 14-5770</t>
  </si>
  <si>
    <t>27.12.18</t>
  </si>
  <si>
    <t>DMT 15-1597</t>
  </si>
  <si>
    <t>LG-5080Pcs, Dhi-3970Pcs</t>
  </si>
  <si>
    <t>28.12.18</t>
  </si>
  <si>
    <t>DMT 14-2728</t>
  </si>
  <si>
    <t>SKT 11-0103</t>
  </si>
  <si>
    <t>DMT 22-4650</t>
  </si>
  <si>
    <t>29.12.18</t>
  </si>
  <si>
    <t>Readuanur International</t>
  </si>
  <si>
    <t>31.12.18</t>
  </si>
  <si>
    <t>DMT 15-0589</t>
  </si>
  <si>
    <t>DMT 16-6837</t>
  </si>
  <si>
    <t>01.01.19</t>
  </si>
  <si>
    <t>DMT 14-3852</t>
  </si>
  <si>
    <t>02.01.19</t>
  </si>
  <si>
    <t>DMT 11-0515</t>
  </si>
  <si>
    <t>DMD 11-4528</t>
  </si>
  <si>
    <t>DMT 14-7747</t>
  </si>
  <si>
    <t>02.1.19</t>
  </si>
  <si>
    <t>03.01.19</t>
  </si>
  <si>
    <t>DMT 14-3294</t>
  </si>
  <si>
    <t>DMT 16-8400</t>
  </si>
  <si>
    <t>Sonar Bangla Enterprise</t>
  </si>
  <si>
    <t>DMT 16-2851</t>
  </si>
  <si>
    <t>04.01.19</t>
  </si>
  <si>
    <t>DMT 15-1228</t>
  </si>
  <si>
    <t>DMT 11-5474</t>
  </si>
  <si>
    <t>DMT 06-0224</t>
  </si>
  <si>
    <t>05.01.19</t>
  </si>
  <si>
    <t>DMT 20-1518</t>
  </si>
  <si>
    <t>PBT 11-0668</t>
  </si>
  <si>
    <t>06.01.19</t>
  </si>
  <si>
    <t>Sohodor Enterprise</t>
  </si>
  <si>
    <t>DMT 16-4963</t>
  </si>
  <si>
    <t>DMD 11-6730</t>
  </si>
  <si>
    <t>CMT 11-6418</t>
  </si>
  <si>
    <t>07.01.19</t>
  </si>
  <si>
    <t>DMT 11-8424</t>
  </si>
  <si>
    <t>DMT 15-2225</t>
  </si>
  <si>
    <t>08.01.19</t>
  </si>
  <si>
    <t>DMU 14-2691</t>
  </si>
  <si>
    <t>09.01.19</t>
  </si>
  <si>
    <t>DMT 13-2848</t>
  </si>
  <si>
    <t>DMT 14-7219</t>
  </si>
  <si>
    <t>DMU 14-2662</t>
  </si>
  <si>
    <t>DMU 14-2285</t>
  </si>
  <si>
    <t>Anti oxident</t>
  </si>
  <si>
    <t>DMM 14-0471</t>
  </si>
  <si>
    <t>Al Haj Enterprise (M S Trading)</t>
  </si>
  <si>
    <t>10.01.19</t>
  </si>
  <si>
    <t>CMT 11-7849</t>
  </si>
  <si>
    <t>DMT 20-2215</t>
  </si>
  <si>
    <t>DMT 22-5460</t>
  </si>
  <si>
    <t>DMT 16-0813</t>
  </si>
  <si>
    <t>Lysofort Dry</t>
  </si>
  <si>
    <t>Hemicel HT</t>
  </si>
  <si>
    <t>Avatac</t>
  </si>
  <si>
    <t>DMT 13-1762</t>
  </si>
  <si>
    <t>11.01.19</t>
  </si>
  <si>
    <t>DMT 20-2121</t>
  </si>
  <si>
    <t>DMT 11-4016</t>
  </si>
  <si>
    <t>DMT 13-5252</t>
  </si>
  <si>
    <t>CMT 11-8532</t>
  </si>
  <si>
    <t>DMT 11-4994</t>
  </si>
  <si>
    <t>mc 1-11</t>
  </si>
  <si>
    <t>12.01.19</t>
  </si>
  <si>
    <t>DMU 12-1740</t>
  </si>
  <si>
    <t>PBT 11-0952</t>
  </si>
  <si>
    <t>DMT 15-2209</t>
  </si>
  <si>
    <t>DMU 14-2271</t>
  </si>
  <si>
    <t>CMT 11-8095</t>
  </si>
  <si>
    <t>DMT 14-5613</t>
  </si>
  <si>
    <t>BIOLAB</t>
  </si>
  <si>
    <t>DMN 17-1327</t>
  </si>
  <si>
    <t>Oppo Feed Ltd.</t>
  </si>
  <si>
    <t>DMT 13-3517</t>
  </si>
  <si>
    <t>13.01.19</t>
  </si>
  <si>
    <t>PBT 11-0843</t>
  </si>
  <si>
    <t>DMT 13-4423</t>
  </si>
  <si>
    <t>CMT 11-7933</t>
  </si>
  <si>
    <t>PBT 11-0992</t>
  </si>
  <si>
    <t>DMU 11-4933</t>
  </si>
  <si>
    <t>DMT 18-9237</t>
  </si>
  <si>
    <t>DMT 20-6869</t>
  </si>
  <si>
    <t>Doctors Agro Vet Ltd.</t>
  </si>
  <si>
    <t>DMN 13-7899</t>
  </si>
  <si>
    <t>Adyan Agro ltd.</t>
  </si>
  <si>
    <t>Rovabiotic Advance Tflex</t>
  </si>
  <si>
    <t>DMU 11-4450</t>
  </si>
  <si>
    <t>14.01.19</t>
  </si>
  <si>
    <t>DMT 15-1997</t>
  </si>
  <si>
    <t>DMT 16-8279</t>
  </si>
  <si>
    <t>Islam Enterprise</t>
  </si>
  <si>
    <t>DMD 14-3274</t>
  </si>
  <si>
    <t>15.01.19</t>
  </si>
  <si>
    <t>DMT 13-2423</t>
  </si>
  <si>
    <t>Krishibid Trading (Sonar Bangla)</t>
  </si>
  <si>
    <t>JT 11-3603</t>
  </si>
  <si>
    <t>DMT 13-5018</t>
  </si>
  <si>
    <t>16.01.19</t>
  </si>
  <si>
    <t>Bonik Store (Tomal Motsho)</t>
  </si>
  <si>
    <t>Aden Trade Ltd. (Modina)</t>
  </si>
  <si>
    <t>DMT 14-1531</t>
  </si>
  <si>
    <t>DMT 11-1226</t>
  </si>
  <si>
    <t>DMT 15-3741</t>
  </si>
  <si>
    <t>17.01.19</t>
  </si>
  <si>
    <t>Krishibid Trading (Modina)</t>
  </si>
  <si>
    <t>DMT 18-3846</t>
  </si>
  <si>
    <t>Natufactant 250</t>
  </si>
  <si>
    <t>DMN 11-7316</t>
  </si>
  <si>
    <t>LL-5510Pcs</t>
  </si>
  <si>
    <t>18.01.19</t>
  </si>
  <si>
    <t>DMT 11-5730</t>
  </si>
  <si>
    <t>Magnesium Oxide</t>
  </si>
  <si>
    <t>DMT 20-6743</t>
  </si>
  <si>
    <t>19.01.19</t>
  </si>
  <si>
    <t>20.01.19</t>
  </si>
  <si>
    <t>DMT 11-1403</t>
  </si>
  <si>
    <t>21.01.19</t>
  </si>
  <si>
    <t>DMT 14-1887</t>
  </si>
  <si>
    <t>Sugar</t>
  </si>
  <si>
    <t>22.01.19</t>
  </si>
  <si>
    <t>DMT 22-2717</t>
  </si>
  <si>
    <t>23.01.19</t>
  </si>
  <si>
    <t>DMT 11-7197</t>
  </si>
  <si>
    <t>DMN 13-1982</t>
  </si>
  <si>
    <t>24.01.19</t>
  </si>
  <si>
    <t>BGT 11-0365</t>
  </si>
  <si>
    <t>BG-8220Pcs, BS-5080PcsSG-5160Pcs, DR-5280Pcs</t>
  </si>
  <si>
    <t>25.01.19</t>
  </si>
  <si>
    <t>DMT 13-2112</t>
  </si>
  <si>
    <t>DMT 15-3187</t>
  </si>
  <si>
    <t>CMT 11-7444</t>
  </si>
  <si>
    <t>Biolab Agrovet Ltd.</t>
  </si>
  <si>
    <t>DMN 18-3722</t>
  </si>
  <si>
    <t>26.01.19</t>
  </si>
  <si>
    <t>DMU 12-1741</t>
  </si>
  <si>
    <t>27.01.19</t>
  </si>
  <si>
    <t>DMT 15-3548</t>
  </si>
  <si>
    <t>LL-1000Pcs</t>
  </si>
  <si>
    <t>27.01.18</t>
  </si>
  <si>
    <t>28.01.19</t>
  </si>
  <si>
    <t>DMN 17-6782</t>
  </si>
  <si>
    <t>Crown Agro Industries Ltd.(Sohodor)</t>
  </si>
  <si>
    <t>LL-2220Pcs, LS--5000Pcs</t>
  </si>
  <si>
    <t>29.01.19</t>
  </si>
  <si>
    <t>30.01.19</t>
  </si>
  <si>
    <t>DMT 11-7198</t>
  </si>
  <si>
    <t>DMD 14-1812</t>
  </si>
  <si>
    <t>Yea Sace</t>
  </si>
  <si>
    <t>DMN 11-2262</t>
  </si>
  <si>
    <t>MC 6-30</t>
  </si>
  <si>
    <t>31.01.19</t>
  </si>
  <si>
    <t>DMT 16-5680</t>
  </si>
  <si>
    <t>DMT 16-5769</t>
  </si>
  <si>
    <t>DMT 20-6469</t>
  </si>
  <si>
    <t>Digital Salt Crasing Industries</t>
  </si>
  <si>
    <t>01.02.19</t>
  </si>
  <si>
    <t>02.02.19</t>
  </si>
  <si>
    <t>DMT 15-3490</t>
  </si>
  <si>
    <t>DMT 14-9180</t>
  </si>
  <si>
    <t>DMT 15-3970</t>
  </si>
  <si>
    <t>60 ton</t>
  </si>
  <si>
    <t>100ton</t>
  </si>
  <si>
    <t>03.02.19</t>
  </si>
  <si>
    <t>04.02.19</t>
  </si>
  <si>
    <t>DMT 13-5198</t>
  </si>
  <si>
    <t>Zuellig Pharma Bangladesh Ltd.</t>
  </si>
  <si>
    <t>Milk Boost</t>
  </si>
  <si>
    <t>DMA 11-3556</t>
  </si>
  <si>
    <t>DMU 11-2176</t>
  </si>
  <si>
    <t>DMD 14-3456</t>
  </si>
  <si>
    <t>DMN 14-0297</t>
  </si>
  <si>
    <t>BG 2000Pcs, BS-1000Pcs</t>
  </si>
  <si>
    <t>05.02.19</t>
  </si>
  <si>
    <t>LL-6160Pcs</t>
  </si>
  <si>
    <t>06.02.19</t>
  </si>
  <si>
    <t>DMN 17-0753</t>
  </si>
  <si>
    <t>07.02.19</t>
  </si>
  <si>
    <t>08.02.19</t>
  </si>
  <si>
    <t>BGT 11-1412</t>
  </si>
  <si>
    <t>Siyam Pvt Ltd.</t>
  </si>
  <si>
    <t>09.02.19</t>
  </si>
  <si>
    <t>JT 11-1395</t>
  </si>
  <si>
    <t>DMT 13-0907</t>
  </si>
  <si>
    <t>BT 11-0540</t>
  </si>
  <si>
    <t>10.02.19</t>
  </si>
  <si>
    <t>DMT 22-2335</t>
  </si>
  <si>
    <t>KT 11-0860</t>
  </si>
  <si>
    <t>DMT 16-0287</t>
  </si>
  <si>
    <t>DMT 18-8424</t>
  </si>
  <si>
    <t>DMT 11-4128</t>
  </si>
  <si>
    <t>DMT 16-6053</t>
  </si>
  <si>
    <t>DMT 18-7631</t>
  </si>
  <si>
    <t>DMT 15-4420</t>
  </si>
  <si>
    <t>ST 11-0114</t>
  </si>
  <si>
    <t>DMT 14-7867</t>
  </si>
  <si>
    <t>DMT 22-2265</t>
  </si>
  <si>
    <t>Krishibid Trading Ltd. (Khondoker)</t>
  </si>
  <si>
    <t>DMT 22-3232</t>
  </si>
  <si>
    <t>DMT 11-8370</t>
  </si>
  <si>
    <t>Rovabiotic</t>
  </si>
  <si>
    <t>DMT 11-8020</t>
  </si>
  <si>
    <t>Samadhan M/c &amp; Repair Shop</t>
  </si>
  <si>
    <t>96MT</t>
  </si>
  <si>
    <t>11.02.19</t>
  </si>
  <si>
    <t>DMT 11-5178</t>
  </si>
  <si>
    <t>DMT 14-7905</t>
  </si>
  <si>
    <t>DMT 11-5361</t>
  </si>
  <si>
    <t>DMT 11-4401</t>
  </si>
  <si>
    <t>DMT 18-8805</t>
  </si>
  <si>
    <t>DMT 15-2526</t>
  </si>
  <si>
    <t>DMT 18-3810</t>
  </si>
  <si>
    <t>1632</t>
  </si>
  <si>
    <t>Biolab Agrovet Ltd,</t>
  </si>
  <si>
    <t>12.02.19</t>
  </si>
  <si>
    <t>DMT 13-5476</t>
  </si>
  <si>
    <t>DMT 16-3338</t>
  </si>
  <si>
    <t>JT 11-2433</t>
  </si>
  <si>
    <t>DMT 16-2648</t>
  </si>
  <si>
    <t>FT 11-0103</t>
  </si>
  <si>
    <t>DMT 14-4013</t>
  </si>
  <si>
    <t>DMT 15-5289</t>
  </si>
  <si>
    <t>DMT 11-8964</t>
  </si>
  <si>
    <t>DMT 22-1326</t>
  </si>
  <si>
    <t>BGT 11-1123</t>
  </si>
  <si>
    <t>13.02.19</t>
  </si>
  <si>
    <t>Krishibid Trading Ltd. (Sonar Bangla)</t>
  </si>
  <si>
    <t>DMT 13-0799</t>
  </si>
  <si>
    <t>DMT 14-2308</t>
  </si>
  <si>
    <t>JT 11-1085</t>
  </si>
  <si>
    <t>DMT 13-6229</t>
  </si>
  <si>
    <t>14.02.19</t>
  </si>
  <si>
    <t>Hoover Agrovet Ltd.</t>
  </si>
  <si>
    <t>Quantum Blue</t>
  </si>
  <si>
    <t>DMN 18-7310</t>
  </si>
  <si>
    <t>Molistar</t>
  </si>
  <si>
    <t>DMN 18-4354</t>
  </si>
  <si>
    <t>15.02.19</t>
  </si>
  <si>
    <t>DMT 20-2638</t>
  </si>
  <si>
    <t>DMU 11-3962</t>
  </si>
  <si>
    <t>RMT 11-0307</t>
  </si>
  <si>
    <t>LC No. (KFL) 0024</t>
  </si>
  <si>
    <t>DMT 20-5181</t>
  </si>
  <si>
    <t>16.02.19</t>
  </si>
  <si>
    <t>CMT 11-8497</t>
  </si>
  <si>
    <t>DMT 16-7303</t>
  </si>
  <si>
    <t>DMT 16-4862</t>
  </si>
  <si>
    <t>DMT 16-2591</t>
  </si>
  <si>
    <t>Krishibid Trading Ltd.(SonarBangla)</t>
  </si>
  <si>
    <t>DMT 18-3679</t>
  </si>
  <si>
    <t>Alltech Biotecnology Pvt.ltd.</t>
  </si>
  <si>
    <t>mc 02-16</t>
  </si>
  <si>
    <t>Century Agro. Ltd.</t>
  </si>
  <si>
    <t>DMN 13-8969</t>
  </si>
  <si>
    <t>17.02.19</t>
  </si>
  <si>
    <t>DMT 14-9388</t>
  </si>
  <si>
    <t>DMT 16-3835</t>
  </si>
  <si>
    <t>DMT 22-6601</t>
  </si>
  <si>
    <t>DMT 18-5953</t>
  </si>
  <si>
    <t>DMT 18-2996</t>
  </si>
  <si>
    <t>DMT 14-8637</t>
  </si>
  <si>
    <t>BGT 02-0185</t>
  </si>
  <si>
    <t>18.02.19</t>
  </si>
  <si>
    <t>DMT 15-4232</t>
  </si>
  <si>
    <t>KMT 11-0462</t>
  </si>
  <si>
    <t>KT 11-2587</t>
  </si>
  <si>
    <t>RT 11-0398</t>
  </si>
  <si>
    <t>DMT 16-9958</t>
  </si>
  <si>
    <t>DMT 11-4565</t>
  </si>
  <si>
    <t>DMT 20-5913</t>
  </si>
  <si>
    <t>DMT 16-9798</t>
  </si>
  <si>
    <t>DMT 13-3131</t>
  </si>
  <si>
    <t>DMT 11-5286</t>
  </si>
  <si>
    <t>19.02.19</t>
  </si>
  <si>
    <t>Krishibid Trading Ltd.(SonarBangla / Aynaul))</t>
  </si>
  <si>
    <t>DMT 18-3275</t>
  </si>
  <si>
    <t>DMT 15-4237</t>
  </si>
  <si>
    <t>LL-5500Pcs</t>
  </si>
  <si>
    <t>20.02.19</t>
  </si>
  <si>
    <t>Krishibid Trading (Nurunnaher)</t>
  </si>
  <si>
    <t>DMN 13-5906</t>
  </si>
  <si>
    <t xml:space="preserve">ACE Pharmaceuticals </t>
  </si>
  <si>
    <t>21.02.19</t>
  </si>
  <si>
    <t>Krishibid Trading (Modina/ Dobir)</t>
  </si>
  <si>
    <t>DMT 13-2785</t>
  </si>
  <si>
    <t>22.02.19</t>
  </si>
  <si>
    <t>DMT 11-2842</t>
  </si>
  <si>
    <t>23.02.19</t>
  </si>
  <si>
    <t>24.02.19</t>
  </si>
  <si>
    <t>DMN 11-8785</t>
  </si>
  <si>
    <t>DMT 11-7337</t>
  </si>
  <si>
    <t>PBT 11-0315</t>
  </si>
  <si>
    <t>25.02.19</t>
  </si>
  <si>
    <t>27.02.19</t>
  </si>
  <si>
    <t>GT 11-0063</t>
  </si>
  <si>
    <t>LL-13220Pcs</t>
  </si>
  <si>
    <t>28.02.19</t>
  </si>
  <si>
    <t>02.03.19</t>
  </si>
  <si>
    <t>DMT 14-1356</t>
  </si>
  <si>
    <t>DMT 22-3247</t>
  </si>
  <si>
    <t>Seaco pvt Ltd</t>
  </si>
  <si>
    <t>DMT 15-4940</t>
  </si>
  <si>
    <t>LC</t>
  </si>
  <si>
    <t>CMT 11-7865</t>
  </si>
  <si>
    <t>03.03.19</t>
  </si>
  <si>
    <t>Soya Ful Fat</t>
  </si>
  <si>
    <t>CMT 11-5830</t>
  </si>
  <si>
    <t>DMT 14-9652</t>
  </si>
  <si>
    <t>CMT 11-2711</t>
  </si>
  <si>
    <t>04.03.19</t>
  </si>
  <si>
    <t>DMT 20-0527</t>
  </si>
  <si>
    <t>DMT 15-1910</t>
  </si>
  <si>
    <t>CMT 11-8762</t>
  </si>
  <si>
    <t>05.03.19</t>
  </si>
  <si>
    <t>DMT 13-2765</t>
  </si>
  <si>
    <t>DMT 16-3792</t>
  </si>
  <si>
    <t>Avatec</t>
  </si>
  <si>
    <t>06.03.19</t>
  </si>
  <si>
    <t>DMT 13-1819</t>
  </si>
  <si>
    <t>07.03.19</t>
  </si>
  <si>
    <t>DMD 11-4463</t>
  </si>
  <si>
    <t>DMT 20-7688</t>
  </si>
  <si>
    <t>DMM 17-8791</t>
  </si>
  <si>
    <t>Rovabio Advance Tflax</t>
  </si>
  <si>
    <t>08.03.19</t>
  </si>
  <si>
    <t>DMT 14-4887</t>
  </si>
  <si>
    <t>DMT 13-3371</t>
  </si>
  <si>
    <t>Seaco pvt Ltd.</t>
  </si>
  <si>
    <t>CTC Zyme</t>
  </si>
  <si>
    <t>PN 11-0024</t>
  </si>
  <si>
    <t>DMT 16-6265</t>
  </si>
  <si>
    <t>09.03.19</t>
  </si>
  <si>
    <t>CMT 11-7913</t>
  </si>
  <si>
    <t>10.03.19</t>
  </si>
  <si>
    <t>DMT 20-9790</t>
  </si>
  <si>
    <t>DMT 20-9827</t>
  </si>
  <si>
    <t>DMT 20-9840</t>
  </si>
  <si>
    <t>DMT 20-9858</t>
  </si>
  <si>
    <t>11.03.19</t>
  </si>
  <si>
    <t>DMT 20-9841</t>
  </si>
  <si>
    <t>BT 11-0949</t>
  </si>
  <si>
    <t>12.03.19</t>
  </si>
  <si>
    <t>DMT 13-2191</t>
  </si>
  <si>
    <t>DMN 13-3814</t>
  </si>
  <si>
    <t>DMN 16-6379</t>
  </si>
  <si>
    <t>13.03.19</t>
  </si>
  <si>
    <t xml:space="preserve">Alltech Biotechnology </t>
  </si>
  <si>
    <t>mc 01-13</t>
  </si>
  <si>
    <t>14.03.19</t>
  </si>
  <si>
    <t>DMT 20-9796</t>
  </si>
  <si>
    <t>DMT 20-9839</t>
  </si>
  <si>
    <t>DMT 18-5026</t>
  </si>
  <si>
    <t>DMT 20-9789</t>
  </si>
  <si>
    <t>DMT 18-1541</t>
  </si>
  <si>
    <t>DMT 16-3362</t>
  </si>
  <si>
    <t>DR-4800Pcs, BR-5200Pcs</t>
  </si>
  <si>
    <t>15.03.19</t>
  </si>
  <si>
    <t>DMT 22-4547</t>
  </si>
  <si>
    <t>DMT 20-9837</t>
  </si>
  <si>
    <t>DMT 15-3796</t>
  </si>
  <si>
    <t>DMT 18-5531</t>
  </si>
  <si>
    <t>DMT 20-9828</t>
  </si>
  <si>
    <t>DMT 20-2643</t>
  </si>
  <si>
    <t>DMT 20-8649</t>
  </si>
  <si>
    <t>16.03.19</t>
  </si>
  <si>
    <t>DMT 18-2740</t>
  </si>
  <si>
    <t>DMT 13-5701</t>
  </si>
  <si>
    <t>BGT 11-0949</t>
  </si>
  <si>
    <t>DMT 18-3705</t>
  </si>
  <si>
    <t>DMT 11-7205</t>
  </si>
  <si>
    <t>DMT 20-9793</t>
  </si>
  <si>
    <t>17.03.19</t>
  </si>
  <si>
    <t>Krishibid Trading Ltd. (Modina)</t>
  </si>
  <si>
    <t>DMT 16-7843</t>
  </si>
  <si>
    <t>Crown Agro Industries Ltd.(sohodor)</t>
  </si>
  <si>
    <t>challan Qty</t>
  </si>
  <si>
    <t>18.03.19</t>
  </si>
  <si>
    <t>Seaco Pvt Ltd</t>
  </si>
  <si>
    <t>DMT 18-7425</t>
  </si>
  <si>
    <t>DMT 02-0900</t>
  </si>
  <si>
    <t>19.03.19</t>
  </si>
  <si>
    <t>CMT 11-6397</t>
  </si>
  <si>
    <t>DMT 20-4671</t>
  </si>
  <si>
    <t>DMT 14-4197</t>
  </si>
  <si>
    <t>20.03.19</t>
  </si>
  <si>
    <t>DMD 14-1746</t>
  </si>
  <si>
    <t>Krishibid Trading Ltd.(Sonar)</t>
  </si>
  <si>
    <t>DMT 11-9304</t>
  </si>
  <si>
    <t>CT 11-0128</t>
  </si>
  <si>
    <t>DMD 11-1950</t>
  </si>
  <si>
    <t>21.03.19</t>
  </si>
  <si>
    <t>DMT 16-0571</t>
  </si>
  <si>
    <t>DMT 22-5884</t>
  </si>
  <si>
    <t>DMT 13-1199</t>
  </si>
  <si>
    <t>22.03.19</t>
  </si>
  <si>
    <t>Stafac 500</t>
  </si>
  <si>
    <t>DMM 11-5579</t>
  </si>
  <si>
    <t>ESEL Ltd. (Provet Resources Ltd.)</t>
  </si>
  <si>
    <t>23.03.19</t>
  </si>
  <si>
    <t>DMT 20-9779</t>
  </si>
  <si>
    <t>DMT 16-5549</t>
  </si>
  <si>
    <t>mc 02-23</t>
  </si>
  <si>
    <t>24.03.19</t>
  </si>
  <si>
    <t>DMT 14-6001</t>
  </si>
  <si>
    <t>Sifat Enterprise</t>
  </si>
  <si>
    <t>Super Pulm Oil</t>
  </si>
  <si>
    <t>Sifat Enterprise (Muktagacha)</t>
  </si>
  <si>
    <t>25.03.19</t>
  </si>
  <si>
    <t>DMT 11-8932</t>
  </si>
  <si>
    <t>DMT 14-5694</t>
  </si>
  <si>
    <t>DMT 20-6245</t>
  </si>
  <si>
    <t>26.03.19</t>
  </si>
  <si>
    <t>JT 11-2651</t>
  </si>
  <si>
    <t>DMT 15-0383</t>
  </si>
  <si>
    <t>DMT 13-2045</t>
  </si>
  <si>
    <t>27.03.19</t>
  </si>
  <si>
    <t>Krishibid Trading Ltd.(Khandoker)</t>
  </si>
  <si>
    <t>KT 11-2489</t>
  </si>
  <si>
    <t>PK Enterprise</t>
  </si>
  <si>
    <t>DMT 11-5063</t>
  </si>
  <si>
    <t>28.03.19</t>
  </si>
  <si>
    <t>CDT 11-0195</t>
  </si>
  <si>
    <t>TT 02-0561</t>
  </si>
  <si>
    <t>DMN 17-1028</t>
  </si>
  <si>
    <t>BG-4670pcs</t>
  </si>
  <si>
    <t>29.03.19</t>
  </si>
  <si>
    <t xml:space="preserve">Arma Chemical </t>
  </si>
  <si>
    <t>mc-03-29</t>
  </si>
  <si>
    <t>30.03.19</t>
  </si>
  <si>
    <t>MHK Trading</t>
  </si>
  <si>
    <t>DMT 13-3687</t>
  </si>
  <si>
    <t>Krishibid Trading Ltd.(three Star)</t>
  </si>
  <si>
    <t>CMT 11-5974</t>
  </si>
  <si>
    <t>31.03.19</t>
  </si>
  <si>
    <t>Faria Trade International</t>
  </si>
  <si>
    <t>DMT 20-5619</t>
  </si>
  <si>
    <t>LG-4860Pcs</t>
  </si>
  <si>
    <t>01.04.19</t>
  </si>
  <si>
    <t>DMT 20-5207</t>
  </si>
  <si>
    <t>DMM 11-6022</t>
  </si>
  <si>
    <t>DMT 14-5585</t>
  </si>
  <si>
    <t>Krishibid Trading Ltd. (MHK)</t>
  </si>
  <si>
    <t>02.04.19</t>
  </si>
  <si>
    <t>Nishat Poultry Feed</t>
  </si>
  <si>
    <t>DMT 20-4435</t>
  </si>
  <si>
    <t>RT 11-0107</t>
  </si>
  <si>
    <t>DMT 16-2731</t>
  </si>
  <si>
    <t>03.04.19</t>
  </si>
  <si>
    <t>Krishibid Trading Ltd. (aden)</t>
  </si>
  <si>
    <t>DMT 18-5913</t>
  </si>
  <si>
    <t>04.04.19</t>
  </si>
  <si>
    <t>DMT 18-6658</t>
  </si>
  <si>
    <t>Rovabio Advance Tflex</t>
  </si>
  <si>
    <t>Naafco Agrovet Lrd.</t>
  </si>
  <si>
    <t xml:space="preserve">Neubox Eco </t>
  </si>
  <si>
    <t>DMA 11-2144</t>
  </si>
  <si>
    <t>05.04.19</t>
  </si>
  <si>
    <t>DMT 20-5470</t>
  </si>
  <si>
    <t>06.04.19</t>
  </si>
  <si>
    <t>DMT 18-5355</t>
  </si>
  <si>
    <t>LC No. 0051</t>
  </si>
  <si>
    <t>JT 11-2657</t>
  </si>
  <si>
    <t>Avance Asia Ltd.</t>
  </si>
  <si>
    <t>07.04.19</t>
  </si>
  <si>
    <t>DMT 11-4146</t>
  </si>
  <si>
    <t>DR-1060pcs, BR-1000Pcs, Dhi-5770Pcs</t>
  </si>
  <si>
    <t>08.04.19</t>
  </si>
  <si>
    <t>DMT 15-1627</t>
  </si>
  <si>
    <t>DMT 20-5552</t>
  </si>
  <si>
    <t>LL-1000pcs</t>
  </si>
  <si>
    <t>09.04.19</t>
  </si>
  <si>
    <t>DMT 20-5197</t>
  </si>
  <si>
    <t>DMT 20-0537</t>
  </si>
  <si>
    <t>DMT 20-4600</t>
  </si>
  <si>
    <t>10.04.19</t>
  </si>
  <si>
    <t xml:space="preserve">Krishibid Trading Ltd. </t>
  </si>
  <si>
    <t>Allal Enterprise</t>
  </si>
  <si>
    <t>DMT 13-4586</t>
  </si>
  <si>
    <t>DMN 17-8654</t>
  </si>
  <si>
    <t xml:space="preserve">CTCzyme </t>
  </si>
  <si>
    <t>DMT 11-7658</t>
  </si>
  <si>
    <t>LL-5110Pcs, BR-1670Pcs</t>
  </si>
  <si>
    <t>11.04.19</t>
  </si>
  <si>
    <t>DMT 20-4832</t>
  </si>
  <si>
    <t>DMT 11-2536</t>
  </si>
  <si>
    <t>DMT 16-9919</t>
  </si>
  <si>
    <t>DMT 20-4398</t>
  </si>
  <si>
    <t>DMD 44-0174</t>
  </si>
  <si>
    <t>7300kg</t>
  </si>
  <si>
    <t>DMN 18-1705</t>
  </si>
  <si>
    <t>12.04.19</t>
  </si>
  <si>
    <t>DMT 22-6133</t>
  </si>
  <si>
    <t>BGT 11-1370</t>
  </si>
  <si>
    <t>JT 11-1652</t>
  </si>
  <si>
    <t>DMT 15-0377</t>
  </si>
  <si>
    <t>DMT 11-4098</t>
  </si>
  <si>
    <t>Biolab Agro Vet Ltd.</t>
  </si>
  <si>
    <t>DMN 18-3092</t>
  </si>
  <si>
    <t>13.04.19</t>
  </si>
  <si>
    <t>CMT 11-2397</t>
  </si>
  <si>
    <t>Lime Stone 2/3</t>
  </si>
  <si>
    <t>DMT 13-6518</t>
  </si>
  <si>
    <t>CMT 11-8971</t>
  </si>
  <si>
    <t>Taxi Cap</t>
  </si>
  <si>
    <t>NT 11-0039</t>
  </si>
  <si>
    <t>15.04.19</t>
  </si>
  <si>
    <t>16.04.19</t>
  </si>
  <si>
    <t>17.04.19</t>
  </si>
  <si>
    <t>Krishibid Trading Ltd. (Khan)</t>
  </si>
  <si>
    <t>DMT 22-6828</t>
  </si>
  <si>
    <t>18.04.19</t>
  </si>
  <si>
    <t>Krishibid Trading Ltd. (Gold)</t>
  </si>
  <si>
    <t>DMT 13-5322</t>
  </si>
  <si>
    <t>DMT 13-5352</t>
  </si>
  <si>
    <t>20.04.19</t>
  </si>
  <si>
    <t>KT 11-1914</t>
  </si>
  <si>
    <t>DMT 11-4455</t>
  </si>
  <si>
    <t>DMT 11-3962</t>
  </si>
  <si>
    <t>DMT 22-6537</t>
  </si>
  <si>
    <t>DMT 22-2276</t>
  </si>
  <si>
    <t>LL-3400Pcs</t>
  </si>
  <si>
    <t>21.04.19</t>
  </si>
  <si>
    <t>DMT 15-1828</t>
  </si>
  <si>
    <t>DMT 15-3724</t>
  </si>
  <si>
    <t>DMT 20-5337</t>
  </si>
  <si>
    <t>DMN 17-5913</t>
  </si>
  <si>
    <t>DMA 14-2033</t>
  </si>
  <si>
    <t>22.04.19</t>
  </si>
  <si>
    <t>MT 11-0189</t>
  </si>
  <si>
    <t>DMT 18-8394</t>
  </si>
  <si>
    <t>DMT 18-1734</t>
  </si>
  <si>
    <t>23.04.19</t>
  </si>
  <si>
    <t>BG-4890Pcs,DR-7840Pcs, BR-2140Pcs</t>
  </si>
  <si>
    <t>24.04.19</t>
  </si>
  <si>
    <t>DMT 22-3617</t>
  </si>
  <si>
    <t>Jute-65 Bags &amp; Plastic-255Bags</t>
  </si>
  <si>
    <t>25.04.19</t>
  </si>
  <si>
    <t>DMT 20-1039</t>
  </si>
  <si>
    <t>Krishibid Trading (Gold Age)</t>
  </si>
  <si>
    <t>DMT 18-5195</t>
  </si>
  <si>
    <t>26.04.19</t>
  </si>
  <si>
    <t>Al Amin Agrovet</t>
  </si>
  <si>
    <t>Sodium bi Carbonate</t>
  </si>
  <si>
    <t>NSN 11-0035</t>
  </si>
  <si>
    <t>DMD 14-4680</t>
  </si>
  <si>
    <t>27.04.19</t>
  </si>
  <si>
    <t>DMT 13-0528</t>
  </si>
  <si>
    <t>28.04.19</t>
  </si>
  <si>
    <t>Arifa Traders</t>
  </si>
  <si>
    <t>DMT 22-5317</t>
  </si>
  <si>
    <t>BGT 11-2363</t>
  </si>
  <si>
    <t>29.04.19</t>
  </si>
  <si>
    <t>DMT 18-8489</t>
  </si>
  <si>
    <t>Nature Care Mfg Industries</t>
  </si>
  <si>
    <t>Egg Extra</t>
  </si>
  <si>
    <t>DMM 11-4718</t>
  </si>
  <si>
    <t>30.04.19</t>
  </si>
  <si>
    <t>DMT 13-3470</t>
  </si>
  <si>
    <t>01.05.19</t>
  </si>
  <si>
    <t>Nishat Poultry Feed &amp; Madicine</t>
  </si>
  <si>
    <t>MYT 11-0189</t>
  </si>
  <si>
    <t>DMT 22-6739</t>
  </si>
  <si>
    <t>CMT 11-7983</t>
  </si>
  <si>
    <t>02.05.19</t>
  </si>
  <si>
    <t>DMT 14-8040</t>
  </si>
  <si>
    <t>LL-6000Pcs</t>
  </si>
  <si>
    <t>L C (KFL)</t>
  </si>
  <si>
    <t>DMT 15-2738</t>
  </si>
  <si>
    <t>DMT 11-5236</t>
  </si>
  <si>
    <t>DMT 15-1014</t>
  </si>
  <si>
    <t>CMT 11-8073</t>
  </si>
  <si>
    <t>CMT 11-8636</t>
  </si>
  <si>
    <t>DMT 16-2572</t>
  </si>
  <si>
    <t>CMT 11-7768</t>
  </si>
  <si>
    <t>DMT  18-8651</t>
  </si>
  <si>
    <t>CMT 11-3570</t>
  </si>
  <si>
    <t>DMT 18-4618</t>
  </si>
  <si>
    <t>DMT 16-1359</t>
  </si>
  <si>
    <t>DMT 20-5533</t>
  </si>
  <si>
    <t>03.05.19</t>
  </si>
  <si>
    <t>DMT 13-1652</t>
  </si>
  <si>
    <t>CMT 11-2543</t>
  </si>
  <si>
    <t>DMT 13-0385</t>
  </si>
  <si>
    <t>DMT 15-3679</t>
  </si>
  <si>
    <t>04.05.19</t>
  </si>
  <si>
    <t>DMT 20-5445</t>
  </si>
  <si>
    <t>Khadiza Poultry &amp; Fish Feed</t>
  </si>
  <si>
    <t>05.05.19</t>
  </si>
  <si>
    <t>DMT 20-8593</t>
  </si>
  <si>
    <t>LG-5230Pcs,LL-5430Pcs, Fish-5340Pcs</t>
  </si>
  <si>
    <t>06.05.19</t>
  </si>
  <si>
    <t>Krishibid Trading Ltd. (Sonar)</t>
  </si>
  <si>
    <t>MAA Traders</t>
  </si>
  <si>
    <t>DMN 18-5023</t>
  </si>
  <si>
    <t>07.05.19</t>
  </si>
  <si>
    <t>BT 11-1343</t>
  </si>
  <si>
    <t>DMT 13-5124</t>
  </si>
  <si>
    <t>BT 11-1142</t>
  </si>
  <si>
    <t>DMT 13-2482</t>
  </si>
  <si>
    <t>DMT 13-1350</t>
  </si>
  <si>
    <t>DMT 22-4770</t>
  </si>
  <si>
    <t>BS-5060Pcs, SG-4960Pcs</t>
  </si>
  <si>
    <t>08.05.19</t>
  </si>
  <si>
    <t>Khadija Poultry &amp; Fish Feed</t>
  </si>
  <si>
    <t>DMT 22-0316</t>
  </si>
  <si>
    <t>DMT 22-4074</t>
  </si>
  <si>
    <t>DMD 14-3856</t>
  </si>
  <si>
    <t>RPT 11-0516</t>
  </si>
  <si>
    <t>10.05.19</t>
  </si>
  <si>
    <t>DMT 11-1531</t>
  </si>
  <si>
    <t>11.05.19</t>
  </si>
  <si>
    <t>DMT 18-4265</t>
  </si>
  <si>
    <t>DMT 18-3059</t>
  </si>
  <si>
    <t>12.05.19</t>
  </si>
  <si>
    <t>Jime Tech International</t>
  </si>
  <si>
    <t>DMT 18-5586</t>
  </si>
  <si>
    <t>DMT 16-6478</t>
  </si>
  <si>
    <t>DMT 16-8224</t>
  </si>
  <si>
    <t>14.05.19</t>
  </si>
  <si>
    <t>CMT 11-2244</t>
  </si>
  <si>
    <t>CMT 11-5601</t>
  </si>
  <si>
    <t>DMT 15-2064</t>
  </si>
  <si>
    <t>Zuelling Pharma Bangladesh</t>
  </si>
  <si>
    <t>Doctore Agro Vet Ltd.</t>
  </si>
  <si>
    <t>Alquenmold Natural</t>
  </si>
  <si>
    <t>PG 11-0024</t>
  </si>
  <si>
    <t>Antamix</t>
  </si>
  <si>
    <t>15.05.19</t>
  </si>
  <si>
    <t>DMF 11-9304</t>
  </si>
  <si>
    <t>MMN Enginnering Service</t>
  </si>
  <si>
    <t>DMT 15-0975</t>
  </si>
  <si>
    <t>Nature Care MFG Ltd.</t>
  </si>
  <si>
    <t>DMN 17-4266</t>
  </si>
  <si>
    <t>Innova animal Health Ltd.</t>
  </si>
  <si>
    <t>CTCZyme</t>
  </si>
  <si>
    <t>16.05.19</t>
  </si>
  <si>
    <t>MMN Engineering Service</t>
  </si>
  <si>
    <t>DMT 16-5102</t>
  </si>
  <si>
    <t>17.05.19</t>
  </si>
  <si>
    <t>DMT 20-0421</t>
  </si>
  <si>
    <t xml:space="preserve">MM Trading </t>
  </si>
  <si>
    <t>DMT 13-4792</t>
  </si>
  <si>
    <t>DMT 15-3259</t>
  </si>
  <si>
    <t>18.05.19</t>
  </si>
  <si>
    <t xml:space="preserve">Shahin Enterprise </t>
  </si>
  <si>
    <t>DMT 22-8183</t>
  </si>
  <si>
    <t>DMT 20-7308</t>
  </si>
  <si>
    <t>19.05.19</t>
  </si>
  <si>
    <t>CMT 11-8852</t>
  </si>
  <si>
    <t>CMT 11-8488</t>
  </si>
  <si>
    <t>FT 11-0130</t>
  </si>
  <si>
    <t>Krishibid Trading Ltd. (Alif)</t>
  </si>
  <si>
    <t>DMT 13-2786</t>
  </si>
  <si>
    <t>21.05.19</t>
  </si>
  <si>
    <t>DMT 22-2485</t>
  </si>
  <si>
    <t>Magnesium Oxid</t>
  </si>
  <si>
    <t>22.05.19</t>
  </si>
  <si>
    <t>Alltech Biotechnology pvt ltd.</t>
  </si>
  <si>
    <t>DMN 17-9489</t>
  </si>
  <si>
    <t>23.05.19</t>
  </si>
  <si>
    <t>DMT 15-5843</t>
  </si>
  <si>
    <t>DMT 15-5842</t>
  </si>
  <si>
    <t>Seaco Pvt Ltd. (Khan)</t>
  </si>
  <si>
    <t>DMT 14-0780</t>
  </si>
  <si>
    <t>CGS-7170Pcs, BR-3750Pcs</t>
  </si>
  <si>
    <t>24.05.19</t>
  </si>
  <si>
    <t>JT 11-0590</t>
  </si>
  <si>
    <t>DMT 11-8041</t>
  </si>
  <si>
    <t>Krishibid Trading (Aden)</t>
  </si>
  <si>
    <t>25.05.19</t>
  </si>
  <si>
    <t>Without Challan</t>
  </si>
  <si>
    <t>DMT 22-6997</t>
  </si>
  <si>
    <t>DMT 16-4484</t>
  </si>
  <si>
    <t>DMN 13-6531</t>
  </si>
  <si>
    <t>DMT 15-2165</t>
  </si>
  <si>
    <t>Rafit Oil Mill (Trishal)</t>
  </si>
  <si>
    <t>Super Palm Oil</t>
  </si>
  <si>
    <t>DMN 15-1812</t>
  </si>
  <si>
    <t>26.05.19</t>
  </si>
  <si>
    <t>RMT 11-0370</t>
  </si>
  <si>
    <t>DMT 20-8005</t>
  </si>
  <si>
    <t>JT 11-1291</t>
  </si>
  <si>
    <t>27.05.19</t>
  </si>
  <si>
    <t>BGT 11-1142</t>
  </si>
  <si>
    <t>Asia Feed Ltd. (MHK)</t>
  </si>
  <si>
    <t>JT 11-1036</t>
  </si>
  <si>
    <t>JT 11-0451</t>
  </si>
  <si>
    <t>DMT 18-9278</t>
  </si>
  <si>
    <t>DMT 16-2736</t>
  </si>
  <si>
    <t>DMN 51-5510</t>
  </si>
  <si>
    <t>28.05.19</t>
  </si>
  <si>
    <t>CMT 11-9558</t>
  </si>
  <si>
    <t>Unique Trading</t>
  </si>
  <si>
    <t>29.05.19</t>
  </si>
  <si>
    <t>DMT 16-0522</t>
  </si>
  <si>
    <t>SYT 11-0427</t>
  </si>
  <si>
    <t>DMT 16-5439</t>
  </si>
  <si>
    <t>DMT 18-1851</t>
  </si>
  <si>
    <t>DMT 20-1871</t>
  </si>
  <si>
    <t>DMD  11-4636</t>
  </si>
  <si>
    <t>30.05.19</t>
  </si>
  <si>
    <t>DMT 22-4271</t>
  </si>
  <si>
    <t>31.05.19</t>
  </si>
  <si>
    <t>DMT 16-5226</t>
  </si>
  <si>
    <t>CMT 11-7816</t>
  </si>
  <si>
    <t>01.06.19</t>
  </si>
  <si>
    <t>Al Modina Enterprise</t>
  </si>
  <si>
    <t>DMT 18-7926</t>
  </si>
  <si>
    <t>RPT 11-0247</t>
  </si>
  <si>
    <t>Nature Care MFG Ind. Ltd.</t>
  </si>
  <si>
    <t>02.06.19</t>
  </si>
  <si>
    <t>RT 11-0290</t>
  </si>
  <si>
    <t>DMT 13-6560</t>
  </si>
  <si>
    <t>DMT 20-8946</t>
  </si>
  <si>
    <t>08.06.19</t>
  </si>
  <si>
    <t>Chawdhury &amp; Brothers</t>
  </si>
  <si>
    <t>09.06.19</t>
  </si>
  <si>
    <t>10.06.19</t>
  </si>
  <si>
    <t>DMT 13-1125</t>
  </si>
  <si>
    <t>Asia Feed Ltd.</t>
  </si>
  <si>
    <t xml:space="preserve">Rovabio </t>
  </si>
  <si>
    <t>Bhai Bhat Traders</t>
  </si>
  <si>
    <t>11.06.19</t>
  </si>
  <si>
    <t>Shodesh Enterprise</t>
  </si>
  <si>
    <t>DMT 20-8249</t>
  </si>
  <si>
    <t>DMT 15-3630</t>
  </si>
  <si>
    <t>DMU 11-2032</t>
  </si>
  <si>
    <t>12.06.19</t>
  </si>
  <si>
    <t>Shawdesh Enterprise</t>
  </si>
  <si>
    <t>DMT 22-3760</t>
  </si>
  <si>
    <t>BGT 11-0864</t>
  </si>
  <si>
    <t>DMT 15-0601</t>
  </si>
  <si>
    <t>Alqure Mold Natural</t>
  </si>
  <si>
    <t>DMN 17-8180</t>
  </si>
  <si>
    <t>DMN 13-1090</t>
  </si>
  <si>
    <t>Modina Poly Fibre Ltd.</t>
  </si>
  <si>
    <t>DMU 11-4959</t>
  </si>
  <si>
    <t>BR-10000Pcs, Dhi-8000Pcs, LG-8000Pcs, LL-5000PcsSS-8000pcs, BG-10000Pcs, LS-5000Pcs, BS-2000Pcs Total 56000Pcs</t>
  </si>
  <si>
    <t>13.06.19</t>
  </si>
  <si>
    <t>DMT 22-6692</t>
  </si>
  <si>
    <t>DMT 22-7378</t>
  </si>
  <si>
    <t>Mitaly Salt Industries</t>
  </si>
  <si>
    <t>DMT 22-3467</t>
  </si>
  <si>
    <t>14.06.19</t>
  </si>
  <si>
    <t>Krishibid Trading Ltd</t>
  </si>
  <si>
    <t>DMT 16-0780</t>
  </si>
  <si>
    <t>15.06.19</t>
  </si>
  <si>
    <t>DMN 16-9169</t>
  </si>
  <si>
    <t>16.06.19</t>
  </si>
  <si>
    <t>KT 11-2119</t>
  </si>
  <si>
    <t>17.06.19</t>
  </si>
  <si>
    <t>DMT 20-1689</t>
  </si>
  <si>
    <t>BS-4000PcsSG-10000Pcs, LL-10000Pcs</t>
  </si>
  <si>
    <t>18.06.19</t>
  </si>
  <si>
    <t>DMT 18-8052</t>
  </si>
  <si>
    <t>DMT 22-1053</t>
  </si>
  <si>
    <t>19.06.19</t>
  </si>
  <si>
    <t>DMT 16-5915</t>
  </si>
  <si>
    <t>DMT 22-1381</t>
  </si>
  <si>
    <t>20.06.19</t>
  </si>
  <si>
    <t>DMN 18-6380</t>
  </si>
  <si>
    <t>DMN 17-2533</t>
  </si>
  <si>
    <t>DMD 14-2609</t>
  </si>
  <si>
    <t>JT 11-1232</t>
  </si>
  <si>
    <t>DMT 11-6410</t>
  </si>
  <si>
    <t>KMT 11-1125</t>
  </si>
  <si>
    <t>DMT 15-5244</t>
  </si>
  <si>
    <t>DMT 20-4716</t>
  </si>
  <si>
    <t>CMT 11-8072</t>
  </si>
  <si>
    <t>DMT 13-5140</t>
  </si>
  <si>
    <t>DMT 11-8063</t>
  </si>
  <si>
    <t>DMT 14-0646</t>
  </si>
  <si>
    <t>Megnasium Oxid</t>
  </si>
  <si>
    <t>21.06.19</t>
  </si>
  <si>
    <t>DMT 22-3480</t>
  </si>
  <si>
    <t>22.06.19</t>
  </si>
  <si>
    <t>DMT 22-3768</t>
  </si>
  <si>
    <t>DMT 16-2900</t>
  </si>
  <si>
    <t>DMT 16-4421</t>
  </si>
  <si>
    <t>DMT 15-2715</t>
  </si>
  <si>
    <t>23.06.19</t>
  </si>
  <si>
    <t>Al Amin Agro Vet Ltd.</t>
  </si>
  <si>
    <t>DMN 17-1720</t>
  </si>
  <si>
    <t>DMU 14-2118</t>
  </si>
  <si>
    <t>LL-15000Pcs,10000Pcs</t>
  </si>
  <si>
    <t>24.06.19</t>
  </si>
  <si>
    <t>DMN 13-2267</t>
  </si>
  <si>
    <t>25.06.19</t>
  </si>
  <si>
    <t>DMT 16-1309</t>
  </si>
  <si>
    <t>CMT 11-2363</t>
  </si>
  <si>
    <t>26.06.19</t>
  </si>
  <si>
    <t>DMT 11-8973</t>
  </si>
  <si>
    <t>DMT 13-2875</t>
  </si>
  <si>
    <t>DMT 14-6565</t>
  </si>
  <si>
    <t>27.06.19</t>
  </si>
  <si>
    <t>DMT 13-2049</t>
  </si>
  <si>
    <t>28.06.19</t>
  </si>
  <si>
    <t>DMT 20-8723</t>
  </si>
  <si>
    <t>DMT 13-6005</t>
  </si>
  <si>
    <t>NGT 01-0003</t>
  </si>
  <si>
    <t>29.06.19</t>
  </si>
  <si>
    <t>Krishibid Trading Ltd. (Oppo)</t>
  </si>
  <si>
    <t>30.06.19</t>
  </si>
  <si>
    <t>DMT 22-3506</t>
  </si>
  <si>
    <t>01.07.19</t>
  </si>
  <si>
    <t>DMT 13-1387</t>
  </si>
  <si>
    <t>CMA 11-0177</t>
  </si>
  <si>
    <t>02.07.19</t>
  </si>
  <si>
    <t>MHK Trading Ltd.</t>
  </si>
  <si>
    <t>DMT 20-5574</t>
  </si>
  <si>
    <t>Nature Care MFG Industries</t>
  </si>
  <si>
    <t>03.07.19</t>
  </si>
  <si>
    <t>DMT 18-7537</t>
  </si>
  <si>
    <t>DMT 16-7951</t>
  </si>
  <si>
    <t>DMT 15-1672</t>
  </si>
  <si>
    <t>LL-10000Pcs, DR-10000Pcs, Dhi-5000Pcs</t>
  </si>
  <si>
    <t>04.07.19</t>
  </si>
  <si>
    <t>06.07.19</t>
  </si>
  <si>
    <t>DMT 20-1668</t>
  </si>
  <si>
    <t>DMT 14-7470</t>
  </si>
  <si>
    <t>DMN 17-9554</t>
  </si>
  <si>
    <t>mc-02-06</t>
  </si>
  <si>
    <t xml:space="preserve">Argon International </t>
  </si>
  <si>
    <t>Lincomycin</t>
  </si>
  <si>
    <t>DMN 51-5765</t>
  </si>
  <si>
    <t>07.07.19</t>
  </si>
  <si>
    <t>DMT 16-3198</t>
  </si>
  <si>
    <t>M A S Additive  Trading</t>
  </si>
  <si>
    <t>Ctczyme</t>
  </si>
  <si>
    <t>DMM 51-5510</t>
  </si>
  <si>
    <t>08.07.19</t>
  </si>
  <si>
    <t>DMN 16-8957</t>
  </si>
  <si>
    <t>DMU 11-3954</t>
  </si>
  <si>
    <t>DR-9100Pcs</t>
  </si>
  <si>
    <t>09.07.19</t>
  </si>
  <si>
    <t>DMT 18-4714</t>
  </si>
  <si>
    <t>26x47-10000pcs, 23x37-10000pcs</t>
  </si>
  <si>
    <t>10.07.19</t>
  </si>
  <si>
    <t>DMT 11-5199</t>
  </si>
  <si>
    <t>DMN 14-7504</t>
  </si>
  <si>
    <t xml:space="preserve">Arma Chemicals </t>
  </si>
  <si>
    <t>DMT 15-0379</t>
  </si>
  <si>
    <t>Maa Babar Doya</t>
  </si>
  <si>
    <t>Wheat Bhusi</t>
  </si>
  <si>
    <t>11.07.19</t>
  </si>
  <si>
    <t>DMN 16-6779</t>
  </si>
  <si>
    <t>Krishibid Trading Ltd. (Sefat)</t>
  </si>
  <si>
    <t>DMT 22-1239</t>
  </si>
  <si>
    <t>DMT 13-2760</t>
  </si>
  <si>
    <t>12.07.19</t>
  </si>
  <si>
    <t>13.07.19</t>
  </si>
  <si>
    <t>DMT 15-3585</t>
  </si>
  <si>
    <t>DMT 18-1816</t>
  </si>
  <si>
    <t>DMT 13-0220</t>
  </si>
  <si>
    <t>DMT 15-3631</t>
  </si>
  <si>
    <t>14.07.19</t>
  </si>
  <si>
    <t>DMD 14-4601</t>
  </si>
  <si>
    <t>JM Trading</t>
  </si>
  <si>
    <t>DMT 14-9670</t>
  </si>
  <si>
    <t>DMT 18-3532</t>
  </si>
  <si>
    <t>DMT 13-2718</t>
  </si>
  <si>
    <t>15.07.19</t>
  </si>
  <si>
    <t>DMN 17-1452</t>
  </si>
  <si>
    <t>DMT 11-5134</t>
  </si>
  <si>
    <t>16.07.19</t>
  </si>
  <si>
    <t>17.07.19</t>
  </si>
  <si>
    <t>DMT 20-3592</t>
  </si>
  <si>
    <t>DMT 15-0375</t>
  </si>
  <si>
    <t>18.07.19</t>
  </si>
  <si>
    <t>DMT 20-1177</t>
  </si>
  <si>
    <t>DMT 16-9218</t>
  </si>
  <si>
    <t>Krishibid Trading Ltd.(Babul)</t>
  </si>
  <si>
    <t>M/s Shahin Traders</t>
  </si>
  <si>
    <t>BR-10000Pcs, Dhi-10000Pcs</t>
  </si>
  <si>
    <t>19.07.19</t>
  </si>
  <si>
    <t>Alqurermold Natural</t>
  </si>
  <si>
    <t>DMN 54-2587</t>
  </si>
  <si>
    <t xml:space="preserve">Butipearl </t>
  </si>
  <si>
    <t>Maa Babar Doya (Plty 02.07.19)</t>
  </si>
  <si>
    <t>Bhai Bhai Store (Plty 02.07.19)</t>
  </si>
  <si>
    <t>Soda</t>
  </si>
  <si>
    <t>DMT 11-9512</t>
  </si>
  <si>
    <t>20.07.19</t>
  </si>
  <si>
    <t>DMT 20-1497</t>
  </si>
  <si>
    <t>21.07.19</t>
  </si>
  <si>
    <t>DMT 20-8823</t>
  </si>
  <si>
    <t>DMT 15-0386</t>
  </si>
  <si>
    <t>Krishibid Trading Ltd.(MHK)</t>
  </si>
  <si>
    <t>Al Amin Agrovet Ltd.</t>
  </si>
  <si>
    <t>NN 11-0147</t>
  </si>
  <si>
    <t>LL-3960PCS, DR-5050Pcs</t>
  </si>
  <si>
    <t>22.07.19</t>
  </si>
  <si>
    <t>DMT 18-0442</t>
  </si>
  <si>
    <t>DMT 18-8864</t>
  </si>
  <si>
    <t>Rahmot Enterprise (Bristy Store)</t>
  </si>
  <si>
    <t>DT 11-0119</t>
  </si>
  <si>
    <t>DMT 11-5069</t>
  </si>
  <si>
    <t>Aden Trade Ltd..(Babul)</t>
  </si>
  <si>
    <t>23.07.19</t>
  </si>
  <si>
    <t xml:space="preserve">Bhai Bhai Store </t>
  </si>
  <si>
    <t>DMT 22-2627</t>
  </si>
  <si>
    <t>CMT 11-6000</t>
  </si>
  <si>
    <t>DMT 20-6205</t>
  </si>
  <si>
    <t>24.07.19</t>
  </si>
  <si>
    <t>DMT 15-3584</t>
  </si>
  <si>
    <t>25.07.19</t>
  </si>
  <si>
    <t>DMD 44-0048</t>
  </si>
  <si>
    <t>26.07.19</t>
  </si>
  <si>
    <t>DMT 14-8929</t>
  </si>
  <si>
    <t>DMT 20-2523</t>
  </si>
  <si>
    <t>DMT 11-8936</t>
  </si>
  <si>
    <t>Maa Babar Doya Enterprise</t>
  </si>
  <si>
    <t>27.07.19</t>
  </si>
  <si>
    <t>DMT 20-2032</t>
  </si>
  <si>
    <t>CMT 11-1719</t>
  </si>
  <si>
    <t>28.07.19</t>
  </si>
  <si>
    <t>Molistar (Emulsifier)</t>
  </si>
  <si>
    <t>DMN 20-1091</t>
  </si>
  <si>
    <t>ACE Pharmacuticals</t>
  </si>
  <si>
    <t>29.07.19</t>
  </si>
  <si>
    <t>BGT 11-1485</t>
  </si>
  <si>
    <t>DMT 18-4118</t>
  </si>
  <si>
    <t>31.07.19</t>
  </si>
  <si>
    <t>DMT 11-4781</t>
  </si>
  <si>
    <t>DMT 15-5584</t>
  </si>
  <si>
    <t>DMT 13-0962</t>
  </si>
  <si>
    <t>DMT 14-8156</t>
  </si>
  <si>
    <t>DMT 15-1829</t>
  </si>
  <si>
    <t>DMN 17-5160</t>
  </si>
  <si>
    <t>01.08.19</t>
  </si>
  <si>
    <t>DMT 11-9303</t>
  </si>
  <si>
    <t>DMT 11-0306</t>
  </si>
  <si>
    <t xml:space="preserve">CNG </t>
  </si>
  <si>
    <t>02.08.19</t>
  </si>
  <si>
    <t>DMT 11-9998</t>
  </si>
  <si>
    <t>DMT 16-7601</t>
  </si>
  <si>
    <t>DMT 11-2844</t>
  </si>
  <si>
    <t>DMT 16-5815</t>
  </si>
  <si>
    <t>DMT 15-1805</t>
  </si>
  <si>
    <t>DMT 15-3991</t>
  </si>
  <si>
    <t>03.08.19</t>
  </si>
  <si>
    <t>BGT 11-1902</t>
  </si>
  <si>
    <t>Lincomycine</t>
  </si>
  <si>
    <t>DMM 51-5765</t>
  </si>
  <si>
    <t>RT 11-0439</t>
  </si>
  <si>
    <t>04.08.19</t>
  </si>
  <si>
    <t>DMT 11-9600</t>
  </si>
  <si>
    <t>DMT 14-0644</t>
  </si>
  <si>
    <t>Lime stone Powder</t>
  </si>
  <si>
    <t>DMT 22-3208</t>
  </si>
  <si>
    <t>Sodium Bi Carbonate</t>
  </si>
  <si>
    <t>DMD 14-3809</t>
  </si>
  <si>
    <t xml:space="preserve">Innova Animal Health </t>
  </si>
  <si>
    <t>07.08.19</t>
  </si>
  <si>
    <t>DMT 20-7606</t>
  </si>
  <si>
    <t>Alltech Bangladesh Warehouse</t>
  </si>
  <si>
    <t>allzyme Vegpro</t>
  </si>
  <si>
    <t>MC 2-07</t>
  </si>
  <si>
    <t>Nutrihealth ltd.</t>
  </si>
  <si>
    <t>Antioxident (Ando x EU)</t>
  </si>
  <si>
    <t>09.08.19</t>
  </si>
  <si>
    <t>Nature Care Mfg Ind. Ltd.</t>
  </si>
  <si>
    <t>16.08.19</t>
  </si>
  <si>
    <t>17.08.19</t>
  </si>
  <si>
    <t>DMN 15-1379</t>
  </si>
  <si>
    <t>18.08.19</t>
  </si>
  <si>
    <t>Chawdhury Brothers</t>
  </si>
  <si>
    <t>19.08.19</t>
  </si>
  <si>
    <t>20.08.19</t>
  </si>
  <si>
    <t>DMT 20-9239</t>
  </si>
  <si>
    <t>Babul Enterprise</t>
  </si>
  <si>
    <t>RE Agrovet</t>
  </si>
  <si>
    <t>Osmo Fat (Bargar Fat)</t>
  </si>
  <si>
    <t>21.08.19</t>
  </si>
  <si>
    <t>DMT 14-8753</t>
  </si>
  <si>
    <t>DMT 20-4195</t>
  </si>
  <si>
    <t>DMT 18-3819</t>
  </si>
  <si>
    <t>Supper Soyabean Oil</t>
  </si>
  <si>
    <t>22.08.19</t>
  </si>
  <si>
    <t>DMT 13-0237</t>
  </si>
  <si>
    <t>DMT 18-9911</t>
  </si>
  <si>
    <t>DMT 18-7459</t>
  </si>
  <si>
    <t>CMT 11-6942</t>
  </si>
  <si>
    <t>DMT 15-5902</t>
  </si>
  <si>
    <t>DMT 18-1670</t>
  </si>
  <si>
    <t>PBT 11-0781</t>
  </si>
  <si>
    <t>DMT 15-5567</t>
  </si>
  <si>
    <t>DMT 15-4920</t>
  </si>
  <si>
    <t>LSG</t>
  </si>
  <si>
    <t>KMT 11-1721</t>
  </si>
  <si>
    <t>KMT 11-1988</t>
  </si>
  <si>
    <t>NM 02-0003</t>
  </si>
  <si>
    <t>23.08.19</t>
  </si>
  <si>
    <t>DMT 13-4484</t>
  </si>
  <si>
    <t>Halquinol</t>
  </si>
  <si>
    <t>24.08.19</t>
  </si>
  <si>
    <t xml:space="preserve">Krishibid Food &amp; Beverage </t>
  </si>
  <si>
    <t>Biscuit</t>
  </si>
  <si>
    <t>25.08.19</t>
  </si>
  <si>
    <t>Krishibid Trading Ltd. (Doyal)</t>
  </si>
  <si>
    <t>DMT 20-4749</t>
  </si>
  <si>
    <t>26.08.19</t>
  </si>
  <si>
    <t>Modina Poly Fibber Ltd.</t>
  </si>
  <si>
    <t>KSMSF-10100Pcs,CGF-8000Pcs, TGF-9900Pcs,PGF-8000Pcs.HP-5000Pcs, TGS-5000Pcs,PSS-2000Pcs</t>
  </si>
  <si>
    <t>27.08.19</t>
  </si>
  <si>
    <t>DMU 11-1880</t>
  </si>
  <si>
    <t>DMT 22-2419</t>
  </si>
  <si>
    <t>DMT 18-4533</t>
  </si>
  <si>
    <t>Silo Animal Health Ltd.</t>
  </si>
  <si>
    <t>Lyso -10</t>
  </si>
  <si>
    <t>DMN 13-3039</t>
  </si>
  <si>
    <t>Molasess</t>
  </si>
  <si>
    <t>28.08.19</t>
  </si>
  <si>
    <t>DMT 20-5000</t>
  </si>
  <si>
    <t>DMT 22-2756</t>
  </si>
  <si>
    <t>DMT 18-4229</t>
  </si>
  <si>
    <t>DMT 20-7526</t>
  </si>
  <si>
    <t>LC No. 0070</t>
  </si>
  <si>
    <t>DMT 14-9840</t>
  </si>
  <si>
    <t>Satota Enterprise</t>
  </si>
  <si>
    <t>29.08.19</t>
  </si>
  <si>
    <t>DMT 13-0854</t>
  </si>
  <si>
    <t>DMT 14-7973</t>
  </si>
  <si>
    <t>DMT 11-6924</t>
  </si>
  <si>
    <t>DMT 22-9833</t>
  </si>
  <si>
    <t>30.08.19</t>
  </si>
  <si>
    <t>31.08.19</t>
  </si>
  <si>
    <t>DMT 22-4453</t>
  </si>
  <si>
    <t>8505-6</t>
  </si>
  <si>
    <t>BS-5100pc,BG-5100, SS-5000,SG-5134,LL-4974,BR-4900,DR-5100,TSS-4768,TGS-5000, PGS-4300,PFS-4900PC, CGS-5000,CFS-5300PC</t>
  </si>
  <si>
    <t>Feed Bags (Glory)</t>
  </si>
  <si>
    <t>DMN 11-9028</t>
  </si>
  <si>
    <t>Khadija Poultry and Fish Feed</t>
  </si>
  <si>
    <t>01.09.19</t>
  </si>
  <si>
    <t>02.09.19</t>
  </si>
  <si>
    <t>DMT 22-9343</t>
  </si>
  <si>
    <t>Krishibid Trading Ltd.(Dobir)</t>
  </si>
  <si>
    <t>BGT 11-1803</t>
  </si>
  <si>
    <t>DMM 51-5932</t>
  </si>
  <si>
    <t>03.09.19</t>
  </si>
  <si>
    <t>DMT 15-0291</t>
  </si>
  <si>
    <t>04.09.19</t>
  </si>
  <si>
    <t>DMT 22-4899</t>
  </si>
  <si>
    <t>DMT-22-5708</t>
  </si>
  <si>
    <t>DMT-22-4547</t>
  </si>
  <si>
    <t>DMT-15-5794</t>
  </si>
  <si>
    <t>M.M.Trading</t>
  </si>
  <si>
    <t>DMT-11-6365</t>
  </si>
  <si>
    <t>Avon Animal Health</t>
  </si>
  <si>
    <t>DMT-15-6306</t>
  </si>
  <si>
    <t>DMT-22-0701</t>
  </si>
  <si>
    <t>DMT-11-2883</t>
  </si>
  <si>
    <t>DMT-15-3930</t>
  </si>
  <si>
    <t>DMT-11-1551</t>
  </si>
  <si>
    <t>DMT-22-8874</t>
  </si>
  <si>
    <t>Nishate Poultry Feed &amp; Madicine</t>
  </si>
  <si>
    <t>DMT 20-8163</t>
  </si>
  <si>
    <t>DMM-11-1679</t>
  </si>
  <si>
    <t>Salma Eenterprise</t>
  </si>
  <si>
    <t>Krishibid Trading Ltd (Babul)</t>
  </si>
  <si>
    <t xml:space="preserve">Shahin enterprise </t>
  </si>
  <si>
    <t>05.09.19</t>
  </si>
  <si>
    <t>06.09.19</t>
  </si>
  <si>
    <t>07.09.19</t>
  </si>
  <si>
    <t>DMT 20-1744</t>
  </si>
  <si>
    <t>M.A.Consorteam</t>
  </si>
  <si>
    <t>Hal Q (Gutcare)</t>
  </si>
  <si>
    <t>09.09.19</t>
  </si>
  <si>
    <t>DMD 14-1210</t>
  </si>
  <si>
    <t>Krishibid Trading Ltd. (Dobir)</t>
  </si>
  <si>
    <t>DMT 11-7905</t>
  </si>
  <si>
    <t>Natur Care Mfg Industries Ltd.</t>
  </si>
  <si>
    <t>Megnesium Oxid</t>
  </si>
  <si>
    <t>10.09.19</t>
  </si>
  <si>
    <t>DMT 13-5775</t>
  </si>
  <si>
    <t>DMT 12-1743</t>
  </si>
  <si>
    <t>12.09.19</t>
  </si>
  <si>
    <t>DMN 13-2294</t>
  </si>
  <si>
    <t>13.09.19</t>
  </si>
  <si>
    <t>DMT 18-6683</t>
  </si>
  <si>
    <t>14.09.19</t>
  </si>
  <si>
    <t>DMN 17-9838</t>
  </si>
  <si>
    <t>15.09.19</t>
  </si>
  <si>
    <t>DMT 22-4155</t>
  </si>
  <si>
    <t>Ample Animal Care</t>
  </si>
  <si>
    <t>Osmo Fat</t>
  </si>
  <si>
    <t>DMM 51-8260</t>
  </si>
  <si>
    <t>16.09.19</t>
  </si>
  <si>
    <t>Alltech (Vet Lounge)</t>
  </si>
  <si>
    <t>Yea Sac</t>
  </si>
  <si>
    <t>BGT 11-1077</t>
  </si>
  <si>
    <t>17.09.19</t>
  </si>
  <si>
    <t>CGF-2200Pcs,PGF-2200Pcs, TGS-800Pcs, PSS-4400Pcs</t>
  </si>
  <si>
    <t>18.09.19</t>
  </si>
  <si>
    <t>DMN 13-0705</t>
  </si>
  <si>
    <t>DMN 17-8898</t>
  </si>
  <si>
    <t>19.09.19</t>
  </si>
  <si>
    <t xml:space="preserve">LC </t>
  </si>
  <si>
    <t>DMT 18-6653</t>
  </si>
  <si>
    <t>CMT 11-9349</t>
  </si>
  <si>
    <t>CMT 11-8339</t>
  </si>
  <si>
    <t>DMT 18-1128</t>
  </si>
  <si>
    <t>CMT 11-7353</t>
  </si>
  <si>
    <t>CMT 11-5737</t>
  </si>
  <si>
    <t>DMT 18-7917</t>
  </si>
  <si>
    <t>DMT 16-0166</t>
  </si>
  <si>
    <t>20.09.19</t>
  </si>
  <si>
    <t>DMT 20-0540</t>
  </si>
  <si>
    <t>DMT 11-2706</t>
  </si>
  <si>
    <t>CMT 11-8409</t>
  </si>
  <si>
    <t>DMT 15-4349</t>
  </si>
  <si>
    <t>DMT 15-4321</t>
  </si>
  <si>
    <t>DMT 22-4960</t>
  </si>
  <si>
    <t>CMT 11-7435</t>
  </si>
  <si>
    <t>CMT 11-4148</t>
  </si>
  <si>
    <t>DMT 12-0093</t>
  </si>
  <si>
    <t>DMT 20-5638</t>
  </si>
  <si>
    <t>DMT 15-4525</t>
  </si>
  <si>
    <t>JT 11-4931</t>
  </si>
  <si>
    <t>CMT 11-5782</t>
  </si>
  <si>
    <t>DMT 11-8360</t>
  </si>
  <si>
    <t>CMT 11-7541</t>
  </si>
  <si>
    <t>DMT 16-0340</t>
  </si>
  <si>
    <t>21.09.19</t>
  </si>
  <si>
    <t>DMT 16-2281</t>
  </si>
  <si>
    <t>DMT 13-3593</t>
  </si>
  <si>
    <t>DMT 20-5155</t>
  </si>
  <si>
    <t>DMT 20-4400</t>
  </si>
  <si>
    <t>DMT 14-8078</t>
  </si>
  <si>
    <t>22.09.19</t>
  </si>
  <si>
    <t>23.09.19</t>
  </si>
  <si>
    <t>DMT 16-7940</t>
  </si>
  <si>
    <t>24.09.19</t>
  </si>
  <si>
    <t>Brothers Trading Corporation</t>
  </si>
  <si>
    <t>DMT 18-9214</t>
  </si>
  <si>
    <t>25.09.19</t>
  </si>
  <si>
    <t>S R Traders</t>
  </si>
  <si>
    <t>DMT 18-0600</t>
  </si>
  <si>
    <t>DMT 13-4144</t>
  </si>
  <si>
    <t>DMT 13-5221</t>
  </si>
  <si>
    <t>DMT 15-5970</t>
  </si>
  <si>
    <t>DMT 20-9633</t>
  </si>
  <si>
    <t>DMN 17-2998</t>
  </si>
  <si>
    <t>26.09.19</t>
  </si>
  <si>
    <t>DMT 20-5350</t>
  </si>
  <si>
    <t>DMT 13-0529</t>
  </si>
  <si>
    <t>27.09.19</t>
  </si>
  <si>
    <t>DMT 13-3289</t>
  </si>
  <si>
    <t>DMT 14-2910</t>
  </si>
  <si>
    <t>28.09.19</t>
  </si>
  <si>
    <t>DMN 20-1768</t>
  </si>
  <si>
    <t>29.09.19</t>
  </si>
  <si>
    <t>DMT 18-8486</t>
  </si>
  <si>
    <t>DMT 14-1690</t>
  </si>
  <si>
    <t>30.09.19</t>
  </si>
  <si>
    <t>Soyabean Oil (Palm)</t>
  </si>
  <si>
    <t>DMT 22-8115</t>
  </si>
  <si>
    <t>Net Qty</t>
  </si>
  <si>
    <t>Moisture</t>
  </si>
  <si>
    <t>DMT 15-4312</t>
  </si>
  <si>
    <t>RT 11-0039</t>
  </si>
  <si>
    <t>TT 02-0133</t>
  </si>
  <si>
    <t>DMT 11-4111</t>
  </si>
  <si>
    <t>DMT 14-2334</t>
  </si>
  <si>
    <t>01.10.09</t>
  </si>
  <si>
    <t>Vigarol</t>
  </si>
  <si>
    <t>ACI Animal Health</t>
  </si>
  <si>
    <t>02.10.19</t>
  </si>
  <si>
    <t>Single Cell Protein</t>
  </si>
  <si>
    <t>CMT 11-9513</t>
  </si>
  <si>
    <t>DMT 20-1974</t>
  </si>
  <si>
    <t>DMT 11-4555</t>
  </si>
  <si>
    <t>DMT 20-8977</t>
  </si>
  <si>
    <t>Bigarol</t>
  </si>
  <si>
    <t>03.10.19</t>
  </si>
  <si>
    <t>BGT 11-0831</t>
  </si>
  <si>
    <t>DMT 20-5336</t>
  </si>
  <si>
    <t>DMT 13-1090</t>
  </si>
  <si>
    <t>Yea Sacc</t>
  </si>
  <si>
    <t>mc 03-03</t>
  </si>
  <si>
    <t>05.10.19</t>
  </si>
  <si>
    <t>06.10.19</t>
  </si>
  <si>
    <t>P &amp; P Enterprise</t>
  </si>
  <si>
    <t>DMT 20-1557</t>
  </si>
  <si>
    <t>DMN 18-5531</t>
  </si>
  <si>
    <t>DMT 22-2136</t>
  </si>
  <si>
    <t>DMT 16-7626</t>
  </si>
  <si>
    <t>07.10.19</t>
  </si>
  <si>
    <t>DMD 11-9304</t>
  </si>
  <si>
    <t>067.10.19</t>
  </si>
  <si>
    <t>08.10.19</t>
  </si>
  <si>
    <t>DMD 14-2145</t>
  </si>
  <si>
    <t>DMT 22-7994</t>
  </si>
  <si>
    <t>DMU 14-3194</t>
  </si>
  <si>
    <t>DMT 14-1321</t>
  </si>
  <si>
    <t>Al Modina Food Industris</t>
  </si>
  <si>
    <t>Chira Vushi</t>
  </si>
  <si>
    <t>Al Amin Food</t>
  </si>
  <si>
    <t>Rate 500/- / Bag</t>
  </si>
  <si>
    <t>Rate 520/- / Bag</t>
  </si>
  <si>
    <t>09.10.19</t>
  </si>
  <si>
    <t>MYT 11-0241</t>
  </si>
  <si>
    <t>DMT 14-0855</t>
  </si>
  <si>
    <t>DMT 14-2211</t>
  </si>
  <si>
    <t>APL</t>
  </si>
  <si>
    <t>10.10.19</t>
  </si>
  <si>
    <t>SBM (Bhusi)</t>
  </si>
  <si>
    <t>Osmofat</t>
  </si>
  <si>
    <t>DMM 13-0058</t>
  </si>
  <si>
    <t>11.10.19</t>
  </si>
  <si>
    <t>DMT 20-1964</t>
  </si>
  <si>
    <t>SYT 11-1488</t>
  </si>
  <si>
    <t>BGT 11-0519</t>
  </si>
  <si>
    <t>DMT 13-0244</t>
  </si>
  <si>
    <t>DMA 11-4450</t>
  </si>
  <si>
    <t>12.10.19</t>
  </si>
  <si>
    <t>DMT 16-4502</t>
  </si>
  <si>
    <t>13.10.19</t>
  </si>
  <si>
    <t>DMT 20-6865</t>
  </si>
  <si>
    <t>DR-1000Pcs</t>
  </si>
  <si>
    <t>14.10.19</t>
  </si>
  <si>
    <t>DMT 4547</t>
  </si>
  <si>
    <t>BGT 11-0634</t>
  </si>
  <si>
    <t>DMT 14-0076</t>
  </si>
  <si>
    <t>DR-4400Pcs</t>
  </si>
  <si>
    <t>15.10.19</t>
  </si>
  <si>
    <t>DMT 16-9951</t>
  </si>
  <si>
    <t>DMT 14-8342</t>
  </si>
  <si>
    <t>DMT 22-1272</t>
  </si>
  <si>
    <t>DMT 18-4923</t>
  </si>
  <si>
    <t>DMT 11-6328</t>
  </si>
  <si>
    <t>DMT 18-3878</t>
  </si>
  <si>
    <t>DMT 22-1753</t>
  </si>
  <si>
    <t>16.10.19</t>
  </si>
  <si>
    <t>DMT 11-9195</t>
  </si>
  <si>
    <t>DMT 20-6654</t>
  </si>
  <si>
    <t>DMT 22-3782</t>
  </si>
  <si>
    <t>17.10.19</t>
  </si>
  <si>
    <t>DMT 13-3639</t>
  </si>
  <si>
    <t>DMT 22-5632</t>
  </si>
  <si>
    <t>Yaa Sac</t>
  </si>
  <si>
    <t>mc 1-17</t>
  </si>
  <si>
    <t>Bioplex</t>
  </si>
  <si>
    <t>Doctor's Agro vet Ltd.</t>
  </si>
  <si>
    <t>DMN 17-4332</t>
  </si>
  <si>
    <t>18.10.19</t>
  </si>
  <si>
    <t>JT 11-1207</t>
  </si>
  <si>
    <t>DMT 20-2204</t>
  </si>
  <si>
    <t>DMU 14-2533</t>
  </si>
  <si>
    <t>DMT 11-7756</t>
  </si>
  <si>
    <t>Aminogen 60% (Sample)</t>
  </si>
  <si>
    <t>19.10.19</t>
  </si>
  <si>
    <t>20.10.19</t>
  </si>
  <si>
    <t>DMN 1-3209</t>
  </si>
  <si>
    <t>21.10.19</t>
  </si>
  <si>
    <t>22.10.19</t>
  </si>
  <si>
    <t>DMT 16-7749</t>
  </si>
  <si>
    <t>Bismillah Traders</t>
  </si>
  <si>
    <t>DMT 22-8783</t>
  </si>
  <si>
    <t>DMT 22-8789</t>
  </si>
  <si>
    <t xml:space="preserve">Aminogen 60% </t>
  </si>
  <si>
    <t>23.10.19</t>
  </si>
  <si>
    <t>DMT 18-3993</t>
  </si>
  <si>
    <t>Shefat Enterprise</t>
  </si>
  <si>
    <t>25.10.19</t>
  </si>
  <si>
    <t>DMT 15-2204</t>
  </si>
  <si>
    <t>DMT 15-2575</t>
  </si>
  <si>
    <t>DMT 11-8405</t>
  </si>
  <si>
    <t>CMT 11-8853</t>
  </si>
  <si>
    <t>DMT 15-4212</t>
  </si>
  <si>
    <t>CMT 11-8489</t>
  </si>
  <si>
    <t>DMT 15-3311</t>
  </si>
  <si>
    <t>DMT 15-3066</t>
  </si>
  <si>
    <t>DMT 15-2254</t>
  </si>
  <si>
    <t>DMT 11-8379</t>
  </si>
  <si>
    <t>DMT 22-1898</t>
  </si>
  <si>
    <t>DMT 15-4013</t>
  </si>
  <si>
    <t>DMT 20-2393</t>
  </si>
  <si>
    <t>DMT 20-2381</t>
  </si>
  <si>
    <t>26.10.19</t>
  </si>
  <si>
    <t>Loan</t>
  </si>
  <si>
    <t>Resha Poultry and Dairy Madicin</t>
  </si>
  <si>
    <t>AD3E Premix</t>
  </si>
  <si>
    <t>Shoath Enterprise</t>
  </si>
  <si>
    <t>Paddy/ Rice</t>
  </si>
  <si>
    <t>Troly</t>
  </si>
  <si>
    <t>Bishal Traders</t>
  </si>
  <si>
    <t>DMT 15-1380</t>
  </si>
  <si>
    <t>DMT 13-2756</t>
  </si>
  <si>
    <t>CMT 11-9178</t>
  </si>
  <si>
    <t>DMT 15-4313</t>
  </si>
  <si>
    <t>DMT 15-5608</t>
  </si>
  <si>
    <t>DMT 15-4348</t>
  </si>
  <si>
    <t>CMT 11-6696</t>
  </si>
  <si>
    <t>CMT 11-3471</t>
  </si>
  <si>
    <t>DMT 11-5903</t>
  </si>
  <si>
    <t>DMT 11-5640</t>
  </si>
  <si>
    <t>DMT 13-3363</t>
  </si>
  <si>
    <t>DMT 15-2201</t>
  </si>
  <si>
    <t>DMT 15-2202</t>
  </si>
  <si>
    <t>27.10.19</t>
  </si>
  <si>
    <t>7360kg</t>
  </si>
  <si>
    <t>DMT 16-5554</t>
  </si>
  <si>
    <t>CM Pro</t>
  </si>
  <si>
    <t>Amin Trade and Engineering</t>
  </si>
  <si>
    <t>DMN 18-1836</t>
  </si>
  <si>
    <t>28.10.19</t>
  </si>
  <si>
    <t>CMT 11-5783</t>
  </si>
  <si>
    <t>CMT 11-5919</t>
  </si>
  <si>
    <t>CMT 11-8254</t>
  </si>
  <si>
    <t>DMT 15-5303</t>
  </si>
  <si>
    <t>DMT 15-3471</t>
  </si>
  <si>
    <t>CMT 11-7896</t>
  </si>
  <si>
    <t>DMT 22-1448</t>
  </si>
  <si>
    <t>DMT 15-3840</t>
  </si>
  <si>
    <t>CMT 11-9043</t>
  </si>
  <si>
    <t>DMT 13-5855</t>
  </si>
  <si>
    <t>DMT 15-3596</t>
  </si>
  <si>
    <t>DMT 13-4348</t>
  </si>
  <si>
    <t>29.10.19</t>
  </si>
  <si>
    <t>DMT 15-3595</t>
  </si>
  <si>
    <t>DMA 14-1760</t>
  </si>
  <si>
    <t>30.10.19</t>
  </si>
  <si>
    <t>DMT 22-7463</t>
  </si>
  <si>
    <t>JT 11-2580</t>
  </si>
  <si>
    <t>DMT 16-9172</t>
  </si>
  <si>
    <t>31.10.19</t>
  </si>
  <si>
    <t>Zumar Bag Industris Ltd</t>
  </si>
  <si>
    <t>DR-3100Pcs, CGS_1000Pcs</t>
  </si>
  <si>
    <t>DMU 11-2693</t>
  </si>
  <si>
    <t>DMU 12-0093</t>
  </si>
  <si>
    <t>CMT 11-9125</t>
  </si>
  <si>
    <t>DMT 11-9762</t>
  </si>
  <si>
    <t>DMT 15-5905</t>
  </si>
  <si>
    <t>CMT 11-9126</t>
  </si>
  <si>
    <t>DMT 15-5453</t>
  </si>
  <si>
    <t>CMT 11-9038</t>
  </si>
  <si>
    <t>CMT 11-8274</t>
  </si>
  <si>
    <t>01.11.19</t>
  </si>
  <si>
    <t>DMT 22-0932</t>
  </si>
  <si>
    <t>DMT 13-4345</t>
  </si>
  <si>
    <t>DMT 15-4724</t>
  </si>
  <si>
    <t>DMT 15-0324</t>
  </si>
  <si>
    <t>DMU 12-0094</t>
  </si>
  <si>
    <t>DMT 20-5258</t>
  </si>
  <si>
    <t>DMT 15-0501</t>
  </si>
  <si>
    <t>DMT 13-5699</t>
  </si>
  <si>
    <t>DMT 15-0569</t>
  </si>
  <si>
    <t>DMT 20-0490</t>
  </si>
  <si>
    <t>DMT 13-7026</t>
  </si>
  <si>
    <t>DMU 12-0090</t>
  </si>
  <si>
    <t>CMT 11-8252</t>
  </si>
  <si>
    <t>DMT 15-3925</t>
  </si>
  <si>
    <t>CMT 11-7312</t>
  </si>
  <si>
    <t>CMT 11-2301</t>
  </si>
  <si>
    <t>Month: Nov'19</t>
  </si>
  <si>
    <t>02.11.19</t>
  </si>
  <si>
    <t>Al Modina Food Industries</t>
  </si>
  <si>
    <t>Chira Bhusi</t>
  </si>
  <si>
    <t>Shah Enterprise</t>
  </si>
  <si>
    <t>Advance Chemical Industries</t>
  </si>
  <si>
    <t>DMM 14-0143</t>
  </si>
  <si>
    <t>CMT 11-8652</t>
  </si>
  <si>
    <t>DMT 16-4681</t>
  </si>
  <si>
    <t>CMT 11-2618</t>
  </si>
  <si>
    <t>DMT 16-9787</t>
  </si>
  <si>
    <t>DMT 22-5022</t>
  </si>
  <si>
    <t>DMT 16-2712</t>
  </si>
  <si>
    <t>DMT 13-7023</t>
  </si>
  <si>
    <t>DMT 15-0325</t>
  </si>
  <si>
    <t>CMT 11-7133</t>
  </si>
  <si>
    <t>DMT 13-3933</t>
  </si>
  <si>
    <t>DMT 12-0095</t>
  </si>
  <si>
    <t>CMT 11-3198</t>
  </si>
  <si>
    <t>DMT 15-5911</t>
  </si>
  <si>
    <t>03.11.19</t>
  </si>
  <si>
    <t>DMT 20-5582</t>
  </si>
  <si>
    <t>DMT 16-6365</t>
  </si>
  <si>
    <t>DMT 16-4488</t>
  </si>
  <si>
    <t>DMT 20-7891</t>
  </si>
  <si>
    <t>DMT 20-4734</t>
  </si>
  <si>
    <t>DR-10100Pcs,BR-10700Pcs,TGF-4800Pcs</t>
  </si>
  <si>
    <t>DMN 11-8379</t>
  </si>
  <si>
    <t>04.11.19</t>
  </si>
  <si>
    <t>DMT 18-2111</t>
  </si>
  <si>
    <t>ADEB Extra</t>
  </si>
  <si>
    <t>05.11.19</t>
  </si>
  <si>
    <t>06.11.19</t>
  </si>
  <si>
    <t>Nature Care Manufacturing In. Ltd.</t>
  </si>
  <si>
    <t>DMN 20-0403</t>
  </si>
  <si>
    <t>07.11.19</t>
  </si>
  <si>
    <t>Haque Enterprise</t>
  </si>
  <si>
    <t>CMT 11-8770</t>
  </si>
  <si>
    <t>08.11.19</t>
  </si>
  <si>
    <t>DMT 14-2292</t>
  </si>
  <si>
    <t>DMT 11-8046</t>
  </si>
  <si>
    <t>09.11.19</t>
  </si>
  <si>
    <t>Maa Baba Doya Enterprise</t>
  </si>
  <si>
    <t>10.11.19</t>
  </si>
  <si>
    <t>DMN 17-5264, 20-1413</t>
  </si>
  <si>
    <t>11.11.19</t>
  </si>
  <si>
    <t xml:space="preserve">Alquremold </t>
  </si>
  <si>
    <t>Arena Agro</t>
  </si>
  <si>
    <t>BioSol</t>
  </si>
  <si>
    <t>CGS-1900Pcs,BHF-2920Ps,FAO-5000Pcs</t>
  </si>
  <si>
    <t>12.11.19</t>
  </si>
  <si>
    <t>Bhuiyan Enterprise</t>
  </si>
  <si>
    <t>Paddy / Rice</t>
  </si>
  <si>
    <t>DMT 11-6262</t>
  </si>
  <si>
    <t>DMA 42-0125</t>
  </si>
  <si>
    <t>Shahad Enterprise</t>
  </si>
  <si>
    <t>DMD 44-0423</t>
  </si>
  <si>
    <t>DMT 11-8166</t>
  </si>
  <si>
    <t>DMT 14-3456</t>
  </si>
  <si>
    <t>DMM 13-1218</t>
  </si>
  <si>
    <t>Silo Animal Health</t>
  </si>
  <si>
    <t>Lyso 10</t>
  </si>
  <si>
    <t>Harun Enterprise</t>
  </si>
  <si>
    <t>13.11.19</t>
  </si>
  <si>
    <t>chowad Enterprise</t>
  </si>
  <si>
    <t>DMN 17-3467</t>
  </si>
  <si>
    <t>CMT 11-7181</t>
  </si>
  <si>
    <t>CMT 11-4010</t>
  </si>
  <si>
    <t>CMT 11-6809</t>
  </si>
  <si>
    <t>DMT 15-4253</t>
  </si>
  <si>
    <t>14.11.19</t>
  </si>
  <si>
    <t>Wiseman Duidance Ltd.</t>
  </si>
  <si>
    <t>Bargar Fat (Osmo Fat)</t>
  </si>
  <si>
    <t>DMN 19-1701</t>
  </si>
  <si>
    <t>Dobir Enterprise</t>
  </si>
  <si>
    <t>TT 11-0039</t>
  </si>
  <si>
    <t>DMD 16-4681</t>
  </si>
  <si>
    <t>CMT 11-6327</t>
  </si>
  <si>
    <t>DMT 22-3129</t>
  </si>
  <si>
    <t>CMT 11-7875</t>
  </si>
  <si>
    <t>DMT 20-2122</t>
  </si>
  <si>
    <t>CMT 11-1773</t>
  </si>
  <si>
    <t>DMT 13-1554</t>
  </si>
  <si>
    <t>CMT 11-6808</t>
  </si>
  <si>
    <t>15.11.19</t>
  </si>
  <si>
    <t>Poultry Sheba o Oshud Biponi Kendra</t>
  </si>
  <si>
    <t>DMT 15-6471</t>
  </si>
  <si>
    <t>DMT 15-5454</t>
  </si>
  <si>
    <t>DMT 22-4018</t>
  </si>
  <si>
    <t>ACE Phrmaceutical</t>
  </si>
  <si>
    <t>krishibid Trading (Dobir)</t>
  </si>
  <si>
    <t>LC Rapeseed Oct'19</t>
  </si>
  <si>
    <t>16.11.19</t>
  </si>
  <si>
    <t>DMT 15-2320</t>
  </si>
  <si>
    <t>DMT 20-0489</t>
  </si>
  <si>
    <t>DMU 12-0092</t>
  </si>
  <si>
    <t>CMT 11-8991</t>
  </si>
  <si>
    <t>CMT 12-1223</t>
  </si>
  <si>
    <t>17.11.19</t>
  </si>
  <si>
    <t>DMT 20-1914</t>
  </si>
  <si>
    <t>CMT 11-8487</t>
  </si>
  <si>
    <t>18.11.19</t>
  </si>
  <si>
    <t>DMT 15-6645</t>
  </si>
  <si>
    <t>DMT 22-7430</t>
  </si>
  <si>
    <t>DMT 16-0217</t>
  </si>
  <si>
    <t>Alltech Biotechnology</t>
  </si>
  <si>
    <t>DMN 17-7154</t>
  </si>
  <si>
    <t>MYMN 11-0138</t>
  </si>
  <si>
    <t>19.11.19</t>
  </si>
  <si>
    <t>20.11.19</t>
  </si>
  <si>
    <t>A K Trading</t>
  </si>
  <si>
    <t>DMT 14-6377</t>
  </si>
  <si>
    <t>KMT 11-0555</t>
  </si>
  <si>
    <t>21.11.19</t>
  </si>
  <si>
    <t>Zuelling Pharma Bangladesh Ltd.</t>
  </si>
  <si>
    <t>DMM 11-1882</t>
  </si>
  <si>
    <t>22.11.19</t>
  </si>
  <si>
    <t>Salma Beej Vander (Shady Traders)</t>
  </si>
  <si>
    <t>DMT 20-2764</t>
  </si>
  <si>
    <t>DMT 16-3702</t>
  </si>
  <si>
    <t>23.11.19</t>
  </si>
  <si>
    <t>DMT 18-0719</t>
  </si>
  <si>
    <t>DMT 15-4426</t>
  </si>
  <si>
    <t>FAO-7450pcs</t>
  </si>
  <si>
    <t>DMT 18-5059</t>
  </si>
  <si>
    <t>DMT 13-4420</t>
  </si>
  <si>
    <t>DMT 16-8826</t>
  </si>
  <si>
    <t>DMT 15-6558</t>
  </si>
  <si>
    <t>CMT 11-8406</t>
  </si>
  <si>
    <t>DMT 13-6222</t>
  </si>
  <si>
    <t>DMT 22-9450</t>
  </si>
  <si>
    <t>24.11.19</t>
  </si>
  <si>
    <t>Soyabean Huks</t>
  </si>
  <si>
    <t>DMT 13-0788</t>
  </si>
  <si>
    <t>DMT 13-6264</t>
  </si>
  <si>
    <t>DMT 11-8510</t>
  </si>
  <si>
    <t>DMT 20-1491</t>
  </si>
  <si>
    <t>25.11.19</t>
  </si>
  <si>
    <t>Krishibid Trading (Dobir)</t>
  </si>
  <si>
    <t>DMT 13-2152</t>
  </si>
  <si>
    <t>DMT 15-5132</t>
  </si>
  <si>
    <t>DMU 14-2794</t>
  </si>
  <si>
    <t>DMN 17-6147</t>
  </si>
  <si>
    <t>26.11.19</t>
  </si>
  <si>
    <t>DMT 13-5819</t>
  </si>
  <si>
    <t>27.11.19</t>
  </si>
  <si>
    <t>DMT 24-0431</t>
  </si>
  <si>
    <t>DMT 14-8661</t>
  </si>
  <si>
    <t>DMT 22-0815</t>
  </si>
  <si>
    <t>FAO-9680pcs</t>
  </si>
  <si>
    <t>Janoni Chira &amp; Muri Mill</t>
  </si>
  <si>
    <t>28.11.19</t>
  </si>
  <si>
    <t>DMT 18-9176</t>
  </si>
  <si>
    <t>DMT 18-8936</t>
  </si>
  <si>
    <t>DMT 15-2301</t>
  </si>
  <si>
    <t>DMT 16-8410</t>
  </si>
  <si>
    <t>DMT 22-4948</t>
  </si>
  <si>
    <t>29.11.19</t>
  </si>
  <si>
    <t>DMT 15-4422</t>
  </si>
  <si>
    <t>DMT 15-5444</t>
  </si>
  <si>
    <t>DMT 16-4142</t>
  </si>
  <si>
    <t>DMT 14-3711</t>
  </si>
  <si>
    <t>DMT 16-0887</t>
  </si>
  <si>
    <t>Unique  Trading (MS )</t>
  </si>
  <si>
    <t>Nurrun Nahaer Traders</t>
  </si>
  <si>
    <t>Saad Enterprise</t>
  </si>
  <si>
    <t>30.11.19</t>
  </si>
  <si>
    <t>DMT 11-5009</t>
  </si>
  <si>
    <t>DMT 22-5397</t>
  </si>
  <si>
    <t>DMT 15-3236</t>
  </si>
  <si>
    <t>Mobile SMS</t>
  </si>
  <si>
    <t>DMT 11-4216</t>
  </si>
  <si>
    <t>CMT 11-7950</t>
  </si>
</sst>
</file>

<file path=xl/styles.xml><?xml version="1.0" encoding="utf-8"?>
<styleSheet xmlns="http://schemas.openxmlformats.org/spreadsheetml/2006/main">
  <numFmts count="2">
    <numFmt numFmtId="164" formatCode="0.000"/>
    <numFmt numFmtId="165" formatCode="0.0"/>
  </numFmts>
  <fonts count="15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14"/>
      <name val="Times New Roman"/>
      <family val="1"/>
    </font>
    <font>
      <sz val="7"/>
      <name val="Times New Roman"/>
      <family val="1"/>
    </font>
    <font>
      <sz val="8"/>
      <color rgb="FFFF0000"/>
      <name val="Calibri"/>
      <family val="2"/>
      <scheme val="minor"/>
    </font>
    <font>
      <sz val="8"/>
      <name val="Calibri"/>
      <family val="2"/>
      <scheme val="minor"/>
    </font>
    <font>
      <sz val="7"/>
      <color theme="1"/>
      <name val="Calibri"/>
      <family val="2"/>
      <scheme val="minor"/>
    </font>
    <font>
      <sz val="6"/>
      <color theme="1"/>
      <name val="Calibri"/>
      <family val="2"/>
      <scheme val="minor"/>
    </font>
    <font>
      <sz val="11"/>
      <name val="Calibri"/>
      <family val="2"/>
      <scheme val="minor"/>
    </font>
    <font>
      <sz val="4"/>
      <color theme="1"/>
      <name val="Calibri"/>
      <family val="2"/>
      <scheme val="minor"/>
    </font>
    <font>
      <sz val="6"/>
      <name val="Calibri"/>
      <family val="2"/>
      <scheme val="minor"/>
    </font>
    <font>
      <sz val="5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6"/>
      <color rgb="FFFF000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99">
    <xf numFmtId="0" fontId="0" fillId="0" borderId="0" xfId="0"/>
    <xf numFmtId="0" fontId="0" fillId="0" borderId="0" xfId="0"/>
    <xf numFmtId="0" fontId="1" fillId="0" borderId="1" xfId="0" applyFont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 wrapText="1"/>
    </xf>
    <xf numFmtId="1" fontId="1" fillId="0" borderId="1" xfId="0" applyNumberFormat="1" applyFont="1" applyBorder="1" applyAlignment="1">
      <alignment horizontal="center" vertical="center"/>
    </xf>
    <xf numFmtId="0" fontId="0" fillId="0" borderId="1" xfId="0" applyBorder="1"/>
    <xf numFmtId="0" fontId="0" fillId="0" borderId="4" xfId="0" applyBorder="1" applyAlignment="1">
      <alignment vertical="center"/>
    </xf>
    <xf numFmtId="0" fontId="0" fillId="0" borderId="5" xfId="0" applyBorder="1" applyAlignment="1">
      <alignment vertical="center"/>
    </xf>
    <xf numFmtId="0" fontId="0" fillId="0" borderId="6" xfId="0" applyBorder="1" applyAlignment="1">
      <alignment vertical="center"/>
    </xf>
    <xf numFmtId="0" fontId="0" fillId="0" borderId="4" xfId="0" applyBorder="1" applyAlignment="1"/>
    <xf numFmtId="0" fontId="0" fillId="0" borderId="6" xfId="0" applyBorder="1" applyAlignment="1"/>
    <xf numFmtId="0" fontId="1" fillId="0" borderId="7" xfId="0" applyFont="1" applyBorder="1" applyAlignment="1">
      <alignment horizontal="center" vertical="center"/>
    </xf>
    <xf numFmtId="0" fontId="0" fillId="0" borderId="1" xfId="0" applyFill="1" applyBorder="1"/>
    <xf numFmtId="0" fontId="1" fillId="3" borderId="8" xfId="0" applyFont="1" applyFill="1" applyBorder="1" applyAlignment="1">
      <alignment horizontal="center" vertical="center"/>
    </xf>
    <xf numFmtId="0" fontId="1" fillId="2" borderId="8" xfId="0" applyFont="1" applyFill="1" applyBorder="1" applyAlignment="1">
      <alignment horizontal="center" vertical="center"/>
    </xf>
    <xf numFmtId="1" fontId="0" fillId="0" borderId="0" xfId="0" applyNumberFormat="1"/>
    <xf numFmtId="2" fontId="0" fillId="0" borderId="0" xfId="0" applyNumberFormat="1"/>
    <xf numFmtId="0" fontId="0" fillId="4" borderId="0" xfId="0" applyFill="1"/>
    <xf numFmtId="1" fontId="1" fillId="4" borderId="1" xfId="0" applyNumberFormat="1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0" fillId="0" borderId="0" xfId="0" applyFill="1" applyBorder="1"/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/>
    </xf>
    <xf numFmtId="0" fontId="5" fillId="0" borderId="1" xfId="0" applyFont="1" applyBorder="1"/>
    <xf numFmtId="1" fontId="6" fillId="0" borderId="0" xfId="0" applyNumberFormat="1" applyFont="1"/>
    <xf numFmtId="0" fontId="0" fillId="0" borderId="1" xfId="0" applyBorder="1" applyAlignment="1">
      <alignment horizontal="center" vertical="center"/>
    </xf>
    <xf numFmtId="0" fontId="0" fillId="0" borderId="5" xfId="0" applyFill="1" applyBorder="1"/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Fill="1" applyBorder="1" applyAlignment="1">
      <alignment vertical="center"/>
    </xf>
    <xf numFmtId="0" fontId="0" fillId="0" borderId="1" xfId="0" applyBorder="1" applyAlignment="1">
      <alignment vertical="center"/>
    </xf>
    <xf numFmtId="0" fontId="1" fillId="0" borderId="4" xfId="0" applyFont="1" applyBorder="1" applyAlignment="1">
      <alignment vertical="center"/>
    </xf>
    <xf numFmtId="0" fontId="1" fillId="0" borderId="0" xfId="0" applyFont="1"/>
    <xf numFmtId="0" fontId="1" fillId="0" borderId="5" xfId="0" applyFont="1" applyBorder="1" applyAlignment="1">
      <alignment vertical="center"/>
    </xf>
    <xf numFmtId="0" fontId="1" fillId="0" borderId="1" xfId="0" applyFont="1" applyBorder="1" applyAlignment="1">
      <alignment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1" fillId="0" borderId="6" xfId="0" applyFont="1" applyBorder="1" applyAlignment="1">
      <alignment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1" fillId="0" borderId="1" xfId="0" applyFont="1" applyFill="1" applyBorder="1" applyAlignment="1">
      <alignment horizontal="center" vertical="center"/>
    </xf>
    <xf numFmtId="1" fontId="1" fillId="0" borderId="1" xfId="0" applyNumberFormat="1" applyFont="1" applyFill="1" applyBorder="1" applyAlignment="1">
      <alignment horizontal="center" vertical="center"/>
    </xf>
    <xf numFmtId="0" fontId="0" fillId="0" borderId="0" xfId="0" applyFill="1"/>
    <xf numFmtId="0" fontId="4" fillId="0" borderId="1" xfId="0" applyFont="1" applyFill="1" applyBorder="1" applyAlignment="1">
      <alignment horizontal="center" vertical="center"/>
    </xf>
    <xf numFmtId="0" fontId="1" fillId="0" borderId="1" xfId="0" applyFont="1" applyFill="1" applyBorder="1"/>
    <xf numFmtId="0" fontId="1" fillId="0" borderId="1" xfId="0" applyFont="1" applyFill="1" applyBorder="1" applyAlignment="1">
      <alignment horizontal="center"/>
    </xf>
    <xf numFmtId="0" fontId="0" fillId="0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2" fontId="1" fillId="0" borderId="1" xfId="0" applyNumberFormat="1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/>
    <xf numFmtId="0" fontId="0" fillId="0" borderId="3" xfId="0" applyBorder="1" applyAlignment="1"/>
    <xf numFmtId="0" fontId="0" fillId="0" borderId="1" xfId="0" applyBorder="1" applyAlignment="1">
      <alignment horizontal="center" vertical="center"/>
    </xf>
    <xf numFmtId="0" fontId="7" fillId="0" borderId="1" xfId="0" applyFont="1" applyFill="1" applyBorder="1" applyAlignment="1">
      <alignment horizontal="center" vertical="center"/>
    </xf>
    <xf numFmtId="0" fontId="1" fillId="0" borderId="1" xfId="0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1" fillId="3" borderId="4" xfId="0" applyFont="1" applyFill="1" applyBorder="1" applyAlignment="1">
      <alignment horizontal="center" vertical="center"/>
    </xf>
    <xf numFmtId="0" fontId="1" fillId="3" borderId="4" xfId="0" applyFont="1" applyFill="1" applyBorder="1" applyAlignment="1">
      <alignment horizontal="center" vertical="center" wrapText="1"/>
    </xf>
    <xf numFmtId="0" fontId="1" fillId="0" borderId="0" xfId="0" applyFont="1" applyBorder="1" applyAlignment="1">
      <alignment horizontal="center" vertical="center"/>
    </xf>
    <xf numFmtId="1" fontId="1" fillId="0" borderId="0" xfId="0" applyNumberFormat="1" applyFont="1" applyBorder="1" applyAlignment="1">
      <alignment horizontal="center" vertical="center"/>
    </xf>
    <xf numFmtId="0" fontId="0" fillId="0" borderId="0" xfId="0" applyBorder="1"/>
    <xf numFmtId="0" fontId="0" fillId="0" borderId="0" xfId="0" applyBorder="1" applyAlignment="1"/>
    <xf numFmtId="0" fontId="0" fillId="0" borderId="0" xfId="0" applyBorder="1" applyAlignment="1">
      <alignment horizontal="center" vertical="center"/>
    </xf>
    <xf numFmtId="1" fontId="1" fillId="4" borderId="0" xfId="0" applyNumberFormat="1" applyFont="1" applyFill="1" applyBorder="1" applyAlignment="1">
      <alignment horizontal="center" vertical="center"/>
    </xf>
    <xf numFmtId="1" fontId="0" fillId="0" borderId="0" xfId="0" applyNumberFormat="1" applyBorder="1"/>
    <xf numFmtId="0" fontId="1" fillId="0" borderId="0" xfId="0" applyFont="1" applyFill="1" applyBorder="1" applyAlignment="1">
      <alignment horizontal="center" vertical="center"/>
    </xf>
    <xf numFmtId="1" fontId="1" fillId="0" borderId="0" xfId="0" applyNumberFormat="1" applyFont="1" applyFill="1" applyBorder="1" applyAlignment="1">
      <alignment horizontal="center" vertical="center"/>
    </xf>
    <xf numFmtId="0" fontId="0" fillId="0" borderId="0" xfId="0" applyBorder="1" applyAlignment="1">
      <alignment vertical="center"/>
    </xf>
    <xf numFmtId="1" fontId="1" fillId="0" borderId="0" xfId="0" applyNumberFormat="1" applyFont="1"/>
    <xf numFmtId="0" fontId="0" fillId="0" borderId="1" xfId="0" applyBorder="1" applyAlignment="1">
      <alignment horizontal="center" vertical="center"/>
    </xf>
    <xf numFmtId="0" fontId="1" fillId="0" borderId="1" xfId="0" quotePrefix="1" applyFont="1" applyBorder="1" applyAlignment="1">
      <alignment horizontal="center" vertical="center"/>
    </xf>
    <xf numFmtId="0" fontId="0" fillId="0" borderId="0" xfId="0" quotePrefix="1"/>
    <xf numFmtId="0" fontId="0" fillId="0" borderId="0" xfId="0" quotePrefix="1" applyAlignment="1">
      <alignment horizontal="center"/>
    </xf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2" fontId="0" fillId="0" borderId="0" xfId="0" applyNumberFormat="1" applyBorder="1"/>
    <xf numFmtId="0" fontId="0" fillId="0" borderId="0" xfId="0" applyFill="1" applyBorder="1" applyAlignment="1">
      <alignment vertical="center"/>
    </xf>
    <xf numFmtId="0" fontId="0" fillId="0" borderId="10" xfId="0" applyBorder="1" applyAlignment="1">
      <alignment vertical="center"/>
    </xf>
    <xf numFmtId="0" fontId="0" fillId="0" borderId="10" xfId="0" applyBorder="1"/>
    <xf numFmtId="2" fontId="0" fillId="0" borderId="10" xfId="0" applyNumberFormat="1" applyBorder="1"/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7" fillId="0" borderId="1" xfId="0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1" fillId="0" borderId="7" xfId="0" applyFont="1" applyFill="1" applyBorder="1" applyAlignment="1">
      <alignment horizontal="center" vertical="center"/>
    </xf>
    <xf numFmtId="0" fontId="0" fillId="0" borderId="3" xfId="0" applyBorder="1" applyAlignment="1">
      <alignment vertical="center"/>
    </xf>
    <xf numFmtId="0" fontId="0" fillId="0" borderId="3" xfId="0" applyFill="1" applyBorder="1" applyAlignment="1">
      <alignment vertical="center"/>
    </xf>
    <xf numFmtId="164" fontId="1" fillId="0" borderId="1" xfId="0" applyNumberFormat="1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5" fillId="0" borderId="1" xfId="0" applyFont="1" applyFill="1" applyBorder="1" applyAlignment="1">
      <alignment horizontal="center" vertical="center"/>
    </xf>
    <xf numFmtId="0" fontId="0" fillId="0" borderId="3" xfId="0" applyBorder="1" applyAlignment="1">
      <alignment horizontal="center"/>
    </xf>
    <xf numFmtId="0" fontId="0" fillId="0" borderId="1" xfId="0" applyBorder="1" applyAlignment="1">
      <alignment horizontal="center" vertical="center"/>
    </xf>
    <xf numFmtId="0" fontId="7" fillId="3" borderId="1" xfId="0" applyFont="1" applyFill="1" applyBorder="1" applyAlignment="1">
      <alignment horizontal="center" vertical="center" wrapText="1"/>
    </xf>
    <xf numFmtId="0" fontId="0" fillId="0" borderId="5" xfId="0" applyBorder="1" applyAlignment="1"/>
    <xf numFmtId="0" fontId="4" fillId="0" borderId="0" xfId="0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center"/>
    </xf>
    <xf numFmtId="0" fontId="1" fillId="0" borderId="0" xfId="0" applyFont="1" applyFill="1" applyBorder="1"/>
    <xf numFmtId="164" fontId="1" fillId="0" borderId="0" xfId="0" applyNumberFormat="1" applyFont="1" applyFill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1" fontId="1" fillId="0" borderId="4" xfId="0" applyNumberFormat="1" applyFont="1" applyBorder="1" applyAlignment="1">
      <alignment horizontal="center" vertical="center"/>
    </xf>
    <xf numFmtId="0" fontId="1" fillId="5" borderId="1" xfId="0" applyFont="1" applyFill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0" fillId="0" borderId="4" xfId="0" applyBorder="1"/>
    <xf numFmtId="0" fontId="1" fillId="0" borderId="4" xfId="0" applyFont="1" applyBorder="1" applyAlignment="1">
      <alignment horizontal="center" vertical="center"/>
    </xf>
    <xf numFmtId="0" fontId="8" fillId="0" borderId="0" xfId="0" applyFont="1" applyFill="1"/>
    <xf numFmtId="0" fontId="9" fillId="0" borderId="1" xfId="0" applyFont="1" applyFill="1" applyBorder="1" applyAlignment="1">
      <alignment horizontal="center" vertical="center"/>
    </xf>
    <xf numFmtId="0" fontId="1" fillId="0" borderId="4" xfId="0" applyFont="1" applyFill="1" applyBorder="1" applyAlignment="1">
      <alignment horizontal="center" vertical="center"/>
    </xf>
    <xf numFmtId="0" fontId="1" fillId="0" borderId="8" xfId="0" applyFon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1" fillId="0" borderId="0" xfId="0" applyFont="1" applyBorder="1" applyAlignment="1">
      <alignment horizontal="center"/>
    </xf>
    <xf numFmtId="0" fontId="10" fillId="0" borderId="1" xfId="0" applyFont="1" applyFill="1" applyBorder="1" applyAlignment="1">
      <alignment horizontal="center" vertical="center"/>
    </xf>
    <xf numFmtId="0" fontId="10" fillId="0" borderId="1" xfId="0" applyFont="1" applyFill="1" applyBorder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0" fontId="0" fillId="0" borderId="0" xfId="0" applyBorder="1" applyAlignment="1">
      <alignment horizontal="center" vertical="center"/>
    </xf>
    <xf numFmtId="0" fontId="11" fillId="0" borderId="1" xfId="0" applyFont="1" applyFill="1" applyBorder="1" applyAlignment="1">
      <alignment horizontal="center" vertical="center" wrapText="1"/>
    </xf>
    <xf numFmtId="0" fontId="0" fillId="0" borderId="0" xfId="0" quotePrefix="1" applyBorder="1"/>
    <xf numFmtId="0" fontId="1" fillId="0" borderId="0" xfId="0" quotePrefix="1" applyFont="1" applyBorder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/>
    <xf numFmtId="1" fontId="6" fillId="0" borderId="0" xfId="0" applyNumberFormat="1" applyFont="1" applyBorder="1"/>
    <xf numFmtId="1" fontId="1" fillId="0" borderId="0" xfId="0" applyNumberFormat="1" applyFont="1" applyBorder="1"/>
    <xf numFmtId="0" fontId="1" fillId="0" borderId="0" xfId="0" applyFont="1" applyBorder="1"/>
    <xf numFmtId="0" fontId="0" fillId="0" borderId="0" xfId="0" quotePrefix="1" applyBorder="1" applyAlignment="1">
      <alignment horizontal="center"/>
    </xf>
    <xf numFmtId="0" fontId="1" fillId="0" borderId="0" xfId="0" applyFont="1" applyBorder="1" applyAlignment="1">
      <alignment vertical="center"/>
    </xf>
    <xf numFmtId="165" fontId="1" fillId="0" borderId="1" xfId="0" applyNumberFormat="1" applyFont="1" applyFill="1" applyBorder="1" applyAlignment="1">
      <alignment horizontal="center" vertical="center"/>
    </xf>
    <xf numFmtId="1" fontId="1" fillId="0" borderId="5" xfId="0" applyNumberFormat="1" applyFont="1" applyFill="1" applyBorder="1" applyAlignment="1">
      <alignment horizontal="center" vertical="center"/>
    </xf>
    <xf numFmtId="0" fontId="5" fillId="0" borderId="5" xfId="0" applyFont="1" applyFill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1" fontId="5" fillId="0" borderId="1" xfId="0" applyNumberFormat="1" applyFon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5" fillId="0" borderId="0" xfId="0" applyFont="1" applyFill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9" fillId="0" borderId="0" xfId="0" applyFon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0" fillId="0" borderId="0" xfId="0" applyFill="1" applyBorder="1" applyAlignment="1"/>
    <xf numFmtId="0" fontId="1" fillId="0" borderId="0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1" fillId="0" borderId="5" xfId="0" applyFont="1" applyFill="1" applyBorder="1" applyAlignment="1">
      <alignment horizontal="center" vertical="center"/>
    </xf>
    <xf numFmtId="0" fontId="1" fillId="5" borderId="8" xfId="0" applyFont="1" applyFill="1" applyBorder="1" applyAlignment="1">
      <alignment horizontal="center" vertical="center"/>
    </xf>
    <xf numFmtId="0" fontId="7" fillId="0" borderId="0" xfId="0" applyFont="1" applyFill="1" applyBorder="1" applyAlignment="1">
      <alignment horizontal="center" vertical="center" wrapText="1"/>
    </xf>
    <xf numFmtId="0" fontId="10" fillId="0" borderId="0" xfId="0" applyFont="1" applyFill="1" applyBorder="1" applyAlignment="1">
      <alignment horizontal="center" vertical="center" wrapText="1"/>
    </xf>
    <xf numFmtId="0" fontId="1" fillId="0" borderId="0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6" fillId="0" borderId="1" xfId="0" applyFont="1" applyFill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1" fillId="0" borderId="1" xfId="0" applyFont="1" applyFill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0" fillId="0" borderId="3" xfId="0" applyFill="1" applyBorder="1" applyAlignment="1"/>
    <xf numFmtId="0" fontId="1" fillId="0" borderId="1" xfId="0" applyFon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1" fontId="12" fillId="0" borderId="1" xfId="0" applyNumberFormat="1" applyFont="1" applyFill="1" applyBorder="1" applyAlignment="1">
      <alignment horizontal="center" vertical="center"/>
    </xf>
    <xf numFmtId="0" fontId="1" fillId="0" borderId="3" xfId="0" applyFont="1" applyFill="1" applyBorder="1" applyAlignment="1">
      <alignment vertical="center"/>
    </xf>
    <xf numFmtId="0" fontId="1" fillId="0" borderId="1" xfId="0" applyFont="1" applyBorder="1" applyAlignment="1">
      <alignment horizontal="center" vertical="center"/>
    </xf>
    <xf numFmtId="2" fontId="1" fillId="0" borderId="1" xfId="0" applyNumberFormat="1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0" xfId="0" applyFont="1" applyFill="1" applyBorder="1" applyAlignment="1">
      <alignment vertical="center"/>
    </xf>
    <xf numFmtId="0" fontId="1" fillId="0" borderId="1" xfId="0" applyFont="1" applyBorder="1" applyAlignment="1">
      <alignment horizontal="center" vertical="center"/>
    </xf>
    <xf numFmtId="0" fontId="0" fillId="0" borderId="5" xfId="0" applyFill="1" applyBorder="1" applyAlignment="1">
      <alignment vertical="center"/>
    </xf>
    <xf numFmtId="0" fontId="1" fillId="0" borderId="1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1" xfId="0" applyFont="1" applyFill="1" applyBorder="1" applyAlignment="1">
      <alignment horizontal="center" vertical="center"/>
    </xf>
    <xf numFmtId="0" fontId="0" fillId="0" borderId="11" xfId="0" applyFill="1" applyBorder="1"/>
    <xf numFmtId="0" fontId="1" fillId="0" borderId="0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 vertical="center"/>
    </xf>
    <xf numFmtId="16" fontId="1" fillId="0" borderId="1" xfId="0" applyNumberFormat="1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0" fillId="0" borderId="0" xfId="0" applyBorder="1" applyAlignment="1">
      <alignment horizontal="center"/>
    </xf>
    <xf numFmtId="0" fontId="1" fillId="0" borderId="1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1" fontId="1" fillId="0" borderId="12" xfId="0" applyNumberFormat="1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16" fontId="1" fillId="0" borderId="1" xfId="0" quotePrefix="1" applyNumberFormat="1" applyFont="1" applyFill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3" fillId="0" borderId="0" xfId="0" applyFont="1"/>
    <xf numFmtId="0" fontId="13" fillId="0" borderId="0" xfId="0" applyFont="1" applyFill="1"/>
    <xf numFmtId="0" fontId="7" fillId="0" borderId="1" xfId="0" applyFont="1" applyFill="1" applyBorder="1"/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0" fillId="0" borderId="0" xfId="0" applyBorder="1" applyAlignment="1">
      <alignment horizontal="center"/>
    </xf>
    <xf numFmtId="0" fontId="1" fillId="6" borderId="1" xfId="0" applyFont="1" applyFill="1" applyBorder="1" applyAlignment="1">
      <alignment horizontal="center" vertical="center"/>
    </xf>
    <xf numFmtId="0" fontId="14" fillId="0" borderId="1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0" xfId="0" applyFont="1" applyFill="1" applyBorder="1" applyAlignment="1">
      <alignment horizontal="center" vertical="center" wrapText="1"/>
    </xf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7" borderId="1" xfId="0" applyFont="1" applyFill="1" applyBorder="1" applyAlignment="1">
      <alignment horizontal="center"/>
    </xf>
    <xf numFmtId="0" fontId="1" fillId="7" borderId="1" xfId="0" applyFont="1" applyFill="1" applyBorder="1" applyAlignment="1">
      <alignment horizontal="center" vertical="center"/>
    </xf>
    <xf numFmtId="1" fontId="1" fillId="7" borderId="1" xfId="0" applyNumberFormat="1" applyFont="1" applyFill="1" applyBorder="1" applyAlignment="1">
      <alignment horizontal="center" vertical="center"/>
    </xf>
    <xf numFmtId="0" fontId="7" fillId="7" borderId="1" xfId="0" applyFont="1" applyFill="1" applyBorder="1" applyAlignment="1">
      <alignment horizontal="center" vertical="center" wrapText="1"/>
    </xf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 vertical="center"/>
    </xf>
    <xf numFmtId="0" fontId="7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0" fillId="0" borderId="0" xfId="0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1" fillId="0" borderId="1" xfId="0" applyFont="1" applyBorder="1"/>
    <xf numFmtId="0" fontId="1" fillId="4" borderId="1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2" fillId="0" borderId="0" xfId="0" applyFont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0" fillId="0" borderId="3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 vertical="center"/>
    </xf>
    <xf numFmtId="0" fontId="0" fillId="0" borderId="3" xfId="0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2" xfId="0" applyFill="1" applyBorder="1" applyAlignment="1">
      <alignment horizont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2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0" xfId="0" applyBorder="1" applyAlignment="1">
      <alignment horizontal="center" vertical="center"/>
    </xf>
    <xf numFmtId="0" fontId="0" fillId="0" borderId="3" xfId="0" applyFill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1" fillId="0" borderId="2" xfId="0" applyFont="1" applyFill="1" applyBorder="1" applyAlignment="1">
      <alignment horizontal="center" vertical="center"/>
    </xf>
    <xf numFmtId="0" fontId="1" fillId="0" borderId="3" xfId="0" applyFont="1" applyFill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1" fillId="0" borderId="11" xfId="0" applyFont="1" applyBorder="1" applyAlignment="1">
      <alignment horizontal="center"/>
    </xf>
    <xf numFmtId="0" fontId="1" fillId="0" borderId="1" xfId="0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26" Type="http://schemas.openxmlformats.org/officeDocument/2006/relationships/worksheet" Target="worksheets/sheet226.xml"/><Relationship Id="rId247" Type="http://schemas.openxmlformats.org/officeDocument/2006/relationships/worksheet" Target="worksheets/sheet247.xml"/><Relationship Id="rId107" Type="http://schemas.openxmlformats.org/officeDocument/2006/relationships/worksheet" Target="worksheets/sheet107.xml"/><Relationship Id="rId268" Type="http://schemas.openxmlformats.org/officeDocument/2006/relationships/sharedStrings" Target="sharedStrings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worksheet" Target="worksheets/sheet181.xml"/><Relationship Id="rId216" Type="http://schemas.openxmlformats.org/officeDocument/2006/relationships/worksheet" Target="worksheets/sheet216.xml"/><Relationship Id="rId237" Type="http://schemas.openxmlformats.org/officeDocument/2006/relationships/worksheet" Target="worksheets/sheet237.xml"/><Relationship Id="rId258" Type="http://schemas.openxmlformats.org/officeDocument/2006/relationships/worksheet" Target="worksheets/sheet258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227" Type="http://schemas.openxmlformats.org/officeDocument/2006/relationships/worksheet" Target="worksheets/sheet227.xml"/><Relationship Id="rId248" Type="http://schemas.openxmlformats.org/officeDocument/2006/relationships/worksheet" Target="worksheets/sheet248.xml"/><Relationship Id="rId269" Type="http://schemas.openxmlformats.org/officeDocument/2006/relationships/calcChain" Target="calcChain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worksheet" Target="worksheets/sheet182.xml"/><Relationship Id="rId217" Type="http://schemas.openxmlformats.org/officeDocument/2006/relationships/worksheet" Target="worksheets/sheet217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259" Type="http://schemas.openxmlformats.org/officeDocument/2006/relationships/worksheet" Target="worksheets/sheet259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202" Type="http://schemas.openxmlformats.org/officeDocument/2006/relationships/worksheet" Target="worksheets/sheet202.xml"/><Relationship Id="rId207" Type="http://schemas.openxmlformats.org/officeDocument/2006/relationships/worksheet" Target="worksheets/sheet207.xml"/><Relationship Id="rId223" Type="http://schemas.openxmlformats.org/officeDocument/2006/relationships/worksheet" Target="worksheets/sheet223.xml"/><Relationship Id="rId228" Type="http://schemas.openxmlformats.org/officeDocument/2006/relationships/worksheet" Target="worksheets/sheet228.xml"/><Relationship Id="rId244" Type="http://schemas.openxmlformats.org/officeDocument/2006/relationships/worksheet" Target="worksheets/sheet244.xml"/><Relationship Id="rId249" Type="http://schemas.openxmlformats.org/officeDocument/2006/relationships/worksheet" Target="worksheets/sheet24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260" Type="http://schemas.openxmlformats.org/officeDocument/2006/relationships/worksheet" Target="worksheets/sheet260.xml"/><Relationship Id="rId265" Type="http://schemas.openxmlformats.org/officeDocument/2006/relationships/worksheet" Target="worksheets/sheet265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13" Type="http://schemas.openxmlformats.org/officeDocument/2006/relationships/worksheet" Target="worksheets/sheet213.xml"/><Relationship Id="rId218" Type="http://schemas.openxmlformats.org/officeDocument/2006/relationships/worksheet" Target="worksheets/sheet218.xml"/><Relationship Id="rId234" Type="http://schemas.openxmlformats.org/officeDocument/2006/relationships/worksheet" Target="worksheets/sheet234.xml"/><Relationship Id="rId239" Type="http://schemas.openxmlformats.org/officeDocument/2006/relationships/worksheet" Target="worksheets/sheet239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50" Type="http://schemas.openxmlformats.org/officeDocument/2006/relationships/worksheet" Target="worksheets/sheet250.xml"/><Relationship Id="rId255" Type="http://schemas.openxmlformats.org/officeDocument/2006/relationships/worksheet" Target="worksheets/sheet255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208" Type="http://schemas.openxmlformats.org/officeDocument/2006/relationships/worksheet" Target="worksheets/sheet208.xml"/><Relationship Id="rId229" Type="http://schemas.openxmlformats.org/officeDocument/2006/relationships/worksheet" Target="worksheets/sheet229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40" Type="http://schemas.openxmlformats.org/officeDocument/2006/relationships/worksheet" Target="worksheets/sheet240.xml"/><Relationship Id="rId245" Type="http://schemas.openxmlformats.org/officeDocument/2006/relationships/worksheet" Target="worksheets/sheet245.xml"/><Relationship Id="rId261" Type="http://schemas.openxmlformats.org/officeDocument/2006/relationships/worksheet" Target="worksheets/sheet261.xml"/><Relationship Id="rId266" Type="http://schemas.openxmlformats.org/officeDocument/2006/relationships/theme" Target="theme/theme1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189" Type="http://schemas.openxmlformats.org/officeDocument/2006/relationships/worksheet" Target="worksheets/sheet189.xml"/><Relationship Id="rId219" Type="http://schemas.openxmlformats.org/officeDocument/2006/relationships/worksheet" Target="worksheets/sheet219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30" Type="http://schemas.openxmlformats.org/officeDocument/2006/relationships/worksheet" Target="worksheets/sheet230.xml"/><Relationship Id="rId235" Type="http://schemas.openxmlformats.org/officeDocument/2006/relationships/worksheet" Target="worksheets/sheet235.xml"/><Relationship Id="rId251" Type="http://schemas.openxmlformats.org/officeDocument/2006/relationships/worksheet" Target="worksheets/sheet251.xml"/><Relationship Id="rId256" Type="http://schemas.openxmlformats.org/officeDocument/2006/relationships/worksheet" Target="worksheets/sheet256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worksheet" Target="worksheets/sheet179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0" Type="http://schemas.openxmlformats.org/officeDocument/2006/relationships/worksheet" Target="worksheets/sheet220.xml"/><Relationship Id="rId225" Type="http://schemas.openxmlformats.org/officeDocument/2006/relationships/worksheet" Target="worksheets/sheet225.xml"/><Relationship Id="rId241" Type="http://schemas.openxmlformats.org/officeDocument/2006/relationships/worksheet" Target="worksheets/sheet241.xml"/><Relationship Id="rId246" Type="http://schemas.openxmlformats.org/officeDocument/2006/relationships/worksheet" Target="worksheets/sheet246.xml"/><Relationship Id="rId267" Type="http://schemas.openxmlformats.org/officeDocument/2006/relationships/styles" Target="styles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262" Type="http://schemas.openxmlformats.org/officeDocument/2006/relationships/worksheet" Target="worksheets/sheet262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85" Type="http://schemas.openxmlformats.org/officeDocument/2006/relationships/worksheet" Target="worksheets/sheet18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Relationship Id="rId210" Type="http://schemas.openxmlformats.org/officeDocument/2006/relationships/worksheet" Target="worksheets/sheet210.xml"/><Relationship Id="rId215" Type="http://schemas.openxmlformats.org/officeDocument/2006/relationships/worksheet" Target="worksheets/sheet215.xml"/><Relationship Id="rId236" Type="http://schemas.openxmlformats.org/officeDocument/2006/relationships/worksheet" Target="worksheets/sheet236.xml"/><Relationship Id="rId257" Type="http://schemas.openxmlformats.org/officeDocument/2006/relationships/worksheet" Target="worksheets/sheet257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52" Type="http://schemas.openxmlformats.org/officeDocument/2006/relationships/worksheet" Target="worksheets/sheet252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42" Type="http://schemas.openxmlformats.org/officeDocument/2006/relationships/worksheet" Target="worksheets/sheet242.xml"/><Relationship Id="rId263" Type="http://schemas.openxmlformats.org/officeDocument/2006/relationships/worksheet" Target="worksheets/sheet263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211" Type="http://schemas.openxmlformats.org/officeDocument/2006/relationships/worksheet" Target="worksheets/sheet211.xml"/><Relationship Id="rId232" Type="http://schemas.openxmlformats.org/officeDocument/2006/relationships/worksheet" Target="worksheets/sheet232.xml"/><Relationship Id="rId253" Type="http://schemas.openxmlformats.org/officeDocument/2006/relationships/worksheet" Target="worksheets/sheet253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201" Type="http://schemas.openxmlformats.org/officeDocument/2006/relationships/worksheet" Target="worksheets/sheet201.xml"/><Relationship Id="rId222" Type="http://schemas.openxmlformats.org/officeDocument/2006/relationships/worksheet" Target="worksheets/sheet222.xml"/><Relationship Id="rId243" Type="http://schemas.openxmlformats.org/officeDocument/2006/relationships/worksheet" Target="worksheets/sheet243.xml"/><Relationship Id="rId264" Type="http://schemas.openxmlformats.org/officeDocument/2006/relationships/worksheet" Target="worksheets/sheet264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1" Type="http://schemas.openxmlformats.org/officeDocument/2006/relationships/worksheet" Target="worksheets/sheet1.xml"/><Relationship Id="rId212" Type="http://schemas.openxmlformats.org/officeDocument/2006/relationships/worksheet" Target="worksheets/sheet212.xml"/><Relationship Id="rId233" Type="http://schemas.openxmlformats.org/officeDocument/2006/relationships/worksheet" Target="worksheets/sheet233.xml"/><Relationship Id="rId254" Type="http://schemas.openxmlformats.org/officeDocument/2006/relationships/worksheet" Target="worksheets/sheet25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2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Z298"/>
  <sheetViews>
    <sheetView tabSelected="1" zoomScale="80" zoomScaleNormal="80" workbookViewId="0">
      <pane xSplit="1" ySplit="7" topLeftCell="B26" activePane="bottomRight" state="frozen"/>
      <selection activeCell="D22" sqref="D22"/>
      <selection pane="topRight" activeCell="D22" sqref="D22"/>
      <selection pane="bottomLeft" activeCell="D22" sqref="D22"/>
      <selection pane="bottomRight" activeCell="H32" sqref="H32"/>
    </sheetView>
  </sheetViews>
  <sheetFormatPr defaultRowHeight="14.4"/>
  <cols>
    <col min="1" max="1" width="7.33203125" customWidth="1"/>
    <col min="2" max="2" width="27.33203125" customWidth="1"/>
    <col min="3" max="3" width="18.5546875" customWidth="1"/>
    <col min="4" max="4" width="5.21875" customWidth="1"/>
    <col min="5" max="5" width="14.5546875" style="1" customWidth="1"/>
    <col min="6" max="6" width="9.21875" customWidth="1"/>
    <col min="7" max="7" width="8.44140625" customWidth="1"/>
    <col min="9" max="9" width="6.21875" customWidth="1"/>
    <col min="10" max="10" width="7.77734375" customWidth="1"/>
    <col min="11" max="11" width="7.77734375" style="1" customWidth="1"/>
    <col min="12" max="12" width="8.88671875" style="18"/>
    <col min="13" max="13" width="6.5546875" style="18" customWidth="1"/>
    <col min="14" max="14" width="8.6640625" style="18" customWidth="1"/>
    <col min="15" max="15" width="8.88671875" style="1"/>
    <col min="17" max="17" width="8.5546875" style="1" customWidth="1"/>
    <col min="18" max="18" width="8.88671875" style="1"/>
    <col min="19" max="19" width="23.88671875" customWidth="1"/>
  </cols>
  <sheetData>
    <row r="1" spans="1:20" ht="5.4" customHeight="1"/>
    <row r="2" spans="1:20" ht="17.399999999999999">
      <c r="A2" s="372" t="s">
        <v>0</v>
      </c>
      <c r="B2" s="372"/>
      <c r="C2" s="372"/>
      <c r="D2" s="372"/>
      <c r="E2" s="372"/>
      <c r="F2" s="372"/>
      <c r="G2" s="372"/>
      <c r="H2" s="372"/>
      <c r="I2" s="372"/>
      <c r="J2" s="372"/>
      <c r="K2" s="372"/>
      <c r="L2" s="372"/>
      <c r="M2" s="372"/>
      <c r="N2" s="372"/>
      <c r="O2" s="372"/>
      <c r="P2" s="372"/>
      <c r="Q2" s="372"/>
      <c r="R2" s="372"/>
      <c r="S2" s="372"/>
    </row>
    <row r="3" spans="1:20">
      <c r="A3" s="373" t="s">
        <v>1</v>
      </c>
      <c r="B3" s="373"/>
      <c r="C3" s="373"/>
      <c r="D3" s="373"/>
      <c r="E3" s="373"/>
      <c r="F3" s="373"/>
      <c r="G3" s="373"/>
      <c r="H3" s="373"/>
      <c r="I3" s="373"/>
      <c r="J3" s="373"/>
      <c r="K3" s="373"/>
      <c r="L3" s="373"/>
      <c r="M3" s="373"/>
      <c r="N3" s="373"/>
      <c r="O3" s="373"/>
      <c r="P3" s="373"/>
      <c r="Q3" s="373"/>
      <c r="R3" s="373"/>
      <c r="S3" s="373"/>
    </row>
    <row r="5" spans="1:20">
      <c r="A5" s="371" t="s">
        <v>3925</v>
      </c>
      <c r="B5" s="371"/>
    </row>
    <row r="7" spans="1:20" ht="23.4">
      <c r="A7" s="3" t="s">
        <v>3</v>
      </c>
      <c r="B7" s="3" t="s">
        <v>4</v>
      </c>
      <c r="C7" s="3" t="s">
        <v>5</v>
      </c>
      <c r="D7" s="3" t="s">
        <v>6</v>
      </c>
      <c r="E7" s="3" t="s">
        <v>37</v>
      </c>
      <c r="F7" s="3" t="s">
        <v>7</v>
      </c>
      <c r="G7" s="3" t="s">
        <v>8</v>
      </c>
      <c r="H7" s="3" t="s">
        <v>9</v>
      </c>
      <c r="I7" s="4" t="s">
        <v>10</v>
      </c>
      <c r="J7" s="4" t="s">
        <v>18</v>
      </c>
      <c r="K7" s="4" t="s">
        <v>17</v>
      </c>
      <c r="L7" s="3" t="s">
        <v>676</v>
      </c>
      <c r="M7" s="95" t="s">
        <v>677</v>
      </c>
      <c r="N7" s="3" t="s">
        <v>11</v>
      </c>
      <c r="O7" s="3" t="s">
        <v>36</v>
      </c>
      <c r="P7" s="3" t="s">
        <v>12</v>
      </c>
      <c r="Q7" s="3" t="s">
        <v>256</v>
      </c>
      <c r="R7" s="3" t="s">
        <v>257</v>
      </c>
      <c r="S7" s="3" t="s">
        <v>2</v>
      </c>
    </row>
    <row r="8" spans="1:20">
      <c r="A8" s="310" t="s">
        <v>3908</v>
      </c>
      <c r="B8" s="42"/>
      <c r="C8" s="42"/>
      <c r="D8" s="42"/>
      <c r="E8" s="42"/>
      <c r="F8" s="42"/>
      <c r="G8" s="42"/>
      <c r="H8" s="42"/>
      <c r="I8" s="42"/>
      <c r="J8" s="42"/>
      <c r="K8" s="43"/>
      <c r="L8" s="43"/>
      <c r="M8" s="43"/>
      <c r="N8" s="43"/>
      <c r="O8" s="43"/>
      <c r="P8" s="42"/>
      <c r="Q8" s="42"/>
      <c r="R8" s="42"/>
      <c r="S8" s="42"/>
      <c r="T8" s="44"/>
    </row>
    <row r="9" spans="1:20">
      <c r="A9" s="328"/>
      <c r="B9" s="328" t="s">
        <v>103</v>
      </c>
      <c r="C9" s="328" t="s">
        <v>88</v>
      </c>
      <c r="D9" s="42" t="s">
        <v>16</v>
      </c>
      <c r="E9" s="328" t="s">
        <v>3909</v>
      </c>
      <c r="F9" s="328">
        <v>2158</v>
      </c>
      <c r="G9" s="328">
        <v>2816</v>
      </c>
      <c r="H9" s="328">
        <v>19940</v>
      </c>
      <c r="I9" s="328">
        <v>400</v>
      </c>
      <c r="J9" s="328">
        <v>0.13</v>
      </c>
      <c r="K9" s="43">
        <f t="shared" ref="K9:K72" si="0">I9*J9</f>
        <v>52</v>
      </c>
      <c r="L9" s="43">
        <f t="shared" ref="L9:L72" si="1">H9-K9</f>
        <v>19888</v>
      </c>
      <c r="M9" s="43"/>
      <c r="N9" s="43">
        <f t="shared" ref="N9:N72" si="2">L9-M9</f>
        <v>19888</v>
      </c>
      <c r="O9" s="43">
        <f t="shared" ref="O9:O71" si="3">H9/1000*70</f>
        <v>1395.8000000000002</v>
      </c>
      <c r="P9" s="42">
        <v>10000</v>
      </c>
      <c r="Q9" s="42">
        <v>21.75</v>
      </c>
      <c r="R9" s="42">
        <f t="shared" ref="R9:R72" si="4">L9*Q9</f>
        <v>432564</v>
      </c>
      <c r="S9" s="85"/>
      <c r="T9" s="50"/>
    </row>
    <row r="10" spans="1:20">
      <c r="A10" s="328"/>
      <c r="B10" s="328" t="s">
        <v>103</v>
      </c>
      <c r="C10" s="328" t="s">
        <v>88</v>
      </c>
      <c r="D10" s="42" t="s">
        <v>16</v>
      </c>
      <c r="E10" s="328" t="s">
        <v>3910</v>
      </c>
      <c r="F10" s="328">
        <v>658</v>
      </c>
      <c r="G10" s="328">
        <v>2817</v>
      </c>
      <c r="H10" s="328">
        <v>16230</v>
      </c>
      <c r="I10" s="328">
        <v>300</v>
      </c>
      <c r="J10" s="328">
        <v>0.5</v>
      </c>
      <c r="K10" s="43">
        <f t="shared" si="0"/>
        <v>150</v>
      </c>
      <c r="L10" s="43">
        <f t="shared" si="1"/>
        <v>16080</v>
      </c>
      <c r="M10" s="43"/>
      <c r="N10" s="43">
        <f t="shared" si="2"/>
        <v>16080</v>
      </c>
      <c r="O10" s="43">
        <f t="shared" si="3"/>
        <v>1136.1000000000001</v>
      </c>
      <c r="P10" s="42">
        <v>14300</v>
      </c>
      <c r="Q10" s="42">
        <v>21.75</v>
      </c>
      <c r="R10" s="42">
        <f t="shared" si="4"/>
        <v>349740</v>
      </c>
      <c r="S10" s="85"/>
      <c r="T10" s="42"/>
    </row>
    <row r="11" spans="1:20">
      <c r="A11" s="328">
        <v>1</v>
      </c>
      <c r="B11" s="328" t="s">
        <v>3667</v>
      </c>
      <c r="C11" s="328" t="s">
        <v>444</v>
      </c>
      <c r="D11" s="42" t="s">
        <v>16</v>
      </c>
      <c r="E11" s="328" t="s">
        <v>3911</v>
      </c>
      <c r="F11" s="328">
        <v>26792</v>
      </c>
      <c r="G11" s="328"/>
      <c r="H11" s="328">
        <v>12650</v>
      </c>
      <c r="I11" s="328">
        <v>274</v>
      </c>
      <c r="J11" s="328">
        <v>0.13</v>
      </c>
      <c r="K11" s="43">
        <f t="shared" si="0"/>
        <v>35.620000000000005</v>
      </c>
      <c r="L11" s="43">
        <f t="shared" si="1"/>
        <v>12614.38</v>
      </c>
      <c r="M11" s="43"/>
      <c r="N11" s="43">
        <f t="shared" si="2"/>
        <v>12614.38</v>
      </c>
      <c r="O11" s="43">
        <f t="shared" si="3"/>
        <v>885.5</v>
      </c>
      <c r="P11" s="42">
        <v>19500</v>
      </c>
      <c r="Q11" s="42"/>
      <c r="R11" s="42">
        <f t="shared" si="4"/>
        <v>0</v>
      </c>
      <c r="S11" s="85"/>
      <c r="T11" s="42"/>
    </row>
    <row r="12" spans="1:20">
      <c r="A12" s="328">
        <v>2</v>
      </c>
      <c r="B12" s="328" t="s">
        <v>3667</v>
      </c>
      <c r="C12" s="328" t="s">
        <v>444</v>
      </c>
      <c r="D12" s="42" t="s">
        <v>16</v>
      </c>
      <c r="E12" s="328" t="s">
        <v>3912</v>
      </c>
      <c r="F12" s="328">
        <v>26802</v>
      </c>
      <c r="G12" s="328"/>
      <c r="H12" s="328">
        <v>12700</v>
      </c>
      <c r="I12" s="328">
        <v>280</v>
      </c>
      <c r="J12" s="328">
        <v>0.13</v>
      </c>
      <c r="K12" s="43">
        <f t="shared" si="0"/>
        <v>36.4</v>
      </c>
      <c r="L12" s="43">
        <f t="shared" si="1"/>
        <v>12663.6</v>
      </c>
      <c r="M12" s="43"/>
      <c r="N12" s="43">
        <f t="shared" si="2"/>
        <v>12663.6</v>
      </c>
      <c r="O12" s="43">
        <f t="shared" si="3"/>
        <v>889</v>
      </c>
      <c r="P12" s="42">
        <v>19500</v>
      </c>
      <c r="Q12" s="42"/>
      <c r="R12" s="42">
        <f t="shared" si="4"/>
        <v>0</v>
      </c>
      <c r="S12" s="85"/>
      <c r="T12" s="42"/>
    </row>
    <row r="13" spans="1:20">
      <c r="A13" s="328">
        <v>3</v>
      </c>
      <c r="B13" s="328" t="s">
        <v>3667</v>
      </c>
      <c r="C13" s="328" t="s">
        <v>444</v>
      </c>
      <c r="D13" s="42" t="s">
        <v>16</v>
      </c>
      <c r="E13" s="328" t="s">
        <v>3913</v>
      </c>
      <c r="F13" s="328">
        <v>26795</v>
      </c>
      <c r="G13" s="328"/>
      <c r="H13" s="328">
        <v>13280</v>
      </c>
      <c r="I13" s="328">
        <v>307</v>
      </c>
      <c r="J13" s="328">
        <v>0.13</v>
      </c>
      <c r="K13" s="43">
        <f t="shared" si="0"/>
        <v>39.910000000000004</v>
      </c>
      <c r="L13" s="43">
        <f t="shared" si="1"/>
        <v>13240.09</v>
      </c>
      <c r="M13" s="43"/>
      <c r="N13" s="43">
        <f t="shared" si="2"/>
        <v>13240.09</v>
      </c>
      <c r="O13" s="43">
        <f t="shared" si="3"/>
        <v>929.59999999999991</v>
      </c>
      <c r="P13" s="42">
        <v>19500</v>
      </c>
      <c r="Q13" s="42"/>
      <c r="R13" s="42">
        <f t="shared" si="4"/>
        <v>0</v>
      </c>
      <c r="S13" s="85"/>
      <c r="T13" s="42"/>
    </row>
    <row r="14" spans="1:20">
      <c r="A14" s="328">
        <v>4</v>
      </c>
      <c r="B14" s="328" t="s">
        <v>3667</v>
      </c>
      <c r="C14" s="328" t="s">
        <v>444</v>
      </c>
      <c r="D14" s="42" t="s">
        <v>16</v>
      </c>
      <c r="E14" s="328" t="s">
        <v>3914</v>
      </c>
      <c r="F14" s="328">
        <v>26806</v>
      </c>
      <c r="G14" s="328"/>
      <c r="H14" s="328">
        <v>12550</v>
      </c>
      <c r="I14" s="328">
        <v>272</v>
      </c>
      <c r="J14" s="328">
        <v>0.13</v>
      </c>
      <c r="K14" s="43">
        <f t="shared" si="0"/>
        <v>35.36</v>
      </c>
      <c r="L14" s="43">
        <f t="shared" si="1"/>
        <v>12514.64</v>
      </c>
      <c r="M14" s="43"/>
      <c r="N14" s="43">
        <f t="shared" si="2"/>
        <v>12514.64</v>
      </c>
      <c r="O14" s="43">
        <f t="shared" si="3"/>
        <v>878.5</v>
      </c>
      <c r="P14" s="42">
        <v>19500</v>
      </c>
      <c r="Q14" s="42"/>
      <c r="R14" s="42">
        <f t="shared" si="4"/>
        <v>0</v>
      </c>
      <c r="S14" s="85"/>
      <c r="T14" s="42"/>
    </row>
    <row r="15" spans="1:20">
      <c r="A15" s="328">
        <v>5</v>
      </c>
      <c r="B15" s="328" t="s">
        <v>3667</v>
      </c>
      <c r="C15" s="328" t="s">
        <v>444</v>
      </c>
      <c r="D15" s="42" t="s">
        <v>16</v>
      </c>
      <c r="E15" s="328" t="s">
        <v>3915</v>
      </c>
      <c r="F15" s="328">
        <v>26798</v>
      </c>
      <c r="G15" s="328"/>
      <c r="H15" s="328">
        <v>12770</v>
      </c>
      <c r="I15" s="328">
        <v>300</v>
      </c>
      <c r="J15" s="328">
        <v>0.13</v>
      </c>
      <c r="K15" s="43">
        <f t="shared" si="0"/>
        <v>39</v>
      </c>
      <c r="L15" s="43">
        <f t="shared" si="1"/>
        <v>12731</v>
      </c>
      <c r="M15" s="43"/>
      <c r="N15" s="43">
        <f t="shared" si="2"/>
        <v>12731</v>
      </c>
      <c r="O15" s="43">
        <f t="shared" si="3"/>
        <v>893.9</v>
      </c>
      <c r="P15" s="42">
        <v>19500</v>
      </c>
      <c r="Q15" s="42"/>
      <c r="R15" s="42">
        <f t="shared" si="4"/>
        <v>0</v>
      </c>
      <c r="S15" s="85"/>
      <c r="T15" s="42"/>
    </row>
    <row r="16" spans="1:20">
      <c r="A16" s="328">
        <v>6</v>
      </c>
      <c r="B16" s="328" t="s">
        <v>3667</v>
      </c>
      <c r="C16" s="328" t="s">
        <v>444</v>
      </c>
      <c r="D16" s="42" t="s">
        <v>16</v>
      </c>
      <c r="E16" s="328" t="s">
        <v>3844</v>
      </c>
      <c r="F16" s="328">
        <v>26815</v>
      </c>
      <c r="G16" s="328"/>
      <c r="H16" s="328">
        <v>12270</v>
      </c>
      <c r="I16" s="328">
        <v>270</v>
      </c>
      <c r="J16" s="328">
        <v>0.13</v>
      </c>
      <c r="K16" s="43">
        <f t="shared" si="0"/>
        <v>35.1</v>
      </c>
      <c r="L16" s="43">
        <f t="shared" si="1"/>
        <v>12234.9</v>
      </c>
      <c r="M16" s="43"/>
      <c r="N16" s="43">
        <f t="shared" si="2"/>
        <v>12234.9</v>
      </c>
      <c r="O16" s="43">
        <f t="shared" si="3"/>
        <v>858.9</v>
      </c>
      <c r="P16" s="42">
        <v>19500</v>
      </c>
      <c r="Q16" s="42"/>
      <c r="R16" s="42">
        <f t="shared" si="4"/>
        <v>0</v>
      </c>
      <c r="S16" s="85"/>
      <c r="T16" s="42"/>
    </row>
    <row r="17" spans="1:20">
      <c r="A17" s="328">
        <v>7</v>
      </c>
      <c r="B17" s="328" t="s">
        <v>3667</v>
      </c>
      <c r="C17" s="328" t="s">
        <v>444</v>
      </c>
      <c r="D17" s="42" t="s">
        <v>16</v>
      </c>
      <c r="E17" s="328" t="s">
        <v>745</v>
      </c>
      <c r="F17" s="328">
        <v>26812</v>
      </c>
      <c r="G17" s="328"/>
      <c r="H17" s="328">
        <v>12640</v>
      </c>
      <c r="I17" s="328">
        <v>284</v>
      </c>
      <c r="J17" s="328">
        <v>0.13</v>
      </c>
      <c r="K17" s="43">
        <f t="shared" si="0"/>
        <v>36.92</v>
      </c>
      <c r="L17" s="43">
        <f t="shared" si="1"/>
        <v>12603.08</v>
      </c>
      <c r="M17" s="43"/>
      <c r="N17" s="43">
        <f t="shared" si="2"/>
        <v>12603.08</v>
      </c>
      <c r="O17" s="43">
        <f t="shared" si="3"/>
        <v>884.80000000000007</v>
      </c>
      <c r="P17" s="42">
        <v>19500</v>
      </c>
      <c r="Q17" s="42"/>
      <c r="R17" s="42">
        <f t="shared" si="4"/>
        <v>0</v>
      </c>
      <c r="S17" s="85"/>
      <c r="T17" s="42"/>
    </row>
    <row r="18" spans="1:20">
      <c r="A18" s="328">
        <v>8</v>
      </c>
      <c r="B18" s="328" t="s">
        <v>3667</v>
      </c>
      <c r="C18" s="328" t="s">
        <v>444</v>
      </c>
      <c r="D18" s="42" t="s">
        <v>16</v>
      </c>
      <c r="E18" s="328" t="s">
        <v>3916</v>
      </c>
      <c r="F18" s="328">
        <v>589</v>
      </c>
      <c r="G18" s="328"/>
      <c r="H18" s="328">
        <v>12710</v>
      </c>
      <c r="I18" s="328">
        <v>276</v>
      </c>
      <c r="J18" s="328">
        <v>0.13</v>
      </c>
      <c r="K18" s="43">
        <f t="shared" si="0"/>
        <v>35.880000000000003</v>
      </c>
      <c r="L18" s="43">
        <f t="shared" si="1"/>
        <v>12674.12</v>
      </c>
      <c r="M18" s="43"/>
      <c r="N18" s="43">
        <f t="shared" si="2"/>
        <v>12674.12</v>
      </c>
      <c r="O18" s="43">
        <f t="shared" si="3"/>
        <v>889.7</v>
      </c>
      <c r="P18" s="42">
        <v>20500</v>
      </c>
      <c r="Q18" s="42"/>
      <c r="R18" s="42">
        <f t="shared" si="4"/>
        <v>0</v>
      </c>
      <c r="S18" s="85"/>
      <c r="T18" s="42"/>
    </row>
    <row r="19" spans="1:20">
      <c r="A19" s="328">
        <v>9</v>
      </c>
      <c r="B19" s="328" t="s">
        <v>3667</v>
      </c>
      <c r="C19" s="328" t="s">
        <v>444</v>
      </c>
      <c r="D19" s="42" t="s">
        <v>16</v>
      </c>
      <c r="E19" s="328" t="s">
        <v>3917</v>
      </c>
      <c r="F19" s="328">
        <v>26813</v>
      </c>
      <c r="G19" s="328"/>
      <c r="H19" s="328">
        <v>12740</v>
      </c>
      <c r="I19" s="328">
        <v>274</v>
      </c>
      <c r="J19" s="328">
        <v>0.13</v>
      </c>
      <c r="K19" s="43">
        <f t="shared" si="0"/>
        <v>35.620000000000005</v>
      </c>
      <c r="L19" s="43">
        <f t="shared" si="1"/>
        <v>12704.38</v>
      </c>
      <c r="M19" s="43"/>
      <c r="N19" s="43">
        <f t="shared" si="2"/>
        <v>12704.38</v>
      </c>
      <c r="O19" s="43">
        <f t="shared" si="3"/>
        <v>891.80000000000007</v>
      </c>
      <c r="P19" s="42">
        <v>19500</v>
      </c>
      <c r="Q19" s="42"/>
      <c r="R19" s="42">
        <f t="shared" si="4"/>
        <v>0</v>
      </c>
      <c r="S19" s="85"/>
      <c r="T19" s="42"/>
    </row>
    <row r="20" spans="1:20">
      <c r="A20" s="328">
        <v>10</v>
      </c>
      <c r="B20" s="328" t="s">
        <v>3667</v>
      </c>
      <c r="C20" s="328" t="s">
        <v>444</v>
      </c>
      <c r="D20" s="42" t="s">
        <v>16</v>
      </c>
      <c r="E20" s="328" t="s">
        <v>3918</v>
      </c>
      <c r="F20" s="328">
        <v>26816</v>
      </c>
      <c r="G20" s="328"/>
      <c r="H20" s="328">
        <v>12790</v>
      </c>
      <c r="I20" s="328">
        <v>275</v>
      </c>
      <c r="J20" s="328">
        <v>0.13</v>
      </c>
      <c r="K20" s="43">
        <f t="shared" si="0"/>
        <v>35.75</v>
      </c>
      <c r="L20" s="43">
        <f t="shared" si="1"/>
        <v>12754.25</v>
      </c>
      <c r="M20" s="43"/>
      <c r="N20" s="43">
        <f t="shared" si="2"/>
        <v>12754.25</v>
      </c>
      <c r="O20" s="43">
        <f t="shared" si="3"/>
        <v>895.3</v>
      </c>
      <c r="P20" s="42">
        <v>21000</v>
      </c>
      <c r="Q20" s="42"/>
      <c r="R20" s="42">
        <f t="shared" si="4"/>
        <v>0</v>
      </c>
      <c r="S20" s="85"/>
      <c r="T20" s="42"/>
    </row>
    <row r="21" spans="1:20">
      <c r="A21" s="328">
        <v>11</v>
      </c>
      <c r="B21" s="328" t="s">
        <v>3667</v>
      </c>
      <c r="C21" s="328" t="s">
        <v>444</v>
      </c>
      <c r="D21" s="42" t="s">
        <v>16</v>
      </c>
      <c r="E21" s="328" t="s">
        <v>3919</v>
      </c>
      <c r="F21" s="328">
        <v>26804</v>
      </c>
      <c r="G21" s="328"/>
      <c r="H21" s="328">
        <v>12470</v>
      </c>
      <c r="I21" s="328">
        <v>278</v>
      </c>
      <c r="J21" s="328">
        <v>0.13</v>
      </c>
      <c r="K21" s="43">
        <f t="shared" si="0"/>
        <v>36.14</v>
      </c>
      <c r="L21" s="43">
        <f t="shared" si="1"/>
        <v>12433.86</v>
      </c>
      <c r="M21" s="43"/>
      <c r="N21" s="43">
        <f t="shared" si="2"/>
        <v>12433.86</v>
      </c>
      <c r="O21" s="43">
        <f t="shared" si="3"/>
        <v>872.90000000000009</v>
      </c>
      <c r="P21" s="42">
        <v>19500</v>
      </c>
      <c r="Q21" s="42"/>
      <c r="R21" s="42">
        <f t="shared" si="4"/>
        <v>0</v>
      </c>
      <c r="S21" s="85"/>
      <c r="T21" s="42"/>
    </row>
    <row r="22" spans="1:20">
      <c r="A22" s="328">
        <v>12</v>
      </c>
      <c r="B22" s="328" t="s">
        <v>3667</v>
      </c>
      <c r="C22" s="328" t="s">
        <v>444</v>
      </c>
      <c r="D22" s="42" t="s">
        <v>16</v>
      </c>
      <c r="E22" s="328" t="s">
        <v>3864</v>
      </c>
      <c r="F22" s="328">
        <v>26814</v>
      </c>
      <c r="G22" s="328"/>
      <c r="H22" s="328">
        <v>12750</v>
      </c>
      <c r="I22" s="328">
        <v>287</v>
      </c>
      <c r="J22" s="328">
        <v>0.13</v>
      </c>
      <c r="K22" s="43">
        <f t="shared" si="0"/>
        <v>37.31</v>
      </c>
      <c r="L22" s="43">
        <f t="shared" si="1"/>
        <v>12712.69</v>
      </c>
      <c r="M22" s="43"/>
      <c r="N22" s="43">
        <f t="shared" si="2"/>
        <v>12712.69</v>
      </c>
      <c r="O22" s="43">
        <f t="shared" si="3"/>
        <v>892.5</v>
      </c>
      <c r="P22" s="42">
        <v>19500</v>
      </c>
      <c r="Q22" s="42"/>
      <c r="R22" s="42">
        <f t="shared" si="4"/>
        <v>0</v>
      </c>
      <c r="S22" s="85"/>
      <c r="T22" s="42"/>
    </row>
    <row r="23" spans="1:20">
      <c r="A23" s="328">
        <v>13</v>
      </c>
      <c r="B23" s="328" t="s">
        <v>3667</v>
      </c>
      <c r="C23" s="328" t="s">
        <v>444</v>
      </c>
      <c r="D23" s="42" t="s">
        <v>16</v>
      </c>
      <c r="E23" s="328" t="s">
        <v>3920</v>
      </c>
      <c r="F23" s="328">
        <v>26810</v>
      </c>
      <c r="G23" s="328"/>
      <c r="H23" s="328">
        <v>12910</v>
      </c>
      <c r="I23" s="328">
        <v>280</v>
      </c>
      <c r="J23" s="328">
        <v>0.13</v>
      </c>
      <c r="K23" s="43">
        <f t="shared" si="0"/>
        <v>36.4</v>
      </c>
      <c r="L23" s="43">
        <f t="shared" si="1"/>
        <v>12873.6</v>
      </c>
      <c r="M23" s="43"/>
      <c r="N23" s="43">
        <f t="shared" si="2"/>
        <v>12873.6</v>
      </c>
      <c r="O23" s="43">
        <f t="shared" si="3"/>
        <v>903.7</v>
      </c>
      <c r="P23" s="42">
        <v>19500</v>
      </c>
      <c r="Q23" s="42"/>
      <c r="R23" s="42">
        <f t="shared" si="4"/>
        <v>0</v>
      </c>
      <c r="S23" s="85"/>
      <c r="T23" s="42"/>
    </row>
    <row r="24" spans="1:20">
      <c r="A24" s="328">
        <v>14</v>
      </c>
      <c r="B24" s="328" t="s">
        <v>3667</v>
      </c>
      <c r="C24" s="328" t="s">
        <v>444</v>
      </c>
      <c r="D24" s="42" t="s">
        <v>16</v>
      </c>
      <c r="E24" s="47" t="s">
        <v>3921</v>
      </c>
      <c r="F24" s="47">
        <v>26820</v>
      </c>
      <c r="G24" s="47"/>
      <c r="H24" s="47">
        <v>12730</v>
      </c>
      <c r="I24" s="47">
        <v>288</v>
      </c>
      <c r="J24" s="47">
        <v>0.13</v>
      </c>
      <c r="K24" s="43">
        <f t="shared" si="0"/>
        <v>37.44</v>
      </c>
      <c r="L24" s="43">
        <f t="shared" si="1"/>
        <v>12692.56</v>
      </c>
      <c r="M24" s="43"/>
      <c r="N24" s="43">
        <f t="shared" si="2"/>
        <v>12692.56</v>
      </c>
      <c r="O24" s="43">
        <f t="shared" si="3"/>
        <v>891.1</v>
      </c>
      <c r="P24" s="42">
        <v>21000</v>
      </c>
      <c r="Q24" s="42"/>
      <c r="R24" s="42">
        <f t="shared" si="4"/>
        <v>0</v>
      </c>
      <c r="S24" s="85"/>
      <c r="T24" s="42"/>
    </row>
    <row r="25" spans="1:20" s="1" customFormat="1">
      <c r="A25" s="328">
        <v>15</v>
      </c>
      <c r="B25" s="328" t="s">
        <v>3667</v>
      </c>
      <c r="C25" s="328" t="s">
        <v>444</v>
      </c>
      <c r="D25" s="42" t="s">
        <v>16</v>
      </c>
      <c r="E25" s="328" t="s">
        <v>3922</v>
      </c>
      <c r="F25" s="328">
        <v>26817</v>
      </c>
      <c r="G25" s="328"/>
      <c r="H25" s="328">
        <v>12650</v>
      </c>
      <c r="I25" s="328">
        <v>281</v>
      </c>
      <c r="J25" s="328">
        <v>0.13</v>
      </c>
      <c r="K25" s="43">
        <f t="shared" si="0"/>
        <v>36.53</v>
      </c>
      <c r="L25" s="43">
        <f t="shared" si="1"/>
        <v>12613.47</v>
      </c>
      <c r="M25" s="43"/>
      <c r="N25" s="43">
        <f t="shared" si="2"/>
        <v>12613.47</v>
      </c>
      <c r="O25" s="43">
        <f t="shared" si="3"/>
        <v>885.5</v>
      </c>
      <c r="P25" s="42">
        <v>21000</v>
      </c>
      <c r="Q25" s="42"/>
      <c r="R25" s="42">
        <f t="shared" si="4"/>
        <v>0</v>
      </c>
      <c r="S25" s="85"/>
      <c r="T25" s="42"/>
    </row>
    <row r="26" spans="1:20" s="1" customFormat="1">
      <c r="A26" s="328">
        <v>16</v>
      </c>
      <c r="B26" s="328" t="s">
        <v>3667</v>
      </c>
      <c r="C26" s="328" t="s">
        <v>444</v>
      </c>
      <c r="D26" s="42" t="s">
        <v>16</v>
      </c>
      <c r="E26" s="328" t="s">
        <v>3879</v>
      </c>
      <c r="F26" s="328">
        <v>26818</v>
      </c>
      <c r="G26" s="328"/>
      <c r="H26" s="328">
        <v>12740</v>
      </c>
      <c r="I26" s="328">
        <v>287</v>
      </c>
      <c r="J26" s="328">
        <v>0.13</v>
      </c>
      <c r="K26" s="43">
        <f t="shared" si="0"/>
        <v>37.31</v>
      </c>
      <c r="L26" s="43">
        <f t="shared" si="1"/>
        <v>12702.69</v>
      </c>
      <c r="M26" s="43"/>
      <c r="N26" s="43">
        <f t="shared" si="2"/>
        <v>12702.69</v>
      </c>
      <c r="O26" s="43">
        <f t="shared" si="3"/>
        <v>891.80000000000007</v>
      </c>
      <c r="P26" s="42">
        <v>21000</v>
      </c>
      <c r="Q26" s="42"/>
      <c r="R26" s="42">
        <f t="shared" si="4"/>
        <v>0</v>
      </c>
      <c r="S26" s="85"/>
      <c r="T26" s="42"/>
    </row>
    <row r="27" spans="1:20">
      <c r="A27" s="328">
        <v>17</v>
      </c>
      <c r="B27" s="328" t="s">
        <v>3667</v>
      </c>
      <c r="C27" s="328" t="s">
        <v>444</v>
      </c>
      <c r="D27" s="42" t="s">
        <v>16</v>
      </c>
      <c r="E27" s="328" t="s">
        <v>3923</v>
      </c>
      <c r="F27" s="328">
        <v>327</v>
      </c>
      <c r="G27" s="328"/>
      <c r="H27" s="328">
        <v>12730</v>
      </c>
      <c r="I27" s="328">
        <v>270</v>
      </c>
      <c r="J27" s="328">
        <v>0.13</v>
      </c>
      <c r="K27" s="43">
        <f t="shared" si="0"/>
        <v>35.1</v>
      </c>
      <c r="L27" s="43">
        <f t="shared" si="1"/>
        <v>12694.9</v>
      </c>
      <c r="M27" s="43"/>
      <c r="N27" s="43">
        <f t="shared" si="2"/>
        <v>12694.9</v>
      </c>
      <c r="O27" s="43">
        <f t="shared" si="3"/>
        <v>891.1</v>
      </c>
      <c r="P27" s="42">
        <v>21500</v>
      </c>
      <c r="Q27" s="42"/>
      <c r="R27" s="42">
        <f t="shared" si="4"/>
        <v>0</v>
      </c>
      <c r="S27" s="85"/>
      <c r="T27" s="42"/>
    </row>
    <row r="28" spans="1:20">
      <c r="A28" s="328">
        <v>18</v>
      </c>
      <c r="B28" s="328" t="s">
        <v>3667</v>
      </c>
      <c r="C28" s="328" t="s">
        <v>444</v>
      </c>
      <c r="D28" s="42" t="s">
        <v>16</v>
      </c>
      <c r="E28" s="328" t="s">
        <v>3924</v>
      </c>
      <c r="F28" s="328">
        <v>26801</v>
      </c>
      <c r="G28" s="328"/>
      <c r="H28" s="328">
        <v>12700</v>
      </c>
      <c r="I28" s="328">
        <v>244</v>
      </c>
      <c r="J28" s="328">
        <v>0.13</v>
      </c>
      <c r="K28" s="43">
        <f t="shared" si="0"/>
        <v>31.720000000000002</v>
      </c>
      <c r="L28" s="43">
        <f t="shared" si="1"/>
        <v>12668.28</v>
      </c>
      <c r="M28" s="43"/>
      <c r="N28" s="43">
        <f t="shared" si="2"/>
        <v>12668.28</v>
      </c>
      <c r="O28" s="43">
        <f t="shared" si="3"/>
        <v>889</v>
      </c>
      <c r="P28" s="42">
        <v>19500</v>
      </c>
      <c r="Q28" s="42"/>
      <c r="R28" s="42">
        <f t="shared" si="4"/>
        <v>0</v>
      </c>
      <c r="S28" s="85"/>
      <c r="T28" s="42"/>
    </row>
    <row r="29" spans="1:20">
      <c r="A29" s="330"/>
      <c r="B29" s="330"/>
      <c r="C29" s="330"/>
      <c r="D29" s="331" t="s">
        <v>16</v>
      </c>
      <c r="E29" s="330"/>
      <c r="F29" s="330"/>
      <c r="G29" s="330"/>
      <c r="H29" s="330"/>
      <c r="I29" s="330"/>
      <c r="J29" s="330"/>
      <c r="K29" s="332">
        <f t="shared" si="0"/>
        <v>0</v>
      </c>
      <c r="L29" s="332">
        <f t="shared" si="1"/>
        <v>0</v>
      </c>
      <c r="M29" s="332"/>
      <c r="N29" s="332">
        <f t="shared" si="2"/>
        <v>0</v>
      </c>
      <c r="O29" s="332">
        <f t="shared" si="3"/>
        <v>0</v>
      </c>
      <c r="P29" s="331"/>
      <c r="Q29" s="331"/>
      <c r="R29" s="331">
        <f t="shared" si="4"/>
        <v>0</v>
      </c>
      <c r="S29" s="333"/>
      <c r="T29" s="42"/>
    </row>
    <row r="30" spans="1:20">
      <c r="A30" s="310" t="s">
        <v>3926</v>
      </c>
      <c r="B30" s="328"/>
      <c r="C30" s="328"/>
      <c r="D30" s="42" t="s">
        <v>16</v>
      </c>
      <c r="E30" s="328"/>
      <c r="F30" s="328"/>
      <c r="G30" s="328"/>
      <c r="H30" s="328"/>
      <c r="I30" s="328"/>
      <c r="J30" s="328"/>
      <c r="K30" s="43">
        <f t="shared" si="0"/>
        <v>0</v>
      </c>
      <c r="L30" s="43">
        <f t="shared" si="1"/>
        <v>0</v>
      </c>
      <c r="M30" s="43"/>
      <c r="N30" s="43">
        <f t="shared" si="2"/>
        <v>0</v>
      </c>
      <c r="O30" s="43">
        <f t="shared" si="3"/>
        <v>0</v>
      </c>
      <c r="P30" s="42"/>
      <c r="Q30" s="42"/>
      <c r="R30" s="42">
        <f t="shared" si="4"/>
        <v>0</v>
      </c>
      <c r="S30" s="85"/>
      <c r="T30" s="42"/>
    </row>
    <row r="31" spans="1:20">
      <c r="A31" s="328"/>
      <c r="B31" s="329" t="s">
        <v>3927</v>
      </c>
      <c r="C31" s="329" t="s">
        <v>3928</v>
      </c>
      <c r="D31" s="42" t="s">
        <v>16</v>
      </c>
      <c r="E31" s="329" t="s">
        <v>666</v>
      </c>
      <c r="F31" s="328">
        <v>13144</v>
      </c>
      <c r="G31" s="328">
        <v>2818</v>
      </c>
      <c r="H31" s="328">
        <v>13560</v>
      </c>
      <c r="I31" s="328">
        <v>300</v>
      </c>
      <c r="J31" s="328">
        <v>0</v>
      </c>
      <c r="K31" s="43">
        <f t="shared" si="0"/>
        <v>0</v>
      </c>
      <c r="L31" s="43">
        <f t="shared" si="1"/>
        <v>13560</v>
      </c>
      <c r="M31" s="43"/>
      <c r="N31" s="43">
        <f t="shared" si="2"/>
        <v>13560</v>
      </c>
      <c r="O31" s="43">
        <v>0</v>
      </c>
      <c r="P31" s="42">
        <v>5000</v>
      </c>
      <c r="Q31" s="42">
        <v>12.54</v>
      </c>
      <c r="R31" s="42">
        <f t="shared" si="4"/>
        <v>170042.4</v>
      </c>
      <c r="S31" s="85"/>
      <c r="T31" s="42"/>
    </row>
    <row r="32" spans="1:20">
      <c r="A32" s="328"/>
      <c r="B32" s="329" t="s">
        <v>3929</v>
      </c>
      <c r="C32" s="329" t="s">
        <v>24</v>
      </c>
      <c r="D32" s="42" t="s">
        <v>16</v>
      </c>
      <c r="E32" s="329" t="s">
        <v>2111</v>
      </c>
      <c r="F32" s="328">
        <v>2114</v>
      </c>
      <c r="G32" s="328">
        <v>2819</v>
      </c>
      <c r="H32" s="328">
        <v>4970</v>
      </c>
      <c r="I32" s="328">
        <v>100</v>
      </c>
      <c r="J32" s="328"/>
      <c r="K32" s="43">
        <f t="shared" si="0"/>
        <v>0</v>
      </c>
      <c r="L32" s="43">
        <f t="shared" si="1"/>
        <v>4970</v>
      </c>
      <c r="M32" s="43"/>
      <c r="N32" s="43">
        <f t="shared" si="2"/>
        <v>4970</v>
      </c>
      <c r="O32" s="43">
        <v>0</v>
      </c>
      <c r="P32" s="42">
        <v>3000</v>
      </c>
      <c r="Q32" s="42">
        <v>36.32</v>
      </c>
      <c r="R32" s="42">
        <f t="shared" si="4"/>
        <v>180510.4</v>
      </c>
      <c r="S32" s="85"/>
      <c r="T32" s="42"/>
    </row>
    <row r="33" spans="1:20">
      <c r="A33" s="328"/>
      <c r="B33" s="329" t="s">
        <v>1517</v>
      </c>
      <c r="C33" s="329" t="s">
        <v>834</v>
      </c>
      <c r="D33" s="42" t="s">
        <v>16</v>
      </c>
      <c r="E33" s="329" t="s">
        <v>2678</v>
      </c>
      <c r="F33" s="328">
        <v>1012</v>
      </c>
      <c r="G33" s="328">
        <v>2820</v>
      </c>
      <c r="H33" s="328">
        <v>300</v>
      </c>
      <c r="I33" s="328">
        <v>15</v>
      </c>
      <c r="J33" s="328"/>
      <c r="K33" s="43">
        <f t="shared" si="0"/>
        <v>0</v>
      </c>
      <c r="L33" s="43">
        <f t="shared" si="1"/>
        <v>300</v>
      </c>
      <c r="M33" s="43"/>
      <c r="N33" s="43">
        <f t="shared" si="2"/>
        <v>300</v>
      </c>
      <c r="O33" s="43">
        <f t="shared" si="3"/>
        <v>21</v>
      </c>
      <c r="P33" s="42">
        <v>0</v>
      </c>
      <c r="Q33" s="42">
        <v>400</v>
      </c>
      <c r="R33" s="42">
        <f t="shared" si="4"/>
        <v>120000</v>
      </c>
      <c r="S33" s="85"/>
      <c r="T33" s="42"/>
    </row>
    <row r="34" spans="1:20">
      <c r="A34" s="328"/>
      <c r="B34" s="328"/>
      <c r="C34" s="329" t="s">
        <v>2677</v>
      </c>
      <c r="D34" s="42" t="s">
        <v>16</v>
      </c>
      <c r="E34" s="329" t="s">
        <v>2678</v>
      </c>
      <c r="F34" s="329">
        <v>1012</v>
      </c>
      <c r="G34" s="328"/>
      <c r="H34" s="328">
        <v>100</v>
      </c>
      <c r="I34" s="328">
        <v>5</v>
      </c>
      <c r="J34" s="328"/>
      <c r="K34" s="43">
        <f t="shared" si="0"/>
        <v>0</v>
      </c>
      <c r="L34" s="43">
        <f t="shared" si="1"/>
        <v>100</v>
      </c>
      <c r="M34" s="43"/>
      <c r="N34" s="43">
        <f t="shared" si="2"/>
        <v>100</v>
      </c>
      <c r="O34" s="43">
        <f t="shared" si="3"/>
        <v>7</v>
      </c>
      <c r="P34" s="42">
        <v>0</v>
      </c>
      <c r="Q34" s="42">
        <v>100</v>
      </c>
      <c r="R34" s="42">
        <f t="shared" si="4"/>
        <v>10000</v>
      </c>
      <c r="S34" s="85"/>
      <c r="T34" s="42"/>
    </row>
    <row r="35" spans="1:20">
      <c r="A35" s="328"/>
      <c r="B35" s="329" t="s">
        <v>3930</v>
      </c>
      <c r="C35" s="329" t="s">
        <v>1640</v>
      </c>
      <c r="D35" s="42" t="s">
        <v>16</v>
      </c>
      <c r="E35" s="329" t="s">
        <v>3931</v>
      </c>
      <c r="F35" s="328">
        <v>19033391</v>
      </c>
      <c r="G35" s="328">
        <v>2821</v>
      </c>
      <c r="H35" s="328">
        <v>350</v>
      </c>
      <c r="I35" s="328">
        <v>14</v>
      </c>
      <c r="J35" s="328"/>
      <c r="K35" s="43">
        <f t="shared" si="0"/>
        <v>0</v>
      </c>
      <c r="L35" s="43">
        <f t="shared" si="1"/>
        <v>350</v>
      </c>
      <c r="M35" s="43"/>
      <c r="N35" s="43">
        <f t="shared" si="2"/>
        <v>350</v>
      </c>
      <c r="O35" s="43">
        <f t="shared" si="3"/>
        <v>24.5</v>
      </c>
      <c r="P35" s="42">
        <v>0</v>
      </c>
      <c r="Q35" s="42">
        <v>165</v>
      </c>
      <c r="R35" s="42">
        <f t="shared" si="4"/>
        <v>57750</v>
      </c>
      <c r="S35" s="85"/>
      <c r="T35" s="42"/>
    </row>
    <row r="36" spans="1:20" s="1" customFormat="1">
      <c r="A36" s="328">
        <v>1</v>
      </c>
      <c r="B36" s="329" t="s">
        <v>3667</v>
      </c>
      <c r="C36" s="329" t="s">
        <v>444</v>
      </c>
      <c r="D36" s="42" t="s">
        <v>16</v>
      </c>
      <c r="E36" s="329" t="s">
        <v>3932</v>
      </c>
      <c r="F36" s="328">
        <v>600</v>
      </c>
      <c r="G36" s="328"/>
      <c r="H36" s="328">
        <v>12820</v>
      </c>
      <c r="I36" s="328">
        <v>290</v>
      </c>
      <c r="J36" s="328">
        <v>0.13</v>
      </c>
      <c r="K36" s="43">
        <f t="shared" si="0"/>
        <v>37.700000000000003</v>
      </c>
      <c r="L36" s="43">
        <f t="shared" si="1"/>
        <v>12782.3</v>
      </c>
      <c r="M36" s="43"/>
      <c r="N36" s="43">
        <f t="shared" si="2"/>
        <v>12782.3</v>
      </c>
      <c r="O36" s="43">
        <f t="shared" si="3"/>
        <v>897.4</v>
      </c>
      <c r="P36" s="42">
        <v>20500</v>
      </c>
      <c r="Q36" s="42"/>
      <c r="R36" s="42">
        <f t="shared" si="4"/>
        <v>0</v>
      </c>
      <c r="S36" s="85"/>
      <c r="T36" s="42"/>
    </row>
    <row r="37" spans="1:20">
      <c r="A37" s="328">
        <v>2</v>
      </c>
      <c r="B37" s="329" t="s">
        <v>3667</v>
      </c>
      <c r="C37" s="329" t="s">
        <v>444</v>
      </c>
      <c r="D37" s="42" t="s">
        <v>16</v>
      </c>
      <c r="E37" s="329" t="s">
        <v>3933</v>
      </c>
      <c r="F37" s="328">
        <v>598</v>
      </c>
      <c r="G37" s="328"/>
      <c r="H37" s="328">
        <v>12460</v>
      </c>
      <c r="I37" s="328">
        <v>282</v>
      </c>
      <c r="J37" s="328">
        <v>0.13</v>
      </c>
      <c r="K37" s="43">
        <f t="shared" si="0"/>
        <v>36.660000000000004</v>
      </c>
      <c r="L37" s="43">
        <f t="shared" si="1"/>
        <v>12423.34</v>
      </c>
      <c r="M37" s="43"/>
      <c r="N37" s="43">
        <f t="shared" si="2"/>
        <v>12423.34</v>
      </c>
      <c r="O37" s="43">
        <f t="shared" si="3"/>
        <v>872.2</v>
      </c>
      <c r="P37" s="42">
        <v>21500</v>
      </c>
      <c r="Q37" s="42"/>
      <c r="R37" s="42">
        <f t="shared" si="4"/>
        <v>0</v>
      </c>
      <c r="S37" s="85"/>
      <c r="T37" s="42"/>
    </row>
    <row r="38" spans="1:20">
      <c r="A38" s="329">
        <v>3</v>
      </c>
      <c r="B38" s="329" t="s">
        <v>3667</v>
      </c>
      <c r="C38" s="329" t="s">
        <v>444</v>
      </c>
      <c r="D38" s="42" t="s">
        <v>16</v>
      </c>
      <c r="E38" s="329" t="s">
        <v>3934</v>
      </c>
      <c r="F38" s="328">
        <v>331</v>
      </c>
      <c r="G38" s="328"/>
      <c r="H38" s="328">
        <v>12600</v>
      </c>
      <c r="I38" s="328">
        <v>280</v>
      </c>
      <c r="J38" s="328">
        <v>0.13</v>
      </c>
      <c r="K38" s="43">
        <f t="shared" si="0"/>
        <v>36.4</v>
      </c>
      <c r="L38" s="43">
        <f t="shared" si="1"/>
        <v>12563.6</v>
      </c>
      <c r="M38" s="43"/>
      <c r="N38" s="43">
        <f t="shared" si="2"/>
        <v>12563.6</v>
      </c>
      <c r="O38" s="43">
        <f t="shared" si="3"/>
        <v>882</v>
      </c>
      <c r="P38" s="42">
        <v>21500</v>
      </c>
      <c r="Q38" s="42"/>
      <c r="R38" s="42">
        <f t="shared" si="4"/>
        <v>0</v>
      </c>
      <c r="S38" s="85"/>
      <c r="T38" s="42"/>
    </row>
    <row r="39" spans="1:20">
      <c r="A39" s="329">
        <v>4</v>
      </c>
      <c r="B39" s="329" t="s">
        <v>3667</v>
      </c>
      <c r="C39" s="329" t="s">
        <v>444</v>
      </c>
      <c r="D39" s="42" t="s">
        <v>16</v>
      </c>
      <c r="E39" s="329" t="s">
        <v>3935</v>
      </c>
      <c r="F39" s="328">
        <v>26819</v>
      </c>
      <c r="G39" s="328"/>
      <c r="H39" s="328">
        <v>12630</v>
      </c>
      <c r="I39" s="328">
        <v>282</v>
      </c>
      <c r="J39" s="328">
        <v>0.13</v>
      </c>
      <c r="K39" s="43">
        <f t="shared" si="0"/>
        <v>36.660000000000004</v>
      </c>
      <c r="L39" s="43">
        <f t="shared" si="1"/>
        <v>12593.34</v>
      </c>
      <c r="M39" s="43"/>
      <c r="N39" s="43">
        <f t="shared" si="2"/>
        <v>12593.34</v>
      </c>
      <c r="O39" s="43">
        <f t="shared" si="3"/>
        <v>884.1</v>
      </c>
      <c r="P39" s="42">
        <v>21000</v>
      </c>
      <c r="Q39" s="42"/>
      <c r="R39" s="42">
        <f t="shared" si="4"/>
        <v>0</v>
      </c>
      <c r="S39" s="85"/>
      <c r="T39" s="42"/>
    </row>
    <row r="40" spans="1:20">
      <c r="A40" s="329">
        <v>5</v>
      </c>
      <c r="B40" s="329" t="s">
        <v>3667</v>
      </c>
      <c r="C40" s="329" t="s">
        <v>444</v>
      </c>
      <c r="D40" s="42" t="s">
        <v>16</v>
      </c>
      <c r="E40" s="329" t="s">
        <v>3936</v>
      </c>
      <c r="F40" s="328">
        <v>330</v>
      </c>
      <c r="G40" s="328"/>
      <c r="H40" s="328">
        <v>14030</v>
      </c>
      <c r="I40" s="328">
        <v>280</v>
      </c>
      <c r="J40" s="328">
        <v>0.13</v>
      </c>
      <c r="K40" s="43">
        <f t="shared" si="0"/>
        <v>36.4</v>
      </c>
      <c r="L40" s="43">
        <f t="shared" si="1"/>
        <v>13993.6</v>
      </c>
      <c r="M40" s="43"/>
      <c r="N40" s="43">
        <f t="shared" si="2"/>
        <v>13993.6</v>
      </c>
      <c r="O40" s="43">
        <f t="shared" si="3"/>
        <v>982.09999999999991</v>
      </c>
      <c r="P40" s="42">
        <v>21500</v>
      </c>
      <c r="Q40" s="42"/>
      <c r="R40" s="42">
        <f t="shared" si="4"/>
        <v>0</v>
      </c>
      <c r="S40" s="85"/>
      <c r="T40" s="42"/>
    </row>
    <row r="41" spans="1:20">
      <c r="A41" s="329">
        <v>6</v>
      </c>
      <c r="B41" s="329" t="s">
        <v>3667</v>
      </c>
      <c r="C41" s="329" t="s">
        <v>444</v>
      </c>
      <c r="D41" s="42" t="s">
        <v>16</v>
      </c>
      <c r="E41" s="329" t="s">
        <v>3937</v>
      </c>
      <c r="F41" s="328">
        <v>326</v>
      </c>
      <c r="G41" s="328"/>
      <c r="H41" s="328">
        <v>12490</v>
      </c>
      <c r="I41" s="328">
        <v>280</v>
      </c>
      <c r="J41" s="328">
        <v>0.13</v>
      </c>
      <c r="K41" s="43">
        <f t="shared" si="0"/>
        <v>36.4</v>
      </c>
      <c r="L41" s="43">
        <f t="shared" si="1"/>
        <v>12453.6</v>
      </c>
      <c r="M41" s="43"/>
      <c r="N41" s="43">
        <f t="shared" si="2"/>
        <v>12453.6</v>
      </c>
      <c r="O41" s="43">
        <f t="shared" si="3"/>
        <v>874.30000000000007</v>
      </c>
      <c r="P41" s="42">
        <v>21500</v>
      </c>
      <c r="Q41" s="42"/>
      <c r="R41" s="42">
        <f t="shared" si="4"/>
        <v>0</v>
      </c>
      <c r="S41" s="85"/>
      <c r="T41" s="42"/>
    </row>
    <row r="42" spans="1:20">
      <c r="A42" s="329">
        <v>7</v>
      </c>
      <c r="B42" s="329" t="s">
        <v>3667</v>
      </c>
      <c r="C42" s="329" t="s">
        <v>444</v>
      </c>
      <c r="D42" s="42" t="s">
        <v>16</v>
      </c>
      <c r="E42" s="329" t="s">
        <v>3845</v>
      </c>
      <c r="F42" s="328">
        <v>591</v>
      </c>
      <c r="G42" s="328"/>
      <c r="H42" s="328">
        <v>12340</v>
      </c>
      <c r="I42" s="328">
        <v>273</v>
      </c>
      <c r="J42" s="328">
        <v>0.13</v>
      </c>
      <c r="K42" s="43">
        <f t="shared" si="0"/>
        <v>35.49</v>
      </c>
      <c r="L42" s="43">
        <f t="shared" si="1"/>
        <v>12304.51</v>
      </c>
      <c r="M42" s="43"/>
      <c r="N42" s="43">
        <f t="shared" si="2"/>
        <v>12304.51</v>
      </c>
      <c r="O42" s="43">
        <f t="shared" si="3"/>
        <v>863.8</v>
      </c>
      <c r="P42" s="42">
        <v>20500</v>
      </c>
      <c r="Q42" s="42"/>
      <c r="R42" s="42">
        <f t="shared" si="4"/>
        <v>0</v>
      </c>
      <c r="S42" s="85"/>
      <c r="T42" s="42"/>
    </row>
    <row r="43" spans="1:20">
      <c r="A43" s="329">
        <v>8</v>
      </c>
      <c r="B43" s="329" t="s">
        <v>3667</v>
      </c>
      <c r="C43" s="329" t="s">
        <v>444</v>
      </c>
      <c r="D43" s="42" t="s">
        <v>16</v>
      </c>
      <c r="E43" s="329" t="s">
        <v>3938</v>
      </c>
      <c r="F43" s="328">
        <v>26807</v>
      </c>
      <c r="G43" s="328"/>
      <c r="H43" s="328">
        <v>12530</v>
      </c>
      <c r="I43" s="328">
        <v>290</v>
      </c>
      <c r="J43" s="328">
        <v>0.13</v>
      </c>
      <c r="K43" s="43">
        <f t="shared" si="0"/>
        <v>37.700000000000003</v>
      </c>
      <c r="L43" s="43">
        <f t="shared" si="1"/>
        <v>12492.3</v>
      </c>
      <c r="M43" s="43"/>
      <c r="N43" s="43">
        <f t="shared" si="2"/>
        <v>12492.3</v>
      </c>
      <c r="O43" s="43">
        <f t="shared" si="3"/>
        <v>877.09999999999991</v>
      </c>
      <c r="P43" s="42">
        <v>19500</v>
      </c>
      <c r="Q43" s="42"/>
      <c r="R43" s="42">
        <f t="shared" si="4"/>
        <v>0</v>
      </c>
      <c r="S43" s="85"/>
      <c r="T43" s="42"/>
    </row>
    <row r="44" spans="1:20">
      <c r="A44" s="329">
        <v>9</v>
      </c>
      <c r="B44" s="329" t="s">
        <v>3667</v>
      </c>
      <c r="C44" s="329" t="s">
        <v>444</v>
      </c>
      <c r="D44" s="42" t="s">
        <v>16</v>
      </c>
      <c r="E44" s="329" t="s">
        <v>3939</v>
      </c>
      <c r="F44" s="328">
        <v>26808</v>
      </c>
      <c r="G44" s="328"/>
      <c r="H44" s="328">
        <v>12830</v>
      </c>
      <c r="I44" s="328">
        <v>279</v>
      </c>
      <c r="J44" s="328">
        <v>0.13</v>
      </c>
      <c r="K44" s="43">
        <f t="shared" si="0"/>
        <v>36.270000000000003</v>
      </c>
      <c r="L44" s="43">
        <f t="shared" si="1"/>
        <v>12793.73</v>
      </c>
      <c r="M44" s="43"/>
      <c r="N44" s="43">
        <f t="shared" si="2"/>
        <v>12793.73</v>
      </c>
      <c r="O44" s="43">
        <f t="shared" si="3"/>
        <v>898.1</v>
      </c>
      <c r="P44" s="42">
        <v>19500</v>
      </c>
      <c r="Q44" s="42"/>
      <c r="R44" s="42">
        <f t="shared" si="4"/>
        <v>0</v>
      </c>
      <c r="S44" s="85"/>
      <c r="T44" s="42"/>
    </row>
    <row r="45" spans="1:20">
      <c r="A45" s="329">
        <v>10</v>
      </c>
      <c r="B45" s="329" t="s">
        <v>3667</v>
      </c>
      <c r="C45" s="329" t="s">
        <v>444</v>
      </c>
      <c r="D45" s="42" t="s">
        <v>16</v>
      </c>
      <c r="E45" s="329" t="s">
        <v>3940</v>
      </c>
      <c r="F45" s="328">
        <v>588</v>
      </c>
      <c r="G45" s="328"/>
      <c r="H45" s="328">
        <v>12240</v>
      </c>
      <c r="I45" s="328">
        <v>270</v>
      </c>
      <c r="J45" s="328">
        <v>0.13</v>
      </c>
      <c r="K45" s="43">
        <f t="shared" si="0"/>
        <v>35.1</v>
      </c>
      <c r="L45" s="43">
        <f t="shared" si="1"/>
        <v>12204.9</v>
      </c>
      <c r="M45" s="43"/>
      <c r="N45" s="43">
        <f t="shared" si="2"/>
        <v>12204.9</v>
      </c>
      <c r="O45" s="43">
        <f t="shared" si="3"/>
        <v>856.80000000000007</v>
      </c>
      <c r="P45" s="42">
        <v>20500</v>
      </c>
      <c r="Q45" s="42"/>
      <c r="R45" s="42">
        <f t="shared" si="4"/>
        <v>0</v>
      </c>
      <c r="S45" s="85"/>
      <c r="T45" s="42"/>
    </row>
    <row r="46" spans="1:20">
      <c r="A46" s="329">
        <v>11</v>
      </c>
      <c r="B46" s="329" t="s">
        <v>3667</v>
      </c>
      <c r="C46" s="329" t="s">
        <v>444</v>
      </c>
      <c r="D46" s="42" t="s">
        <v>16</v>
      </c>
      <c r="E46" s="329" t="s">
        <v>3941</v>
      </c>
      <c r="F46" s="328">
        <v>26805</v>
      </c>
      <c r="G46" s="328"/>
      <c r="H46" s="328">
        <v>12480</v>
      </c>
      <c r="I46" s="328">
        <v>280</v>
      </c>
      <c r="J46" s="328">
        <v>0.13</v>
      </c>
      <c r="K46" s="43">
        <f t="shared" si="0"/>
        <v>36.4</v>
      </c>
      <c r="L46" s="43">
        <f t="shared" si="1"/>
        <v>12443.6</v>
      </c>
      <c r="M46" s="43"/>
      <c r="N46" s="43">
        <f t="shared" si="2"/>
        <v>12443.6</v>
      </c>
      <c r="O46" s="43">
        <f t="shared" si="3"/>
        <v>873.6</v>
      </c>
      <c r="P46" s="42">
        <v>19500</v>
      </c>
      <c r="Q46" s="42"/>
      <c r="R46" s="42">
        <f t="shared" si="4"/>
        <v>0</v>
      </c>
      <c r="S46" s="85"/>
      <c r="T46" s="42"/>
    </row>
    <row r="47" spans="1:20">
      <c r="A47" s="329">
        <v>12</v>
      </c>
      <c r="B47" s="329" t="s">
        <v>3667</v>
      </c>
      <c r="C47" s="329" t="s">
        <v>444</v>
      </c>
      <c r="D47" s="42" t="s">
        <v>16</v>
      </c>
      <c r="E47" s="329" t="s">
        <v>3942</v>
      </c>
      <c r="F47" s="328">
        <v>26811</v>
      </c>
      <c r="G47" s="328"/>
      <c r="H47" s="328">
        <v>12870</v>
      </c>
      <c r="I47" s="328">
        <v>280</v>
      </c>
      <c r="J47" s="328">
        <v>0.13</v>
      </c>
      <c r="K47" s="43">
        <f t="shared" si="0"/>
        <v>36.4</v>
      </c>
      <c r="L47" s="43">
        <f t="shared" si="1"/>
        <v>12833.6</v>
      </c>
      <c r="M47" s="43"/>
      <c r="N47" s="43">
        <f t="shared" si="2"/>
        <v>12833.6</v>
      </c>
      <c r="O47" s="43">
        <f t="shared" si="3"/>
        <v>900.9</v>
      </c>
      <c r="P47" s="42">
        <v>19500</v>
      </c>
      <c r="Q47" s="42"/>
      <c r="R47" s="42">
        <f t="shared" si="4"/>
        <v>0</v>
      </c>
      <c r="S47" s="85"/>
      <c r="T47" s="42"/>
    </row>
    <row r="48" spans="1:20">
      <c r="A48" s="329">
        <v>13</v>
      </c>
      <c r="B48" s="329" t="s">
        <v>3667</v>
      </c>
      <c r="C48" s="329" t="s">
        <v>444</v>
      </c>
      <c r="D48" s="42" t="s">
        <v>16</v>
      </c>
      <c r="E48" s="329" t="s">
        <v>3943</v>
      </c>
      <c r="F48" s="328">
        <v>26803</v>
      </c>
      <c r="G48" s="328"/>
      <c r="H48" s="328">
        <v>12740</v>
      </c>
      <c r="I48" s="328">
        <v>288</v>
      </c>
      <c r="J48" s="328">
        <v>0.13</v>
      </c>
      <c r="K48" s="43">
        <f t="shared" si="0"/>
        <v>37.44</v>
      </c>
      <c r="L48" s="43">
        <f t="shared" si="1"/>
        <v>12702.56</v>
      </c>
      <c r="M48" s="43"/>
      <c r="N48" s="43">
        <f t="shared" si="2"/>
        <v>12702.56</v>
      </c>
      <c r="O48" s="43">
        <f t="shared" si="3"/>
        <v>891.80000000000007</v>
      </c>
      <c r="P48" s="42">
        <v>19500</v>
      </c>
      <c r="Q48" s="42"/>
      <c r="R48" s="42">
        <f t="shared" si="4"/>
        <v>0</v>
      </c>
      <c r="S48" s="85"/>
      <c r="T48" s="42"/>
    </row>
    <row r="49" spans="1:20">
      <c r="A49" s="329">
        <v>14</v>
      </c>
      <c r="B49" s="329" t="s">
        <v>3667</v>
      </c>
      <c r="C49" s="329" t="s">
        <v>444</v>
      </c>
      <c r="D49" s="42" t="s">
        <v>16</v>
      </c>
      <c r="E49" s="329" t="s">
        <v>3683</v>
      </c>
      <c r="F49" s="328">
        <v>26809</v>
      </c>
      <c r="G49" s="328"/>
      <c r="H49" s="328">
        <v>12750</v>
      </c>
      <c r="I49" s="328">
        <v>282</v>
      </c>
      <c r="J49" s="328">
        <v>0.13</v>
      </c>
      <c r="K49" s="43">
        <f t="shared" si="0"/>
        <v>36.660000000000004</v>
      </c>
      <c r="L49" s="43">
        <f t="shared" si="1"/>
        <v>12713.34</v>
      </c>
      <c r="M49" s="43"/>
      <c r="N49" s="43">
        <f t="shared" si="2"/>
        <v>12713.34</v>
      </c>
      <c r="O49" s="43">
        <f t="shared" si="3"/>
        <v>892.5</v>
      </c>
      <c r="P49" s="103">
        <v>19500</v>
      </c>
      <c r="Q49" s="42"/>
      <c r="R49" s="42">
        <f t="shared" si="4"/>
        <v>0</v>
      </c>
      <c r="S49" s="85"/>
      <c r="T49" s="42"/>
    </row>
    <row r="50" spans="1:20">
      <c r="A50" s="329">
        <v>15</v>
      </c>
      <c r="B50" s="329" t="s">
        <v>3667</v>
      </c>
      <c r="C50" s="329" t="s">
        <v>444</v>
      </c>
      <c r="D50" s="42" t="s">
        <v>16</v>
      </c>
      <c r="E50" s="329" t="s">
        <v>3944</v>
      </c>
      <c r="F50" s="328">
        <v>26822</v>
      </c>
      <c r="G50" s="328"/>
      <c r="H50" s="328">
        <v>13050</v>
      </c>
      <c r="I50" s="328">
        <v>290</v>
      </c>
      <c r="J50" s="328">
        <v>0.13</v>
      </c>
      <c r="K50" s="43">
        <f t="shared" si="0"/>
        <v>37.700000000000003</v>
      </c>
      <c r="L50" s="43">
        <f t="shared" si="1"/>
        <v>13012.3</v>
      </c>
      <c r="M50" s="43"/>
      <c r="N50" s="43">
        <f t="shared" si="2"/>
        <v>13012.3</v>
      </c>
      <c r="O50" s="43">
        <f t="shared" si="3"/>
        <v>913.5</v>
      </c>
      <c r="P50" s="103">
        <v>19500</v>
      </c>
      <c r="Q50" s="42"/>
      <c r="R50" s="42">
        <f t="shared" si="4"/>
        <v>0</v>
      </c>
      <c r="S50" s="85"/>
      <c r="T50" s="42"/>
    </row>
    <row r="51" spans="1:20">
      <c r="A51" s="330"/>
      <c r="B51" s="330"/>
      <c r="C51" s="330"/>
      <c r="D51" s="331" t="s">
        <v>16</v>
      </c>
      <c r="E51" s="330"/>
      <c r="F51" s="330"/>
      <c r="G51" s="330"/>
      <c r="H51" s="330"/>
      <c r="I51" s="330"/>
      <c r="J51" s="330"/>
      <c r="K51" s="332">
        <f t="shared" ref="K51" si="5">I51*J51</f>
        <v>0</v>
      </c>
      <c r="L51" s="332">
        <f t="shared" ref="L51" si="6">H51-K51</f>
        <v>0</v>
      </c>
      <c r="M51" s="332"/>
      <c r="N51" s="332">
        <f t="shared" ref="N51" si="7">L51-M51</f>
        <v>0</v>
      </c>
      <c r="O51" s="332">
        <f t="shared" ref="O51" si="8">H51/1000*70</f>
        <v>0</v>
      </c>
      <c r="P51" s="331"/>
      <c r="Q51" s="331"/>
      <c r="R51" s="331">
        <f t="shared" ref="R51" si="9">L51*Q51</f>
        <v>0</v>
      </c>
      <c r="S51" s="333"/>
      <c r="T51" s="42"/>
    </row>
    <row r="52" spans="1:20">
      <c r="A52" s="310" t="s">
        <v>3945</v>
      </c>
      <c r="B52" s="329"/>
      <c r="C52" s="329"/>
      <c r="D52" s="42" t="s">
        <v>16</v>
      </c>
      <c r="E52" s="328"/>
      <c r="F52" s="328"/>
      <c r="G52" s="328"/>
      <c r="H52" s="328"/>
      <c r="I52" s="328"/>
      <c r="J52" s="328"/>
      <c r="K52" s="43">
        <f t="shared" si="0"/>
        <v>0</v>
      </c>
      <c r="L52" s="43">
        <f t="shared" si="1"/>
        <v>0</v>
      </c>
      <c r="M52" s="43"/>
      <c r="N52" s="43">
        <f t="shared" si="2"/>
        <v>0</v>
      </c>
      <c r="O52" s="43">
        <f t="shared" si="3"/>
        <v>0</v>
      </c>
      <c r="P52" s="42"/>
      <c r="Q52" s="42"/>
      <c r="R52" s="42">
        <f t="shared" si="4"/>
        <v>0</v>
      </c>
      <c r="S52" s="85"/>
      <c r="T52" s="42"/>
    </row>
    <row r="53" spans="1:20">
      <c r="A53" s="328"/>
      <c r="B53" s="334" t="s">
        <v>3667</v>
      </c>
      <c r="C53" s="334" t="s">
        <v>444</v>
      </c>
      <c r="D53" s="42" t="s">
        <v>16</v>
      </c>
      <c r="E53" s="334" t="s">
        <v>3946</v>
      </c>
      <c r="F53" s="328">
        <v>26821</v>
      </c>
      <c r="G53" s="328"/>
      <c r="H53" s="328">
        <v>12670</v>
      </c>
      <c r="I53" s="328">
        <v>275</v>
      </c>
      <c r="J53" s="328">
        <v>0.13</v>
      </c>
      <c r="K53" s="43">
        <f t="shared" si="0"/>
        <v>35.75</v>
      </c>
      <c r="L53" s="43">
        <f t="shared" si="1"/>
        <v>12634.25</v>
      </c>
      <c r="M53" s="43"/>
      <c r="N53" s="43">
        <f t="shared" si="2"/>
        <v>12634.25</v>
      </c>
      <c r="O53" s="43">
        <f t="shared" si="3"/>
        <v>886.9</v>
      </c>
      <c r="P53" s="42">
        <v>21000</v>
      </c>
      <c r="Q53" s="42"/>
      <c r="R53" s="42">
        <f t="shared" si="4"/>
        <v>0</v>
      </c>
      <c r="S53" s="85"/>
      <c r="T53" s="42"/>
    </row>
    <row r="54" spans="1:20">
      <c r="A54" s="328"/>
      <c r="B54" s="334" t="s">
        <v>3667</v>
      </c>
      <c r="C54" s="334" t="s">
        <v>444</v>
      </c>
      <c r="D54" s="42" t="s">
        <v>16</v>
      </c>
      <c r="E54" s="334" t="s">
        <v>3841</v>
      </c>
      <c r="F54" s="328">
        <v>325</v>
      </c>
      <c r="G54" s="328"/>
      <c r="H54" s="328">
        <v>12670</v>
      </c>
      <c r="I54" s="328">
        <v>269</v>
      </c>
      <c r="J54" s="328">
        <v>0.13</v>
      </c>
      <c r="K54" s="43">
        <f t="shared" si="0"/>
        <v>34.97</v>
      </c>
      <c r="L54" s="43">
        <f t="shared" si="1"/>
        <v>12635.03</v>
      </c>
      <c r="M54" s="43"/>
      <c r="N54" s="43">
        <f t="shared" si="2"/>
        <v>12635.03</v>
      </c>
      <c r="O54" s="43">
        <f t="shared" si="3"/>
        <v>886.9</v>
      </c>
      <c r="P54" s="42">
        <v>21500</v>
      </c>
      <c r="Q54" s="42"/>
      <c r="R54" s="42">
        <f t="shared" si="4"/>
        <v>0</v>
      </c>
      <c r="S54" s="85"/>
      <c r="T54" s="42"/>
    </row>
    <row r="55" spans="1:20" s="1" customFormat="1">
      <c r="A55" s="328"/>
      <c r="B55" s="334" t="s">
        <v>3929</v>
      </c>
      <c r="C55" s="334" t="s">
        <v>24</v>
      </c>
      <c r="D55" s="42" t="s">
        <v>16</v>
      </c>
      <c r="E55" s="334" t="s">
        <v>666</v>
      </c>
      <c r="F55" s="328">
        <v>2115</v>
      </c>
      <c r="G55" s="328">
        <v>2822</v>
      </c>
      <c r="H55" s="328">
        <v>9990</v>
      </c>
      <c r="I55" s="328">
        <v>200</v>
      </c>
      <c r="J55" s="334">
        <v>0</v>
      </c>
      <c r="K55" s="43">
        <f t="shared" si="0"/>
        <v>0</v>
      </c>
      <c r="L55" s="43">
        <f t="shared" si="1"/>
        <v>9990</v>
      </c>
      <c r="M55" s="43"/>
      <c r="N55" s="43">
        <f t="shared" si="2"/>
        <v>9990</v>
      </c>
      <c r="O55" s="43">
        <f t="shared" si="3"/>
        <v>699.30000000000007</v>
      </c>
      <c r="P55" s="42">
        <v>6000</v>
      </c>
      <c r="Q55" s="42">
        <v>36.130000000000003</v>
      </c>
      <c r="R55" s="42">
        <f t="shared" si="4"/>
        <v>360938.7</v>
      </c>
      <c r="S55" s="85"/>
      <c r="T55" s="42"/>
    </row>
    <row r="56" spans="1:20">
      <c r="A56" s="328"/>
      <c r="B56" s="334" t="s">
        <v>103</v>
      </c>
      <c r="C56" s="334" t="s">
        <v>88</v>
      </c>
      <c r="D56" s="42" t="s">
        <v>16</v>
      </c>
      <c r="E56" s="334" t="s">
        <v>3947</v>
      </c>
      <c r="F56" s="328">
        <v>0</v>
      </c>
      <c r="G56" s="328">
        <v>2823</v>
      </c>
      <c r="H56" s="328">
        <v>16250</v>
      </c>
      <c r="I56" s="328">
        <f>H56/50</f>
        <v>325</v>
      </c>
      <c r="J56" s="328">
        <v>0.5</v>
      </c>
      <c r="K56" s="43">
        <f t="shared" si="0"/>
        <v>162.5</v>
      </c>
      <c r="L56" s="43">
        <f t="shared" si="1"/>
        <v>16087.5</v>
      </c>
      <c r="M56" s="43"/>
      <c r="N56" s="43">
        <f t="shared" si="2"/>
        <v>16087.5</v>
      </c>
      <c r="O56" s="43">
        <f t="shared" si="3"/>
        <v>1137.5</v>
      </c>
      <c r="P56" s="42">
        <v>14000</v>
      </c>
      <c r="Q56" s="42">
        <v>21.75</v>
      </c>
      <c r="R56" s="42">
        <f t="shared" si="4"/>
        <v>349903.125</v>
      </c>
      <c r="S56" s="85"/>
      <c r="T56" s="50"/>
    </row>
    <row r="57" spans="1:20">
      <c r="A57" s="328"/>
      <c r="B57" s="334" t="s">
        <v>103</v>
      </c>
      <c r="C57" s="334" t="s">
        <v>88</v>
      </c>
      <c r="D57" s="42" t="s">
        <v>16</v>
      </c>
      <c r="E57" s="334" t="s">
        <v>3948</v>
      </c>
      <c r="F57" s="328">
        <v>659</v>
      </c>
      <c r="G57" s="328">
        <v>2824</v>
      </c>
      <c r="H57" s="328">
        <v>15280</v>
      </c>
      <c r="I57" s="328">
        <v>280</v>
      </c>
      <c r="J57" s="328">
        <v>0.5</v>
      </c>
      <c r="K57" s="43">
        <f t="shared" si="0"/>
        <v>140</v>
      </c>
      <c r="L57" s="43">
        <f t="shared" si="1"/>
        <v>15140</v>
      </c>
      <c r="M57" s="43"/>
      <c r="N57" s="43">
        <f t="shared" si="2"/>
        <v>15140</v>
      </c>
      <c r="O57" s="43">
        <f t="shared" si="3"/>
        <v>1069.5999999999999</v>
      </c>
      <c r="P57" s="42">
        <v>14200</v>
      </c>
      <c r="Q57" s="42">
        <v>21.75</v>
      </c>
      <c r="R57" s="42">
        <f t="shared" si="4"/>
        <v>329295</v>
      </c>
      <c r="S57" s="85"/>
      <c r="T57" s="42"/>
    </row>
    <row r="58" spans="1:20">
      <c r="A58" s="328"/>
      <c r="B58" s="334" t="s">
        <v>696</v>
      </c>
      <c r="C58" s="334" t="s">
        <v>88</v>
      </c>
      <c r="D58" s="42" t="s">
        <v>16</v>
      </c>
      <c r="E58" s="334" t="s">
        <v>3949</v>
      </c>
      <c r="F58" s="328">
        <v>28</v>
      </c>
      <c r="G58" s="328">
        <v>2825</v>
      </c>
      <c r="H58" s="328">
        <v>17340</v>
      </c>
      <c r="I58" s="328">
        <v>290</v>
      </c>
      <c r="J58" s="328">
        <v>0.5</v>
      </c>
      <c r="K58" s="43">
        <f t="shared" si="0"/>
        <v>145</v>
      </c>
      <c r="L58" s="43">
        <f t="shared" si="1"/>
        <v>17195</v>
      </c>
      <c r="M58" s="43"/>
      <c r="N58" s="43">
        <f t="shared" si="2"/>
        <v>17195</v>
      </c>
      <c r="O58" s="43">
        <f t="shared" si="3"/>
        <v>1213.8</v>
      </c>
      <c r="P58" s="42">
        <v>18400</v>
      </c>
      <c r="Q58" s="42">
        <v>22</v>
      </c>
      <c r="R58" s="42">
        <f t="shared" si="4"/>
        <v>378290</v>
      </c>
      <c r="S58" s="85"/>
      <c r="T58" s="42"/>
    </row>
    <row r="59" spans="1:20">
      <c r="A59" s="328"/>
      <c r="B59" s="334" t="s">
        <v>3078</v>
      </c>
      <c r="C59" s="334" t="s">
        <v>1377</v>
      </c>
      <c r="D59" s="42" t="s">
        <v>16</v>
      </c>
      <c r="E59" s="334" t="s">
        <v>3950</v>
      </c>
      <c r="F59" s="328">
        <v>482</v>
      </c>
      <c r="G59" s="328">
        <v>2826</v>
      </c>
      <c r="H59" s="328">
        <v>15370</v>
      </c>
      <c r="I59" s="328">
        <v>285</v>
      </c>
      <c r="J59" s="328">
        <v>0.75</v>
      </c>
      <c r="K59" s="43">
        <f t="shared" si="0"/>
        <v>213.75</v>
      </c>
      <c r="L59" s="43">
        <f t="shared" si="1"/>
        <v>15156.25</v>
      </c>
      <c r="M59" s="43"/>
      <c r="N59" s="43">
        <f t="shared" si="2"/>
        <v>15156.25</v>
      </c>
      <c r="O59" s="43">
        <f t="shared" si="3"/>
        <v>1075.8999999999999</v>
      </c>
      <c r="P59" s="42">
        <v>13000</v>
      </c>
      <c r="Q59" s="42">
        <v>21</v>
      </c>
      <c r="R59" s="42">
        <f t="shared" si="4"/>
        <v>318281.25</v>
      </c>
      <c r="S59" s="85"/>
      <c r="T59" s="42"/>
    </row>
    <row r="60" spans="1:20">
      <c r="A60" s="328"/>
      <c r="B60" s="334" t="s">
        <v>3305</v>
      </c>
      <c r="C60" s="334" t="s">
        <v>881</v>
      </c>
      <c r="D60" s="42" t="s">
        <v>16</v>
      </c>
      <c r="E60" s="334" t="s">
        <v>3402</v>
      </c>
      <c r="F60" s="328">
        <v>8692</v>
      </c>
      <c r="G60" s="328">
        <v>2827</v>
      </c>
      <c r="H60" s="328">
        <v>2610</v>
      </c>
      <c r="I60" s="328">
        <v>51</v>
      </c>
      <c r="J60" s="328"/>
      <c r="K60" s="43">
        <f t="shared" si="0"/>
        <v>0</v>
      </c>
      <c r="L60" s="43">
        <f t="shared" si="1"/>
        <v>2610</v>
      </c>
      <c r="M60" s="43"/>
      <c r="N60" s="43">
        <f t="shared" si="2"/>
        <v>2610</v>
      </c>
      <c r="O60" s="43">
        <f t="shared" si="3"/>
        <v>182.7</v>
      </c>
      <c r="P60" s="42">
        <v>0</v>
      </c>
      <c r="Q60" s="42"/>
      <c r="R60" s="42">
        <f t="shared" si="4"/>
        <v>0</v>
      </c>
      <c r="S60" s="85" t="s">
        <v>3951</v>
      </c>
      <c r="T60" s="42"/>
    </row>
    <row r="61" spans="1:20">
      <c r="A61" s="328"/>
      <c r="B61" s="334" t="s">
        <v>2261</v>
      </c>
      <c r="C61" s="334" t="s">
        <v>481</v>
      </c>
      <c r="D61" s="42" t="s">
        <v>16</v>
      </c>
      <c r="E61" s="334" t="s">
        <v>3952</v>
      </c>
      <c r="F61" s="328">
        <v>0</v>
      </c>
      <c r="G61" s="328">
        <v>2828</v>
      </c>
      <c r="H61" s="328">
        <v>2000</v>
      </c>
      <c r="I61" s="328">
        <v>40</v>
      </c>
      <c r="J61" s="328"/>
      <c r="K61" s="43">
        <f t="shared" si="0"/>
        <v>0</v>
      </c>
      <c r="L61" s="43">
        <f t="shared" si="1"/>
        <v>2000</v>
      </c>
      <c r="M61" s="43"/>
      <c r="N61" s="43">
        <f t="shared" si="2"/>
        <v>2000</v>
      </c>
      <c r="O61" s="43">
        <v>0</v>
      </c>
      <c r="P61" s="42">
        <v>0</v>
      </c>
      <c r="Q61" s="42">
        <f>32800/2000</f>
        <v>16.399999999999999</v>
      </c>
      <c r="R61" s="42">
        <f t="shared" si="4"/>
        <v>32800</v>
      </c>
      <c r="S61" s="85"/>
      <c r="T61" s="42"/>
    </row>
    <row r="62" spans="1:20">
      <c r="A62" s="330"/>
      <c r="B62" s="330"/>
      <c r="C62" s="330"/>
      <c r="D62" s="331" t="s">
        <v>16</v>
      </c>
      <c r="E62" s="330"/>
      <c r="F62" s="330"/>
      <c r="G62" s="330"/>
      <c r="H62" s="330"/>
      <c r="I62" s="330"/>
      <c r="J62" s="330"/>
      <c r="K62" s="332">
        <f t="shared" si="0"/>
        <v>0</v>
      </c>
      <c r="L62" s="332">
        <f t="shared" si="1"/>
        <v>0</v>
      </c>
      <c r="M62" s="332"/>
      <c r="N62" s="332">
        <f t="shared" si="2"/>
        <v>0</v>
      </c>
      <c r="O62" s="332">
        <f t="shared" ref="O62" si="10">H62/1000*70</f>
        <v>0</v>
      </c>
      <c r="P62" s="331"/>
      <c r="Q62" s="331"/>
      <c r="R62" s="331">
        <f t="shared" si="4"/>
        <v>0</v>
      </c>
      <c r="S62" s="333"/>
      <c r="T62" s="42"/>
    </row>
    <row r="63" spans="1:20" s="1" customFormat="1">
      <c r="A63" s="310" t="s">
        <v>3953</v>
      </c>
      <c r="B63" s="328"/>
      <c r="C63" s="328"/>
      <c r="D63" s="42" t="s">
        <v>16</v>
      </c>
      <c r="E63" s="328"/>
      <c r="F63" s="328"/>
      <c r="G63" s="328"/>
      <c r="H63" s="328"/>
      <c r="I63" s="328"/>
      <c r="J63" s="328"/>
      <c r="K63" s="43">
        <f t="shared" si="0"/>
        <v>0</v>
      </c>
      <c r="L63" s="43">
        <f t="shared" si="1"/>
        <v>0</v>
      </c>
      <c r="M63" s="43"/>
      <c r="N63" s="43">
        <f t="shared" si="2"/>
        <v>0</v>
      </c>
      <c r="O63" s="43">
        <f t="shared" si="3"/>
        <v>0</v>
      </c>
      <c r="P63" s="42"/>
      <c r="Q63" s="42"/>
      <c r="R63" s="42">
        <f t="shared" si="4"/>
        <v>0</v>
      </c>
      <c r="S63" s="85"/>
      <c r="T63" s="42"/>
    </row>
    <row r="64" spans="1:20">
      <c r="A64" s="328"/>
      <c r="B64" s="335" t="s">
        <v>632</v>
      </c>
      <c r="C64" s="335" t="s">
        <v>24</v>
      </c>
      <c r="D64" s="42" t="s">
        <v>16</v>
      </c>
      <c r="E64" s="335" t="s">
        <v>3954</v>
      </c>
      <c r="F64" s="328">
        <v>1042</v>
      </c>
      <c r="G64" s="328">
        <v>2829</v>
      </c>
      <c r="H64" s="328">
        <v>15000</v>
      </c>
      <c r="I64" s="328">
        <v>300</v>
      </c>
      <c r="J64" s="328">
        <v>0.13</v>
      </c>
      <c r="K64" s="43">
        <f t="shared" si="0"/>
        <v>39</v>
      </c>
      <c r="L64" s="43">
        <f t="shared" si="1"/>
        <v>14961</v>
      </c>
      <c r="M64" s="43"/>
      <c r="N64" s="43">
        <f t="shared" si="2"/>
        <v>14961</v>
      </c>
      <c r="O64" s="43">
        <f t="shared" si="3"/>
        <v>1050</v>
      </c>
      <c r="P64" s="42">
        <v>9000</v>
      </c>
      <c r="Q64" s="42">
        <v>36.200000000000003</v>
      </c>
      <c r="R64" s="42">
        <f t="shared" si="4"/>
        <v>541588.20000000007</v>
      </c>
      <c r="S64" s="85"/>
      <c r="T64" s="42"/>
    </row>
    <row r="65" spans="1:20">
      <c r="A65" s="328"/>
      <c r="B65" s="335" t="s">
        <v>2490</v>
      </c>
      <c r="C65" s="335" t="s">
        <v>3955</v>
      </c>
      <c r="D65" s="42" t="s">
        <v>16</v>
      </c>
      <c r="E65" s="335" t="s">
        <v>835</v>
      </c>
      <c r="F65" s="328">
        <v>312504</v>
      </c>
      <c r="G65" s="328">
        <v>2830</v>
      </c>
      <c r="H65" s="328">
        <v>200</v>
      </c>
      <c r="I65" s="328">
        <v>8</v>
      </c>
      <c r="J65" s="328"/>
      <c r="K65" s="43">
        <f t="shared" si="0"/>
        <v>0</v>
      </c>
      <c r="L65" s="43">
        <f t="shared" si="1"/>
        <v>200</v>
      </c>
      <c r="M65" s="43"/>
      <c r="N65" s="43">
        <f t="shared" si="2"/>
        <v>200</v>
      </c>
      <c r="O65" s="43">
        <f t="shared" si="3"/>
        <v>14</v>
      </c>
      <c r="P65" s="42">
        <v>0</v>
      </c>
      <c r="Q65" s="42">
        <v>276.45</v>
      </c>
      <c r="R65" s="42">
        <f t="shared" si="4"/>
        <v>55290</v>
      </c>
      <c r="S65" s="85"/>
      <c r="T65" s="42"/>
    </row>
    <row r="66" spans="1:20" s="1" customFormat="1">
      <c r="A66" s="330"/>
      <c r="B66" s="330"/>
      <c r="C66" s="330"/>
      <c r="D66" s="331" t="s">
        <v>16</v>
      </c>
      <c r="E66" s="330"/>
      <c r="F66" s="330"/>
      <c r="G66" s="330"/>
      <c r="H66" s="330"/>
      <c r="I66" s="330"/>
      <c r="J66" s="330"/>
      <c r="K66" s="332">
        <f t="shared" ref="K66" si="11">I66*J66</f>
        <v>0</v>
      </c>
      <c r="L66" s="332">
        <f t="shared" ref="L66" si="12">H66-K66</f>
        <v>0</v>
      </c>
      <c r="M66" s="332"/>
      <c r="N66" s="332">
        <f t="shared" ref="N66" si="13">L66-M66</f>
        <v>0</v>
      </c>
      <c r="O66" s="332">
        <f t="shared" si="3"/>
        <v>0</v>
      </c>
      <c r="P66" s="331"/>
      <c r="Q66" s="331"/>
      <c r="R66" s="331">
        <f t="shared" ref="R66" si="14">L66*Q66</f>
        <v>0</v>
      </c>
      <c r="S66" s="333"/>
      <c r="T66" s="42"/>
    </row>
    <row r="67" spans="1:20" s="1" customFormat="1">
      <c r="A67" s="310" t="s">
        <v>3956</v>
      </c>
      <c r="B67" s="328"/>
      <c r="C67" s="328"/>
      <c r="D67" s="42" t="s">
        <v>16</v>
      </c>
      <c r="E67" s="328"/>
      <c r="F67" s="328"/>
      <c r="G67" s="328"/>
      <c r="H67" s="328"/>
      <c r="I67" s="328"/>
      <c r="J67" s="328"/>
      <c r="K67" s="43">
        <f t="shared" si="0"/>
        <v>0</v>
      </c>
      <c r="L67" s="43">
        <f t="shared" si="1"/>
        <v>0</v>
      </c>
      <c r="M67" s="43"/>
      <c r="N67" s="43">
        <f t="shared" si="2"/>
        <v>0</v>
      </c>
      <c r="O67" s="43">
        <f t="shared" si="3"/>
        <v>0</v>
      </c>
      <c r="P67" s="42"/>
      <c r="Q67" s="42"/>
      <c r="R67" s="42">
        <f t="shared" si="4"/>
        <v>0</v>
      </c>
      <c r="S67" s="85"/>
      <c r="T67" s="42"/>
    </row>
    <row r="68" spans="1:20" s="1" customFormat="1">
      <c r="A68" s="328"/>
      <c r="B68" s="335" t="s">
        <v>1172</v>
      </c>
      <c r="C68" s="335" t="s">
        <v>1377</v>
      </c>
      <c r="D68" s="42" t="s">
        <v>16</v>
      </c>
      <c r="E68" s="335" t="s">
        <v>1781</v>
      </c>
      <c r="F68" s="328">
        <v>252</v>
      </c>
      <c r="G68" s="328">
        <v>2831</v>
      </c>
      <c r="H68" s="328">
        <v>16510</v>
      </c>
      <c r="I68" s="328">
        <v>300</v>
      </c>
      <c r="J68" s="328">
        <v>0.75</v>
      </c>
      <c r="K68" s="43">
        <f t="shared" si="0"/>
        <v>225</v>
      </c>
      <c r="L68" s="43">
        <f t="shared" si="1"/>
        <v>16285</v>
      </c>
      <c r="M68" s="43"/>
      <c r="N68" s="43">
        <f t="shared" si="2"/>
        <v>16285</v>
      </c>
      <c r="O68" s="43">
        <f t="shared" si="3"/>
        <v>1155.7</v>
      </c>
      <c r="P68" s="42">
        <v>18700</v>
      </c>
      <c r="Q68" s="42">
        <v>20.5</v>
      </c>
      <c r="R68" s="42">
        <f t="shared" si="4"/>
        <v>333842.5</v>
      </c>
      <c r="S68" s="85"/>
      <c r="T68" s="42"/>
    </row>
    <row r="69" spans="1:20">
      <c r="A69" s="330"/>
      <c r="B69" s="330"/>
      <c r="C69" s="330"/>
      <c r="D69" s="331" t="s">
        <v>16</v>
      </c>
      <c r="E69" s="330"/>
      <c r="F69" s="330"/>
      <c r="G69" s="330"/>
      <c r="H69" s="330"/>
      <c r="I69" s="330"/>
      <c r="J69" s="330"/>
      <c r="K69" s="332">
        <f t="shared" si="0"/>
        <v>0</v>
      </c>
      <c r="L69" s="332">
        <f t="shared" si="1"/>
        <v>0</v>
      </c>
      <c r="M69" s="332"/>
      <c r="N69" s="332">
        <f t="shared" si="2"/>
        <v>0</v>
      </c>
      <c r="O69" s="332">
        <f t="shared" ref="O69" si="15">H69/1000*70</f>
        <v>0</v>
      </c>
      <c r="P69" s="331"/>
      <c r="Q69" s="331"/>
      <c r="R69" s="331">
        <f t="shared" si="4"/>
        <v>0</v>
      </c>
      <c r="S69" s="333"/>
      <c r="T69" s="42"/>
    </row>
    <row r="70" spans="1:20">
      <c r="A70" s="310" t="s">
        <v>3957</v>
      </c>
      <c r="B70" s="328"/>
      <c r="C70" s="328"/>
      <c r="D70" s="42" t="s">
        <v>16</v>
      </c>
      <c r="E70" s="328"/>
      <c r="F70" s="328"/>
      <c r="G70" s="328"/>
      <c r="H70" s="328"/>
      <c r="I70" s="328"/>
      <c r="J70" s="328"/>
      <c r="K70" s="43">
        <f t="shared" si="0"/>
        <v>0</v>
      </c>
      <c r="L70" s="43">
        <f t="shared" si="1"/>
        <v>0</v>
      </c>
      <c r="M70" s="43"/>
      <c r="N70" s="43">
        <f t="shared" si="2"/>
        <v>0</v>
      </c>
      <c r="O70" s="43">
        <f t="shared" si="3"/>
        <v>0</v>
      </c>
      <c r="P70" s="42"/>
      <c r="Q70" s="42"/>
      <c r="R70" s="42">
        <f t="shared" si="4"/>
        <v>0</v>
      </c>
      <c r="S70" s="85"/>
      <c r="T70" s="42"/>
    </row>
    <row r="71" spans="1:20">
      <c r="A71" s="328"/>
      <c r="B71" s="336" t="s">
        <v>1459</v>
      </c>
      <c r="C71" s="336" t="s">
        <v>88</v>
      </c>
      <c r="D71" s="42" t="s">
        <v>16</v>
      </c>
      <c r="E71" s="336" t="s">
        <v>3804</v>
      </c>
      <c r="F71" s="328">
        <v>508</v>
      </c>
      <c r="G71" s="328">
        <v>2832</v>
      </c>
      <c r="H71" s="328">
        <v>15510</v>
      </c>
      <c r="I71" s="328">
        <v>260</v>
      </c>
      <c r="J71" s="328">
        <v>0.5</v>
      </c>
      <c r="K71" s="43">
        <f t="shared" si="0"/>
        <v>130</v>
      </c>
      <c r="L71" s="43">
        <f t="shared" si="1"/>
        <v>15380</v>
      </c>
      <c r="M71" s="43"/>
      <c r="N71" s="43">
        <f t="shared" si="2"/>
        <v>15380</v>
      </c>
      <c r="O71" s="43">
        <f t="shared" si="3"/>
        <v>1085.7</v>
      </c>
      <c r="P71" s="42">
        <v>25700</v>
      </c>
      <c r="Q71" s="42">
        <v>22</v>
      </c>
      <c r="R71" s="42">
        <f t="shared" si="4"/>
        <v>338360</v>
      </c>
      <c r="S71" s="85"/>
      <c r="T71" s="42"/>
    </row>
    <row r="72" spans="1:20">
      <c r="A72" s="328"/>
      <c r="B72" s="336" t="s">
        <v>3958</v>
      </c>
      <c r="C72" s="336" t="s">
        <v>3124</v>
      </c>
      <c r="D72" s="42" t="s">
        <v>16</v>
      </c>
      <c r="E72" s="336" t="s">
        <v>3959</v>
      </c>
      <c r="F72" s="328">
        <v>5777</v>
      </c>
      <c r="G72" s="328">
        <v>2833</v>
      </c>
      <c r="H72" s="328">
        <v>1500</v>
      </c>
      <c r="I72" s="328">
        <v>60</v>
      </c>
      <c r="J72" s="328"/>
      <c r="K72" s="43">
        <f t="shared" si="0"/>
        <v>0</v>
      </c>
      <c r="L72" s="43">
        <f t="shared" si="1"/>
        <v>1500</v>
      </c>
      <c r="M72" s="43"/>
      <c r="N72" s="43">
        <f t="shared" si="2"/>
        <v>1500</v>
      </c>
      <c r="O72" s="43">
        <f>H72/1000*70+6120</f>
        <v>6225</v>
      </c>
      <c r="P72" s="42">
        <v>0</v>
      </c>
      <c r="Q72" s="42">
        <v>136</v>
      </c>
      <c r="R72" s="42">
        <f t="shared" si="4"/>
        <v>204000</v>
      </c>
      <c r="S72" s="85"/>
      <c r="T72" s="42"/>
    </row>
    <row r="73" spans="1:20">
      <c r="A73" s="328"/>
      <c r="B73" s="336" t="s">
        <v>3927</v>
      </c>
      <c r="C73" s="336" t="s">
        <v>3928</v>
      </c>
      <c r="D73" s="42" t="s">
        <v>16</v>
      </c>
      <c r="E73" s="336" t="s">
        <v>323</v>
      </c>
      <c r="F73" s="328">
        <v>13164</v>
      </c>
      <c r="G73" s="328">
        <v>2834</v>
      </c>
      <c r="H73" s="328">
        <v>13530</v>
      </c>
      <c r="I73" s="328">
        <v>300</v>
      </c>
      <c r="J73" s="328"/>
      <c r="K73" s="43">
        <f t="shared" ref="K73:K137" si="16">I73*J73</f>
        <v>0</v>
      </c>
      <c r="L73" s="43">
        <f t="shared" ref="L73:L137" si="17">H73-K73</f>
        <v>13530</v>
      </c>
      <c r="M73" s="43"/>
      <c r="N73" s="43">
        <f t="shared" ref="N73:N137" si="18">L73-M73</f>
        <v>13530</v>
      </c>
      <c r="O73" s="43">
        <v>0</v>
      </c>
      <c r="P73" s="42">
        <v>5000</v>
      </c>
      <c r="Q73" s="42">
        <v>12.57</v>
      </c>
      <c r="R73" s="42">
        <f t="shared" ref="R73:R137" si="19">L73*Q73</f>
        <v>170072.1</v>
      </c>
      <c r="S73" s="85"/>
      <c r="T73" s="42"/>
    </row>
    <row r="74" spans="1:20">
      <c r="A74" s="328"/>
      <c r="B74" s="336" t="s">
        <v>14</v>
      </c>
      <c r="C74" s="336" t="s">
        <v>1077</v>
      </c>
      <c r="D74" s="42" t="s">
        <v>16</v>
      </c>
      <c r="E74" s="336" t="s">
        <v>1231</v>
      </c>
      <c r="F74" s="328">
        <v>1789</v>
      </c>
      <c r="G74" s="328">
        <v>2835</v>
      </c>
      <c r="H74" s="328">
        <v>11030</v>
      </c>
      <c r="I74" s="328">
        <v>60</v>
      </c>
      <c r="J74" s="328"/>
      <c r="K74" s="43">
        <f t="shared" si="16"/>
        <v>0</v>
      </c>
      <c r="L74" s="43">
        <f t="shared" si="17"/>
        <v>11030</v>
      </c>
      <c r="M74" s="43"/>
      <c r="N74" s="43">
        <f t="shared" si="18"/>
        <v>11030</v>
      </c>
      <c r="O74" s="43">
        <f t="shared" ref="O74:O137" si="20">H74/1000*70</f>
        <v>772.09999999999991</v>
      </c>
      <c r="P74" s="42">
        <v>0</v>
      </c>
      <c r="Q74" s="42">
        <v>82</v>
      </c>
      <c r="R74" s="42">
        <f t="shared" si="19"/>
        <v>904460</v>
      </c>
      <c r="S74" s="85"/>
      <c r="T74" s="42"/>
    </row>
    <row r="75" spans="1:20">
      <c r="A75" s="328"/>
      <c r="B75" s="336" t="s">
        <v>1269</v>
      </c>
      <c r="C75" s="336" t="s">
        <v>3743</v>
      </c>
      <c r="D75" s="42" t="s">
        <v>16</v>
      </c>
      <c r="E75" s="336" t="s">
        <v>1127</v>
      </c>
      <c r="F75" s="328">
        <v>19025489</v>
      </c>
      <c r="G75" s="328">
        <v>2836</v>
      </c>
      <c r="H75" s="328">
        <v>25</v>
      </c>
      <c r="I75" s="328">
        <v>1</v>
      </c>
      <c r="J75" s="328"/>
      <c r="K75" s="43">
        <f t="shared" si="16"/>
        <v>0</v>
      </c>
      <c r="L75" s="43">
        <f t="shared" si="17"/>
        <v>25</v>
      </c>
      <c r="M75" s="43"/>
      <c r="N75" s="43">
        <f t="shared" si="18"/>
        <v>25</v>
      </c>
      <c r="O75" s="43">
        <v>0</v>
      </c>
      <c r="P75" s="42">
        <v>0</v>
      </c>
      <c r="Q75" s="42">
        <v>2040</v>
      </c>
      <c r="R75" s="42">
        <f t="shared" si="19"/>
        <v>51000</v>
      </c>
      <c r="S75" s="85"/>
      <c r="T75" s="42"/>
    </row>
    <row r="76" spans="1:20">
      <c r="A76" s="330"/>
      <c r="B76" s="330"/>
      <c r="C76" s="330"/>
      <c r="D76" s="331" t="s">
        <v>16</v>
      </c>
      <c r="E76" s="330"/>
      <c r="F76" s="330"/>
      <c r="G76" s="330"/>
      <c r="H76" s="330"/>
      <c r="I76" s="330"/>
      <c r="J76" s="330"/>
      <c r="K76" s="332">
        <f t="shared" si="16"/>
        <v>0</v>
      </c>
      <c r="L76" s="332">
        <f t="shared" si="17"/>
        <v>0</v>
      </c>
      <c r="M76" s="332"/>
      <c r="N76" s="332">
        <f t="shared" si="18"/>
        <v>0</v>
      </c>
      <c r="O76" s="332">
        <f t="shared" ref="O76" si="21">H76/1000*70</f>
        <v>0</v>
      </c>
      <c r="P76" s="331"/>
      <c r="Q76" s="331"/>
      <c r="R76" s="331">
        <f t="shared" si="19"/>
        <v>0</v>
      </c>
      <c r="S76" s="333"/>
      <c r="T76" s="42"/>
    </row>
    <row r="77" spans="1:20">
      <c r="A77" s="310" t="s">
        <v>3960</v>
      </c>
      <c r="B77" s="328"/>
      <c r="C77" s="328"/>
      <c r="D77" s="42" t="s">
        <v>16</v>
      </c>
      <c r="E77" s="328"/>
      <c r="F77" s="328"/>
      <c r="G77" s="328"/>
      <c r="H77" s="328"/>
      <c r="I77" s="328"/>
      <c r="J77" s="328"/>
      <c r="K77" s="43">
        <f t="shared" si="16"/>
        <v>0</v>
      </c>
      <c r="L77" s="43">
        <f t="shared" si="17"/>
        <v>0</v>
      </c>
      <c r="M77" s="43"/>
      <c r="N77" s="43">
        <f t="shared" si="18"/>
        <v>0</v>
      </c>
      <c r="O77" s="43">
        <f t="shared" si="20"/>
        <v>0</v>
      </c>
      <c r="P77" s="42"/>
      <c r="Q77" s="42"/>
      <c r="R77" s="42">
        <f t="shared" si="19"/>
        <v>0</v>
      </c>
      <c r="S77" s="85"/>
      <c r="T77" s="42"/>
    </row>
    <row r="78" spans="1:20">
      <c r="A78" s="328"/>
      <c r="B78" s="338" t="s">
        <v>3173</v>
      </c>
      <c r="C78" s="338" t="s">
        <v>24</v>
      </c>
      <c r="D78" s="42" t="s">
        <v>16</v>
      </c>
      <c r="E78" s="338" t="s">
        <v>2111</v>
      </c>
      <c r="F78" s="328">
        <v>452</v>
      </c>
      <c r="G78" s="328">
        <v>2837</v>
      </c>
      <c r="H78" s="328">
        <v>5990</v>
      </c>
      <c r="I78" s="328">
        <v>120</v>
      </c>
      <c r="J78" s="328"/>
      <c r="K78" s="43">
        <f t="shared" si="16"/>
        <v>0</v>
      </c>
      <c r="L78" s="43">
        <f t="shared" si="17"/>
        <v>5990</v>
      </c>
      <c r="M78" s="43"/>
      <c r="N78" s="43">
        <f t="shared" si="18"/>
        <v>5990</v>
      </c>
      <c r="O78" s="43">
        <v>0</v>
      </c>
      <c r="P78" s="42">
        <v>0</v>
      </c>
      <c r="Q78" s="42">
        <v>36</v>
      </c>
      <c r="R78" s="42">
        <f t="shared" si="19"/>
        <v>215640</v>
      </c>
      <c r="S78" s="85"/>
      <c r="T78" s="42"/>
    </row>
    <row r="79" spans="1:20">
      <c r="A79" s="328"/>
      <c r="B79" s="338" t="s">
        <v>3961</v>
      </c>
      <c r="C79" s="338" t="s">
        <v>3567</v>
      </c>
      <c r="D79" s="42" t="s">
        <v>16</v>
      </c>
      <c r="E79" s="338" t="s">
        <v>449</v>
      </c>
      <c r="F79" s="328">
        <v>312</v>
      </c>
      <c r="G79" s="328">
        <v>2838</v>
      </c>
      <c r="H79" s="328">
        <v>13600</v>
      </c>
      <c r="I79" s="328">
        <v>272</v>
      </c>
      <c r="J79" s="328"/>
      <c r="K79" s="43">
        <f t="shared" si="16"/>
        <v>0</v>
      </c>
      <c r="L79" s="43">
        <f t="shared" si="17"/>
        <v>13600</v>
      </c>
      <c r="M79" s="43"/>
      <c r="N79" s="43">
        <f t="shared" si="18"/>
        <v>13600</v>
      </c>
      <c r="O79" s="43">
        <v>0</v>
      </c>
      <c r="P79" s="42">
        <v>0</v>
      </c>
      <c r="Q79" s="42">
        <v>15.75</v>
      </c>
      <c r="R79" s="42">
        <f t="shared" si="19"/>
        <v>214200</v>
      </c>
      <c r="S79" s="85"/>
      <c r="T79" s="42"/>
    </row>
    <row r="80" spans="1:20">
      <c r="A80" s="328"/>
      <c r="B80" s="338" t="s">
        <v>3774</v>
      </c>
      <c r="C80" s="338" t="s">
        <v>3873</v>
      </c>
      <c r="D80" s="42" t="s">
        <v>16</v>
      </c>
      <c r="E80" s="338" t="s">
        <v>3962</v>
      </c>
      <c r="F80" s="328">
        <v>1505</v>
      </c>
      <c r="G80" s="328">
        <v>2839</v>
      </c>
      <c r="H80" s="328">
        <v>12490</v>
      </c>
      <c r="I80" s="328">
        <v>420</v>
      </c>
      <c r="J80" s="328">
        <v>0.13</v>
      </c>
      <c r="K80" s="43">
        <f t="shared" si="16"/>
        <v>54.6</v>
      </c>
      <c r="L80" s="43">
        <f t="shared" si="17"/>
        <v>12435.4</v>
      </c>
      <c r="M80" s="43"/>
      <c r="N80" s="43">
        <f t="shared" si="18"/>
        <v>12435.4</v>
      </c>
      <c r="O80" s="43">
        <f t="shared" si="20"/>
        <v>874.30000000000007</v>
      </c>
      <c r="P80" s="42">
        <v>23500</v>
      </c>
      <c r="Q80" s="42"/>
      <c r="R80" s="42">
        <f t="shared" si="19"/>
        <v>0</v>
      </c>
      <c r="S80" s="85"/>
      <c r="T80" s="42"/>
    </row>
    <row r="81" spans="1:20">
      <c r="A81" s="330"/>
      <c r="B81" s="330"/>
      <c r="C81" s="330"/>
      <c r="D81" s="331" t="s">
        <v>16</v>
      </c>
      <c r="E81" s="330"/>
      <c r="F81" s="330"/>
      <c r="G81" s="330"/>
      <c r="H81" s="330"/>
      <c r="I81" s="330"/>
      <c r="J81" s="330"/>
      <c r="K81" s="332">
        <f t="shared" ref="K81" si="22">I81*J81</f>
        <v>0</v>
      </c>
      <c r="L81" s="332">
        <f t="shared" ref="L81" si="23">H81-K81</f>
        <v>0</v>
      </c>
      <c r="M81" s="332"/>
      <c r="N81" s="332">
        <f t="shared" ref="N81" si="24">L81-M81</f>
        <v>0</v>
      </c>
      <c r="O81" s="332">
        <f t="shared" si="20"/>
        <v>0</v>
      </c>
      <c r="P81" s="331"/>
      <c r="Q81" s="331"/>
      <c r="R81" s="331">
        <f t="shared" ref="R81" si="25">L81*Q81</f>
        <v>0</v>
      </c>
      <c r="S81" s="333"/>
      <c r="T81" s="42"/>
    </row>
    <row r="82" spans="1:20">
      <c r="A82" s="310" t="s">
        <v>3963</v>
      </c>
      <c r="B82" s="328"/>
      <c r="C82" s="328"/>
      <c r="D82" s="42" t="s">
        <v>16</v>
      </c>
      <c r="E82" s="328"/>
      <c r="F82" s="328"/>
      <c r="G82" s="328"/>
      <c r="H82" s="328"/>
      <c r="I82" s="328"/>
      <c r="J82" s="328"/>
      <c r="K82" s="43">
        <f t="shared" si="16"/>
        <v>0</v>
      </c>
      <c r="L82" s="43">
        <f t="shared" si="17"/>
        <v>0</v>
      </c>
      <c r="M82" s="43"/>
      <c r="N82" s="43">
        <f t="shared" si="18"/>
        <v>0</v>
      </c>
      <c r="O82" s="43">
        <f t="shared" si="20"/>
        <v>0</v>
      </c>
      <c r="P82" s="42"/>
      <c r="Q82" s="42"/>
      <c r="R82" s="42">
        <f t="shared" si="19"/>
        <v>0</v>
      </c>
      <c r="S82" s="85"/>
      <c r="T82" s="42"/>
    </row>
    <row r="83" spans="1:20">
      <c r="A83" s="328"/>
      <c r="B83" s="338" t="s">
        <v>1459</v>
      </c>
      <c r="C83" s="338" t="s">
        <v>88</v>
      </c>
      <c r="D83" s="42" t="s">
        <v>16</v>
      </c>
      <c r="E83" s="338" t="s">
        <v>3964</v>
      </c>
      <c r="F83" s="328">
        <v>510</v>
      </c>
      <c r="G83" s="328">
        <v>2840</v>
      </c>
      <c r="H83" s="328">
        <v>15440</v>
      </c>
      <c r="I83" s="328">
        <v>258</v>
      </c>
      <c r="J83" s="328">
        <v>0.5</v>
      </c>
      <c r="K83" s="43">
        <f t="shared" si="16"/>
        <v>129</v>
      </c>
      <c r="L83" s="43">
        <f t="shared" si="17"/>
        <v>15311</v>
      </c>
      <c r="M83" s="43"/>
      <c r="N83" s="43">
        <f t="shared" si="18"/>
        <v>15311</v>
      </c>
      <c r="O83" s="43">
        <f t="shared" si="20"/>
        <v>1080.8</v>
      </c>
      <c r="P83" s="42">
        <v>25500</v>
      </c>
      <c r="Q83" s="42">
        <v>22</v>
      </c>
      <c r="R83" s="42">
        <f t="shared" si="19"/>
        <v>336842</v>
      </c>
      <c r="S83" s="85"/>
      <c r="T83" s="42"/>
    </row>
    <row r="84" spans="1:20">
      <c r="A84" s="328"/>
      <c r="B84" s="338" t="s">
        <v>3927</v>
      </c>
      <c r="C84" s="338" t="s">
        <v>3928</v>
      </c>
      <c r="D84" s="42" t="s">
        <v>16</v>
      </c>
      <c r="E84" s="338" t="s">
        <v>449</v>
      </c>
      <c r="F84" s="328">
        <v>13172</v>
      </c>
      <c r="G84" s="328">
        <v>2841</v>
      </c>
      <c r="H84" s="328">
        <v>13550</v>
      </c>
      <c r="I84" s="328">
        <v>300</v>
      </c>
      <c r="J84" s="328"/>
      <c r="K84" s="43">
        <f t="shared" si="16"/>
        <v>0</v>
      </c>
      <c r="L84" s="43">
        <f t="shared" si="17"/>
        <v>13550</v>
      </c>
      <c r="M84" s="43"/>
      <c r="N84" s="43">
        <f t="shared" si="18"/>
        <v>13550</v>
      </c>
      <c r="O84" s="43">
        <v>0</v>
      </c>
      <c r="P84" s="42">
        <v>5000</v>
      </c>
      <c r="Q84" s="42">
        <v>12.54</v>
      </c>
      <c r="R84" s="42">
        <f t="shared" si="19"/>
        <v>169917</v>
      </c>
      <c r="S84" s="85"/>
      <c r="T84" s="42"/>
    </row>
    <row r="85" spans="1:20">
      <c r="A85" s="328"/>
      <c r="B85" s="338" t="s">
        <v>632</v>
      </c>
      <c r="C85" s="338" t="s">
        <v>24</v>
      </c>
      <c r="D85" s="42" t="s">
        <v>16</v>
      </c>
      <c r="E85" s="338" t="s">
        <v>3965</v>
      </c>
      <c r="F85" s="328">
        <v>1627</v>
      </c>
      <c r="G85" s="328">
        <v>2842</v>
      </c>
      <c r="H85" s="328">
        <v>14970</v>
      </c>
      <c r="I85" s="328">
        <v>300</v>
      </c>
      <c r="J85" s="328">
        <v>0.13</v>
      </c>
      <c r="K85" s="43">
        <f t="shared" si="16"/>
        <v>39</v>
      </c>
      <c r="L85" s="43">
        <f t="shared" si="17"/>
        <v>14931</v>
      </c>
      <c r="M85" s="43"/>
      <c r="N85" s="43">
        <f t="shared" si="18"/>
        <v>14931</v>
      </c>
      <c r="O85" s="43">
        <f t="shared" si="20"/>
        <v>1047.9000000000001</v>
      </c>
      <c r="P85" s="42">
        <v>9200</v>
      </c>
      <c r="Q85" s="42">
        <v>36.200000000000003</v>
      </c>
      <c r="R85" s="42">
        <f t="shared" si="19"/>
        <v>540502.20000000007</v>
      </c>
      <c r="S85" s="85"/>
      <c r="T85" s="42"/>
    </row>
    <row r="86" spans="1:20">
      <c r="A86" s="330"/>
      <c r="B86" s="330"/>
      <c r="C86" s="330"/>
      <c r="D86" s="331" t="s">
        <v>16</v>
      </c>
      <c r="E86" s="330"/>
      <c r="F86" s="330"/>
      <c r="G86" s="330"/>
      <c r="H86" s="330"/>
      <c r="I86" s="330"/>
      <c r="J86" s="330"/>
      <c r="K86" s="332">
        <f t="shared" si="16"/>
        <v>0</v>
      </c>
      <c r="L86" s="332">
        <f t="shared" si="17"/>
        <v>0</v>
      </c>
      <c r="M86" s="332"/>
      <c r="N86" s="332">
        <f t="shared" si="18"/>
        <v>0</v>
      </c>
      <c r="O86" s="332">
        <f t="shared" ref="O86" si="26">H86/1000*70</f>
        <v>0</v>
      </c>
      <c r="P86" s="331"/>
      <c r="Q86" s="331"/>
      <c r="R86" s="331">
        <f t="shared" si="19"/>
        <v>0</v>
      </c>
      <c r="S86" s="333"/>
      <c r="T86" s="42"/>
    </row>
    <row r="87" spans="1:20">
      <c r="A87" s="310" t="s">
        <v>3966</v>
      </c>
      <c r="B87" s="328"/>
      <c r="C87" s="328"/>
      <c r="D87" s="42" t="s">
        <v>16</v>
      </c>
      <c r="E87" s="328"/>
      <c r="F87" s="328"/>
      <c r="G87" s="328"/>
      <c r="H87" s="328"/>
      <c r="I87" s="328"/>
      <c r="J87" s="328"/>
      <c r="K87" s="43">
        <f t="shared" si="16"/>
        <v>0</v>
      </c>
      <c r="L87" s="43">
        <f t="shared" si="17"/>
        <v>0</v>
      </c>
      <c r="M87" s="43"/>
      <c r="N87" s="43">
        <f t="shared" si="18"/>
        <v>0</v>
      </c>
      <c r="O87" s="43">
        <f t="shared" si="20"/>
        <v>0</v>
      </c>
      <c r="P87" s="42"/>
      <c r="Q87" s="42"/>
      <c r="R87" s="42">
        <f t="shared" si="19"/>
        <v>0</v>
      </c>
      <c r="S87" s="85"/>
      <c r="T87" s="42"/>
    </row>
    <row r="88" spans="1:20">
      <c r="A88" s="328"/>
      <c r="B88" s="339" t="s">
        <v>3967</v>
      </c>
      <c r="C88" s="339" t="s">
        <v>3413</v>
      </c>
      <c r="D88" s="42" t="s">
        <v>16</v>
      </c>
      <c r="E88" s="339" t="s">
        <v>1127</v>
      </c>
      <c r="F88" s="328">
        <v>441</v>
      </c>
      <c r="G88" s="328">
        <v>2843</v>
      </c>
      <c r="H88" s="328">
        <v>37</v>
      </c>
      <c r="I88" s="328">
        <v>1</v>
      </c>
      <c r="J88" s="328"/>
      <c r="K88" s="43">
        <f t="shared" si="16"/>
        <v>0</v>
      </c>
      <c r="L88" s="43">
        <f t="shared" si="17"/>
        <v>37</v>
      </c>
      <c r="M88" s="43"/>
      <c r="N88" s="43">
        <f t="shared" si="18"/>
        <v>37</v>
      </c>
      <c r="O88" s="43">
        <v>0</v>
      </c>
      <c r="P88" s="42">
        <v>0</v>
      </c>
      <c r="Q88" s="50">
        <f>1120/37</f>
        <v>30.27027027027027</v>
      </c>
      <c r="R88" s="42">
        <f t="shared" si="19"/>
        <v>1120</v>
      </c>
      <c r="S88" s="85"/>
      <c r="T88" s="42"/>
    </row>
    <row r="89" spans="1:20">
      <c r="A89" s="328"/>
      <c r="B89" s="340" t="s">
        <v>3589</v>
      </c>
      <c r="C89" s="340" t="s">
        <v>3567</v>
      </c>
      <c r="D89" s="42" t="s">
        <v>16</v>
      </c>
      <c r="E89" s="340" t="s">
        <v>1452</v>
      </c>
      <c r="F89" s="328">
        <v>217</v>
      </c>
      <c r="G89" s="328">
        <v>2844</v>
      </c>
      <c r="H89" s="328">
        <v>4180</v>
      </c>
      <c r="I89" s="328">
        <v>84</v>
      </c>
      <c r="J89" s="328"/>
      <c r="K89" s="43">
        <f t="shared" si="16"/>
        <v>0</v>
      </c>
      <c r="L89" s="43">
        <f t="shared" si="17"/>
        <v>4180</v>
      </c>
      <c r="M89" s="43"/>
      <c r="N89" s="43">
        <f t="shared" si="18"/>
        <v>4180</v>
      </c>
      <c r="O89" s="43">
        <f t="shared" si="20"/>
        <v>292.59999999999997</v>
      </c>
      <c r="P89" s="50">
        <v>0</v>
      </c>
      <c r="Q89" s="50">
        <f>58772/4180</f>
        <v>14.060287081339713</v>
      </c>
      <c r="R89" s="42">
        <f t="shared" si="19"/>
        <v>58772</v>
      </c>
      <c r="S89" s="85"/>
      <c r="T89" s="42"/>
    </row>
    <row r="90" spans="1:20">
      <c r="A90" s="330"/>
      <c r="B90" s="330"/>
      <c r="C90" s="330"/>
      <c r="D90" s="331" t="s">
        <v>16</v>
      </c>
      <c r="E90" s="330"/>
      <c r="F90" s="330"/>
      <c r="G90" s="330"/>
      <c r="H90" s="330"/>
      <c r="I90" s="330"/>
      <c r="J90" s="330"/>
      <c r="K90" s="332">
        <f t="shared" ref="K90" si="27">I90*J90</f>
        <v>0</v>
      </c>
      <c r="L90" s="332">
        <f t="shared" ref="L90" si="28">H90-K90</f>
        <v>0</v>
      </c>
      <c r="M90" s="332"/>
      <c r="N90" s="332">
        <f t="shared" ref="N90" si="29">L90-M90</f>
        <v>0</v>
      </c>
      <c r="O90" s="332">
        <f t="shared" si="20"/>
        <v>0</v>
      </c>
      <c r="P90" s="331"/>
      <c r="Q90" s="331"/>
      <c r="R90" s="331">
        <f t="shared" ref="R90" si="30">L90*Q90</f>
        <v>0</v>
      </c>
      <c r="S90" s="333"/>
      <c r="T90" s="42"/>
    </row>
    <row r="91" spans="1:20">
      <c r="A91" s="310" t="s">
        <v>3968</v>
      </c>
      <c r="B91" s="328"/>
      <c r="C91" s="328"/>
      <c r="D91" s="42" t="s">
        <v>16</v>
      </c>
      <c r="E91" s="328"/>
      <c r="F91" s="328"/>
      <c r="G91" s="328"/>
      <c r="H91" s="328"/>
      <c r="I91" s="328"/>
      <c r="J91" s="328"/>
      <c r="K91" s="43">
        <f t="shared" si="16"/>
        <v>0</v>
      </c>
      <c r="L91" s="43">
        <f t="shared" si="17"/>
        <v>0</v>
      </c>
      <c r="M91" s="43"/>
      <c r="N91" s="43">
        <f t="shared" si="18"/>
        <v>0</v>
      </c>
      <c r="O91" s="43">
        <f t="shared" si="20"/>
        <v>0</v>
      </c>
      <c r="P91" s="42"/>
      <c r="Q91" s="42"/>
      <c r="R91" s="42">
        <f t="shared" si="19"/>
        <v>0</v>
      </c>
      <c r="S91" s="85"/>
      <c r="T91" s="42"/>
    </row>
    <row r="92" spans="1:20">
      <c r="A92" s="328"/>
      <c r="B92" s="341" t="s">
        <v>3173</v>
      </c>
      <c r="C92" s="341" t="s">
        <v>88</v>
      </c>
      <c r="D92" s="42" t="s">
        <v>16</v>
      </c>
      <c r="E92" s="341" t="s">
        <v>2740</v>
      </c>
      <c r="F92" s="328">
        <v>453</v>
      </c>
      <c r="G92" s="328">
        <v>2845</v>
      </c>
      <c r="H92" s="328">
        <v>9940</v>
      </c>
      <c r="I92" s="328">
        <v>200</v>
      </c>
      <c r="J92" s="328"/>
      <c r="K92" s="43">
        <f t="shared" si="16"/>
        <v>0</v>
      </c>
      <c r="L92" s="43">
        <f t="shared" si="17"/>
        <v>9940</v>
      </c>
      <c r="M92" s="43"/>
      <c r="N92" s="43">
        <f t="shared" si="18"/>
        <v>9940</v>
      </c>
      <c r="O92" s="43">
        <v>0</v>
      </c>
      <c r="P92" s="42">
        <v>0</v>
      </c>
      <c r="Q92" s="42">
        <v>22.5</v>
      </c>
      <c r="R92" s="42">
        <f t="shared" si="19"/>
        <v>223650</v>
      </c>
      <c r="S92" s="85"/>
      <c r="T92" s="42"/>
    </row>
    <row r="93" spans="1:20">
      <c r="A93" s="328"/>
      <c r="B93" s="341" t="s">
        <v>3173</v>
      </c>
      <c r="C93" s="341" t="s">
        <v>24</v>
      </c>
      <c r="D93" s="42" t="s">
        <v>16</v>
      </c>
      <c r="E93" s="344" t="s">
        <v>3969</v>
      </c>
      <c r="F93" s="328">
        <v>455</v>
      </c>
      <c r="G93" s="328">
        <v>2846</v>
      </c>
      <c r="H93" s="328">
        <f>1500+1500</f>
        <v>3000</v>
      </c>
      <c r="I93" s="328">
        <v>60</v>
      </c>
      <c r="J93" s="328"/>
      <c r="K93" s="43">
        <f t="shared" si="16"/>
        <v>0</v>
      </c>
      <c r="L93" s="43">
        <f t="shared" si="17"/>
        <v>3000</v>
      </c>
      <c r="M93" s="43"/>
      <c r="N93" s="43">
        <f t="shared" si="18"/>
        <v>3000</v>
      </c>
      <c r="O93" s="43">
        <v>0</v>
      </c>
      <c r="P93" s="42">
        <v>0</v>
      </c>
      <c r="Q93" s="42">
        <v>36</v>
      </c>
      <c r="R93" s="42">
        <f t="shared" si="19"/>
        <v>108000</v>
      </c>
      <c r="S93" s="85"/>
      <c r="T93" s="42"/>
    </row>
    <row r="94" spans="1:20">
      <c r="A94" s="328"/>
      <c r="B94" s="341" t="s">
        <v>1832</v>
      </c>
      <c r="C94" s="341" t="s">
        <v>2682</v>
      </c>
      <c r="D94" s="42" t="s">
        <v>16</v>
      </c>
      <c r="E94" s="341" t="s">
        <v>835</v>
      </c>
      <c r="F94" s="328">
        <v>1873</v>
      </c>
      <c r="G94" s="328">
        <v>2847</v>
      </c>
      <c r="H94" s="328">
        <v>1000</v>
      </c>
      <c r="I94" s="328">
        <v>40</v>
      </c>
      <c r="J94" s="328"/>
      <c r="K94" s="43">
        <f t="shared" si="16"/>
        <v>0</v>
      </c>
      <c r="L94" s="43">
        <f t="shared" si="17"/>
        <v>1000</v>
      </c>
      <c r="M94" s="43"/>
      <c r="N94" s="43">
        <f t="shared" si="18"/>
        <v>1000</v>
      </c>
      <c r="O94" s="43">
        <v>0</v>
      </c>
      <c r="P94" s="42">
        <v>0</v>
      </c>
      <c r="Q94" s="42">
        <v>65</v>
      </c>
      <c r="R94" s="42">
        <f t="shared" si="19"/>
        <v>65000</v>
      </c>
      <c r="S94" s="85"/>
      <c r="T94" s="42"/>
    </row>
    <row r="95" spans="1:20">
      <c r="A95" s="330"/>
      <c r="B95" s="330"/>
      <c r="C95" s="330"/>
      <c r="D95" s="331" t="s">
        <v>16</v>
      </c>
      <c r="E95" s="330"/>
      <c r="F95" s="330"/>
      <c r="G95" s="330"/>
      <c r="H95" s="330"/>
      <c r="I95" s="330"/>
      <c r="J95" s="330"/>
      <c r="K95" s="332">
        <f t="shared" si="16"/>
        <v>0</v>
      </c>
      <c r="L95" s="332">
        <f t="shared" si="17"/>
        <v>0</v>
      </c>
      <c r="M95" s="332"/>
      <c r="N95" s="332">
        <f t="shared" si="18"/>
        <v>0</v>
      </c>
      <c r="O95" s="332">
        <f t="shared" ref="O95" si="31">H95/1000*70</f>
        <v>0</v>
      </c>
      <c r="P95" s="331"/>
      <c r="Q95" s="331"/>
      <c r="R95" s="331">
        <f t="shared" si="19"/>
        <v>0</v>
      </c>
      <c r="S95" s="333"/>
      <c r="T95" s="42"/>
    </row>
    <row r="96" spans="1:20">
      <c r="A96" s="310" t="s">
        <v>3970</v>
      </c>
      <c r="B96" s="328"/>
      <c r="C96" s="328"/>
      <c r="D96" s="42" t="s">
        <v>16</v>
      </c>
      <c r="E96" s="328"/>
      <c r="F96" s="328"/>
      <c r="G96" s="328"/>
      <c r="H96" s="328"/>
      <c r="I96" s="328"/>
      <c r="J96" s="328"/>
      <c r="K96" s="43">
        <f t="shared" si="16"/>
        <v>0</v>
      </c>
      <c r="L96" s="43">
        <f t="shared" si="17"/>
        <v>0</v>
      </c>
      <c r="M96" s="43"/>
      <c r="N96" s="43">
        <f t="shared" si="18"/>
        <v>0</v>
      </c>
      <c r="O96" s="43">
        <f t="shared" si="20"/>
        <v>0</v>
      </c>
      <c r="P96" s="42"/>
      <c r="Q96" s="42"/>
      <c r="R96" s="42">
        <f t="shared" si="19"/>
        <v>0</v>
      </c>
      <c r="S96" s="85"/>
      <c r="T96" s="42"/>
    </row>
    <row r="97" spans="1:24">
      <c r="A97" s="328"/>
      <c r="B97" s="342" t="s">
        <v>2999</v>
      </c>
      <c r="C97" s="342" t="s">
        <v>88</v>
      </c>
      <c r="D97" s="42" t="s">
        <v>16</v>
      </c>
      <c r="E97" s="342" t="s">
        <v>666</v>
      </c>
      <c r="F97" s="328">
        <v>458</v>
      </c>
      <c r="G97" s="328">
        <v>2848</v>
      </c>
      <c r="H97" s="328">
        <v>10000</v>
      </c>
      <c r="I97" s="328">
        <v>195</v>
      </c>
      <c r="J97" s="328"/>
      <c r="K97" s="43">
        <f t="shared" si="16"/>
        <v>0</v>
      </c>
      <c r="L97" s="43">
        <f t="shared" si="17"/>
        <v>10000</v>
      </c>
      <c r="M97" s="43"/>
      <c r="N97" s="43">
        <f t="shared" si="18"/>
        <v>10000</v>
      </c>
      <c r="O97" s="43">
        <v>0</v>
      </c>
      <c r="P97" s="42">
        <v>0</v>
      </c>
      <c r="Q97" s="42">
        <v>22.5</v>
      </c>
      <c r="R97" s="42">
        <f t="shared" si="19"/>
        <v>225000</v>
      </c>
      <c r="S97" s="85"/>
      <c r="T97" s="42"/>
    </row>
    <row r="98" spans="1:24">
      <c r="A98" s="328"/>
      <c r="B98" s="342" t="s">
        <v>3173</v>
      </c>
      <c r="C98" s="342" t="s">
        <v>88</v>
      </c>
      <c r="D98" s="42" t="s">
        <v>16</v>
      </c>
      <c r="E98" s="342" t="s">
        <v>666</v>
      </c>
      <c r="F98" s="328">
        <v>457</v>
      </c>
      <c r="G98" s="328">
        <v>2849</v>
      </c>
      <c r="H98" s="328">
        <v>9980</v>
      </c>
      <c r="I98" s="328">
        <v>200</v>
      </c>
      <c r="J98" s="328"/>
      <c r="K98" s="43">
        <f t="shared" si="16"/>
        <v>0</v>
      </c>
      <c r="L98" s="43">
        <f t="shared" si="17"/>
        <v>9980</v>
      </c>
      <c r="M98" s="43"/>
      <c r="N98" s="43">
        <f t="shared" si="18"/>
        <v>9980</v>
      </c>
      <c r="O98" s="43">
        <v>0</v>
      </c>
      <c r="P98" s="42">
        <v>0</v>
      </c>
      <c r="Q98" s="42">
        <v>22.5</v>
      </c>
      <c r="R98" s="42">
        <f t="shared" si="19"/>
        <v>224550</v>
      </c>
      <c r="S98" s="85"/>
      <c r="T98" s="42"/>
    </row>
    <row r="99" spans="1:24">
      <c r="A99" s="328"/>
      <c r="B99" s="342" t="s">
        <v>836</v>
      </c>
      <c r="C99" s="342" t="s">
        <v>3971</v>
      </c>
      <c r="D99" s="42" t="s">
        <v>16</v>
      </c>
      <c r="E99" s="342" t="s">
        <v>2654</v>
      </c>
      <c r="F99" s="328">
        <v>1646</v>
      </c>
      <c r="G99" s="346">
        <v>2850</v>
      </c>
      <c r="H99" s="328">
        <v>500</v>
      </c>
      <c r="I99" s="328">
        <v>20</v>
      </c>
      <c r="J99" s="328"/>
      <c r="K99" s="43">
        <f t="shared" si="16"/>
        <v>0</v>
      </c>
      <c r="L99" s="43">
        <f t="shared" si="17"/>
        <v>500</v>
      </c>
      <c r="M99" s="43"/>
      <c r="N99" s="43">
        <f t="shared" si="18"/>
        <v>500</v>
      </c>
      <c r="O99" s="43">
        <f t="shared" si="20"/>
        <v>35</v>
      </c>
      <c r="P99" s="42">
        <v>0</v>
      </c>
      <c r="Q99" s="42">
        <v>250</v>
      </c>
      <c r="R99" s="42">
        <f t="shared" si="19"/>
        <v>125000</v>
      </c>
      <c r="S99" s="85"/>
      <c r="T99" s="42"/>
    </row>
    <row r="100" spans="1:24">
      <c r="A100" s="328"/>
      <c r="B100" s="342" t="s">
        <v>3972</v>
      </c>
      <c r="C100" s="342" t="s">
        <v>3973</v>
      </c>
      <c r="D100" s="42" t="s">
        <v>16</v>
      </c>
      <c r="E100" s="342" t="s">
        <v>1127</v>
      </c>
      <c r="F100" s="328">
        <v>490</v>
      </c>
      <c r="G100" s="346">
        <v>2851</v>
      </c>
      <c r="H100" s="328">
        <v>2</v>
      </c>
      <c r="I100" s="328">
        <v>1</v>
      </c>
      <c r="J100" s="328"/>
      <c r="K100" s="43">
        <f t="shared" si="16"/>
        <v>0</v>
      </c>
      <c r="L100" s="43">
        <f t="shared" si="17"/>
        <v>2</v>
      </c>
      <c r="M100" s="43"/>
      <c r="N100" s="43">
        <f t="shared" si="18"/>
        <v>2</v>
      </c>
      <c r="O100" s="43">
        <f t="shared" si="20"/>
        <v>0.14000000000000001</v>
      </c>
      <c r="P100" s="42">
        <v>0</v>
      </c>
      <c r="Q100" s="42">
        <v>4000</v>
      </c>
      <c r="R100" s="42">
        <f t="shared" si="19"/>
        <v>8000</v>
      </c>
      <c r="S100" s="85"/>
      <c r="T100" s="42"/>
    </row>
    <row r="101" spans="1:24">
      <c r="A101" s="328"/>
      <c r="B101" s="342" t="s">
        <v>330</v>
      </c>
      <c r="C101" s="342" t="s">
        <v>881</v>
      </c>
      <c r="D101" s="42" t="s">
        <v>16</v>
      </c>
      <c r="E101" s="342" t="s">
        <v>378</v>
      </c>
      <c r="F101" s="328">
        <v>18341</v>
      </c>
      <c r="G101" s="346">
        <v>2852</v>
      </c>
      <c r="H101" s="328">
        <v>910</v>
      </c>
      <c r="I101" s="328">
        <v>20</v>
      </c>
      <c r="J101" s="328"/>
      <c r="K101" s="43">
        <f t="shared" si="16"/>
        <v>0</v>
      </c>
      <c r="L101" s="43">
        <f t="shared" si="17"/>
        <v>910</v>
      </c>
      <c r="M101" s="43"/>
      <c r="N101" s="43">
        <f t="shared" si="18"/>
        <v>910</v>
      </c>
      <c r="O101" s="43">
        <f t="shared" si="20"/>
        <v>63.7</v>
      </c>
      <c r="P101" s="42">
        <v>0</v>
      </c>
      <c r="Q101" s="42"/>
      <c r="R101" s="42">
        <f t="shared" si="19"/>
        <v>0</v>
      </c>
      <c r="S101" s="85" t="s">
        <v>3974</v>
      </c>
      <c r="T101" s="42"/>
    </row>
    <row r="102" spans="1:24">
      <c r="A102" s="330"/>
      <c r="B102" s="330"/>
      <c r="C102" s="330"/>
      <c r="D102" s="331" t="s">
        <v>16</v>
      </c>
      <c r="E102" s="330"/>
      <c r="F102" s="330"/>
      <c r="G102" s="330"/>
      <c r="H102" s="330"/>
      <c r="I102" s="330"/>
      <c r="J102" s="330"/>
      <c r="K102" s="332">
        <f t="shared" ref="K102" si="32">I102*J102</f>
        <v>0</v>
      </c>
      <c r="L102" s="332">
        <f t="shared" ref="L102" si="33">H102-K102</f>
        <v>0</v>
      </c>
      <c r="M102" s="332"/>
      <c r="N102" s="332">
        <f t="shared" ref="N102" si="34">L102-M102</f>
        <v>0</v>
      </c>
      <c r="O102" s="332">
        <f t="shared" si="20"/>
        <v>0</v>
      </c>
      <c r="P102" s="331"/>
      <c r="Q102" s="331"/>
      <c r="R102" s="331">
        <f t="shared" ref="R102" si="35">L102*Q102</f>
        <v>0</v>
      </c>
      <c r="S102" s="333"/>
      <c r="T102" s="42"/>
    </row>
    <row r="103" spans="1:24">
      <c r="A103" s="310" t="s">
        <v>3975</v>
      </c>
      <c r="B103" s="328"/>
      <c r="C103" s="328"/>
      <c r="D103" s="42" t="s">
        <v>16</v>
      </c>
      <c r="E103" s="328"/>
      <c r="F103" s="328"/>
      <c r="G103" s="328"/>
      <c r="H103" s="328"/>
      <c r="I103" s="328"/>
      <c r="J103" s="328"/>
      <c r="K103" s="43">
        <f t="shared" si="16"/>
        <v>0</v>
      </c>
      <c r="L103" s="43">
        <f t="shared" si="17"/>
        <v>0</v>
      </c>
      <c r="M103" s="43"/>
      <c r="N103" s="43">
        <f t="shared" si="18"/>
        <v>0</v>
      </c>
      <c r="O103" s="43">
        <f t="shared" si="20"/>
        <v>0</v>
      </c>
      <c r="P103" s="42"/>
      <c r="Q103" s="42"/>
      <c r="R103" s="42">
        <f t="shared" si="19"/>
        <v>0</v>
      </c>
      <c r="S103" s="85"/>
      <c r="T103" s="42"/>
      <c r="V103">
        <v>1</v>
      </c>
      <c r="W103">
        <v>12370</v>
      </c>
      <c r="X103">
        <v>22000</v>
      </c>
    </row>
    <row r="104" spans="1:24">
      <c r="A104" s="328"/>
      <c r="B104" s="345" t="s">
        <v>3976</v>
      </c>
      <c r="C104" s="345" t="s">
        <v>3977</v>
      </c>
      <c r="D104" s="42" t="s">
        <v>16</v>
      </c>
      <c r="E104" s="345" t="s">
        <v>3978</v>
      </c>
      <c r="F104" s="328">
        <v>109</v>
      </c>
      <c r="G104" s="328">
        <v>2853</v>
      </c>
      <c r="H104" s="328">
        <v>17130</v>
      </c>
      <c r="I104" s="328">
        <v>220</v>
      </c>
      <c r="J104" s="328">
        <v>1</v>
      </c>
      <c r="K104" s="43">
        <f t="shared" si="16"/>
        <v>220</v>
      </c>
      <c r="L104" s="43">
        <f t="shared" si="17"/>
        <v>16910</v>
      </c>
      <c r="M104" s="43"/>
      <c r="N104" s="43">
        <f t="shared" si="18"/>
        <v>16910</v>
      </c>
      <c r="O104" s="43">
        <v>0</v>
      </c>
      <c r="P104" s="42">
        <v>10500</v>
      </c>
      <c r="Q104" s="42">
        <v>14</v>
      </c>
      <c r="R104" s="42">
        <f t="shared" si="19"/>
        <v>236740</v>
      </c>
      <c r="S104" s="85"/>
      <c r="T104" s="42"/>
      <c r="V104">
        <v>2</v>
      </c>
      <c r="W104">
        <v>12020</v>
      </c>
      <c r="X104">
        <v>22000</v>
      </c>
    </row>
    <row r="105" spans="1:24">
      <c r="A105" s="328"/>
      <c r="B105" s="345" t="s">
        <v>702</v>
      </c>
      <c r="C105" s="345" t="s">
        <v>375</v>
      </c>
      <c r="D105" s="42" t="s">
        <v>16</v>
      </c>
      <c r="E105" s="345" t="s">
        <v>3979</v>
      </c>
      <c r="F105" s="328">
        <v>0</v>
      </c>
      <c r="G105" s="328">
        <v>2854</v>
      </c>
      <c r="H105" s="328">
        <v>15420</v>
      </c>
      <c r="I105" s="328">
        <v>1</v>
      </c>
      <c r="J105" s="328"/>
      <c r="K105" s="43">
        <f t="shared" si="16"/>
        <v>0</v>
      </c>
      <c r="L105" s="43">
        <f t="shared" si="17"/>
        <v>15420</v>
      </c>
      <c r="M105" s="43"/>
      <c r="N105" s="43">
        <f t="shared" si="18"/>
        <v>15420</v>
      </c>
      <c r="O105" s="43">
        <f t="shared" si="20"/>
        <v>1079.4000000000001</v>
      </c>
      <c r="P105" s="42">
        <v>20000</v>
      </c>
      <c r="Q105" s="42">
        <v>11.5</v>
      </c>
      <c r="R105" s="42">
        <f t="shared" si="19"/>
        <v>177330</v>
      </c>
      <c r="S105" s="85"/>
      <c r="T105" s="42"/>
      <c r="V105" s="1">
        <v>3</v>
      </c>
      <c r="W105">
        <v>12430</v>
      </c>
      <c r="X105">
        <v>22000</v>
      </c>
    </row>
    <row r="106" spans="1:24">
      <c r="A106" s="328"/>
      <c r="B106" s="367" t="s">
        <v>4090</v>
      </c>
      <c r="C106" s="345" t="s">
        <v>375</v>
      </c>
      <c r="D106" s="42" t="s">
        <v>16</v>
      </c>
      <c r="E106" s="345" t="s">
        <v>3981</v>
      </c>
      <c r="F106" s="328">
        <v>0</v>
      </c>
      <c r="G106" s="346">
        <v>2855</v>
      </c>
      <c r="H106" s="328">
        <v>13760</v>
      </c>
      <c r="I106" s="328">
        <v>1</v>
      </c>
      <c r="J106" s="328"/>
      <c r="K106" s="43">
        <f t="shared" si="16"/>
        <v>0</v>
      </c>
      <c r="L106" s="43">
        <f t="shared" si="17"/>
        <v>13760</v>
      </c>
      <c r="M106" s="43"/>
      <c r="N106" s="43">
        <f t="shared" si="18"/>
        <v>13760</v>
      </c>
      <c r="O106" s="43">
        <f t="shared" si="20"/>
        <v>963.19999999999993</v>
      </c>
      <c r="P106" s="42">
        <v>14000</v>
      </c>
      <c r="Q106" s="42">
        <v>11.5</v>
      </c>
      <c r="R106" s="42">
        <f t="shared" si="19"/>
        <v>158240</v>
      </c>
      <c r="S106" s="85"/>
      <c r="T106" s="42"/>
      <c r="V106" s="1">
        <v>4</v>
      </c>
      <c r="W106">
        <v>12500</v>
      </c>
      <c r="X106">
        <v>22000</v>
      </c>
    </row>
    <row r="107" spans="1:24" s="1" customFormat="1">
      <c r="A107" s="328"/>
      <c r="B107" s="345" t="s">
        <v>356</v>
      </c>
      <c r="C107" s="345" t="s">
        <v>88</v>
      </c>
      <c r="D107" s="42" t="s">
        <v>16</v>
      </c>
      <c r="E107" s="345" t="s">
        <v>3982</v>
      </c>
      <c r="F107" s="328">
        <v>1069</v>
      </c>
      <c r="G107" s="346">
        <v>2856</v>
      </c>
      <c r="H107" s="328">
        <v>21730</v>
      </c>
      <c r="I107" s="328">
        <v>338</v>
      </c>
      <c r="J107" s="328">
        <v>0.13</v>
      </c>
      <c r="K107" s="43">
        <f t="shared" si="16"/>
        <v>43.940000000000005</v>
      </c>
      <c r="L107" s="43">
        <f t="shared" si="17"/>
        <v>21686.06</v>
      </c>
      <c r="M107" s="43"/>
      <c r="N107" s="43">
        <f t="shared" si="18"/>
        <v>21686.06</v>
      </c>
      <c r="O107" s="43">
        <f t="shared" si="20"/>
        <v>1521.1000000000001</v>
      </c>
      <c r="P107" s="42">
        <v>11900</v>
      </c>
      <c r="Q107" s="42">
        <v>21.9</v>
      </c>
      <c r="R107" s="42">
        <f t="shared" si="19"/>
        <v>474924.71399999998</v>
      </c>
      <c r="S107" s="85"/>
      <c r="T107" s="42"/>
      <c r="V107" s="1">
        <v>5</v>
      </c>
      <c r="W107" s="1">
        <v>12450</v>
      </c>
      <c r="X107" s="1">
        <v>22000</v>
      </c>
    </row>
    <row r="108" spans="1:24">
      <c r="A108" s="328"/>
      <c r="B108" s="345" t="s">
        <v>356</v>
      </c>
      <c r="C108" s="345" t="s">
        <v>88</v>
      </c>
      <c r="D108" s="42" t="s">
        <v>16</v>
      </c>
      <c r="E108" s="345" t="s">
        <v>2860</v>
      </c>
      <c r="F108" s="328">
        <v>1068</v>
      </c>
      <c r="G108" s="346">
        <v>2857</v>
      </c>
      <c r="H108" s="328">
        <v>19600</v>
      </c>
      <c r="I108" s="328">
        <v>340</v>
      </c>
      <c r="J108" s="328">
        <v>0.13</v>
      </c>
      <c r="K108" s="43">
        <f t="shared" si="16"/>
        <v>44.2</v>
      </c>
      <c r="L108" s="43">
        <f t="shared" si="17"/>
        <v>19555.8</v>
      </c>
      <c r="M108" s="43"/>
      <c r="N108" s="43">
        <f t="shared" si="18"/>
        <v>19555.8</v>
      </c>
      <c r="O108" s="43">
        <f t="shared" si="20"/>
        <v>1372</v>
      </c>
      <c r="P108" s="42">
        <v>11100</v>
      </c>
      <c r="Q108" s="42">
        <v>21.9</v>
      </c>
      <c r="R108" s="42">
        <f t="shared" si="19"/>
        <v>428272.01999999996</v>
      </c>
      <c r="S108" s="85"/>
      <c r="T108" s="42"/>
      <c r="V108" s="1">
        <v>6</v>
      </c>
      <c r="W108">
        <v>12540</v>
      </c>
      <c r="X108">
        <v>22000</v>
      </c>
    </row>
    <row r="109" spans="1:24">
      <c r="A109" s="328"/>
      <c r="B109" s="345" t="s">
        <v>3961</v>
      </c>
      <c r="C109" s="345" t="s">
        <v>3567</v>
      </c>
      <c r="D109" s="42" t="s">
        <v>16</v>
      </c>
      <c r="E109" s="345" t="s">
        <v>666</v>
      </c>
      <c r="F109" s="328">
        <v>330</v>
      </c>
      <c r="G109" s="346">
        <v>2858</v>
      </c>
      <c r="H109" s="328">
        <v>16370</v>
      </c>
      <c r="I109" s="328">
        <v>310</v>
      </c>
      <c r="J109" s="328"/>
      <c r="K109" s="43">
        <f t="shared" si="16"/>
        <v>0</v>
      </c>
      <c r="L109" s="43">
        <f t="shared" si="17"/>
        <v>16370</v>
      </c>
      <c r="M109" s="43"/>
      <c r="N109" s="43">
        <f t="shared" si="18"/>
        <v>16370</v>
      </c>
      <c r="O109" s="43">
        <v>0</v>
      </c>
      <c r="P109" s="42">
        <v>7000</v>
      </c>
      <c r="Q109" s="42">
        <v>15.75</v>
      </c>
      <c r="R109" s="42">
        <f t="shared" si="19"/>
        <v>257827.5</v>
      </c>
      <c r="S109" s="85"/>
      <c r="T109" s="42"/>
      <c r="V109" s="1">
        <v>7</v>
      </c>
      <c r="W109">
        <v>12500</v>
      </c>
      <c r="X109">
        <v>22000</v>
      </c>
    </row>
    <row r="110" spans="1:24">
      <c r="A110" s="328"/>
      <c r="B110" s="345" t="s">
        <v>3173</v>
      </c>
      <c r="C110" s="345" t="s">
        <v>88</v>
      </c>
      <c r="D110" s="42" t="s">
        <v>16</v>
      </c>
      <c r="E110" s="345" t="s">
        <v>3983</v>
      </c>
      <c r="F110" s="328">
        <v>458</v>
      </c>
      <c r="G110" s="346">
        <v>2859</v>
      </c>
      <c r="H110" s="328">
        <v>10010</v>
      </c>
      <c r="I110" s="328">
        <v>175</v>
      </c>
      <c r="J110" s="328"/>
      <c r="K110" s="43">
        <f t="shared" si="16"/>
        <v>0</v>
      </c>
      <c r="L110" s="43">
        <f t="shared" si="17"/>
        <v>10010</v>
      </c>
      <c r="M110" s="43"/>
      <c r="N110" s="43">
        <f t="shared" si="18"/>
        <v>10010</v>
      </c>
      <c r="O110" s="43">
        <v>0</v>
      </c>
      <c r="P110" s="42">
        <v>0</v>
      </c>
      <c r="Q110" s="42">
        <v>22.5</v>
      </c>
      <c r="R110" s="42">
        <f t="shared" si="19"/>
        <v>225225</v>
      </c>
      <c r="S110" s="85"/>
      <c r="T110" s="42"/>
    </row>
    <row r="111" spans="1:24">
      <c r="A111" s="328"/>
      <c r="B111" s="345" t="s">
        <v>632</v>
      </c>
      <c r="C111" s="345" t="s">
        <v>24</v>
      </c>
      <c r="D111" s="42" t="s">
        <v>16</v>
      </c>
      <c r="E111" s="345" t="s">
        <v>2928</v>
      </c>
      <c r="F111" s="328">
        <v>1065</v>
      </c>
      <c r="G111" s="346">
        <v>2860</v>
      </c>
      <c r="H111" s="328">
        <v>12500</v>
      </c>
      <c r="I111" s="328">
        <v>250</v>
      </c>
      <c r="J111" s="328">
        <v>0.13</v>
      </c>
      <c r="K111" s="43">
        <f t="shared" si="16"/>
        <v>32.5</v>
      </c>
      <c r="L111" s="43">
        <f t="shared" si="17"/>
        <v>12467.5</v>
      </c>
      <c r="M111" s="43"/>
      <c r="N111" s="43">
        <f t="shared" si="18"/>
        <v>12467.5</v>
      </c>
      <c r="O111" s="43">
        <f t="shared" si="20"/>
        <v>875</v>
      </c>
      <c r="P111" s="42">
        <v>10300</v>
      </c>
      <c r="Q111" s="42">
        <v>35.9</v>
      </c>
      <c r="R111" s="42">
        <f t="shared" si="19"/>
        <v>447583.25</v>
      </c>
      <c r="S111" s="85"/>
      <c r="T111" s="42"/>
      <c r="V111">
        <v>8</v>
      </c>
      <c r="W111">
        <v>12530</v>
      </c>
      <c r="X111">
        <v>22000</v>
      </c>
    </row>
    <row r="112" spans="1:24">
      <c r="A112" s="328"/>
      <c r="B112" s="345" t="s">
        <v>1204</v>
      </c>
      <c r="C112" s="345" t="s">
        <v>1205</v>
      </c>
      <c r="D112" s="42" t="s">
        <v>16</v>
      </c>
      <c r="E112" s="345" t="s">
        <v>3984</v>
      </c>
      <c r="F112" s="328">
        <v>4825</v>
      </c>
      <c r="G112" s="346">
        <v>2861</v>
      </c>
      <c r="H112" s="328">
        <v>300</v>
      </c>
      <c r="I112" s="328">
        <v>12</v>
      </c>
      <c r="J112" s="328"/>
      <c r="K112" s="43">
        <f t="shared" si="16"/>
        <v>0</v>
      </c>
      <c r="L112" s="43">
        <f t="shared" si="17"/>
        <v>300</v>
      </c>
      <c r="M112" s="43"/>
      <c r="N112" s="43">
        <f t="shared" si="18"/>
        <v>300</v>
      </c>
      <c r="O112" s="43">
        <f t="shared" si="20"/>
        <v>21</v>
      </c>
      <c r="P112" s="42">
        <v>0</v>
      </c>
      <c r="Q112" s="42">
        <v>165</v>
      </c>
      <c r="R112" s="42">
        <f t="shared" si="19"/>
        <v>49500</v>
      </c>
      <c r="S112" s="85"/>
      <c r="T112" s="42"/>
      <c r="V112">
        <v>9</v>
      </c>
      <c r="W112">
        <v>18460</v>
      </c>
      <c r="X112">
        <v>31000</v>
      </c>
    </row>
    <row r="113" spans="1:24">
      <c r="A113" s="328"/>
      <c r="B113" s="345" t="s">
        <v>3985</v>
      </c>
      <c r="C113" s="345" t="s">
        <v>3986</v>
      </c>
      <c r="D113" s="42" t="s">
        <v>16</v>
      </c>
      <c r="E113" s="345" t="s">
        <v>3580</v>
      </c>
      <c r="F113" s="328">
        <v>811</v>
      </c>
      <c r="G113" s="346">
        <v>2862</v>
      </c>
      <c r="H113" s="328">
        <v>200</v>
      </c>
      <c r="I113" s="328">
        <v>8</v>
      </c>
      <c r="J113" s="328"/>
      <c r="K113" s="43">
        <f t="shared" si="16"/>
        <v>0</v>
      </c>
      <c r="L113" s="43">
        <f t="shared" si="17"/>
        <v>200</v>
      </c>
      <c r="M113" s="43"/>
      <c r="N113" s="43">
        <f t="shared" si="18"/>
        <v>200</v>
      </c>
      <c r="O113" s="43">
        <f t="shared" si="20"/>
        <v>14</v>
      </c>
      <c r="P113" s="42">
        <v>0</v>
      </c>
      <c r="Q113" s="42">
        <v>1100</v>
      </c>
      <c r="R113" s="42">
        <f t="shared" si="19"/>
        <v>220000</v>
      </c>
      <c r="S113" s="85"/>
      <c r="T113" s="42"/>
      <c r="V113" s="1">
        <v>10</v>
      </c>
      <c r="W113">
        <v>18590</v>
      </c>
      <c r="X113">
        <v>31000</v>
      </c>
    </row>
    <row r="114" spans="1:24">
      <c r="A114" s="328"/>
      <c r="B114" s="345" t="s">
        <v>3987</v>
      </c>
      <c r="C114" s="345" t="s">
        <v>3977</v>
      </c>
      <c r="D114" s="42" t="s">
        <v>16</v>
      </c>
      <c r="E114" s="345" t="s">
        <v>449</v>
      </c>
      <c r="F114" s="328">
        <v>124</v>
      </c>
      <c r="G114" s="346">
        <v>2863</v>
      </c>
      <c r="H114" s="328">
        <v>12030</v>
      </c>
      <c r="I114" s="328">
        <v>292</v>
      </c>
      <c r="J114" s="328"/>
      <c r="K114" s="43">
        <f t="shared" si="16"/>
        <v>0</v>
      </c>
      <c r="L114" s="43">
        <f t="shared" si="17"/>
        <v>12030</v>
      </c>
      <c r="M114" s="43"/>
      <c r="N114" s="43">
        <f t="shared" si="18"/>
        <v>12030</v>
      </c>
      <c r="O114" s="43">
        <v>0</v>
      </c>
      <c r="P114" s="42">
        <v>4500</v>
      </c>
      <c r="Q114" s="42">
        <v>15.21</v>
      </c>
      <c r="R114" s="42">
        <f t="shared" si="19"/>
        <v>182976.30000000002</v>
      </c>
      <c r="S114" s="85"/>
      <c r="T114" s="42"/>
      <c r="V114" s="1">
        <v>11</v>
      </c>
      <c r="W114">
        <v>12440</v>
      </c>
      <c r="X114">
        <v>22000</v>
      </c>
    </row>
    <row r="115" spans="1:24">
      <c r="A115" s="330"/>
      <c r="B115" s="330"/>
      <c r="C115" s="330"/>
      <c r="D115" s="331" t="s">
        <v>16</v>
      </c>
      <c r="E115" s="330"/>
      <c r="F115" s="330"/>
      <c r="G115" s="330"/>
      <c r="H115" s="330"/>
      <c r="I115" s="330"/>
      <c r="J115" s="330"/>
      <c r="K115" s="332">
        <f t="shared" si="16"/>
        <v>0</v>
      </c>
      <c r="L115" s="332">
        <f t="shared" si="17"/>
        <v>0</v>
      </c>
      <c r="M115" s="332"/>
      <c r="N115" s="332">
        <f t="shared" si="18"/>
        <v>0</v>
      </c>
      <c r="O115" s="332">
        <f t="shared" ref="O115" si="36">H115/1000*70</f>
        <v>0</v>
      </c>
      <c r="P115" s="331"/>
      <c r="Q115" s="331"/>
      <c r="R115" s="331">
        <f t="shared" si="19"/>
        <v>0</v>
      </c>
      <c r="S115" s="333"/>
      <c r="T115" s="42"/>
      <c r="V115" s="1">
        <v>12</v>
      </c>
      <c r="W115">
        <v>12490</v>
      </c>
      <c r="X115">
        <v>22000</v>
      </c>
    </row>
    <row r="116" spans="1:24">
      <c r="A116" s="310" t="s">
        <v>3988</v>
      </c>
      <c r="B116" s="328"/>
      <c r="C116" s="328"/>
      <c r="D116" s="42" t="s">
        <v>16</v>
      </c>
      <c r="E116" s="328"/>
      <c r="F116" s="350" t="s">
        <v>4016</v>
      </c>
      <c r="G116" s="328">
        <v>2864</v>
      </c>
      <c r="H116" s="328"/>
      <c r="I116" s="328"/>
      <c r="J116" s="328"/>
      <c r="K116" s="43">
        <f t="shared" si="16"/>
        <v>0</v>
      </c>
      <c r="L116" s="43">
        <f t="shared" si="17"/>
        <v>0</v>
      </c>
      <c r="M116" s="43"/>
      <c r="N116" s="43">
        <f t="shared" si="18"/>
        <v>0</v>
      </c>
      <c r="O116" s="43">
        <f t="shared" si="20"/>
        <v>0</v>
      </c>
      <c r="P116" s="42"/>
      <c r="Q116" s="42"/>
      <c r="R116" s="42">
        <f t="shared" si="19"/>
        <v>0</v>
      </c>
      <c r="S116" s="85"/>
      <c r="T116" s="42"/>
      <c r="V116" s="1">
        <v>13</v>
      </c>
      <c r="W116">
        <v>12530</v>
      </c>
      <c r="X116">
        <v>22000</v>
      </c>
    </row>
    <row r="117" spans="1:24">
      <c r="A117" s="328"/>
      <c r="B117" s="347" t="s">
        <v>3989</v>
      </c>
      <c r="C117" s="347" t="s">
        <v>3977</v>
      </c>
      <c r="D117" s="42" t="s">
        <v>16</v>
      </c>
      <c r="E117" s="347" t="s">
        <v>3855</v>
      </c>
      <c r="F117" s="328">
        <v>0</v>
      </c>
      <c r="G117" s="328">
        <v>2865</v>
      </c>
      <c r="H117" s="328">
        <v>4130</v>
      </c>
      <c r="I117" s="328">
        <v>100</v>
      </c>
      <c r="J117" s="328"/>
      <c r="K117" s="43">
        <f t="shared" si="16"/>
        <v>0</v>
      </c>
      <c r="L117" s="43">
        <f t="shared" si="17"/>
        <v>4130</v>
      </c>
      <c r="M117" s="43"/>
      <c r="N117" s="43">
        <f t="shared" si="18"/>
        <v>4130</v>
      </c>
      <c r="O117" s="43">
        <v>0</v>
      </c>
      <c r="P117" s="42">
        <v>0</v>
      </c>
      <c r="Q117" s="50">
        <f>62600/4130</f>
        <v>15.157384987893462</v>
      </c>
      <c r="R117" s="42">
        <f t="shared" si="19"/>
        <v>62600</v>
      </c>
      <c r="S117" s="85"/>
      <c r="T117" s="42"/>
      <c r="V117" s="1">
        <v>14</v>
      </c>
      <c r="W117">
        <v>12500</v>
      </c>
      <c r="X117">
        <v>22000</v>
      </c>
    </row>
    <row r="118" spans="1:24">
      <c r="A118" s="328"/>
      <c r="B118" s="347" t="s">
        <v>2261</v>
      </c>
      <c r="C118" s="347" t="s">
        <v>481</v>
      </c>
      <c r="D118" s="42" t="s">
        <v>16</v>
      </c>
      <c r="E118" s="347" t="s">
        <v>3990</v>
      </c>
      <c r="F118" s="328">
        <v>0</v>
      </c>
      <c r="G118" s="328">
        <v>2866</v>
      </c>
      <c r="H118" s="328">
        <v>2000</v>
      </c>
      <c r="I118" s="328">
        <v>40</v>
      </c>
      <c r="J118" s="328"/>
      <c r="K118" s="43">
        <f t="shared" si="16"/>
        <v>0</v>
      </c>
      <c r="L118" s="43">
        <f t="shared" si="17"/>
        <v>2000</v>
      </c>
      <c r="M118" s="43"/>
      <c r="N118" s="43">
        <f t="shared" si="18"/>
        <v>2000</v>
      </c>
      <c r="O118" s="43">
        <v>0</v>
      </c>
      <c r="P118" s="42">
        <v>0</v>
      </c>
      <c r="Q118" s="42">
        <f>32800/2000</f>
        <v>16.399999999999999</v>
      </c>
      <c r="R118" s="42">
        <f t="shared" si="19"/>
        <v>32800</v>
      </c>
      <c r="S118" s="85"/>
      <c r="T118" s="42"/>
      <c r="V118" s="1">
        <v>15</v>
      </c>
      <c r="W118">
        <v>12390</v>
      </c>
      <c r="X118">
        <v>22000</v>
      </c>
    </row>
    <row r="119" spans="1:24">
      <c r="A119" s="328"/>
      <c r="B119" s="347" t="s">
        <v>1304</v>
      </c>
      <c r="C119" s="347" t="s">
        <v>24</v>
      </c>
      <c r="D119" s="42" t="s">
        <v>16</v>
      </c>
      <c r="E119" s="347" t="s">
        <v>2413</v>
      </c>
      <c r="F119" s="328">
        <v>1920447</v>
      </c>
      <c r="G119" s="328">
        <v>2867</v>
      </c>
      <c r="H119" s="328">
        <v>15400</v>
      </c>
      <c r="I119" s="328">
        <v>308</v>
      </c>
      <c r="J119" s="328">
        <v>0.13</v>
      </c>
      <c r="K119" s="43">
        <f t="shared" si="16"/>
        <v>40.04</v>
      </c>
      <c r="L119" s="43">
        <f t="shared" si="17"/>
        <v>15359.96</v>
      </c>
      <c r="M119" s="43"/>
      <c r="N119" s="43">
        <f t="shared" si="18"/>
        <v>15359.96</v>
      </c>
      <c r="O119" s="43">
        <f t="shared" si="20"/>
        <v>1078</v>
      </c>
      <c r="P119" s="42">
        <v>12000</v>
      </c>
      <c r="Q119" s="42">
        <v>35.9</v>
      </c>
      <c r="R119" s="42">
        <f t="shared" si="19"/>
        <v>551422.5639999999</v>
      </c>
      <c r="S119" s="85"/>
      <c r="T119" s="42"/>
      <c r="V119" s="1">
        <v>16</v>
      </c>
      <c r="W119">
        <v>12480</v>
      </c>
      <c r="X119">
        <v>22000</v>
      </c>
    </row>
    <row r="120" spans="1:24">
      <c r="A120" s="328"/>
      <c r="B120" s="347" t="s">
        <v>3667</v>
      </c>
      <c r="C120" s="347" t="s">
        <v>414</v>
      </c>
      <c r="D120" s="42" t="s">
        <v>16</v>
      </c>
      <c r="E120" s="347" t="s">
        <v>3991</v>
      </c>
      <c r="F120" s="328">
        <v>26846</v>
      </c>
      <c r="G120" s="328"/>
      <c r="H120" s="328">
        <v>12460</v>
      </c>
      <c r="I120" s="328">
        <v>185</v>
      </c>
      <c r="J120" s="328">
        <v>0.13</v>
      </c>
      <c r="K120" s="43">
        <f t="shared" si="16"/>
        <v>24.05</v>
      </c>
      <c r="L120" s="43">
        <f t="shared" si="17"/>
        <v>12435.95</v>
      </c>
      <c r="M120" s="43"/>
      <c r="N120" s="43">
        <f t="shared" si="18"/>
        <v>12435.95</v>
      </c>
      <c r="O120" s="43">
        <f t="shared" si="20"/>
        <v>872.2</v>
      </c>
      <c r="P120" s="42">
        <v>0</v>
      </c>
      <c r="Q120" s="42"/>
      <c r="R120" s="42">
        <f t="shared" si="19"/>
        <v>0</v>
      </c>
      <c r="S120" s="85"/>
      <c r="T120" s="42"/>
      <c r="V120" s="1">
        <v>17</v>
      </c>
      <c r="W120">
        <v>12470</v>
      </c>
      <c r="X120">
        <v>22000</v>
      </c>
    </row>
    <row r="121" spans="1:24">
      <c r="A121" s="328"/>
      <c r="B121" s="347" t="s">
        <v>3667</v>
      </c>
      <c r="C121" s="347" t="s">
        <v>414</v>
      </c>
      <c r="D121" s="42" t="s">
        <v>16</v>
      </c>
      <c r="E121" s="347" t="s">
        <v>3690</v>
      </c>
      <c r="F121" s="328">
        <v>26845</v>
      </c>
      <c r="G121" s="328"/>
      <c r="H121" s="328">
        <v>12600</v>
      </c>
      <c r="I121" s="328">
        <v>187</v>
      </c>
      <c r="J121" s="328">
        <v>0.13</v>
      </c>
      <c r="K121" s="43">
        <f t="shared" si="16"/>
        <v>24.310000000000002</v>
      </c>
      <c r="L121" s="43">
        <f t="shared" si="17"/>
        <v>12575.69</v>
      </c>
      <c r="M121" s="43"/>
      <c r="N121" s="43">
        <f t="shared" si="18"/>
        <v>12575.69</v>
      </c>
      <c r="O121" s="43">
        <f t="shared" si="20"/>
        <v>882</v>
      </c>
      <c r="P121" s="42">
        <v>0</v>
      </c>
      <c r="Q121" s="42"/>
      <c r="R121" s="42">
        <f t="shared" si="19"/>
        <v>0</v>
      </c>
      <c r="S121" s="85"/>
      <c r="T121" s="42"/>
      <c r="V121" s="1">
        <v>18</v>
      </c>
      <c r="W121">
        <v>12370</v>
      </c>
      <c r="X121">
        <v>22000</v>
      </c>
    </row>
    <row r="122" spans="1:24">
      <c r="A122" s="328"/>
      <c r="B122" s="347" t="s">
        <v>3667</v>
      </c>
      <c r="C122" s="347" t="s">
        <v>414</v>
      </c>
      <c r="D122" s="42" t="s">
        <v>16</v>
      </c>
      <c r="E122" s="347" t="s">
        <v>3992</v>
      </c>
      <c r="F122" s="328">
        <v>26839</v>
      </c>
      <c r="G122" s="328"/>
      <c r="H122" s="328">
        <v>12680</v>
      </c>
      <c r="I122" s="328">
        <v>198</v>
      </c>
      <c r="J122" s="328">
        <v>0.13</v>
      </c>
      <c r="K122" s="43">
        <f t="shared" si="16"/>
        <v>25.740000000000002</v>
      </c>
      <c r="L122" s="43">
        <f t="shared" si="17"/>
        <v>12654.26</v>
      </c>
      <c r="M122" s="43"/>
      <c r="N122" s="43">
        <f t="shared" si="18"/>
        <v>12654.26</v>
      </c>
      <c r="O122" s="43">
        <f t="shared" si="20"/>
        <v>887.6</v>
      </c>
      <c r="P122" s="42">
        <v>0</v>
      </c>
      <c r="Q122" s="42"/>
      <c r="R122" s="42">
        <f t="shared" si="19"/>
        <v>0</v>
      </c>
      <c r="S122" s="85"/>
      <c r="T122" s="42"/>
      <c r="V122" s="1">
        <v>19</v>
      </c>
      <c r="W122">
        <v>12430</v>
      </c>
      <c r="X122">
        <v>22000</v>
      </c>
    </row>
    <row r="123" spans="1:24">
      <c r="A123" s="328"/>
      <c r="B123" s="347" t="s">
        <v>3667</v>
      </c>
      <c r="C123" s="347" t="s">
        <v>414</v>
      </c>
      <c r="D123" s="42" t="s">
        <v>16</v>
      </c>
      <c r="E123" s="347" t="s">
        <v>3993</v>
      </c>
      <c r="F123" s="328">
        <v>26841</v>
      </c>
      <c r="G123" s="328"/>
      <c r="H123" s="328">
        <v>12650</v>
      </c>
      <c r="I123" s="328">
        <v>191</v>
      </c>
      <c r="J123" s="328">
        <v>0.13</v>
      </c>
      <c r="K123" s="43">
        <f t="shared" si="16"/>
        <v>24.830000000000002</v>
      </c>
      <c r="L123" s="43">
        <f t="shared" si="17"/>
        <v>12625.17</v>
      </c>
      <c r="M123" s="43"/>
      <c r="N123" s="43">
        <f t="shared" si="18"/>
        <v>12625.17</v>
      </c>
      <c r="O123" s="43">
        <f t="shared" si="20"/>
        <v>885.5</v>
      </c>
      <c r="P123" s="42">
        <v>0</v>
      </c>
      <c r="Q123" s="42"/>
      <c r="R123" s="42">
        <f t="shared" si="19"/>
        <v>0</v>
      </c>
      <c r="S123" s="85"/>
      <c r="T123" s="42"/>
      <c r="V123" s="1">
        <v>20</v>
      </c>
      <c r="W123">
        <v>12500</v>
      </c>
      <c r="X123">
        <v>22000</v>
      </c>
    </row>
    <row r="124" spans="1:24">
      <c r="A124" s="328"/>
      <c r="B124" s="347" t="s">
        <v>3667</v>
      </c>
      <c r="C124" s="347" t="s">
        <v>414</v>
      </c>
      <c r="D124" s="42" t="s">
        <v>16</v>
      </c>
      <c r="E124" s="347" t="s">
        <v>3691</v>
      </c>
      <c r="F124" s="328">
        <v>26840</v>
      </c>
      <c r="G124" s="328"/>
      <c r="H124" s="328">
        <v>12710</v>
      </c>
      <c r="I124" s="328">
        <v>196</v>
      </c>
      <c r="J124" s="328">
        <v>0.13</v>
      </c>
      <c r="K124" s="43">
        <f t="shared" si="16"/>
        <v>25.48</v>
      </c>
      <c r="L124" s="43">
        <f t="shared" si="17"/>
        <v>12684.52</v>
      </c>
      <c r="M124" s="43"/>
      <c r="N124" s="43">
        <f t="shared" si="18"/>
        <v>12684.52</v>
      </c>
      <c r="O124" s="43">
        <f t="shared" si="20"/>
        <v>889.7</v>
      </c>
      <c r="P124" s="42">
        <v>0</v>
      </c>
      <c r="Q124" s="42"/>
      <c r="R124" s="42">
        <f t="shared" si="19"/>
        <v>0</v>
      </c>
      <c r="S124" s="85"/>
      <c r="T124" s="42"/>
      <c r="V124" s="1">
        <v>21</v>
      </c>
      <c r="W124">
        <v>12540</v>
      </c>
      <c r="X124">
        <v>22000</v>
      </c>
    </row>
    <row r="125" spans="1:24">
      <c r="A125" s="328"/>
      <c r="B125" s="347" t="s">
        <v>3667</v>
      </c>
      <c r="C125" s="347" t="s">
        <v>414</v>
      </c>
      <c r="D125" s="42" t="s">
        <v>16</v>
      </c>
      <c r="E125" s="347" t="s">
        <v>3915</v>
      </c>
      <c r="F125" s="328">
        <v>26838</v>
      </c>
      <c r="G125" s="328"/>
      <c r="H125" s="328">
        <v>12810</v>
      </c>
      <c r="I125" s="328">
        <v>195</v>
      </c>
      <c r="J125" s="328">
        <v>0.13</v>
      </c>
      <c r="K125" s="43">
        <f t="shared" si="16"/>
        <v>25.35</v>
      </c>
      <c r="L125" s="43">
        <f t="shared" si="17"/>
        <v>12784.65</v>
      </c>
      <c r="M125" s="43"/>
      <c r="N125" s="43">
        <f t="shared" si="18"/>
        <v>12784.65</v>
      </c>
      <c r="O125" s="43">
        <f t="shared" si="20"/>
        <v>896.7</v>
      </c>
      <c r="P125" s="42">
        <v>0</v>
      </c>
      <c r="Q125" s="42"/>
      <c r="R125" s="42">
        <f t="shared" si="19"/>
        <v>0</v>
      </c>
      <c r="S125" s="85"/>
      <c r="T125" s="42"/>
      <c r="V125" s="1">
        <v>22</v>
      </c>
      <c r="W125">
        <v>5980</v>
      </c>
      <c r="X125">
        <v>20500</v>
      </c>
    </row>
    <row r="126" spans="1:24">
      <c r="A126" s="328"/>
      <c r="B126" s="347" t="s">
        <v>3667</v>
      </c>
      <c r="C126" s="347" t="s">
        <v>414</v>
      </c>
      <c r="D126" s="42" t="s">
        <v>16</v>
      </c>
      <c r="E126" s="347" t="s">
        <v>3553</v>
      </c>
      <c r="F126" s="328">
        <v>26843</v>
      </c>
      <c r="G126" s="328"/>
      <c r="H126" s="328">
        <v>12510</v>
      </c>
      <c r="I126" s="328">
        <v>193</v>
      </c>
      <c r="J126" s="328">
        <v>0.13</v>
      </c>
      <c r="K126" s="43">
        <f t="shared" si="16"/>
        <v>25.09</v>
      </c>
      <c r="L126" s="43">
        <f t="shared" si="17"/>
        <v>12484.91</v>
      </c>
      <c r="M126" s="43"/>
      <c r="N126" s="43">
        <f t="shared" si="18"/>
        <v>12484.91</v>
      </c>
      <c r="O126" s="43">
        <f t="shared" si="20"/>
        <v>875.69999999999993</v>
      </c>
      <c r="P126" s="42">
        <v>0</v>
      </c>
      <c r="Q126" s="42"/>
      <c r="R126" s="42">
        <f t="shared" si="19"/>
        <v>0</v>
      </c>
      <c r="S126" s="85"/>
      <c r="T126" s="42"/>
    </row>
    <row r="127" spans="1:24">
      <c r="A127" s="328"/>
      <c r="B127" s="347" t="s">
        <v>3667</v>
      </c>
      <c r="C127" s="347" t="s">
        <v>414</v>
      </c>
      <c r="D127" s="42" t="s">
        <v>16</v>
      </c>
      <c r="E127" s="347" t="s">
        <v>3994</v>
      </c>
      <c r="F127" s="328">
        <v>26842</v>
      </c>
      <c r="G127" s="328"/>
      <c r="H127" s="328">
        <v>12540</v>
      </c>
      <c r="I127" s="328">
        <v>188</v>
      </c>
      <c r="J127" s="328">
        <v>0.13</v>
      </c>
      <c r="K127" s="43">
        <f t="shared" si="16"/>
        <v>24.44</v>
      </c>
      <c r="L127" s="43">
        <f t="shared" si="17"/>
        <v>12515.56</v>
      </c>
      <c r="M127" s="43"/>
      <c r="N127" s="43">
        <f t="shared" si="18"/>
        <v>12515.56</v>
      </c>
      <c r="O127" s="43">
        <f t="shared" si="20"/>
        <v>877.8</v>
      </c>
      <c r="P127" s="42">
        <v>0</v>
      </c>
      <c r="Q127" s="42"/>
      <c r="R127" s="42">
        <f t="shared" si="19"/>
        <v>0</v>
      </c>
      <c r="S127" s="85"/>
      <c r="T127" s="42"/>
    </row>
    <row r="128" spans="1:24">
      <c r="A128" s="330"/>
      <c r="B128" s="330"/>
      <c r="C128" s="330"/>
      <c r="D128" s="331" t="s">
        <v>16</v>
      </c>
      <c r="E128" s="330"/>
      <c r="F128" s="330"/>
      <c r="G128" s="330"/>
      <c r="H128" s="330"/>
      <c r="I128" s="330"/>
      <c r="J128" s="330"/>
      <c r="K128" s="332">
        <f t="shared" ref="K128" si="37">I128*J128</f>
        <v>0</v>
      </c>
      <c r="L128" s="332">
        <f t="shared" ref="L128" si="38">H128-K128</f>
        <v>0</v>
      </c>
      <c r="M128" s="332"/>
      <c r="N128" s="332">
        <f t="shared" ref="N128" si="39">L128-M128</f>
        <v>0</v>
      </c>
      <c r="O128" s="332">
        <f t="shared" si="20"/>
        <v>0</v>
      </c>
      <c r="P128" s="331"/>
      <c r="Q128" s="331"/>
      <c r="R128" s="331">
        <f t="shared" ref="R128" si="40">L128*Q128</f>
        <v>0</v>
      </c>
      <c r="S128" s="333"/>
      <c r="T128" s="42"/>
    </row>
    <row r="129" spans="1:24">
      <c r="A129" s="310" t="s">
        <v>3995</v>
      </c>
      <c r="B129" s="328"/>
      <c r="C129" s="328"/>
      <c r="D129" s="42" t="s">
        <v>16</v>
      </c>
      <c r="E129" s="328"/>
      <c r="F129" s="328"/>
      <c r="G129" s="328"/>
      <c r="H129" s="328"/>
      <c r="I129" s="328"/>
      <c r="J129" s="328"/>
      <c r="K129" s="43">
        <f t="shared" si="16"/>
        <v>0</v>
      </c>
      <c r="L129" s="43">
        <f t="shared" si="17"/>
        <v>0</v>
      </c>
      <c r="M129" s="43"/>
      <c r="N129" s="43">
        <f t="shared" si="18"/>
        <v>0</v>
      </c>
      <c r="O129" s="43">
        <f t="shared" si="20"/>
        <v>0</v>
      </c>
      <c r="P129" s="42"/>
      <c r="Q129" s="42"/>
      <c r="R129" s="42">
        <f t="shared" si="19"/>
        <v>0</v>
      </c>
      <c r="S129" s="85"/>
      <c r="T129" s="42"/>
    </row>
    <row r="130" spans="1:24">
      <c r="A130" s="328"/>
      <c r="B130" s="348" t="s">
        <v>3996</v>
      </c>
      <c r="C130" s="348" t="s">
        <v>3997</v>
      </c>
      <c r="D130" s="42" t="s">
        <v>16</v>
      </c>
      <c r="E130" s="348" t="s">
        <v>3998</v>
      </c>
      <c r="F130" s="328">
        <v>1191</v>
      </c>
      <c r="G130" s="328">
        <v>2868</v>
      </c>
      <c r="H130" s="328">
        <v>1975</v>
      </c>
      <c r="I130" s="328">
        <v>79</v>
      </c>
      <c r="J130" s="328"/>
      <c r="K130" s="43">
        <f t="shared" si="16"/>
        <v>0</v>
      </c>
      <c r="L130" s="43">
        <f t="shared" si="17"/>
        <v>1975</v>
      </c>
      <c r="M130" s="43"/>
      <c r="N130" s="43">
        <f t="shared" si="18"/>
        <v>1975</v>
      </c>
      <c r="O130" s="43">
        <f t="shared" si="20"/>
        <v>138.25</v>
      </c>
      <c r="P130" s="42">
        <v>5500</v>
      </c>
      <c r="Q130" s="42">
        <v>115</v>
      </c>
      <c r="R130" s="42">
        <f t="shared" si="19"/>
        <v>227125</v>
      </c>
      <c r="S130" s="85"/>
      <c r="T130" s="42"/>
    </row>
    <row r="131" spans="1:24">
      <c r="A131" s="328"/>
      <c r="B131" s="348" t="s">
        <v>3989</v>
      </c>
      <c r="C131" s="348" t="s">
        <v>3977</v>
      </c>
      <c r="D131" s="42" t="s">
        <v>16</v>
      </c>
      <c r="E131" s="348" t="s">
        <v>835</v>
      </c>
      <c r="F131" s="328">
        <v>0</v>
      </c>
      <c r="G131" s="328">
        <v>2869</v>
      </c>
      <c r="H131" s="328">
        <v>310</v>
      </c>
      <c r="I131" s="328"/>
      <c r="J131" s="328"/>
      <c r="K131" s="43">
        <f t="shared" si="16"/>
        <v>0</v>
      </c>
      <c r="L131" s="43">
        <f t="shared" si="17"/>
        <v>310</v>
      </c>
      <c r="M131" s="43"/>
      <c r="N131" s="43">
        <f t="shared" si="18"/>
        <v>310</v>
      </c>
      <c r="O131" s="43">
        <f t="shared" si="20"/>
        <v>21.7</v>
      </c>
      <c r="P131" s="42"/>
      <c r="Q131" s="42"/>
      <c r="R131" s="42">
        <f t="shared" si="19"/>
        <v>0</v>
      </c>
      <c r="S131" s="85"/>
      <c r="T131" s="42"/>
      <c r="W131">
        <f>SUM(W103:W130)</f>
        <v>279510</v>
      </c>
      <c r="X131" s="1">
        <f>SUM(X103:X130)</f>
        <v>500500</v>
      </c>
    </row>
    <row r="132" spans="1:24">
      <c r="A132" s="328"/>
      <c r="B132" s="349" t="s">
        <v>4015</v>
      </c>
      <c r="C132" s="348" t="s">
        <v>88</v>
      </c>
      <c r="D132" s="42" t="s">
        <v>16</v>
      </c>
      <c r="E132" s="348" t="s">
        <v>4000</v>
      </c>
      <c r="F132" s="328">
        <v>77</v>
      </c>
      <c r="G132" s="328">
        <v>2870</v>
      </c>
      <c r="H132" s="328">
        <v>17090</v>
      </c>
      <c r="I132" s="328">
        <v>257</v>
      </c>
      <c r="J132" s="328">
        <v>0.13</v>
      </c>
      <c r="K132" s="43">
        <f t="shared" si="16"/>
        <v>33.410000000000004</v>
      </c>
      <c r="L132" s="43">
        <f t="shared" si="17"/>
        <v>17056.59</v>
      </c>
      <c r="M132" s="43"/>
      <c r="N132" s="43">
        <f t="shared" si="18"/>
        <v>17056.59</v>
      </c>
      <c r="O132" s="43">
        <f t="shared" si="20"/>
        <v>1196.3</v>
      </c>
      <c r="P132" s="42">
        <v>9700</v>
      </c>
      <c r="Q132" s="42">
        <v>21.9</v>
      </c>
      <c r="R132" s="42">
        <f t="shared" si="19"/>
        <v>373539.321</v>
      </c>
      <c r="S132" s="85"/>
      <c r="T132" s="42"/>
    </row>
    <row r="133" spans="1:24" s="1" customFormat="1">
      <c r="A133" s="348"/>
      <c r="B133" s="348" t="s">
        <v>4014</v>
      </c>
      <c r="C133" s="348" t="s">
        <v>1505</v>
      </c>
      <c r="D133" s="42" t="s">
        <v>16</v>
      </c>
      <c r="E133" s="348" t="s">
        <v>598</v>
      </c>
      <c r="F133" s="348">
        <v>1004</v>
      </c>
      <c r="G133" s="348">
        <v>2871</v>
      </c>
      <c r="H133" s="348">
        <v>500</v>
      </c>
      <c r="I133" s="348">
        <v>20</v>
      </c>
      <c r="J133" s="348"/>
      <c r="K133" s="43">
        <f t="shared" ref="K133" si="41">I133*J133</f>
        <v>0</v>
      </c>
      <c r="L133" s="43">
        <f t="shared" ref="L133" si="42">H133-K133</f>
        <v>500</v>
      </c>
      <c r="M133" s="43"/>
      <c r="N133" s="43">
        <f t="shared" si="18"/>
        <v>500</v>
      </c>
      <c r="O133" s="43">
        <f t="shared" si="20"/>
        <v>35</v>
      </c>
      <c r="P133" s="42">
        <v>0</v>
      </c>
      <c r="Q133" s="42">
        <v>390</v>
      </c>
      <c r="R133" s="42"/>
      <c r="S133" s="85"/>
      <c r="T133" s="42"/>
    </row>
    <row r="134" spans="1:24">
      <c r="A134" s="328"/>
      <c r="B134" s="348" t="s">
        <v>3667</v>
      </c>
      <c r="C134" s="348" t="s">
        <v>414</v>
      </c>
      <c r="D134" s="42" t="s">
        <v>16</v>
      </c>
      <c r="E134" s="348" t="s">
        <v>4001</v>
      </c>
      <c r="F134" s="328">
        <v>26844</v>
      </c>
      <c r="G134" s="328"/>
      <c r="H134" s="328">
        <v>12500</v>
      </c>
      <c r="I134" s="328">
        <v>192</v>
      </c>
      <c r="J134" s="328">
        <v>0.13</v>
      </c>
      <c r="K134" s="43">
        <f t="shared" si="16"/>
        <v>24.96</v>
      </c>
      <c r="L134" s="43">
        <f t="shared" si="17"/>
        <v>12475.04</v>
      </c>
      <c r="M134" s="43"/>
      <c r="N134" s="43">
        <f t="shared" si="18"/>
        <v>12475.04</v>
      </c>
      <c r="O134" s="43">
        <f t="shared" si="20"/>
        <v>875</v>
      </c>
      <c r="P134" s="42">
        <v>0</v>
      </c>
      <c r="Q134" s="42"/>
      <c r="R134" s="42">
        <f t="shared" si="19"/>
        <v>0</v>
      </c>
      <c r="S134" s="85"/>
      <c r="T134" s="42"/>
    </row>
    <row r="135" spans="1:24">
      <c r="A135" s="328"/>
      <c r="B135" s="348" t="s">
        <v>3667</v>
      </c>
      <c r="C135" s="348" t="s">
        <v>414</v>
      </c>
      <c r="D135" s="42" t="s">
        <v>16</v>
      </c>
      <c r="E135" s="348" t="s">
        <v>4002</v>
      </c>
      <c r="F135" s="328">
        <v>26837</v>
      </c>
      <c r="G135" s="328"/>
      <c r="H135" s="328">
        <v>12700</v>
      </c>
      <c r="I135" s="328">
        <v>190</v>
      </c>
      <c r="J135" s="328">
        <v>0.13</v>
      </c>
      <c r="K135" s="43">
        <f t="shared" si="16"/>
        <v>24.7</v>
      </c>
      <c r="L135" s="43">
        <f t="shared" si="17"/>
        <v>12675.3</v>
      </c>
      <c r="M135" s="43"/>
      <c r="N135" s="43">
        <f t="shared" si="18"/>
        <v>12675.3</v>
      </c>
      <c r="O135" s="43">
        <f t="shared" si="20"/>
        <v>889</v>
      </c>
      <c r="P135" s="42">
        <v>0</v>
      </c>
      <c r="Q135" s="42"/>
      <c r="R135" s="42">
        <f t="shared" si="19"/>
        <v>0</v>
      </c>
      <c r="S135" s="85"/>
      <c r="T135" s="44"/>
    </row>
    <row r="136" spans="1:24">
      <c r="A136" s="328"/>
      <c r="B136" s="348" t="s">
        <v>3667</v>
      </c>
      <c r="C136" s="348" t="s">
        <v>414</v>
      </c>
      <c r="D136" s="42" t="s">
        <v>16</v>
      </c>
      <c r="E136" s="348" t="s">
        <v>4003</v>
      </c>
      <c r="F136" s="328">
        <v>26852</v>
      </c>
      <c r="G136" s="328"/>
      <c r="H136" s="328">
        <v>12650</v>
      </c>
      <c r="I136" s="328">
        <v>230</v>
      </c>
      <c r="J136" s="328">
        <v>0.13</v>
      </c>
      <c r="K136" s="43">
        <f t="shared" si="16"/>
        <v>29.900000000000002</v>
      </c>
      <c r="L136" s="43">
        <f t="shared" si="17"/>
        <v>12620.1</v>
      </c>
      <c r="M136" s="43"/>
      <c r="N136" s="43">
        <f t="shared" si="18"/>
        <v>12620.1</v>
      </c>
      <c r="O136" s="43">
        <f t="shared" si="20"/>
        <v>885.5</v>
      </c>
      <c r="P136" s="42">
        <v>0</v>
      </c>
      <c r="Q136" s="42"/>
      <c r="R136" s="42">
        <f t="shared" si="19"/>
        <v>0</v>
      </c>
      <c r="S136" s="85"/>
      <c r="T136" s="44"/>
    </row>
    <row r="137" spans="1:24">
      <c r="A137" s="328"/>
      <c r="B137" s="348" t="s">
        <v>3667</v>
      </c>
      <c r="C137" s="348" t="s">
        <v>414</v>
      </c>
      <c r="D137" s="42" t="s">
        <v>16</v>
      </c>
      <c r="E137" s="348" t="s">
        <v>3689</v>
      </c>
      <c r="F137" s="328">
        <v>26836</v>
      </c>
      <c r="G137" s="328"/>
      <c r="H137" s="328">
        <v>12440</v>
      </c>
      <c r="I137" s="328">
        <v>191</v>
      </c>
      <c r="J137" s="328">
        <v>0.13</v>
      </c>
      <c r="K137" s="43">
        <f t="shared" si="16"/>
        <v>24.830000000000002</v>
      </c>
      <c r="L137" s="43">
        <f t="shared" si="17"/>
        <v>12415.17</v>
      </c>
      <c r="M137" s="43"/>
      <c r="N137" s="43">
        <f t="shared" si="18"/>
        <v>12415.17</v>
      </c>
      <c r="O137" s="43">
        <f t="shared" si="20"/>
        <v>870.8</v>
      </c>
      <c r="P137" s="42">
        <v>0</v>
      </c>
      <c r="Q137" s="42"/>
      <c r="R137" s="42">
        <f t="shared" si="19"/>
        <v>0</v>
      </c>
      <c r="S137" s="85"/>
      <c r="T137" s="44"/>
    </row>
    <row r="138" spans="1:24">
      <c r="A138" s="328"/>
      <c r="B138" s="348" t="s">
        <v>3667</v>
      </c>
      <c r="C138" s="348" t="s">
        <v>414</v>
      </c>
      <c r="D138" s="42" t="s">
        <v>16</v>
      </c>
      <c r="E138" s="348" t="s">
        <v>4004</v>
      </c>
      <c r="F138" s="328">
        <v>26847</v>
      </c>
      <c r="G138" s="328"/>
      <c r="H138" s="328">
        <v>12600</v>
      </c>
      <c r="I138" s="328">
        <v>190</v>
      </c>
      <c r="J138" s="328">
        <v>0.13</v>
      </c>
      <c r="K138" s="43">
        <f t="shared" ref="K138:K201" si="43">I138*J138</f>
        <v>24.7</v>
      </c>
      <c r="L138" s="43">
        <f t="shared" ref="L138:L201" si="44">H138-K138</f>
        <v>12575.3</v>
      </c>
      <c r="M138" s="43"/>
      <c r="N138" s="43">
        <f t="shared" ref="N138:N201" si="45">L138-M138</f>
        <v>12575.3</v>
      </c>
      <c r="O138" s="43">
        <f t="shared" ref="O138:O201" si="46">H138/1000*70</f>
        <v>882</v>
      </c>
      <c r="P138" s="42">
        <v>0</v>
      </c>
      <c r="Q138" s="42"/>
      <c r="R138" s="42">
        <f t="shared" ref="R138:R201" si="47">L138*Q138</f>
        <v>0</v>
      </c>
      <c r="S138" s="85"/>
      <c r="T138" s="44"/>
    </row>
    <row r="139" spans="1:24">
      <c r="A139" s="328"/>
      <c r="B139" s="348" t="s">
        <v>3667</v>
      </c>
      <c r="C139" s="348" t="s">
        <v>414</v>
      </c>
      <c r="D139" s="42" t="s">
        <v>16</v>
      </c>
      <c r="E139" s="348" t="s">
        <v>4005</v>
      </c>
      <c r="F139" s="328">
        <v>26849</v>
      </c>
      <c r="G139" s="328"/>
      <c r="H139" s="328">
        <v>12720</v>
      </c>
      <c r="I139" s="328">
        <v>191</v>
      </c>
      <c r="J139" s="328">
        <v>0.13</v>
      </c>
      <c r="K139" s="43">
        <f t="shared" si="43"/>
        <v>24.830000000000002</v>
      </c>
      <c r="L139" s="43">
        <f t="shared" si="44"/>
        <v>12695.17</v>
      </c>
      <c r="M139" s="43"/>
      <c r="N139" s="43">
        <f t="shared" si="45"/>
        <v>12695.17</v>
      </c>
      <c r="O139" s="43">
        <f t="shared" si="46"/>
        <v>890.40000000000009</v>
      </c>
      <c r="P139" s="42">
        <v>0</v>
      </c>
      <c r="Q139" s="42"/>
      <c r="R139" s="42">
        <f t="shared" si="47"/>
        <v>0</v>
      </c>
      <c r="S139" s="85"/>
      <c r="T139" s="44"/>
    </row>
    <row r="140" spans="1:24">
      <c r="A140" s="328"/>
      <c r="B140" s="348" t="s">
        <v>3667</v>
      </c>
      <c r="C140" s="348" t="s">
        <v>414</v>
      </c>
      <c r="D140" s="42" t="s">
        <v>16</v>
      </c>
      <c r="E140" s="348" t="s">
        <v>3923</v>
      </c>
      <c r="F140" s="328">
        <v>26853</v>
      </c>
      <c r="G140" s="328"/>
      <c r="H140" s="328">
        <v>12490</v>
      </c>
      <c r="I140" s="328">
        <v>175</v>
      </c>
      <c r="J140" s="328">
        <v>0.13</v>
      </c>
      <c r="K140" s="43">
        <f t="shared" si="43"/>
        <v>22.75</v>
      </c>
      <c r="L140" s="43">
        <f t="shared" si="44"/>
        <v>12467.25</v>
      </c>
      <c r="M140" s="43"/>
      <c r="N140" s="43">
        <f t="shared" si="45"/>
        <v>12467.25</v>
      </c>
      <c r="O140" s="43">
        <f t="shared" si="46"/>
        <v>874.30000000000007</v>
      </c>
      <c r="P140" s="42">
        <v>0</v>
      </c>
      <c r="Q140" s="42"/>
      <c r="R140" s="42">
        <f t="shared" si="47"/>
        <v>0</v>
      </c>
      <c r="S140" s="85"/>
      <c r="T140" s="44"/>
    </row>
    <row r="141" spans="1:24" s="304" customFormat="1">
      <c r="A141" s="328"/>
      <c r="B141" s="348" t="s">
        <v>3667</v>
      </c>
      <c r="C141" s="348" t="s">
        <v>414</v>
      </c>
      <c r="D141" s="42" t="s">
        <v>16</v>
      </c>
      <c r="E141" s="348" t="s">
        <v>4006</v>
      </c>
      <c r="F141" s="328">
        <v>26851</v>
      </c>
      <c r="G141" s="328"/>
      <c r="H141" s="328">
        <v>8650</v>
      </c>
      <c r="I141" s="328">
        <v>130</v>
      </c>
      <c r="J141" s="328">
        <v>0.13</v>
      </c>
      <c r="K141" s="43">
        <f t="shared" si="43"/>
        <v>16.900000000000002</v>
      </c>
      <c r="L141" s="43">
        <f t="shared" si="44"/>
        <v>8633.1</v>
      </c>
      <c r="M141" s="43"/>
      <c r="N141" s="43">
        <f t="shared" si="45"/>
        <v>8633.1</v>
      </c>
      <c r="O141" s="43">
        <f t="shared" si="46"/>
        <v>605.5</v>
      </c>
      <c r="P141" s="42">
        <v>0</v>
      </c>
      <c r="Q141" s="42"/>
      <c r="R141" s="42">
        <f t="shared" si="47"/>
        <v>0</v>
      </c>
      <c r="S141" s="85"/>
      <c r="T141" s="305"/>
    </row>
    <row r="142" spans="1:24">
      <c r="A142" s="328"/>
      <c r="B142" s="348" t="s">
        <v>3667</v>
      </c>
      <c r="C142" s="348" t="s">
        <v>414</v>
      </c>
      <c r="D142" s="42" t="s">
        <v>16</v>
      </c>
      <c r="E142" s="348" t="s">
        <v>3132</v>
      </c>
      <c r="F142" s="328">
        <v>26854</v>
      </c>
      <c r="G142" s="328"/>
      <c r="H142" s="328">
        <v>12350</v>
      </c>
      <c r="I142" s="328">
        <v>175</v>
      </c>
      <c r="J142" s="328">
        <v>0.13</v>
      </c>
      <c r="K142" s="43">
        <f t="shared" si="43"/>
        <v>22.75</v>
      </c>
      <c r="L142" s="43">
        <f t="shared" si="44"/>
        <v>12327.25</v>
      </c>
      <c r="M142" s="43"/>
      <c r="N142" s="43">
        <f t="shared" si="45"/>
        <v>12327.25</v>
      </c>
      <c r="O142" s="43">
        <f t="shared" si="46"/>
        <v>864.5</v>
      </c>
      <c r="P142" s="42">
        <v>0</v>
      </c>
      <c r="Q142" s="42"/>
      <c r="R142" s="42">
        <f t="shared" si="47"/>
        <v>0</v>
      </c>
      <c r="S142" s="85"/>
      <c r="T142" s="44"/>
    </row>
    <row r="143" spans="1:24">
      <c r="A143" s="328"/>
      <c r="B143" s="348" t="s">
        <v>3667</v>
      </c>
      <c r="C143" s="348" t="s">
        <v>414</v>
      </c>
      <c r="D143" s="42" t="s">
        <v>16</v>
      </c>
      <c r="E143" s="348" t="s">
        <v>4007</v>
      </c>
      <c r="F143" s="328">
        <v>26855</v>
      </c>
      <c r="G143" s="328"/>
      <c r="H143" s="328">
        <v>12570</v>
      </c>
      <c r="I143" s="328">
        <v>190</v>
      </c>
      <c r="J143" s="328">
        <v>0.13</v>
      </c>
      <c r="K143" s="43">
        <f t="shared" si="43"/>
        <v>24.7</v>
      </c>
      <c r="L143" s="43">
        <f t="shared" si="44"/>
        <v>12545.3</v>
      </c>
      <c r="M143" s="43"/>
      <c r="N143" s="43">
        <f t="shared" si="45"/>
        <v>12545.3</v>
      </c>
      <c r="O143" s="43">
        <f t="shared" si="46"/>
        <v>879.9</v>
      </c>
      <c r="P143" s="42">
        <v>0</v>
      </c>
      <c r="Q143" s="42"/>
      <c r="R143" s="42">
        <f t="shared" si="47"/>
        <v>0</v>
      </c>
      <c r="S143" s="85"/>
      <c r="T143" s="44"/>
    </row>
    <row r="144" spans="1:24">
      <c r="A144" s="328"/>
      <c r="B144" s="348" t="s">
        <v>3667</v>
      </c>
      <c r="C144" s="348" t="s">
        <v>414</v>
      </c>
      <c r="D144" s="42" t="s">
        <v>16</v>
      </c>
      <c r="E144" s="348" t="s">
        <v>4008</v>
      </c>
      <c r="F144" s="328">
        <v>26848</v>
      </c>
      <c r="G144" s="328"/>
      <c r="H144" s="328">
        <v>12790</v>
      </c>
      <c r="I144" s="328">
        <v>190</v>
      </c>
      <c r="J144" s="328">
        <v>0.13</v>
      </c>
      <c r="K144" s="43">
        <f t="shared" si="43"/>
        <v>24.7</v>
      </c>
      <c r="L144" s="43">
        <f t="shared" si="44"/>
        <v>12765.3</v>
      </c>
      <c r="M144" s="43"/>
      <c r="N144" s="43">
        <f t="shared" si="45"/>
        <v>12765.3</v>
      </c>
      <c r="O144" s="43">
        <f t="shared" si="46"/>
        <v>895.3</v>
      </c>
      <c r="P144" s="42">
        <v>0</v>
      </c>
      <c r="Q144" s="42"/>
      <c r="R144" s="42">
        <f t="shared" si="47"/>
        <v>0</v>
      </c>
      <c r="S144" s="85"/>
      <c r="T144" s="44"/>
    </row>
    <row r="145" spans="1:22">
      <c r="A145" s="330"/>
      <c r="B145" s="330"/>
      <c r="C145" s="330"/>
      <c r="D145" s="331" t="s">
        <v>16</v>
      </c>
      <c r="E145" s="330"/>
      <c r="F145" s="330"/>
      <c r="G145" s="330"/>
      <c r="H145" s="330"/>
      <c r="I145" s="330"/>
      <c r="J145" s="330"/>
      <c r="K145" s="332">
        <f t="shared" si="43"/>
        <v>0</v>
      </c>
      <c r="L145" s="332">
        <f t="shared" si="44"/>
        <v>0</v>
      </c>
      <c r="M145" s="332"/>
      <c r="N145" s="332">
        <f t="shared" si="45"/>
        <v>0</v>
      </c>
      <c r="O145" s="332">
        <f t="shared" si="46"/>
        <v>0</v>
      </c>
      <c r="P145" s="331"/>
      <c r="Q145" s="331"/>
      <c r="R145" s="331">
        <f t="shared" si="47"/>
        <v>0</v>
      </c>
      <c r="S145" s="333"/>
      <c r="T145" s="44"/>
    </row>
    <row r="146" spans="1:22">
      <c r="A146" s="310" t="s">
        <v>4009</v>
      </c>
      <c r="B146" s="328"/>
      <c r="C146" s="328"/>
      <c r="D146" s="42" t="s">
        <v>16</v>
      </c>
      <c r="E146" s="328"/>
      <c r="F146" s="328"/>
      <c r="G146" s="328"/>
      <c r="H146" s="328"/>
      <c r="I146" s="328"/>
      <c r="J146" s="328"/>
      <c r="K146" s="43">
        <f t="shared" si="43"/>
        <v>0</v>
      </c>
      <c r="L146" s="43">
        <f t="shared" si="44"/>
        <v>0</v>
      </c>
      <c r="M146" s="43"/>
      <c r="N146" s="43">
        <f t="shared" si="45"/>
        <v>0</v>
      </c>
      <c r="O146" s="43">
        <f t="shared" si="46"/>
        <v>0</v>
      </c>
      <c r="P146" s="42"/>
      <c r="Q146" s="42"/>
      <c r="R146" s="42">
        <f t="shared" si="47"/>
        <v>0</v>
      </c>
      <c r="S146" s="85"/>
      <c r="T146" s="44"/>
    </row>
    <row r="147" spans="1:22">
      <c r="A147" s="328"/>
      <c r="B147" s="348" t="s">
        <v>4010</v>
      </c>
      <c r="C147" s="348" t="s">
        <v>3124</v>
      </c>
      <c r="D147" s="42" t="s">
        <v>16</v>
      </c>
      <c r="E147" s="348" t="s">
        <v>2111</v>
      </c>
      <c r="F147" s="328">
        <v>1262</v>
      </c>
      <c r="G147" s="328">
        <v>2872</v>
      </c>
      <c r="H147" s="328">
        <v>1000</v>
      </c>
      <c r="I147" s="328">
        <v>40</v>
      </c>
      <c r="J147" s="328"/>
      <c r="K147" s="43">
        <f t="shared" si="43"/>
        <v>0</v>
      </c>
      <c r="L147" s="43">
        <f t="shared" si="44"/>
        <v>1000</v>
      </c>
      <c r="M147" s="43"/>
      <c r="N147" s="43">
        <f t="shared" si="45"/>
        <v>1000</v>
      </c>
      <c r="O147" s="43">
        <f t="shared" si="46"/>
        <v>70</v>
      </c>
      <c r="P147" s="42">
        <v>0</v>
      </c>
      <c r="Q147" s="42">
        <v>133</v>
      </c>
      <c r="R147" s="42">
        <f t="shared" si="47"/>
        <v>133000</v>
      </c>
      <c r="S147" s="85"/>
      <c r="T147" s="44"/>
    </row>
    <row r="148" spans="1:22">
      <c r="A148" s="328"/>
      <c r="B148" s="348" t="s">
        <v>3927</v>
      </c>
      <c r="C148" s="348" t="s">
        <v>3928</v>
      </c>
      <c r="D148" s="42" t="s">
        <v>16</v>
      </c>
      <c r="E148" s="348" t="s">
        <v>449</v>
      </c>
      <c r="F148" s="328">
        <v>0</v>
      </c>
      <c r="G148" s="328">
        <v>2873</v>
      </c>
      <c r="H148" s="328">
        <v>13500</v>
      </c>
      <c r="I148" s="328">
        <v>300</v>
      </c>
      <c r="J148" s="328"/>
      <c r="K148" s="43">
        <f t="shared" si="43"/>
        <v>0</v>
      </c>
      <c r="L148" s="43">
        <f t="shared" si="44"/>
        <v>13500</v>
      </c>
      <c r="M148" s="43"/>
      <c r="N148" s="43">
        <f t="shared" si="45"/>
        <v>13500</v>
      </c>
      <c r="O148" s="43">
        <v>0</v>
      </c>
      <c r="P148" s="42">
        <v>5000</v>
      </c>
      <c r="Q148" s="42">
        <v>12.59</v>
      </c>
      <c r="R148" s="42">
        <f t="shared" si="47"/>
        <v>169965</v>
      </c>
      <c r="S148" s="85"/>
      <c r="T148" s="44"/>
    </row>
    <row r="149" spans="1:22">
      <c r="A149" s="328"/>
      <c r="B149" s="348" t="s">
        <v>1304</v>
      </c>
      <c r="C149" s="348" t="s">
        <v>24</v>
      </c>
      <c r="D149" s="42" t="s">
        <v>16</v>
      </c>
      <c r="E149" s="348" t="s">
        <v>2570</v>
      </c>
      <c r="F149" s="328">
        <v>20185210</v>
      </c>
      <c r="G149" s="328">
        <v>2874</v>
      </c>
      <c r="H149" s="328">
        <v>15460</v>
      </c>
      <c r="I149" s="328">
        <v>300</v>
      </c>
      <c r="J149" s="328">
        <v>0.13</v>
      </c>
      <c r="K149" s="43">
        <f t="shared" si="43"/>
        <v>39</v>
      </c>
      <c r="L149" s="43">
        <f t="shared" si="44"/>
        <v>15421</v>
      </c>
      <c r="M149" s="43"/>
      <c r="N149" s="43">
        <f t="shared" si="45"/>
        <v>15421</v>
      </c>
      <c r="O149" s="43">
        <f t="shared" si="46"/>
        <v>1082.2</v>
      </c>
      <c r="P149" s="42">
        <v>13500</v>
      </c>
      <c r="Q149" s="42">
        <v>35.9</v>
      </c>
      <c r="R149" s="42">
        <f t="shared" si="47"/>
        <v>553613.9</v>
      </c>
      <c r="S149" s="85"/>
      <c r="T149" s="44"/>
    </row>
    <row r="150" spans="1:22">
      <c r="A150" s="328"/>
      <c r="B150" s="348" t="s">
        <v>1304</v>
      </c>
      <c r="C150" s="348" t="s">
        <v>24</v>
      </c>
      <c r="D150" s="42" t="s">
        <v>16</v>
      </c>
      <c r="E150" s="348" t="s">
        <v>2413</v>
      </c>
      <c r="F150" s="328">
        <v>4301</v>
      </c>
      <c r="G150" s="328">
        <v>2875</v>
      </c>
      <c r="H150" s="328">
        <v>15705</v>
      </c>
      <c r="I150" s="328">
        <v>315</v>
      </c>
      <c r="J150" s="328">
        <v>0.13</v>
      </c>
      <c r="K150" s="43">
        <f t="shared" si="43"/>
        <v>40.950000000000003</v>
      </c>
      <c r="L150" s="43">
        <f t="shared" si="44"/>
        <v>15664.05</v>
      </c>
      <c r="M150" s="43"/>
      <c r="N150" s="43">
        <f t="shared" si="45"/>
        <v>15664.05</v>
      </c>
      <c r="O150" s="43">
        <f t="shared" si="46"/>
        <v>1099.3499999999999</v>
      </c>
      <c r="P150" s="42">
        <v>12000</v>
      </c>
      <c r="Q150" s="42">
        <v>35.9</v>
      </c>
      <c r="R150" s="42">
        <f t="shared" si="47"/>
        <v>562339.3949999999</v>
      </c>
      <c r="S150" s="85"/>
      <c r="T150" s="44"/>
    </row>
    <row r="151" spans="1:22">
      <c r="A151" s="328"/>
      <c r="B151" s="348" t="s">
        <v>1304</v>
      </c>
      <c r="C151" s="348" t="s">
        <v>24</v>
      </c>
      <c r="D151" s="42" t="s">
        <v>16</v>
      </c>
      <c r="E151" s="348" t="s">
        <v>785</v>
      </c>
      <c r="F151" s="328">
        <v>20185209</v>
      </c>
      <c r="G151" s="328">
        <v>2876</v>
      </c>
      <c r="H151" s="328">
        <v>20480</v>
      </c>
      <c r="I151" s="328">
        <v>410</v>
      </c>
      <c r="J151" s="328">
        <v>0.13</v>
      </c>
      <c r="K151" s="43">
        <f t="shared" si="43"/>
        <v>53.300000000000004</v>
      </c>
      <c r="L151" s="43">
        <f t="shared" si="44"/>
        <v>20426.7</v>
      </c>
      <c r="M151" s="43"/>
      <c r="N151" s="43">
        <f t="shared" si="45"/>
        <v>20426.7</v>
      </c>
      <c r="O151" s="43">
        <f t="shared" si="46"/>
        <v>1433.6000000000001</v>
      </c>
      <c r="P151" s="42">
        <v>16500</v>
      </c>
      <c r="Q151" s="42">
        <v>35.9</v>
      </c>
      <c r="R151" s="42">
        <f t="shared" si="47"/>
        <v>733318.53</v>
      </c>
      <c r="S151" s="85"/>
      <c r="T151" s="44"/>
    </row>
    <row r="152" spans="1:22">
      <c r="A152" s="328"/>
      <c r="B152" s="348" t="s">
        <v>3706</v>
      </c>
      <c r="C152" s="348" t="s">
        <v>88</v>
      </c>
      <c r="D152" s="42" t="s">
        <v>16</v>
      </c>
      <c r="E152" s="348" t="s">
        <v>4011</v>
      </c>
      <c r="F152" s="328">
        <v>0</v>
      </c>
      <c r="G152" s="328">
        <v>2877</v>
      </c>
      <c r="H152" s="328">
        <v>15950</v>
      </c>
      <c r="I152" s="328">
        <v>292</v>
      </c>
      <c r="J152" s="328">
        <v>0.5</v>
      </c>
      <c r="K152" s="43">
        <f t="shared" si="43"/>
        <v>146</v>
      </c>
      <c r="L152" s="43">
        <f t="shared" si="44"/>
        <v>15804</v>
      </c>
      <c r="M152" s="43"/>
      <c r="N152" s="43">
        <f t="shared" si="45"/>
        <v>15804</v>
      </c>
      <c r="O152" s="43">
        <f t="shared" si="46"/>
        <v>1116.5</v>
      </c>
      <c r="P152" s="42">
        <v>17000</v>
      </c>
      <c r="Q152" s="42">
        <v>22</v>
      </c>
      <c r="R152" s="42">
        <f t="shared" si="47"/>
        <v>347688</v>
      </c>
      <c r="S152" s="85"/>
      <c r="T152" s="44"/>
    </row>
    <row r="153" spans="1:22">
      <c r="A153" s="328"/>
      <c r="B153" s="348" t="s">
        <v>3667</v>
      </c>
      <c r="C153" s="348" t="s">
        <v>414</v>
      </c>
      <c r="D153" s="42" t="s">
        <v>16</v>
      </c>
      <c r="E153" s="348" t="s">
        <v>4012</v>
      </c>
      <c r="F153" s="328">
        <v>26850</v>
      </c>
      <c r="G153" s="328"/>
      <c r="H153" s="328">
        <v>12860</v>
      </c>
      <c r="I153" s="328">
        <v>195</v>
      </c>
      <c r="J153" s="328">
        <v>0.13</v>
      </c>
      <c r="K153" s="43">
        <f t="shared" si="43"/>
        <v>25.35</v>
      </c>
      <c r="L153" s="43">
        <f t="shared" si="44"/>
        <v>12834.65</v>
      </c>
      <c r="M153" s="43"/>
      <c r="N153" s="43">
        <f t="shared" si="45"/>
        <v>12834.65</v>
      </c>
      <c r="O153" s="43">
        <f t="shared" si="46"/>
        <v>900.19999999999993</v>
      </c>
      <c r="P153" s="42"/>
      <c r="Q153" s="42"/>
      <c r="R153" s="42">
        <f t="shared" si="47"/>
        <v>0</v>
      </c>
      <c r="S153" s="85"/>
      <c r="T153" s="44"/>
    </row>
    <row r="154" spans="1:22">
      <c r="A154" s="328"/>
      <c r="B154" s="348" t="s">
        <v>3667</v>
      </c>
      <c r="C154" s="348" t="s">
        <v>414</v>
      </c>
      <c r="D154" s="42" t="s">
        <v>16</v>
      </c>
      <c r="E154" s="348" t="s">
        <v>4013</v>
      </c>
      <c r="F154" s="328">
        <v>26856</v>
      </c>
      <c r="G154" s="328"/>
      <c r="H154" s="328">
        <v>12790</v>
      </c>
      <c r="I154" s="328">
        <v>200</v>
      </c>
      <c r="J154" s="328">
        <v>0.13</v>
      </c>
      <c r="K154" s="43">
        <f t="shared" si="43"/>
        <v>26</v>
      </c>
      <c r="L154" s="43">
        <f t="shared" si="44"/>
        <v>12764</v>
      </c>
      <c r="M154" s="43"/>
      <c r="N154" s="43">
        <f t="shared" si="45"/>
        <v>12764</v>
      </c>
      <c r="O154" s="43">
        <f t="shared" si="46"/>
        <v>895.3</v>
      </c>
      <c r="P154" s="42"/>
      <c r="Q154" s="42"/>
      <c r="R154" s="42">
        <f t="shared" si="47"/>
        <v>0</v>
      </c>
      <c r="S154" s="85"/>
      <c r="T154" s="44"/>
    </row>
    <row r="155" spans="1:22">
      <c r="A155" s="330"/>
      <c r="B155" s="330"/>
      <c r="C155" s="330"/>
      <c r="D155" s="331" t="s">
        <v>16</v>
      </c>
      <c r="E155" s="330"/>
      <c r="F155" s="330"/>
      <c r="G155" s="330"/>
      <c r="H155" s="330"/>
      <c r="I155" s="330"/>
      <c r="J155" s="330"/>
      <c r="K155" s="332">
        <f t="shared" ref="K155" si="48">I155*J155</f>
        <v>0</v>
      </c>
      <c r="L155" s="332">
        <f t="shared" ref="L155" si="49">H155-K155</f>
        <v>0</v>
      </c>
      <c r="M155" s="332"/>
      <c r="N155" s="332">
        <f t="shared" ref="N155" si="50">L155-M155</f>
        <v>0</v>
      </c>
      <c r="O155" s="332">
        <f t="shared" ref="O155" si="51">H155/1000*70</f>
        <v>0</v>
      </c>
      <c r="P155" s="331"/>
      <c r="Q155" s="331"/>
      <c r="R155" s="331">
        <f t="shared" ref="R155" si="52">L155*Q155</f>
        <v>0</v>
      </c>
      <c r="S155" s="333"/>
      <c r="T155" s="44"/>
    </row>
    <row r="156" spans="1:22">
      <c r="A156" s="310" t="s">
        <v>4017</v>
      </c>
      <c r="B156" s="328"/>
      <c r="C156" s="328"/>
      <c r="D156" s="42" t="s">
        <v>16</v>
      </c>
      <c r="E156" s="328"/>
      <c r="F156" s="328"/>
      <c r="G156" s="328"/>
      <c r="H156" s="328"/>
      <c r="I156" s="328"/>
      <c r="J156" s="328"/>
      <c r="K156" s="43">
        <f t="shared" si="43"/>
        <v>0</v>
      </c>
      <c r="L156" s="43">
        <f t="shared" si="44"/>
        <v>0</v>
      </c>
      <c r="M156" s="43"/>
      <c r="N156" s="43">
        <f t="shared" si="45"/>
        <v>0</v>
      </c>
      <c r="O156" s="43">
        <f t="shared" si="46"/>
        <v>0</v>
      </c>
      <c r="P156" s="42"/>
      <c r="Q156" s="42"/>
      <c r="R156" s="42">
        <f t="shared" si="47"/>
        <v>0</v>
      </c>
      <c r="S156" s="85"/>
      <c r="T156" s="44"/>
    </row>
    <row r="157" spans="1:22">
      <c r="A157" s="328"/>
      <c r="B157" s="350" t="s">
        <v>3706</v>
      </c>
      <c r="C157" s="350" t="s">
        <v>88</v>
      </c>
      <c r="D157" s="42" t="s">
        <v>16</v>
      </c>
      <c r="E157" s="350" t="s">
        <v>4018</v>
      </c>
      <c r="F157" s="328">
        <v>0</v>
      </c>
      <c r="G157" s="328">
        <v>2878</v>
      </c>
      <c r="H157" s="328">
        <v>15940</v>
      </c>
      <c r="I157" s="328">
        <v>270</v>
      </c>
      <c r="J157" s="328">
        <v>0.5</v>
      </c>
      <c r="K157" s="43">
        <f t="shared" si="43"/>
        <v>135</v>
      </c>
      <c r="L157" s="43">
        <f t="shared" si="44"/>
        <v>15805</v>
      </c>
      <c r="M157" s="43"/>
      <c r="N157" s="43">
        <f t="shared" si="45"/>
        <v>15805</v>
      </c>
      <c r="O157" s="43">
        <f t="shared" si="46"/>
        <v>1115.8</v>
      </c>
      <c r="P157" s="42">
        <v>17000</v>
      </c>
      <c r="Q157" s="42">
        <v>22</v>
      </c>
      <c r="R157" s="42">
        <f t="shared" si="47"/>
        <v>347710</v>
      </c>
      <c r="S157" s="85"/>
      <c r="T157" s="44"/>
    </row>
    <row r="158" spans="1:22">
      <c r="A158" s="328"/>
      <c r="B158" s="350" t="s">
        <v>93</v>
      </c>
      <c r="C158" s="350" t="s">
        <v>724</v>
      </c>
      <c r="D158" s="42" t="s">
        <v>16</v>
      </c>
      <c r="E158" s="350" t="s">
        <v>2203</v>
      </c>
      <c r="F158" s="328">
        <v>18195</v>
      </c>
      <c r="G158" s="328">
        <v>2879</v>
      </c>
      <c r="H158" s="328">
        <v>600</v>
      </c>
      <c r="I158" s="328">
        <v>24</v>
      </c>
      <c r="J158" s="328"/>
      <c r="K158" s="43">
        <f t="shared" si="43"/>
        <v>0</v>
      </c>
      <c r="L158" s="43">
        <f t="shared" si="44"/>
        <v>600</v>
      </c>
      <c r="M158" s="43"/>
      <c r="N158" s="43">
        <f t="shared" si="45"/>
        <v>600</v>
      </c>
      <c r="O158" s="43">
        <f t="shared" si="46"/>
        <v>42</v>
      </c>
      <c r="P158" s="42">
        <v>0</v>
      </c>
      <c r="Q158" s="42"/>
      <c r="R158" s="42">
        <f t="shared" si="47"/>
        <v>0</v>
      </c>
      <c r="S158" s="85"/>
      <c r="T158" s="44"/>
      <c r="V158" s="1"/>
    </row>
    <row r="159" spans="1:22" s="1" customFormat="1">
      <c r="A159" s="328"/>
      <c r="B159" s="328"/>
      <c r="C159" s="350" t="s">
        <v>710</v>
      </c>
      <c r="D159" s="42" t="s">
        <v>16</v>
      </c>
      <c r="E159" s="350" t="s">
        <v>2203</v>
      </c>
      <c r="F159" s="328">
        <v>18195</v>
      </c>
      <c r="G159" s="328"/>
      <c r="H159" s="328">
        <v>100</v>
      </c>
      <c r="I159" s="328">
        <v>4</v>
      </c>
      <c r="J159" s="328"/>
      <c r="K159" s="43">
        <f t="shared" si="43"/>
        <v>0</v>
      </c>
      <c r="L159" s="43">
        <f t="shared" si="44"/>
        <v>100</v>
      </c>
      <c r="M159" s="43"/>
      <c r="N159" s="43">
        <f t="shared" si="45"/>
        <v>100</v>
      </c>
      <c r="O159" s="43">
        <f t="shared" si="46"/>
        <v>7</v>
      </c>
      <c r="P159" s="42">
        <v>0</v>
      </c>
      <c r="Q159" s="42"/>
      <c r="R159" s="42">
        <f t="shared" si="47"/>
        <v>0</v>
      </c>
      <c r="S159" s="85"/>
      <c r="T159" s="44"/>
    </row>
    <row r="160" spans="1:22">
      <c r="A160" s="328"/>
      <c r="B160" s="350" t="s">
        <v>3667</v>
      </c>
      <c r="C160" s="350" t="s">
        <v>444</v>
      </c>
      <c r="D160" s="42" t="s">
        <v>16</v>
      </c>
      <c r="E160" s="350" t="s">
        <v>4019</v>
      </c>
      <c r="F160" s="328">
        <v>21695</v>
      </c>
      <c r="G160" s="328"/>
      <c r="H160" s="328">
        <v>12960</v>
      </c>
      <c r="I160" s="328">
        <v>283</v>
      </c>
      <c r="J160" s="328">
        <v>0.13</v>
      </c>
      <c r="K160" s="43">
        <f t="shared" si="43"/>
        <v>36.79</v>
      </c>
      <c r="L160" s="43">
        <f t="shared" si="44"/>
        <v>12923.21</v>
      </c>
      <c r="M160" s="43"/>
      <c r="N160" s="43">
        <f t="shared" si="45"/>
        <v>12923.21</v>
      </c>
      <c r="O160" s="43">
        <f t="shared" si="46"/>
        <v>907.2</v>
      </c>
      <c r="P160" s="42"/>
      <c r="Q160" s="42"/>
      <c r="R160" s="42">
        <f t="shared" si="47"/>
        <v>0</v>
      </c>
      <c r="S160" s="85"/>
      <c r="T160" s="44"/>
      <c r="V160" s="1"/>
    </row>
    <row r="161" spans="1:22">
      <c r="A161" s="328"/>
      <c r="B161" s="350" t="s">
        <v>3667</v>
      </c>
      <c r="C161" s="350" t="s">
        <v>444</v>
      </c>
      <c r="D161" s="42" t="s">
        <v>16</v>
      </c>
      <c r="E161" s="350" t="s">
        <v>4020</v>
      </c>
      <c r="F161" s="328">
        <v>21697</v>
      </c>
      <c r="G161" s="328"/>
      <c r="H161" s="328">
        <v>13370</v>
      </c>
      <c r="I161" s="328">
        <v>290</v>
      </c>
      <c r="J161" s="328">
        <v>0.13</v>
      </c>
      <c r="K161" s="43">
        <f t="shared" si="43"/>
        <v>37.700000000000003</v>
      </c>
      <c r="L161" s="43">
        <f t="shared" si="44"/>
        <v>13332.3</v>
      </c>
      <c r="M161" s="43"/>
      <c r="N161" s="43">
        <f t="shared" si="45"/>
        <v>13332.3</v>
      </c>
      <c r="O161" s="43">
        <f t="shared" si="46"/>
        <v>935.9</v>
      </c>
      <c r="P161" s="42"/>
      <c r="Q161" s="42"/>
      <c r="R161" s="42">
        <f t="shared" si="47"/>
        <v>0</v>
      </c>
      <c r="S161" s="85"/>
      <c r="T161" s="44"/>
      <c r="V161" s="1"/>
    </row>
    <row r="162" spans="1:22">
      <c r="A162" s="328"/>
      <c r="B162" s="350" t="s">
        <v>3667</v>
      </c>
      <c r="C162" s="350" t="s">
        <v>444</v>
      </c>
      <c r="D162" s="42" t="s">
        <v>16</v>
      </c>
      <c r="E162" s="350" t="s">
        <v>4021</v>
      </c>
      <c r="F162" s="328">
        <v>21699</v>
      </c>
      <c r="G162" s="328"/>
      <c r="H162" s="328">
        <v>13000</v>
      </c>
      <c r="I162" s="328">
        <v>285</v>
      </c>
      <c r="J162" s="328">
        <v>0.13</v>
      </c>
      <c r="K162" s="43">
        <f t="shared" si="43"/>
        <v>37.050000000000004</v>
      </c>
      <c r="L162" s="43">
        <f t="shared" si="44"/>
        <v>12962.95</v>
      </c>
      <c r="M162" s="43"/>
      <c r="N162" s="43">
        <f t="shared" si="45"/>
        <v>12962.95</v>
      </c>
      <c r="O162" s="43">
        <f t="shared" si="46"/>
        <v>910</v>
      </c>
      <c r="P162" s="42"/>
      <c r="Q162" s="42"/>
      <c r="R162" s="42">
        <f t="shared" si="47"/>
        <v>0</v>
      </c>
      <c r="S162" s="85"/>
      <c r="T162" s="44"/>
      <c r="V162" s="1"/>
    </row>
    <row r="163" spans="1:22">
      <c r="A163" s="328"/>
      <c r="B163" s="350" t="s">
        <v>3667</v>
      </c>
      <c r="C163" s="350" t="s">
        <v>444</v>
      </c>
      <c r="D163" s="42" t="s">
        <v>16</v>
      </c>
      <c r="E163" s="350" t="s">
        <v>3994</v>
      </c>
      <c r="F163" s="328">
        <v>21698</v>
      </c>
      <c r="G163" s="328"/>
      <c r="H163" s="328">
        <v>12840</v>
      </c>
      <c r="I163" s="328">
        <v>283</v>
      </c>
      <c r="J163" s="328">
        <v>0.13</v>
      </c>
      <c r="K163" s="43">
        <f t="shared" si="43"/>
        <v>36.79</v>
      </c>
      <c r="L163" s="43">
        <f t="shared" si="44"/>
        <v>12803.21</v>
      </c>
      <c r="M163" s="43"/>
      <c r="N163" s="43">
        <f t="shared" si="45"/>
        <v>12803.21</v>
      </c>
      <c r="O163" s="43">
        <f t="shared" si="46"/>
        <v>898.8</v>
      </c>
      <c r="P163" s="42"/>
      <c r="Q163" s="42"/>
      <c r="R163" s="42">
        <f t="shared" si="47"/>
        <v>0</v>
      </c>
      <c r="S163" s="85"/>
      <c r="T163" s="44"/>
      <c r="V163" s="1"/>
    </row>
    <row r="164" spans="1:22">
      <c r="A164" s="328"/>
      <c r="B164" s="350" t="s">
        <v>3667</v>
      </c>
      <c r="C164" s="350" t="s">
        <v>444</v>
      </c>
      <c r="D164" s="42" t="s">
        <v>16</v>
      </c>
      <c r="E164" s="350" t="s">
        <v>3841</v>
      </c>
      <c r="F164" s="328">
        <v>21700</v>
      </c>
      <c r="G164" s="328"/>
      <c r="H164" s="328">
        <v>12820</v>
      </c>
      <c r="I164" s="328">
        <v>284</v>
      </c>
      <c r="J164" s="328">
        <v>0.13</v>
      </c>
      <c r="K164" s="43">
        <f t="shared" si="43"/>
        <v>36.92</v>
      </c>
      <c r="L164" s="43">
        <f t="shared" si="44"/>
        <v>12783.08</v>
      </c>
      <c r="M164" s="43"/>
      <c r="N164" s="43">
        <f t="shared" si="45"/>
        <v>12783.08</v>
      </c>
      <c r="O164" s="43">
        <f t="shared" si="46"/>
        <v>897.4</v>
      </c>
      <c r="P164" s="42"/>
      <c r="Q164" s="42"/>
      <c r="R164" s="42">
        <f t="shared" si="47"/>
        <v>0</v>
      </c>
      <c r="S164" s="85"/>
      <c r="T164" s="44"/>
      <c r="V164" s="1"/>
    </row>
    <row r="165" spans="1:22">
      <c r="A165" s="328"/>
      <c r="B165" s="350" t="s">
        <v>3667</v>
      </c>
      <c r="C165" s="350" t="s">
        <v>444</v>
      </c>
      <c r="D165" s="42" t="s">
        <v>16</v>
      </c>
      <c r="E165" s="350" t="s">
        <v>3218</v>
      </c>
      <c r="F165" s="328">
        <v>21751</v>
      </c>
      <c r="G165" s="328"/>
      <c r="H165" s="328">
        <v>13040</v>
      </c>
      <c r="I165" s="328">
        <v>266</v>
      </c>
      <c r="J165" s="328">
        <v>0.13</v>
      </c>
      <c r="K165" s="43">
        <f t="shared" si="43"/>
        <v>34.58</v>
      </c>
      <c r="L165" s="43">
        <f t="shared" si="44"/>
        <v>13005.42</v>
      </c>
      <c r="M165" s="43"/>
      <c r="N165" s="43">
        <f t="shared" si="45"/>
        <v>13005.42</v>
      </c>
      <c r="O165" s="43">
        <f t="shared" si="46"/>
        <v>912.8</v>
      </c>
      <c r="P165" s="42"/>
      <c r="Q165" s="42"/>
      <c r="R165" s="42">
        <f t="shared" si="47"/>
        <v>0</v>
      </c>
      <c r="S165" s="85"/>
      <c r="T165" s="44"/>
      <c r="V165" s="1"/>
    </row>
    <row r="166" spans="1:22">
      <c r="A166" s="328"/>
      <c r="B166" s="350" t="s">
        <v>3667</v>
      </c>
      <c r="C166" s="350" t="s">
        <v>444</v>
      </c>
      <c r="D166" s="42" t="s">
        <v>16</v>
      </c>
      <c r="E166" s="350" t="s">
        <v>3838</v>
      </c>
      <c r="F166" s="328">
        <v>21752</v>
      </c>
      <c r="G166" s="328"/>
      <c r="H166" s="328">
        <v>12850</v>
      </c>
      <c r="I166" s="328">
        <v>281</v>
      </c>
      <c r="J166" s="328">
        <v>0.13</v>
      </c>
      <c r="K166" s="43">
        <f t="shared" si="43"/>
        <v>36.53</v>
      </c>
      <c r="L166" s="43">
        <f t="shared" si="44"/>
        <v>12813.47</v>
      </c>
      <c r="M166" s="43"/>
      <c r="N166" s="43">
        <f t="shared" si="45"/>
        <v>12813.47</v>
      </c>
      <c r="O166" s="43">
        <f t="shared" si="46"/>
        <v>899.5</v>
      </c>
      <c r="P166" s="42"/>
      <c r="Q166" s="42"/>
      <c r="R166" s="42">
        <f t="shared" si="47"/>
        <v>0</v>
      </c>
      <c r="S166" s="85"/>
      <c r="T166" s="44"/>
    </row>
    <row r="167" spans="1:22">
      <c r="A167" s="328"/>
      <c r="B167" s="350" t="s">
        <v>3667</v>
      </c>
      <c r="C167" s="350" t="s">
        <v>444</v>
      </c>
      <c r="D167" s="42" t="s">
        <v>16</v>
      </c>
      <c r="E167" s="350" t="s">
        <v>4022</v>
      </c>
      <c r="F167" s="328">
        <v>21752</v>
      </c>
      <c r="G167" s="328"/>
      <c r="H167" s="328">
        <v>13120</v>
      </c>
      <c r="I167" s="328">
        <v>293</v>
      </c>
      <c r="J167" s="328">
        <v>0.13</v>
      </c>
      <c r="K167" s="43">
        <f t="shared" si="43"/>
        <v>38.090000000000003</v>
      </c>
      <c r="L167" s="43">
        <f t="shared" si="44"/>
        <v>13081.91</v>
      </c>
      <c r="M167" s="43"/>
      <c r="N167" s="43">
        <f t="shared" si="45"/>
        <v>13081.91</v>
      </c>
      <c r="O167" s="43">
        <f t="shared" si="46"/>
        <v>918.4</v>
      </c>
      <c r="P167" s="42"/>
      <c r="Q167" s="42"/>
      <c r="R167" s="42">
        <f t="shared" si="47"/>
        <v>0</v>
      </c>
      <c r="S167" s="85"/>
      <c r="T167" s="44"/>
    </row>
    <row r="168" spans="1:22">
      <c r="A168" s="330"/>
      <c r="B168" s="330"/>
      <c r="C168" s="330"/>
      <c r="D168" s="331" t="s">
        <v>16</v>
      </c>
      <c r="E168" s="330"/>
      <c r="F168" s="330"/>
      <c r="G168" s="330"/>
      <c r="H168" s="330"/>
      <c r="I168" s="330"/>
      <c r="J168" s="330"/>
      <c r="K168" s="332">
        <f t="shared" si="43"/>
        <v>0</v>
      </c>
      <c r="L168" s="332">
        <f t="shared" si="44"/>
        <v>0</v>
      </c>
      <c r="M168" s="332"/>
      <c r="N168" s="332">
        <f t="shared" si="45"/>
        <v>0</v>
      </c>
      <c r="O168" s="332">
        <f t="shared" si="46"/>
        <v>0</v>
      </c>
      <c r="P168" s="331"/>
      <c r="Q168" s="331"/>
      <c r="R168" s="331">
        <f t="shared" si="47"/>
        <v>0</v>
      </c>
      <c r="S168" s="333"/>
      <c r="T168" s="44"/>
    </row>
    <row r="169" spans="1:22">
      <c r="A169" s="310" t="s">
        <v>4023</v>
      </c>
      <c r="B169" s="328"/>
      <c r="C169" s="328"/>
      <c r="D169" s="42" t="s">
        <v>16</v>
      </c>
      <c r="E169" s="328"/>
      <c r="F169" s="328"/>
      <c r="G169" s="328"/>
      <c r="H169" s="328"/>
      <c r="I169" s="328"/>
      <c r="J169" s="328"/>
      <c r="K169" s="43">
        <f t="shared" si="43"/>
        <v>0</v>
      </c>
      <c r="L169" s="43">
        <f t="shared" si="44"/>
        <v>0</v>
      </c>
      <c r="M169" s="43"/>
      <c r="N169" s="43">
        <f t="shared" si="45"/>
        <v>0</v>
      </c>
      <c r="O169" s="43">
        <f t="shared" si="46"/>
        <v>0</v>
      </c>
      <c r="P169" s="42"/>
      <c r="Q169" s="42"/>
      <c r="R169" s="42">
        <f t="shared" si="47"/>
        <v>0</v>
      </c>
      <c r="S169" s="85"/>
      <c r="T169" s="44"/>
    </row>
    <row r="170" spans="1:22">
      <c r="A170" s="328"/>
      <c r="B170" s="351" t="s">
        <v>103</v>
      </c>
      <c r="C170" s="351" t="s">
        <v>88</v>
      </c>
      <c r="D170" s="42" t="s">
        <v>16</v>
      </c>
      <c r="E170" s="351" t="s">
        <v>4024</v>
      </c>
      <c r="F170" s="328">
        <v>94</v>
      </c>
      <c r="G170" s="328">
        <v>2880</v>
      </c>
      <c r="H170" s="328">
        <v>19940</v>
      </c>
      <c r="I170" s="328">
        <v>400</v>
      </c>
      <c r="J170" s="328">
        <v>0.13</v>
      </c>
      <c r="K170" s="43">
        <f t="shared" si="43"/>
        <v>52</v>
      </c>
      <c r="L170" s="43">
        <f t="shared" si="44"/>
        <v>19888</v>
      </c>
      <c r="M170" s="43"/>
      <c r="N170" s="43">
        <f t="shared" si="45"/>
        <v>19888</v>
      </c>
      <c r="O170" s="43">
        <f t="shared" si="46"/>
        <v>1395.8000000000002</v>
      </c>
      <c r="P170" s="42">
        <v>10500</v>
      </c>
      <c r="Q170" s="42"/>
      <c r="R170" s="42">
        <f t="shared" si="47"/>
        <v>0</v>
      </c>
      <c r="S170" s="85"/>
      <c r="T170" s="44"/>
    </row>
    <row r="171" spans="1:22">
      <c r="A171" s="328"/>
      <c r="B171" s="351" t="s">
        <v>103</v>
      </c>
      <c r="C171" s="351" t="s">
        <v>88</v>
      </c>
      <c r="D171" s="42" t="s">
        <v>16</v>
      </c>
      <c r="E171" s="351" t="s">
        <v>2927</v>
      </c>
      <c r="F171" s="328">
        <v>255</v>
      </c>
      <c r="G171" s="328">
        <v>2881</v>
      </c>
      <c r="H171" s="328">
        <v>19900</v>
      </c>
      <c r="I171" s="328">
        <v>400</v>
      </c>
      <c r="J171" s="328">
        <v>0.13</v>
      </c>
      <c r="K171" s="43">
        <f t="shared" si="43"/>
        <v>52</v>
      </c>
      <c r="L171" s="43">
        <f t="shared" si="44"/>
        <v>19848</v>
      </c>
      <c r="M171" s="43"/>
      <c r="N171" s="43">
        <f t="shared" si="45"/>
        <v>19848</v>
      </c>
      <c r="O171" s="43">
        <f t="shared" si="46"/>
        <v>1393</v>
      </c>
      <c r="P171" s="42">
        <v>25000</v>
      </c>
      <c r="Q171" s="42"/>
      <c r="R171" s="42">
        <f t="shared" si="47"/>
        <v>0</v>
      </c>
      <c r="S171" s="85"/>
      <c r="T171" s="44"/>
    </row>
    <row r="172" spans="1:22">
      <c r="A172" s="328"/>
      <c r="B172" s="351" t="s">
        <v>3958</v>
      </c>
      <c r="C172" s="351" t="s">
        <v>3124</v>
      </c>
      <c r="D172" s="42" t="s">
        <v>16</v>
      </c>
      <c r="E172" s="351" t="s">
        <v>3125</v>
      </c>
      <c r="F172" s="328">
        <v>0</v>
      </c>
      <c r="G172" s="328">
        <v>2882</v>
      </c>
      <c r="H172" s="328">
        <v>2000</v>
      </c>
      <c r="I172" s="328">
        <v>80</v>
      </c>
      <c r="J172" s="328"/>
      <c r="K172" s="43">
        <f t="shared" si="43"/>
        <v>0</v>
      </c>
      <c r="L172" s="43">
        <f t="shared" si="44"/>
        <v>2000</v>
      </c>
      <c r="M172" s="43"/>
      <c r="N172" s="43">
        <f t="shared" si="45"/>
        <v>2000</v>
      </c>
      <c r="O172" s="43">
        <f t="shared" si="46"/>
        <v>140</v>
      </c>
      <c r="P172" s="42">
        <v>0</v>
      </c>
      <c r="Q172" s="42"/>
      <c r="R172" s="42">
        <f t="shared" si="47"/>
        <v>0</v>
      </c>
      <c r="S172" s="85"/>
      <c r="T172" s="44"/>
      <c r="V172">
        <f>SUM(V157:V171)</f>
        <v>0</v>
      </c>
    </row>
    <row r="173" spans="1:22">
      <c r="A173" s="328"/>
      <c r="B173" s="351" t="s">
        <v>3667</v>
      </c>
      <c r="C173" s="351" t="s">
        <v>444</v>
      </c>
      <c r="D173" s="42" t="s">
        <v>16</v>
      </c>
      <c r="E173" s="351" t="s">
        <v>3882</v>
      </c>
      <c r="F173" s="328">
        <v>21755</v>
      </c>
      <c r="G173" s="328"/>
      <c r="H173" s="328">
        <v>13200</v>
      </c>
      <c r="I173" s="328">
        <v>283</v>
      </c>
      <c r="J173" s="328">
        <v>0.13</v>
      </c>
      <c r="K173" s="43">
        <f t="shared" si="43"/>
        <v>36.79</v>
      </c>
      <c r="L173" s="43">
        <f t="shared" si="44"/>
        <v>13163.21</v>
      </c>
      <c r="M173" s="43"/>
      <c r="N173" s="43">
        <f t="shared" si="45"/>
        <v>13163.21</v>
      </c>
      <c r="O173" s="43">
        <f t="shared" si="46"/>
        <v>924</v>
      </c>
      <c r="P173" s="42">
        <v>0</v>
      </c>
      <c r="Q173" s="42"/>
      <c r="R173" s="42">
        <f t="shared" si="47"/>
        <v>0</v>
      </c>
      <c r="S173" s="85"/>
      <c r="T173" s="44"/>
      <c r="V173">
        <v>43000</v>
      </c>
    </row>
    <row r="174" spans="1:22">
      <c r="A174" s="328"/>
      <c r="B174" s="351" t="s">
        <v>3667</v>
      </c>
      <c r="C174" s="351" t="s">
        <v>444</v>
      </c>
      <c r="D174" s="42" t="s">
        <v>16</v>
      </c>
      <c r="E174" s="351" t="s">
        <v>4025</v>
      </c>
      <c r="F174" s="328">
        <v>21754</v>
      </c>
      <c r="G174" s="328"/>
      <c r="H174" s="328">
        <v>13190</v>
      </c>
      <c r="I174" s="328">
        <v>289</v>
      </c>
      <c r="J174" s="328">
        <v>0.13</v>
      </c>
      <c r="K174" s="43">
        <f t="shared" si="43"/>
        <v>37.57</v>
      </c>
      <c r="L174" s="43">
        <f t="shared" si="44"/>
        <v>13152.43</v>
      </c>
      <c r="M174" s="43"/>
      <c r="N174" s="43">
        <f t="shared" si="45"/>
        <v>13152.43</v>
      </c>
      <c r="O174" s="43">
        <f t="shared" si="46"/>
        <v>923.3</v>
      </c>
      <c r="P174" s="42">
        <v>0</v>
      </c>
      <c r="Q174" s="42"/>
      <c r="R174" s="42">
        <f t="shared" si="47"/>
        <v>0</v>
      </c>
      <c r="S174" s="85"/>
      <c r="T174" s="44"/>
      <c r="V174">
        <f>V172-V173</f>
        <v>-43000</v>
      </c>
    </row>
    <row r="175" spans="1:22">
      <c r="A175" s="328"/>
      <c r="B175" s="351" t="s">
        <v>1343</v>
      </c>
      <c r="C175" s="351" t="s">
        <v>481</v>
      </c>
      <c r="D175" s="42" t="s">
        <v>16</v>
      </c>
      <c r="E175" s="351" t="s">
        <v>1720</v>
      </c>
      <c r="F175" s="328">
        <v>2374</v>
      </c>
      <c r="G175" s="328">
        <v>2883</v>
      </c>
      <c r="H175" s="328">
        <v>2100</v>
      </c>
      <c r="I175" s="328">
        <v>84</v>
      </c>
      <c r="J175" s="328"/>
      <c r="K175" s="43">
        <f t="shared" si="43"/>
        <v>0</v>
      </c>
      <c r="L175" s="43">
        <f t="shared" si="44"/>
        <v>2100</v>
      </c>
      <c r="M175" s="43"/>
      <c r="N175" s="43">
        <f t="shared" si="45"/>
        <v>2100</v>
      </c>
      <c r="O175" s="43">
        <v>0</v>
      </c>
      <c r="P175" s="42">
        <v>0</v>
      </c>
      <c r="Q175" s="42"/>
      <c r="R175" s="42">
        <f t="shared" si="47"/>
        <v>0</v>
      </c>
      <c r="S175" s="85"/>
      <c r="T175" s="44"/>
    </row>
    <row r="176" spans="1:22">
      <c r="A176" s="330"/>
      <c r="B176" s="330"/>
      <c r="C176" s="330"/>
      <c r="D176" s="331" t="s">
        <v>16</v>
      </c>
      <c r="E176" s="330"/>
      <c r="F176" s="330"/>
      <c r="G176" s="330"/>
      <c r="H176" s="330"/>
      <c r="I176" s="330"/>
      <c r="J176" s="330"/>
      <c r="K176" s="332">
        <f t="shared" ref="K176" si="53">I176*J176</f>
        <v>0</v>
      </c>
      <c r="L176" s="332">
        <f t="shared" ref="L176" si="54">H176-K176</f>
        <v>0</v>
      </c>
      <c r="M176" s="332"/>
      <c r="N176" s="332">
        <f t="shared" ref="N176" si="55">L176-M176</f>
        <v>0</v>
      </c>
      <c r="O176" s="332">
        <f t="shared" ref="O176" si="56">H176/1000*70</f>
        <v>0</v>
      </c>
      <c r="P176" s="331"/>
      <c r="Q176" s="331"/>
      <c r="R176" s="331">
        <f t="shared" ref="R176" si="57">L176*Q176</f>
        <v>0</v>
      </c>
      <c r="S176" s="333"/>
      <c r="T176" s="44"/>
    </row>
    <row r="177" spans="1:20" s="1" customFormat="1">
      <c r="A177" s="310" t="s">
        <v>4026</v>
      </c>
      <c r="B177" s="328"/>
      <c r="C177" s="328"/>
      <c r="D177" s="42" t="s">
        <v>16</v>
      </c>
      <c r="E177" s="328"/>
      <c r="F177" s="328"/>
      <c r="G177" s="328"/>
      <c r="H177" s="328"/>
      <c r="I177" s="328"/>
      <c r="J177" s="328"/>
      <c r="K177" s="43">
        <f t="shared" si="43"/>
        <v>0</v>
      </c>
      <c r="L177" s="43">
        <f t="shared" si="44"/>
        <v>0</v>
      </c>
      <c r="M177" s="43"/>
      <c r="N177" s="43">
        <f t="shared" si="45"/>
        <v>0</v>
      </c>
      <c r="O177" s="43">
        <f t="shared" si="46"/>
        <v>0</v>
      </c>
      <c r="P177" s="42"/>
      <c r="Q177" s="42"/>
      <c r="R177" s="42">
        <f t="shared" si="47"/>
        <v>0</v>
      </c>
      <c r="S177" s="85"/>
      <c r="T177" s="44"/>
    </row>
    <row r="178" spans="1:20">
      <c r="A178" s="328"/>
      <c r="B178" s="352" t="s">
        <v>1459</v>
      </c>
      <c r="C178" s="352" t="s">
        <v>88</v>
      </c>
      <c r="D178" s="42" t="s">
        <v>16</v>
      </c>
      <c r="E178" s="352" t="s">
        <v>4027</v>
      </c>
      <c r="F178" s="328">
        <v>513</v>
      </c>
      <c r="G178" s="328">
        <v>2884</v>
      </c>
      <c r="H178" s="328">
        <v>15560</v>
      </c>
      <c r="I178" s="328">
        <v>260</v>
      </c>
      <c r="J178" s="328">
        <v>0.5</v>
      </c>
      <c r="K178" s="43">
        <f t="shared" si="43"/>
        <v>130</v>
      </c>
      <c r="L178" s="43">
        <f t="shared" si="44"/>
        <v>15430</v>
      </c>
      <c r="M178" s="43"/>
      <c r="N178" s="43">
        <f t="shared" si="45"/>
        <v>15430</v>
      </c>
      <c r="O178" s="43">
        <f t="shared" si="46"/>
        <v>1089.2</v>
      </c>
      <c r="P178" s="42">
        <v>28000</v>
      </c>
      <c r="Q178" s="42"/>
      <c r="R178" s="42">
        <f t="shared" si="47"/>
        <v>0</v>
      </c>
      <c r="S178" s="85"/>
      <c r="T178" s="44"/>
    </row>
    <row r="179" spans="1:20">
      <c r="A179" s="328"/>
      <c r="B179" s="352" t="s">
        <v>356</v>
      </c>
      <c r="C179" s="352" t="s">
        <v>88</v>
      </c>
      <c r="D179" s="42" t="s">
        <v>16</v>
      </c>
      <c r="E179" s="352" t="s">
        <v>4028</v>
      </c>
      <c r="F179" s="328">
        <v>1098</v>
      </c>
      <c r="G179" s="328">
        <v>2885</v>
      </c>
      <c r="H179" s="328">
        <v>22420</v>
      </c>
      <c r="I179" s="328">
        <v>360</v>
      </c>
      <c r="J179" s="328">
        <v>0.13</v>
      </c>
      <c r="K179" s="43">
        <f t="shared" si="43"/>
        <v>46.800000000000004</v>
      </c>
      <c r="L179" s="43">
        <f t="shared" si="44"/>
        <v>22373.200000000001</v>
      </c>
      <c r="M179" s="43"/>
      <c r="N179" s="43">
        <f t="shared" si="45"/>
        <v>22373.200000000001</v>
      </c>
      <c r="O179" s="43">
        <f t="shared" si="46"/>
        <v>1569.4</v>
      </c>
      <c r="P179" s="42">
        <v>12300</v>
      </c>
      <c r="Q179" s="42"/>
      <c r="R179" s="42">
        <f t="shared" si="47"/>
        <v>0</v>
      </c>
      <c r="S179" s="85"/>
      <c r="T179" s="44"/>
    </row>
    <row r="180" spans="1:20">
      <c r="A180" s="328"/>
      <c r="B180" s="352" t="s">
        <v>356</v>
      </c>
      <c r="C180" s="352" t="s">
        <v>88</v>
      </c>
      <c r="D180" s="42" t="s">
        <v>16</v>
      </c>
      <c r="E180" s="352" t="s">
        <v>3828</v>
      </c>
      <c r="F180" s="328">
        <v>1096</v>
      </c>
      <c r="G180" s="353">
        <v>2886</v>
      </c>
      <c r="H180" s="328">
        <v>24130</v>
      </c>
      <c r="I180" s="328">
        <v>395</v>
      </c>
      <c r="J180" s="328">
        <v>0.13</v>
      </c>
      <c r="K180" s="43">
        <f t="shared" si="43"/>
        <v>51.35</v>
      </c>
      <c r="L180" s="43">
        <f t="shared" si="44"/>
        <v>24078.65</v>
      </c>
      <c r="M180" s="43"/>
      <c r="N180" s="43">
        <f t="shared" si="45"/>
        <v>24078.65</v>
      </c>
      <c r="O180" s="43">
        <f t="shared" si="46"/>
        <v>1689.1</v>
      </c>
      <c r="P180" s="42">
        <v>12950</v>
      </c>
      <c r="Q180" s="42"/>
      <c r="R180" s="42">
        <f t="shared" si="47"/>
        <v>0</v>
      </c>
      <c r="S180" s="85"/>
      <c r="T180" s="44"/>
    </row>
    <row r="181" spans="1:20">
      <c r="A181" s="328"/>
      <c r="B181" s="352" t="s">
        <v>3706</v>
      </c>
      <c r="C181" s="352" t="s">
        <v>88</v>
      </c>
      <c r="D181" s="42" t="s">
        <v>16</v>
      </c>
      <c r="E181" s="352" t="s">
        <v>4029</v>
      </c>
      <c r="F181" s="328">
        <v>0</v>
      </c>
      <c r="G181" s="353">
        <v>2887</v>
      </c>
      <c r="H181" s="328">
        <v>15530</v>
      </c>
      <c r="I181" s="328">
        <v>260</v>
      </c>
      <c r="J181" s="328">
        <v>0.13</v>
      </c>
      <c r="K181" s="43">
        <f t="shared" si="43"/>
        <v>33.800000000000004</v>
      </c>
      <c r="L181" s="43">
        <f t="shared" si="44"/>
        <v>15496.2</v>
      </c>
      <c r="M181" s="43"/>
      <c r="N181" s="43">
        <f t="shared" si="45"/>
        <v>15496.2</v>
      </c>
      <c r="O181" s="43">
        <f t="shared" si="46"/>
        <v>1087.0999999999999</v>
      </c>
      <c r="P181" s="42">
        <v>14000</v>
      </c>
      <c r="Q181" s="42"/>
      <c r="R181" s="42">
        <f t="shared" si="47"/>
        <v>0</v>
      </c>
      <c r="S181" s="85"/>
      <c r="T181" s="44"/>
    </row>
    <row r="182" spans="1:20">
      <c r="A182" s="328"/>
      <c r="B182" s="352" t="s">
        <v>4030</v>
      </c>
      <c r="C182" s="352" t="s">
        <v>3812</v>
      </c>
      <c r="D182" s="42" t="s">
        <v>16</v>
      </c>
      <c r="E182" s="352" t="s">
        <v>4031</v>
      </c>
      <c r="F182" s="328">
        <v>2398</v>
      </c>
      <c r="G182" s="353">
        <v>2888</v>
      </c>
      <c r="H182" s="328">
        <v>300</v>
      </c>
      <c r="I182" s="328">
        <v>12</v>
      </c>
      <c r="J182" s="328"/>
      <c r="K182" s="43">
        <f t="shared" si="43"/>
        <v>0</v>
      </c>
      <c r="L182" s="43">
        <f t="shared" si="44"/>
        <v>300</v>
      </c>
      <c r="M182" s="43"/>
      <c r="N182" s="43">
        <f t="shared" si="45"/>
        <v>300</v>
      </c>
      <c r="O182" s="43">
        <f t="shared" si="46"/>
        <v>21</v>
      </c>
      <c r="P182" s="42">
        <v>0</v>
      </c>
      <c r="Q182" s="42"/>
      <c r="R182" s="42">
        <f t="shared" si="47"/>
        <v>0</v>
      </c>
      <c r="S182" s="85"/>
      <c r="T182" s="44"/>
    </row>
    <row r="183" spans="1:20">
      <c r="A183" s="328"/>
      <c r="B183" s="328"/>
      <c r="C183" s="352" t="s">
        <v>3748</v>
      </c>
      <c r="D183" s="42" t="s">
        <v>16</v>
      </c>
      <c r="E183" s="352" t="s">
        <v>4031</v>
      </c>
      <c r="F183" s="328">
        <v>2397</v>
      </c>
      <c r="G183" s="328"/>
      <c r="H183" s="328">
        <v>500</v>
      </c>
      <c r="I183" s="328">
        <v>20</v>
      </c>
      <c r="J183" s="328"/>
      <c r="K183" s="43">
        <f t="shared" si="43"/>
        <v>0</v>
      </c>
      <c r="L183" s="43">
        <f t="shared" si="44"/>
        <v>500</v>
      </c>
      <c r="M183" s="43"/>
      <c r="N183" s="43">
        <f t="shared" si="45"/>
        <v>500</v>
      </c>
      <c r="O183" s="43">
        <f t="shared" si="46"/>
        <v>35</v>
      </c>
      <c r="P183" s="42">
        <v>0</v>
      </c>
      <c r="Q183" s="42"/>
      <c r="R183" s="42">
        <f t="shared" si="47"/>
        <v>0</v>
      </c>
      <c r="S183" s="85"/>
      <c r="T183" s="44"/>
    </row>
    <row r="184" spans="1:20">
      <c r="A184" s="328"/>
      <c r="B184" s="352" t="s">
        <v>34</v>
      </c>
      <c r="C184" s="352" t="s">
        <v>3204</v>
      </c>
      <c r="D184" s="42" t="s">
        <v>16</v>
      </c>
      <c r="E184" s="352" t="s">
        <v>3050</v>
      </c>
      <c r="F184" s="328">
        <v>389</v>
      </c>
      <c r="G184" s="328">
        <v>2889</v>
      </c>
      <c r="H184" s="328">
        <v>100</v>
      </c>
      <c r="I184" s="328">
        <v>5</v>
      </c>
      <c r="J184" s="328"/>
      <c r="K184" s="43">
        <f t="shared" si="43"/>
        <v>0</v>
      </c>
      <c r="L184" s="43">
        <f t="shared" si="44"/>
        <v>100</v>
      </c>
      <c r="M184" s="43"/>
      <c r="N184" s="43">
        <f t="shared" si="45"/>
        <v>100</v>
      </c>
      <c r="O184" s="43">
        <f t="shared" si="46"/>
        <v>7</v>
      </c>
      <c r="P184" s="42">
        <v>0</v>
      </c>
      <c r="Q184" s="42"/>
      <c r="R184" s="42">
        <f t="shared" si="47"/>
        <v>0</v>
      </c>
      <c r="S184" s="85"/>
      <c r="T184" s="44"/>
    </row>
    <row r="185" spans="1:20">
      <c r="A185" s="328"/>
      <c r="B185" s="352" t="s">
        <v>1269</v>
      </c>
      <c r="C185" s="352" t="s">
        <v>3743</v>
      </c>
      <c r="D185" s="42" t="s">
        <v>16</v>
      </c>
      <c r="E185" s="352" t="s">
        <v>4032</v>
      </c>
      <c r="F185" s="328">
        <v>0</v>
      </c>
      <c r="G185" s="328">
        <v>2890</v>
      </c>
      <c r="H185" s="328">
        <v>75</v>
      </c>
      <c r="I185" s="328">
        <v>3</v>
      </c>
      <c r="J185" s="328"/>
      <c r="K185" s="43">
        <f t="shared" si="43"/>
        <v>0</v>
      </c>
      <c r="L185" s="43">
        <f t="shared" si="44"/>
        <v>75</v>
      </c>
      <c r="M185" s="43"/>
      <c r="N185" s="43">
        <f t="shared" si="45"/>
        <v>75</v>
      </c>
      <c r="O185" s="43">
        <f t="shared" si="46"/>
        <v>5.25</v>
      </c>
      <c r="P185" s="42">
        <v>0</v>
      </c>
      <c r="Q185" s="42">
        <v>2030</v>
      </c>
      <c r="R185" s="42">
        <f t="shared" si="47"/>
        <v>152250</v>
      </c>
      <c r="S185" s="85"/>
      <c r="T185" s="44"/>
    </row>
    <row r="186" spans="1:20">
      <c r="A186" s="330"/>
      <c r="B186" s="330"/>
      <c r="C186" s="330"/>
      <c r="D186" s="331" t="s">
        <v>16</v>
      </c>
      <c r="E186" s="330"/>
      <c r="F186" s="330"/>
      <c r="G186" s="330"/>
      <c r="H186" s="330"/>
      <c r="I186" s="330"/>
      <c r="J186" s="330"/>
      <c r="K186" s="332">
        <f t="shared" si="43"/>
        <v>0</v>
      </c>
      <c r="L186" s="332">
        <f t="shared" si="44"/>
        <v>0</v>
      </c>
      <c r="M186" s="332"/>
      <c r="N186" s="332">
        <f t="shared" si="45"/>
        <v>0</v>
      </c>
      <c r="O186" s="332">
        <f t="shared" si="46"/>
        <v>0</v>
      </c>
      <c r="P186" s="331"/>
      <c r="Q186" s="331"/>
      <c r="R186" s="331">
        <f t="shared" si="47"/>
        <v>0</v>
      </c>
      <c r="S186" s="333"/>
      <c r="T186" s="44"/>
    </row>
    <row r="187" spans="1:20">
      <c r="A187" s="310" t="s">
        <v>4033</v>
      </c>
      <c r="B187" s="328"/>
      <c r="C187" s="328"/>
      <c r="D187" s="42" t="s">
        <v>16</v>
      </c>
      <c r="E187" s="328"/>
      <c r="F187" s="328"/>
      <c r="G187" s="328"/>
      <c r="H187" s="328"/>
      <c r="I187" s="328"/>
      <c r="J187" s="328"/>
      <c r="K187" s="43">
        <f t="shared" si="43"/>
        <v>0</v>
      </c>
      <c r="L187" s="43">
        <f t="shared" si="44"/>
        <v>0</v>
      </c>
      <c r="M187" s="43"/>
      <c r="N187" s="43">
        <f t="shared" si="45"/>
        <v>0</v>
      </c>
      <c r="O187" s="43">
        <f t="shared" si="46"/>
        <v>0</v>
      </c>
      <c r="P187" s="42"/>
      <c r="Q187" s="42"/>
      <c r="R187" s="42">
        <f t="shared" si="47"/>
        <v>0</v>
      </c>
      <c r="S187" s="85"/>
      <c r="T187" s="44"/>
    </row>
    <row r="188" spans="1:20">
      <c r="A188" s="328"/>
      <c r="B188" s="354" t="s">
        <v>103</v>
      </c>
      <c r="C188" s="354" t="s">
        <v>88</v>
      </c>
      <c r="D188" s="42" t="s">
        <v>16</v>
      </c>
      <c r="E188" s="354" t="s">
        <v>2927</v>
      </c>
      <c r="F188" s="328">
        <v>257</v>
      </c>
      <c r="G188" s="328">
        <v>2891</v>
      </c>
      <c r="H188" s="328">
        <v>19990</v>
      </c>
      <c r="I188" s="328">
        <v>400</v>
      </c>
      <c r="J188" s="328">
        <v>0.13</v>
      </c>
      <c r="K188" s="43">
        <f t="shared" si="43"/>
        <v>52</v>
      </c>
      <c r="L188" s="43">
        <f t="shared" si="44"/>
        <v>19938</v>
      </c>
      <c r="M188" s="43"/>
      <c r="N188" s="43">
        <f t="shared" si="45"/>
        <v>19938</v>
      </c>
      <c r="O188" s="43">
        <f t="shared" si="46"/>
        <v>1399.3</v>
      </c>
      <c r="P188" s="42">
        <v>25000</v>
      </c>
      <c r="Q188" s="42">
        <v>21.9</v>
      </c>
      <c r="R188" s="42">
        <f t="shared" si="47"/>
        <v>436642.19999999995</v>
      </c>
      <c r="S188" s="85"/>
      <c r="T188" s="44"/>
    </row>
    <row r="189" spans="1:20">
      <c r="A189" s="328"/>
      <c r="B189" s="354" t="s">
        <v>356</v>
      </c>
      <c r="C189" s="354" t="s">
        <v>88</v>
      </c>
      <c r="D189" s="42" t="s">
        <v>16</v>
      </c>
      <c r="E189" s="354" t="s">
        <v>3982</v>
      </c>
      <c r="F189" s="328">
        <v>1103</v>
      </c>
      <c r="G189" s="328">
        <v>2892</v>
      </c>
      <c r="H189" s="328">
        <v>20550</v>
      </c>
      <c r="I189" s="328">
        <v>321</v>
      </c>
      <c r="J189" s="328">
        <v>0.13</v>
      </c>
      <c r="K189" s="43">
        <f t="shared" si="43"/>
        <v>41.730000000000004</v>
      </c>
      <c r="L189" s="43">
        <f t="shared" si="44"/>
        <v>20508.27</v>
      </c>
      <c r="M189" s="43"/>
      <c r="N189" s="43">
        <f t="shared" si="45"/>
        <v>20508.27</v>
      </c>
      <c r="O189" s="43">
        <f t="shared" si="46"/>
        <v>1438.5</v>
      </c>
      <c r="P189" s="42">
        <v>11600</v>
      </c>
      <c r="Q189" s="42">
        <v>21.9</v>
      </c>
      <c r="R189" s="42">
        <f t="shared" si="47"/>
        <v>449131.11299999995</v>
      </c>
      <c r="S189" s="85"/>
      <c r="T189" s="44"/>
    </row>
    <row r="190" spans="1:20">
      <c r="A190" s="330"/>
      <c r="B190" s="330"/>
      <c r="C190" s="330"/>
      <c r="D190" s="331" t="s">
        <v>16</v>
      </c>
      <c r="E190" s="330"/>
      <c r="F190" s="330"/>
      <c r="G190" s="330"/>
      <c r="H190" s="330"/>
      <c r="I190" s="330"/>
      <c r="J190" s="330"/>
      <c r="K190" s="332">
        <f t="shared" ref="K190" si="58">I190*J190</f>
        <v>0</v>
      </c>
      <c r="L190" s="332">
        <f t="shared" ref="L190" si="59">H190-K190</f>
        <v>0</v>
      </c>
      <c r="M190" s="332"/>
      <c r="N190" s="332">
        <f t="shared" ref="N190" si="60">L190-M190</f>
        <v>0</v>
      </c>
      <c r="O190" s="332">
        <f t="shared" ref="O190" si="61">H190/1000*70</f>
        <v>0</v>
      </c>
      <c r="P190" s="331"/>
      <c r="Q190" s="331"/>
      <c r="R190" s="331">
        <f t="shared" ref="R190" si="62">L190*Q190</f>
        <v>0</v>
      </c>
      <c r="S190" s="333"/>
      <c r="T190" s="44"/>
    </row>
    <row r="191" spans="1:20">
      <c r="A191" s="310" t="s">
        <v>4034</v>
      </c>
      <c r="B191" s="328"/>
      <c r="C191" s="328"/>
      <c r="D191" s="42" t="s">
        <v>16</v>
      </c>
      <c r="E191" s="328"/>
      <c r="F191" s="328"/>
      <c r="G191" s="328"/>
      <c r="H191" s="328"/>
      <c r="I191" s="328"/>
      <c r="J191" s="328"/>
      <c r="K191" s="43">
        <f t="shared" si="43"/>
        <v>0</v>
      </c>
      <c r="L191" s="43">
        <f t="shared" si="44"/>
        <v>0</v>
      </c>
      <c r="M191" s="43"/>
      <c r="N191" s="43">
        <f t="shared" si="45"/>
        <v>0</v>
      </c>
      <c r="O191" s="43">
        <f t="shared" si="46"/>
        <v>0</v>
      </c>
      <c r="P191" s="42"/>
      <c r="Q191" s="42"/>
      <c r="R191" s="42">
        <f t="shared" si="47"/>
        <v>0</v>
      </c>
      <c r="S191" s="85"/>
      <c r="T191" s="44"/>
    </row>
    <row r="192" spans="1:20">
      <c r="A192" s="328"/>
      <c r="B192" s="356" t="s">
        <v>4035</v>
      </c>
      <c r="C192" s="356" t="s">
        <v>20</v>
      </c>
      <c r="D192" s="42" t="s">
        <v>16</v>
      </c>
      <c r="E192" s="356" t="s">
        <v>4036</v>
      </c>
      <c r="F192" s="328">
        <v>1104</v>
      </c>
      <c r="G192" s="328">
        <v>2893</v>
      </c>
      <c r="H192" s="328">
        <v>15000</v>
      </c>
      <c r="I192" s="328">
        <v>300</v>
      </c>
      <c r="J192" s="328">
        <v>0.13</v>
      </c>
      <c r="K192" s="43">
        <f t="shared" si="43"/>
        <v>39</v>
      </c>
      <c r="L192" s="43">
        <f t="shared" si="44"/>
        <v>14961</v>
      </c>
      <c r="M192" s="43"/>
      <c r="N192" s="43">
        <f t="shared" si="45"/>
        <v>14961</v>
      </c>
      <c r="O192" s="43">
        <f t="shared" si="46"/>
        <v>1050</v>
      </c>
      <c r="P192" s="42">
        <v>11500</v>
      </c>
      <c r="Q192" s="42"/>
      <c r="R192" s="42">
        <f t="shared" si="47"/>
        <v>0</v>
      </c>
      <c r="S192" s="42"/>
      <c r="T192" s="44"/>
    </row>
    <row r="193" spans="1:20" s="1" customFormat="1">
      <c r="A193" s="328"/>
      <c r="B193" s="356" t="s">
        <v>4035</v>
      </c>
      <c r="C193" s="356" t="s">
        <v>20</v>
      </c>
      <c r="D193" s="42" t="s">
        <v>16</v>
      </c>
      <c r="E193" s="356" t="s">
        <v>4037</v>
      </c>
      <c r="F193" s="328">
        <v>1105</v>
      </c>
      <c r="G193" s="328">
        <v>2894</v>
      </c>
      <c r="H193" s="328">
        <v>14970</v>
      </c>
      <c r="I193" s="328">
        <v>300</v>
      </c>
      <c r="J193" s="328">
        <v>0.13</v>
      </c>
      <c r="K193" s="43">
        <f t="shared" si="43"/>
        <v>39</v>
      </c>
      <c r="L193" s="43">
        <f t="shared" si="44"/>
        <v>14931</v>
      </c>
      <c r="M193" s="43"/>
      <c r="N193" s="43">
        <f t="shared" si="45"/>
        <v>14931</v>
      </c>
      <c r="O193" s="43">
        <f t="shared" si="46"/>
        <v>1047.9000000000001</v>
      </c>
      <c r="P193" s="42">
        <v>11500</v>
      </c>
      <c r="Q193" s="42"/>
      <c r="R193" s="42">
        <f t="shared" si="47"/>
        <v>0</v>
      </c>
      <c r="S193" s="42"/>
      <c r="T193" s="44"/>
    </row>
    <row r="194" spans="1:20">
      <c r="A194" s="328"/>
      <c r="B194" s="356" t="s">
        <v>103</v>
      </c>
      <c r="C194" s="356" t="s">
        <v>88</v>
      </c>
      <c r="D194" s="42" t="s">
        <v>16</v>
      </c>
      <c r="E194" s="356" t="s">
        <v>1807</v>
      </c>
      <c r="F194" s="328">
        <v>665</v>
      </c>
      <c r="G194" s="328">
        <v>2895</v>
      </c>
      <c r="H194" s="328">
        <v>14600</v>
      </c>
      <c r="I194" s="328">
        <v>270</v>
      </c>
      <c r="J194" s="328">
        <v>0.5</v>
      </c>
      <c r="K194" s="43">
        <f t="shared" si="43"/>
        <v>135</v>
      </c>
      <c r="L194" s="43">
        <f t="shared" si="44"/>
        <v>14465</v>
      </c>
      <c r="M194" s="43"/>
      <c r="N194" s="43">
        <f t="shared" si="45"/>
        <v>14465</v>
      </c>
      <c r="O194" s="43">
        <f t="shared" si="46"/>
        <v>1022</v>
      </c>
      <c r="P194" s="42">
        <v>16000</v>
      </c>
      <c r="Q194" s="42"/>
      <c r="R194" s="42">
        <f t="shared" si="47"/>
        <v>0</v>
      </c>
      <c r="S194" s="42"/>
      <c r="T194" s="44"/>
    </row>
    <row r="195" spans="1:20">
      <c r="A195" s="330"/>
      <c r="B195" s="330"/>
      <c r="C195" s="330"/>
      <c r="D195" s="331" t="s">
        <v>16</v>
      </c>
      <c r="E195" s="330"/>
      <c r="F195" s="330"/>
      <c r="G195" s="330"/>
      <c r="H195" s="330"/>
      <c r="I195" s="330"/>
      <c r="J195" s="330"/>
      <c r="K195" s="332">
        <f t="shared" si="43"/>
        <v>0</v>
      </c>
      <c r="L195" s="332">
        <f t="shared" si="44"/>
        <v>0</v>
      </c>
      <c r="M195" s="332"/>
      <c r="N195" s="332">
        <f t="shared" si="45"/>
        <v>0</v>
      </c>
      <c r="O195" s="332">
        <f t="shared" si="46"/>
        <v>0</v>
      </c>
      <c r="P195" s="331"/>
      <c r="Q195" s="331"/>
      <c r="R195" s="331">
        <f t="shared" si="47"/>
        <v>0</v>
      </c>
      <c r="S195" s="333"/>
      <c r="T195" s="44"/>
    </row>
    <row r="196" spans="1:20">
      <c r="A196" s="310" t="s">
        <v>4038</v>
      </c>
      <c r="B196" s="328"/>
      <c r="C196" s="328"/>
      <c r="D196" s="42" t="s">
        <v>16</v>
      </c>
      <c r="E196" s="328"/>
      <c r="F196" s="328"/>
      <c r="G196" s="328"/>
      <c r="H196" s="328"/>
      <c r="I196" s="328"/>
      <c r="J196" s="328"/>
      <c r="K196" s="43">
        <f t="shared" si="43"/>
        <v>0</v>
      </c>
      <c r="L196" s="43">
        <f t="shared" si="44"/>
        <v>0</v>
      </c>
      <c r="M196" s="43"/>
      <c r="N196" s="43">
        <f t="shared" si="45"/>
        <v>0</v>
      </c>
      <c r="O196" s="43">
        <f t="shared" si="46"/>
        <v>0</v>
      </c>
      <c r="P196" s="42"/>
      <c r="Q196" s="42"/>
      <c r="R196" s="42">
        <f t="shared" si="47"/>
        <v>0</v>
      </c>
      <c r="S196" s="42"/>
      <c r="T196" s="44"/>
    </row>
    <row r="197" spans="1:20">
      <c r="A197" s="328"/>
      <c r="B197" s="357" t="s">
        <v>3927</v>
      </c>
      <c r="C197" s="357" t="s">
        <v>3928</v>
      </c>
      <c r="D197" s="42" t="s">
        <v>16</v>
      </c>
      <c r="E197" s="357" t="s">
        <v>449</v>
      </c>
      <c r="F197" s="328">
        <v>7926</v>
      </c>
      <c r="G197" s="328">
        <v>2897</v>
      </c>
      <c r="H197" s="328">
        <v>13490</v>
      </c>
      <c r="I197" s="328">
        <v>300</v>
      </c>
      <c r="J197" s="328"/>
      <c r="K197" s="43">
        <f t="shared" si="43"/>
        <v>0</v>
      </c>
      <c r="L197" s="43">
        <f t="shared" si="44"/>
        <v>13490</v>
      </c>
      <c r="M197" s="43"/>
      <c r="N197" s="43">
        <f t="shared" si="45"/>
        <v>13490</v>
      </c>
      <c r="O197" s="43">
        <v>0</v>
      </c>
      <c r="P197" s="42">
        <v>5500</v>
      </c>
      <c r="Q197" s="42">
        <v>13.75</v>
      </c>
      <c r="R197" s="42">
        <f t="shared" si="47"/>
        <v>185487.5</v>
      </c>
      <c r="S197" s="42"/>
      <c r="T197" s="44"/>
    </row>
    <row r="198" spans="1:20">
      <c r="A198" s="328"/>
      <c r="B198" s="357" t="s">
        <v>4039</v>
      </c>
      <c r="C198" s="357" t="s">
        <v>2737</v>
      </c>
      <c r="D198" s="42" t="s">
        <v>16</v>
      </c>
      <c r="E198" s="357" t="s">
        <v>4040</v>
      </c>
      <c r="F198" s="328">
        <v>311362</v>
      </c>
      <c r="G198" s="328">
        <v>2898</v>
      </c>
      <c r="H198" s="328">
        <v>318</v>
      </c>
      <c r="I198" s="328"/>
      <c r="J198" s="328"/>
      <c r="K198" s="43">
        <f t="shared" si="43"/>
        <v>0</v>
      </c>
      <c r="L198" s="43">
        <f t="shared" si="44"/>
        <v>318</v>
      </c>
      <c r="M198" s="43"/>
      <c r="N198" s="43">
        <f t="shared" si="45"/>
        <v>318</v>
      </c>
      <c r="O198" s="43">
        <f t="shared" si="46"/>
        <v>22.26</v>
      </c>
      <c r="P198" s="42">
        <v>0</v>
      </c>
      <c r="Q198" s="42">
        <v>325</v>
      </c>
      <c r="R198" s="42">
        <f t="shared" si="47"/>
        <v>103350</v>
      </c>
      <c r="S198" s="42"/>
      <c r="T198" s="44"/>
    </row>
    <row r="199" spans="1:20">
      <c r="A199" s="328"/>
      <c r="B199" s="357" t="s">
        <v>1304</v>
      </c>
      <c r="C199" s="357" t="s">
        <v>24</v>
      </c>
      <c r="D199" s="42" t="s">
        <v>16</v>
      </c>
      <c r="E199" s="357" t="s">
        <v>2635</v>
      </c>
      <c r="F199" s="328">
        <v>1924451</v>
      </c>
      <c r="G199" s="328">
        <v>2899</v>
      </c>
      <c r="H199" s="328">
        <v>15000</v>
      </c>
      <c r="I199" s="328">
        <v>300</v>
      </c>
      <c r="J199" s="328">
        <v>0.13</v>
      </c>
      <c r="K199" s="43">
        <f t="shared" si="43"/>
        <v>39</v>
      </c>
      <c r="L199" s="43">
        <f t="shared" si="44"/>
        <v>14961</v>
      </c>
      <c r="M199" s="43"/>
      <c r="N199" s="43">
        <f t="shared" si="45"/>
        <v>14961</v>
      </c>
      <c r="O199" s="43">
        <f t="shared" si="46"/>
        <v>1050</v>
      </c>
      <c r="P199" s="42">
        <v>10000</v>
      </c>
      <c r="Q199" s="42">
        <v>36.25</v>
      </c>
      <c r="R199" s="42">
        <f t="shared" si="47"/>
        <v>542336.25</v>
      </c>
      <c r="S199" s="42"/>
      <c r="T199" s="44"/>
    </row>
    <row r="200" spans="1:20">
      <c r="A200" s="330"/>
      <c r="B200" s="330"/>
      <c r="C200" s="330"/>
      <c r="D200" s="331" t="s">
        <v>16</v>
      </c>
      <c r="E200" s="330"/>
      <c r="F200" s="330"/>
      <c r="G200" s="330"/>
      <c r="H200" s="330"/>
      <c r="I200" s="330"/>
      <c r="J200" s="330"/>
      <c r="K200" s="332">
        <f t="shared" ref="K200" si="63">I200*J200</f>
        <v>0</v>
      </c>
      <c r="L200" s="332">
        <f t="shared" ref="L200" si="64">H200-K200</f>
        <v>0</v>
      </c>
      <c r="M200" s="332"/>
      <c r="N200" s="332">
        <f t="shared" ref="N200" si="65">L200-M200</f>
        <v>0</v>
      </c>
      <c r="O200" s="332">
        <f t="shared" ref="O200" si="66">H200/1000*70</f>
        <v>0</v>
      </c>
      <c r="P200" s="331"/>
      <c r="Q200" s="331"/>
      <c r="R200" s="331">
        <f t="shared" ref="R200" si="67">L200*Q200</f>
        <v>0</v>
      </c>
      <c r="S200" s="333"/>
      <c r="T200" s="44"/>
    </row>
    <row r="201" spans="1:20">
      <c r="A201" s="310" t="s">
        <v>4041</v>
      </c>
      <c r="B201" s="328"/>
      <c r="C201" s="328"/>
      <c r="D201" s="42" t="s">
        <v>16</v>
      </c>
      <c r="E201" s="328"/>
      <c r="F201" s="328"/>
      <c r="G201" s="328"/>
      <c r="H201" s="328"/>
      <c r="I201" s="328"/>
      <c r="J201" s="328"/>
      <c r="K201" s="43">
        <f t="shared" si="43"/>
        <v>0</v>
      </c>
      <c r="L201" s="43">
        <f t="shared" si="44"/>
        <v>0</v>
      </c>
      <c r="M201" s="43"/>
      <c r="N201" s="43">
        <f t="shared" si="45"/>
        <v>0</v>
      </c>
      <c r="O201" s="43">
        <f t="shared" si="46"/>
        <v>0</v>
      </c>
      <c r="P201" s="42"/>
      <c r="Q201" s="42"/>
      <c r="R201" s="42">
        <f t="shared" si="47"/>
        <v>0</v>
      </c>
      <c r="S201" s="42"/>
      <c r="T201" s="44"/>
    </row>
    <row r="202" spans="1:20">
      <c r="A202" s="328"/>
      <c r="B202" s="357" t="s">
        <v>4042</v>
      </c>
      <c r="C202" s="357" t="s">
        <v>3977</v>
      </c>
      <c r="D202" s="42" t="s">
        <v>16</v>
      </c>
      <c r="E202" s="357" t="s">
        <v>4043</v>
      </c>
      <c r="F202" s="328">
        <v>4</v>
      </c>
      <c r="G202" s="328">
        <v>2900</v>
      </c>
      <c r="H202" s="328">
        <v>18570</v>
      </c>
      <c r="I202" s="328">
        <v>240</v>
      </c>
      <c r="J202" s="328"/>
      <c r="K202" s="43">
        <f t="shared" ref="K202:K254" si="68">I202*J202</f>
        <v>0</v>
      </c>
      <c r="L202" s="43">
        <f t="shared" ref="L202:L254" si="69">H202-K202</f>
        <v>18570</v>
      </c>
      <c r="M202" s="43"/>
      <c r="N202" s="43">
        <f t="shared" ref="N202:N254" si="70">L202-M202</f>
        <v>18570</v>
      </c>
      <c r="O202" s="43">
        <v>0</v>
      </c>
      <c r="P202" s="42">
        <v>11000</v>
      </c>
      <c r="Q202" s="42">
        <v>17.52</v>
      </c>
      <c r="R202" s="42">
        <f t="shared" ref="R202:R254" si="71">L202*Q202</f>
        <v>325346.39999999997</v>
      </c>
      <c r="S202" s="42"/>
      <c r="T202" s="44"/>
    </row>
    <row r="203" spans="1:20">
      <c r="A203" s="328"/>
      <c r="B203" s="357" t="s">
        <v>4035</v>
      </c>
      <c r="C203" s="357" t="s">
        <v>20</v>
      </c>
      <c r="D203" s="42" t="s">
        <v>16</v>
      </c>
      <c r="E203" s="357" t="s">
        <v>4044</v>
      </c>
      <c r="F203" s="328">
        <v>1111</v>
      </c>
      <c r="G203" s="328">
        <v>2901</v>
      </c>
      <c r="H203" s="328">
        <v>15000</v>
      </c>
      <c r="I203" s="328">
        <v>300</v>
      </c>
      <c r="J203" s="328">
        <v>0.13</v>
      </c>
      <c r="K203" s="43">
        <f t="shared" si="68"/>
        <v>39</v>
      </c>
      <c r="L203" s="43">
        <f t="shared" si="69"/>
        <v>14961</v>
      </c>
      <c r="M203" s="43"/>
      <c r="N203" s="43">
        <f t="shared" si="70"/>
        <v>14961</v>
      </c>
      <c r="O203" s="43">
        <f t="shared" ref="O203:O254" si="72">H203/1000*70</f>
        <v>1050</v>
      </c>
      <c r="P203" s="42">
        <v>10500</v>
      </c>
      <c r="Q203" s="42">
        <v>27.9</v>
      </c>
      <c r="R203" s="42">
        <f t="shared" si="71"/>
        <v>417411.89999999997</v>
      </c>
      <c r="S203" s="42"/>
      <c r="T203" s="44"/>
    </row>
    <row r="204" spans="1:20">
      <c r="A204" s="328"/>
      <c r="B204" s="357" t="s">
        <v>4035</v>
      </c>
      <c r="C204" s="357" t="s">
        <v>20</v>
      </c>
      <c r="D204" s="42" t="s">
        <v>16</v>
      </c>
      <c r="E204" s="357" t="s">
        <v>2777</v>
      </c>
      <c r="F204" s="328">
        <v>1115</v>
      </c>
      <c r="G204" s="328">
        <v>2902</v>
      </c>
      <c r="H204" s="328">
        <v>14990</v>
      </c>
      <c r="I204" s="328">
        <v>300</v>
      </c>
      <c r="J204" s="328">
        <v>0.13</v>
      </c>
      <c r="K204" s="43">
        <f t="shared" si="68"/>
        <v>39</v>
      </c>
      <c r="L204" s="43">
        <f t="shared" si="69"/>
        <v>14951</v>
      </c>
      <c r="M204" s="43"/>
      <c r="N204" s="43">
        <f t="shared" si="70"/>
        <v>14951</v>
      </c>
      <c r="O204" s="43">
        <f t="shared" si="72"/>
        <v>1049.3</v>
      </c>
      <c r="P204" s="42">
        <v>10500</v>
      </c>
      <c r="Q204" s="42">
        <v>27.9</v>
      </c>
      <c r="R204" s="42">
        <f t="shared" si="71"/>
        <v>417132.89999999997</v>
      </c>
      <c r="S204" s="42"/>
      <c r="T204" s="44"/>
    </row>
    <row r="205" spans="1:20">
      <c r="A205" s="330"/>
      <c r="B205" s="330"/>
      <c r="C205" s="330"/>
      <c r="D205" s="331" t="s">
        <v>16</v>
      </c>
      <c r="E205" s="330"/>
      <c r="F205" s="330"/>
      <c r="G205" s="330"/>
      <c r="H205" s="330"/>
      <c r="I205" s="330"/>
      <c r="J205" s="330"/>
      <c r="K205" s="332">
        <f t="shared" si="68"/>
        <v>0</v>
      </c>
      <c r="L205" s="332">
        <f t="shared" si="69"/>
        <v>0</v>
      </c>
      <c r="M205" s="332"/>
      <c r="N205" s="332">
        <f t="shared" si="70"/>
        <v>0</v>
      </c>
      <c r="O205" s="332">
        <f t="shared" si="72"/>
        <v>0</v>
      </c>
      <c r="P205" s="331"/>
      <c r="Q205" s="331"/>
      <c r="R205" s="331">
        <f t="shared" si="71"/>
        <v>0</v>
      </c>
      <c r="S205" s="333"/>
      <c r="T205" s="44"/>
    </row>
    <row r="206" spans="1:20">
      <c r="A206" s="310" t="s">
        <v>4045</v>
      </c>
      <c r="B206" s="328"/>
      <c r="C206" s="328"/>
      <c r="D206" s="42" t="s">
        <v>16</v>
      </c>
      <c r="E206" s="328"/>
      <c r="F206" s="328"/>
      <c r="G206" s="328"/>
      <c r="H206" s="328"/>
      <c r="I206" s="328"/>
      <c r="J206" s="328"/>
      <c r="K206" s="43">
        <f t="shared" si="68"/>
        <v>0</v>
      </c>
      <c r="L206" s="43">
        <f t="shared" si="69"/>
        <v>0</v>
      </c>
      <c r="M206" s="43"/>
      <c r="N206" s="43">
        <f t="shared" si="70"/>
        <v>0</v>
      </c>
      <c r="O206" s="43">
        <f t="shared" si="72"/>
        <v>0</v>
      </c>
      <c r="P206" s="42"/>
      <c r="Q206" s="42"/>
      <c r="R206" s="42">
        <f t="shared" si="71"/>
        <v>0</v>
      </c>
      <c r="S206" s="42"/>
      <c r="T206" s="44"/>
    </row>
    <row r="207" spans="1:20">
      <c r="A207" s="328"/>
      <c r="B207" s="357" t="s">
        <v>4042</v>
      </c>
      <c r="C207" s="357" t="s">
        <v>3977</v>
      </c>
      <c r="D207" s="42" t="s">
        <v>16</v>
      </c>
      <c r="E207" s="357" t="s">
        <v>4046</v>
      </c>
      <c r="F207" s="328">
        <v>6</v>
      </c>
      <c r="G207" s="328">
        <v>2903</v>
      </c>
      <c r="H207" s="328">
        <v>18500</v>
      </c>
      <c r="I207" s="328">
        <v>240</v>
      </c>
      <c r="J207" s="328"/>
      <c r="K207" s="43">
        <f t="shared" si="68"/>
        <v>0</v>
      </c>
      <c r="L207" s="43">
        <f t="shared" si="69"/>
        <v>18500</v>
      </c>
      <c r="M207" s="43"/>
      <c r="N207" s="43">
        <f t="shared" si="70"/>
        <v>18500</v>
      </c>
      <c r="O207" s="43">
        <v>0</v>
      </c>
      <c r="P207" s="42">
        <v>11000</v>
      </c>
      <c r="Q207" s="42">
        <v>17.52</v>
      </c>
      <c r="R207" s="42">
        <f t="shared" si="71"/>
        <v>324120</v>
      </c>
      <c r="S207" s="42"/>
      <c r="T207" s="44"/>
    </row>
    <row r="208" spans="1:20">
      <c r="A208" s="328"/>
      <c r="B208" s="357" t="s">
        <v>3961</v>
      </c>
      <c r="C208" s="357" t="s">
        <v>3567</v>
      </c>
      <c r="D208" s="42" t="s">
        <v>16</v>
      </c>
      <c r="E208" s="357" t="s">
        <v>4047</v>
      </c>
      <c r="F208" s="328">
        <v>388</v>
      </c>
      <c r="G208" s="328">
        <v>2896</v>
      </c>
      <c r="H208" s="328">
        <v>13550</v>
      </c>
      <c r="I208" s="328">
        <v>300</v>
      </c>
      <c r="J208" s="328"/>
      <c r="K208" s="43">
        <f t="shared" si="68"/>
        <v>0</v>
      </c>
      <c r="L208" s="43">
        <f t="shared" si="69"/>
        <v>13550</v>
      </c>
      <c r="M208" s="43"/>
      <c r="N208" s="43">
        <f t="shared" si="70"/>
        <v>13550</v>
      </c>
      <c r="O208" s="43">
        <v>0</v>
      </c>
      <c r="P208" s="42">
        <v>7000</v>
      </c>
      <c r="Q208" s="42">
        <v>15.75</v>
      </c>
      <c r="R208" s="42">
        <f t="shared" si="71"/>
        <v>213412.5</v>
      </c>
      <c r="S208" s="42"/>
      <c r="T208" s="44"/>
    </row>
    <row r="209" spans="1:20">
      <c r="A209" s="328"/>
      <c r="B209" s="357" t="s">
        <v>1304</v>
      </c>
      <c r="C209" s="357" t="s">
        <v>24</v>
      </c>
      <c r="D209" s="42" t="s">
        <v>16</v>
      </c>
      <c r="E209" s="357" t="s">
        <v>3554</v>
      </c>
      <c r="F209" s="328">
        <v>1924403</v>
      </c>
      <c r="G209" s="328">
        <v>2904</v>
      </c>
      <c r="H209" s="328">
        <v>14980</v>
      </c>
      <c r="I209" s="328">
        <v>300</v>
      </c>
      <c r="J209" s="328">
        <v>0.13</v>
      </c>
      <c r="K209" s="43">
        <f t="shared" si="68"/>
        <v>39</v>
      </c>
      <c r="L209" s="43">
        <f t="shared" si="69"/>
        <v>14941</v>
      </c>
      <c r="M209" s="43"/>
      <c r="N209" s="43">
        <f t="shared" si="70"/>
        <v>14941</v>
      </c>
      <c r="O209" s="43">
        <f t="shared" si="72"/>
        <v>1048.6000000000001</v>
      </c>
      <c r="P209" s="42">
        <v>10000</v>
      </c>
      <c r="Q209" s="42">
        <v>36.25</v>
      </c>
      <c r="R209" s="42">
        <f t="shared" si="71"/>
        <v>541611.25</v>
      </c>
      <c r="S209" s="42"/>
      <c r="T209" s="44"/>
    </row>
    <row r="210" spans="1:20">
      <c r="A210" s="328"/>
      <c r="B210" s="357" t="s">
        <v>330</v>
      </c>
      <c r="C210" s="357" t="s">
        <v>881</v>
      </c>
      <c r="D210" s="42" t="s">
        <v>16</v>
      </c>
      <c r="E210" s="357" t="s">
        <v>378</v>
      </c>
      <c r="F210" s="328">
        <v>18437</v>
      </c>
      <c r="G210" s="328">
        <v>2905</v>
      </c>
      <c r="H210" s="328">
        <v>720</v>
      </c>
      <c r="I210" s="328">
        <v>15</v>
      </c>
      <c r="J210" s="328"/>
      <c r="K210" s="43">
        <f t="shared" si="68"/>
        <v>0</v>
      </c>
      <c r="L210" s="43">
        <f t="shared" si="69"/>
        <v>720</v>
      </c>
      <c r="M210" s="43"/>
      <c r="N210" s="43">
        <f t="shared" si="70"/>
        <v>720</v>
      </c>
      <c r="O210" s="43">
        <f t="shared" si="72"/>
        <v>50.4</v>
      </c>
      <c r="P210" s="42">
        <v>0</v>
      </c>
      <c r="Q210" s="42"/>
      <c r="R210" s="42">
        <f t="shared" si="71"/>
        <v>0</v>
      </c>
      <c r="S210" s="85" t="s">
        <v>4048</v>
      </c>
      <c r="T210" s="44"/>
    </row>
    <row r="211" spans="1:20">
      <c r="A211" s="328"/>
      <c r="B211" s="357" t="s">
        <v>3667</v>
      </c>
      <c r="C211" s="357" t="s">
        <v>444</v>
      </c>
      <c r="D211" s="42" t="s">
        <v>16</v>
      </c>
      <c r="E211" s="357" t="s">
        <v>4025</v>
      </c>
      <c r="F211" s="328">
        <v>21794</v>
      </c>
      <c r="G211" s="328"/>
      <c r="H211" s="357">
        <v>12910</v>
      </c>
      <c r="I211" s="328">
        <v>289</v>
      </c>
      <c r="J211" s="328">
        <v>0.13</v>
      </c>
      <c r="K211" s="43">
        <f t="shared" si="68"/>
        <v>37.57</v>
      </c>
      <c r="L211" s="43">
        <f t="shared" si="69"/>
        <v>12872.43</v>
      </c>
      <c r="M211" s="43"/>
      <c r="N211" s="43">
        <f t="shared" si="70"/>
        <v>12872.43</v>
      </c>
      <c r="O211" s="43">
        <f t="shared" si="72"/>
        <v>903.7</v>
      </c>
      <c r="P211" s="42">
        <v>0</v>
      </c>
      <c r="Q211" s="42"/>
      <c r="R211" s="42">
        <f t="shared" si="71"/>
        <v>0</v>
      </c>
      <c r="S211" s="42"/>
      <c r="T211" s="44"/>
    </row>
    <row r="212" spans="1:20">
      <c r="A212" s="328"/>
      <c r="B212" s="357" t="s">
        <v>3667</v>
      </c>
      <c r="C212" s="357" t="s">
        <v>444</v>
      </c>
      <c r="D212" s="42" t="s">
        <v>16</v>
      </c>
      <c r="E212" s="357" t="s">
        <v>983</v>
      </c>
      <c r="F212" s="328">
        <v>21796</v>
      </c>
      <c r="G212" s="328"/>
      <c r="H212" s="328">
        <v>12880</v>
      </c>
      <c r="I212" s="328">
        <v>285</v>
      </c>
      <c r="J212" s="328">
        <v>0.13</v>
      </c>
      <c r="K212" s="43">
        <f t="shared" si="68"/>
        <v>37.050000000000004</v>
      </c>
      <c r="L212" s="43">
        <f t="shared" si="69"/>
        <v>12842.95</v>
      </c>
      <c r="M212" s="43"/>
      <c r="N212" s="43">
        <f t="shared" si="70"/>
        <v>12842.95</v>
      </c>
      <c r="O212" s="43">
        <f t="shared" si="72"/>
        <v>901.6</v>
      </c>
      <c r="P212" s="42">
        <v>0</v>
      </c>
      <c r="Q212" s="42"/>
      <c r="R212" s="42">
        <f t="shared" si="71"/>
        <v>0</v>
      </c>
      <c r="S212" s="42"/>
      <c r="T212" s="44"/>
    </row>
    <row r="213" spans="1:20">
      <c r="A213" s="328"/>
      <c r="B213" s="357" t="s">
        <v>3667</v>
      </c>
      <c r="C213" s="357" t="s">
        <v>444</v>
      </c>
      <c r="D213" s="42" t="s">
        <v>16</v>
      </c>
      <c r="E213" s="357" t="s">
        <v>4049</v>
      </c>
      <c r="F213" s="328">
        <v>21787</v>
      </c>
      <c r="G213" s="328"/>
      <c r="H213" s="328">
        <v>13050</v>
      </c>
      <c r="I213" s="328">
        <v>290</v>
      </c>
      <c r="J213" s="328">
        <v>0.13</v>
      </c>
      <c r="K213" s="43">
        <f t="shared" si="68"/>
        <v>37.700000000000003</v>
      </c>
      <c r="L213" s="43">
        <f t="shared" si="69"/>
        <v>13012.3</v>
      </c>
      <c r="M213" s="43"/>
      <c r="N213" s="43">
        <f t="shared" si="70"/>
        <v>13012.3</v>
      </c>
      <c r="O213" s="43">
        <f t="shared" si="72"/>
        <v>913.5</v>
      </c>
      <c r="P213" s="42">
        <v>0</v>
      </c>
      <c r="Q213" s="42"/>
      <c r="R213" s="42">
        <f t="shared" si="71"/>
        <v>0</v>
      </c>
      <c r="S213" s="42"/>
      <c r="T213" s="44"/>
    </row>
    <row r="214" spans="1:20">
      <c r="A214" s="328"/>
      <c r="B214" s="357" t="s">
        <v>3667</v>
      </c>
      <c r="C214" s="357" t="s">
        <v>444</v>
      </c>
      <c r="D214" s="42" t="s">
        <v>16</v>
      </c>
      <c r="E214" s="357" t="s">
        <v>4050</v>
      </c>
      <c r="F214" s="328">
        <v>21797</v>
      </c>
      <c r="G214" s="328"/>
      <c r="H214" s="328">
        <v>13200</v>
      </c>
      <c r="I214" s="328">
        <v>280</v>
      </c>
      <c r="J214" s="328">
        <v>0.13</v>
      </c>
      <c r="K214" s="43">
        <f t="shared" si="68"/>
        <v>36.4</v>
      </c>
      <c r="L214" s="43">
        <f t="shared" si="69"/>
        <v>13163.6</v>
      </c>
      <c r="M214" s="43"/>
      <c r="N214" s="43">
        <f t="shared" si="70"/>
        <v>13163.6</v>
      </c>
      <c r="O214" s="43">
        <f t="shared" si="72"/>
        <v>924</v>
      </c>
      <c r="P214" s="42">
        <v>0</v>
      </c>
      <c r="Q214" s="42"/>
      <c r="R214" s="42">
        <f t="shared" si="71"/>
        <v>0</v>
      </c>
      <c r="S214" s="42"/>
      <c r="T214" s="44"/>
    </row>
    <row r="215" spans="1:20">
      <c r="A215" s="328"/>
      <c r="B215" s="357" t="s">
        <v>3667</v>
      </c>
      <c r="C215" s="357" t="s">
        <v>444</v>
      </c>
      <c r="D215" s="42" t="s">
        <v>16</v>
      </c>
      <c r="E215" s="357" t="s">
        <v>4051</v>
      </c>
      <c r="F215" s="328">
        <v>21786</v>
      </c>
      <c r="G215" s="328"/>
      <c r="H215" s="328">
        <v>13160</v>
      </c>
      <c r="I215" s="328">
        <v>281</v>
      </c>
      <c r="J215" s="328">
        <v>0.13</v>
      </c>
      <c r="K215" s="43">
        <f t="shared" si="68"/>
        <v>36.53</v>
      </c>
      <c r="L215" s="43">
        <f t="shared" si="69"/>
        <v>13123.47</v>
      </c>
      <c r="M215" s="43"/>
      <c r="N215" s="43">
        <f t="shared" si="70"/>
        <v>13123.47</v>
      </c>
      <c r="O215" s="43">
        <f t="shared" si="72"/>
        <v>921.2</v>
      </c>
      <c r="P215" s="42">
        <v>0</v>
      </c>
      <c r="Q215" s="42"/>
      <c r="R215" s="42">
        <f t="shared" si="71"/>
        <v>0</v>
      </c>
      <c r="S215" s="42"/>
      <c r="T215" s="44"/>
    </row>
    <row r="216" spans="1:20">
      <c r="A216" s="328"/>
      <c r="B216" s="357" t="s">
        <v>3667</v>
      </c>
      <c r="C216" s="357" t="s">
        <v>444</v>
      </c>
      <c r="D216" s="42" t="s">
        <v>16</v>
      </c>
      <c r="E216" s="357" t="s">
        <v>4052</v>
      </c>
      <c r="F216" s="328">
        <v>21788</v>
      </c>
      <c r="G216" s="328"/>
      <c r="H216" s="328">
        <v>13000</v>
      </c>
      <c r="I216" s="328">
        <v>289</v>
      </c>
      <c r="J216" s="328">
        <v>0.13</v>
      </c>
      <c r="K216" s="43">
        <f t="shared" si="68"/>
        <v>37.57</v>
      </c>
      <c r="L216" s="43">
        <f t="shared" si="69"/>
        <v>12962.43</v>
      </c>
      <c r="M216" s="43"/>
      <c r="N216" s="43">
        <f t="shared" si="70"/>
        <v>12962.43</v>
      </c>
      <c r="O216" s="43">
        <f t="shared" si="72"/>
        <v>910</v>
      </c>
      <c r="P216" s="42">
        <v>0</v>
      </c>
      <c r="Q216" s="42"/>
      <c r="R216" s="42">
        <f t="shared" si="71"/>
        <v>0</v>
      </c>
      <c r="S216" s="42"/>
      <c r="T216" s="44"/>
    </row>
    <row r="217" spans="1:20">
      <c r="A217" s="328"/>
      <c r="B217" s="357" t="s">
        <v>3667</v>
      </c>
      <c r="C217" s="357" t="s">
        <v>444</v>
      </c>
      <c r="D217" s="42" t="s">
        <v>16</v>
      </c>
      <c r="E217" s="357" t="s">
        <v>4053</v>
      </c>
      <c r="F217" s="328">
        <v>21793</v>
      </c>
      <c r="G217" s="328"/>
      <c r="H217" s="328">
        <v>12980</v>
      </c>
      <c r="I217" s="328">
        <v>280</v>
      </c>
      <c r="J217" s="328">
        <v>0.13</v>
      </c>
      <c r="K217" s="43">
        <f t="shared" si="68"/>
        <v>36.4</v>
      </c>
      <c r="L217" s="43">
        <f t="shared" si="69"/>
        <v>12943.6</v>
      </c>
      <c r="M217" s="43"/>
      <c r="N217" s="43">
        <f t="shared" si="70"/>
        <v>12943.6</v>
      </c>
      <c r="O217" s="43">
        <f t="shared" si="72"/>
        <v>908.6</v>
      </c>
      <c r="P217" s="42">
        <v>0</v>
      </c>
      <c r="Q217" s="42"/>
      <c r="R217" s="42">
        <f t="shared" si="71"/>
        <v>0</v>
      </c>
      <c r="S217" s="85"/>
      <c r="T217" s="44"/>
    </row>
    <row r="218" spans="1:20">
      <c r="A218" s="328"/>
      <c r="B218" s="357" t="s">
        <v>3667</v>
      </c>
      <c r="C218" s="357" t="s">
        <v>444</v>
      </c>
      <c r="D218" s="42" t="s">
        <v>16</v>
      </c>
      <c r="E218" s="357" t="s">
        <v>3921</v>
      </c>
      <c r="F218" s="328">
        <v>21789</v>
      </c>
      <c r="G218" s="328"/>
      <c r="H218" s="328">
        <v>13070</v>
      </c>
      <c r="I218" s="328">
        <v>280</v>
      </c>
      <c r="J218" s="328">
        <v>0.13</v>
      </c>
      <c r="K218" s="43">
        <f t="shared" si="68"/>
        <v>36.4</v>
      </c>
      <c r="L218" s="43">
        <f t="shared" si="69"/>
        <v>13033.6</v>
      </c>
      <c r="M218" s="43"/>
      <c r="N218" s="43">
        <f t="shared" si="70"/>
        <v>13033.6</v>
      </c>
      <c r="O218" s="43">
        <f t="shared" si="72"/>
        <v>914.9</v>
      </c>
      <c r="P218" s="42">
        <v>0</v>
      </c>
      <c r="Q218" s="42"/>
      <c r="R218" s="42">
        <f t="shared" si="71"/>
        <v>0</v>
      </c>
      <c r="S218" s="42"/>
      <c r="T218" s="44"/>
    </row>
    <row r="219" spans="1:20">
      <c r="A219" s="328"/>
      <c r="B219" s="357" t="s">
        <v>3667</v>
      </c>
      <c r="C219" s="357" t="s">
        <v>444</v>
      </c>
      <c r="D219" s="42" t="s">
        <v>16</v>
      </c>
      <c r="E219" s="357" t="s">
        <v>3218</v>
      </c>
      <c r="F219" s="328">
        <v>21795</v>
      </c>
      <c r="G219" s="328"/>
      <c r="H219" s="328">
        <v>13100</v>
      </c>
      <c r="I219" s="328">
        <v>278</v>
      </c>
      <c r="J219" s="328">
        <v>0.13</v>
      </c>
      <c r="K219" s="43">
        <f t="shared" si="68"/>
        <v>36.14</v>
      </c>
      <c r="L219" s="43">
        <f t="shared" si="69"/>
        <v>13063.86</v>
      </c>
      <c r="M219" s="43"/>
      <c r="N219" s="43">
        <f t="shared" si="70"/>
        <v>13063.86</v>
      </c>
      <c r="O219" s="43">
        <f t="shared" si="72"/>
        <v>917</v>
      </c>
      <c r="P219" s="42">
        <v>0</v>
      </c>
      <c r="Q219" s="42"/>
      <c r="R219" s="42">
        <f t="shared" si="71"/>
        <v>0</v>
      </c>
      <c r="S219" s="42"/>
      <c r="T219" s="44"/>
    </row>
    <row r="220" spans="1:20">
      <c r="A220" s="328"/>
      <c r="B220" s="357" t="s">
        <v>3667</v>
      </c>
      <c r="C220" s="357" t="s">
        <v>444</v>
      </c>
      <c r="D220" s="42" t="s">
        <v>16</v>
      </c>
      <c r="E220" s="357" t="s">
        <v>4054</v>
      </c>
      <c r="F220" s="328">
        <v>21792</v>
      </c>
      <c r="G220" s="328"/>
      <c r="H220" s="328">
        <v>13400</v>
      </c>
      <c r="I220" s="328">
        <v>290</v>
      </c>
      <c r="J220" s="328">
        <v>0.13</v>
      </c>
      <c r="K220" s="43">
        <f t="shared" si="68"/>
        <v>37.700000000000003</v>
      </c>
      <c r="L220" s="43">
        <f t="shared" si="69"/>
        <v>13362.3</v>
      </c>
      <c r="M220" s="43"/>
      <c r="N220" s="43">
        <f t="shared" si="70"/>
        <v>13362.3</v>
      </c>
      <c r="O220" s="43">
        <f t="shared" si="72"/>
        <v>938</v>
      </c>
      <c r="P220" s="42">
        <v>0</v>
      </c>
      <c r="Q220" s="42"/>
      <c r="R220" s="42">
        <f t="shared" si="71"/>
        <v>0</v>
      </c>
      <c r="S220" s="42"/>
      <c r="T220" s="44"/>
    </row>
    <row r="221" spans="1:20">
      <c r="A221" s="328"/>
      <c r="B221" s="357" t="s">
        <v>3667</v>
      </c>
      <c r="C221" s="357" t="s">
        <v>444</v>
      </c>
      <c r="D221" s="42" t="s">
        <v>16</v>
      </c>
      <c r="E221" s="357" t="s">
        <v>4055</v>
      </c>
      <c r="F221" s="328">
        <v>21791</v>
      </c>
      <c r="G221" s="328"/>
      <c r="H221" s="328">
        <v>13050</v>
      </c>
      <c r="I221" s="328">
        <v>290</v>
      </c>
      <c r="J221" s="328">
        <v>0.13</v>
      </c>
      <c r="K221" s="43">
        <f t="shared" si="68"/>
        <v>37.700000000000003</v>
      </c>
      <c r="L221" s="43">
        <f t="shared" si="69"/>
        <v>13012.3</v>
      </c>
      <c r="M221" s="43"/>
      <c r="N221" s="43">
        <f t="shared" si="70"/>
        <v>13012.3</v>
      </c>
      <c r="O221" s="43">
        <f t="shared" si="72"/>
        <v>913.5</v>
      </c>
      <c r="P221" s="42">
        <v>0</v>
      </c>
      <c r="Q221" s="42"/>
      <c r="R221" s="42">
        <f t="shared" si="71"/>
        <v>0</v>
      </c>
      <c r="S221" s="42"/>
      <c r="T221" s="44"/>
    </row>
    <row r="222" spans="1:20">
      <c r="A222" s="328"/>
      <c r="B222" s="357" t="s">
        <v>3667</v>
      </c>
      <c r="C222" s="357" t="s">
        <v>444</v>
      </c>
      <c r="D222" s="42" t="s">
        <v>16</v>
      </c>
      <c r="E222" s="357" t="s">
        <v>3903</v>
      </c>
      <c r="F222" s="328">
        <v>21799</v>
      </c>
      <c r="G222" s="328"/>
      <c r="H222" s="328">
        <v>12510</v>
      </c>
      <c r="I222" s="328">
        <v>245</v>
      </c>
      <c r="J222" s="328">
        <v>0.13</v>
      </c>
      <c r="K222" s="43">
        <f t="shared" si="68"/>
        <v>31.85</v>
      </c>
      <c r="L222" s="43">
        <f t="shared" si="69"/>
        <v>12478.15</v>
      </c>
      <c r="M222" s="43"/>
      <c r="N222" s="43">
        <f t="shared" si="70"/>
        <v>12478.15</v>
      </c>
      <c r="O222" s="43">
        <f t="shared" si="72"/>
        <v>875.69999999999993</v>
      </c>
      <c r="P222" s="42">
        <v>0</v>
      </c>
      <c r="Q222" s="42"/>
      <c r="R222" s="42">
        <f t="shared" si="71"/>
        <v>0</v>
      </c>
      <c r="S222" s="42"/>
      <c r="T222" s="44"/>
    </row>
    <row r="223" spans="1:20">
      <c r="A223" s="328"/>
      <c r="B223" s="357" t="s">
        <v>3667</v>
      </c>
      <c r="C223" s="357" t="s">
        <v>444</v>
      </c>
      <c r="D223" s="42" t="s">
        <v>16</v>
      </c>
      <c r="E223" s="357" t="s">
        <v>3944</v>
      </c>
      <c r="F223" s="328">
        <v>21798</v>
      </c>
      <c r="G223" s="328"/>
      <c r="H223" s="328">
        <v>13070</v>
      </c>
      <c r="I223" s="328">
        <v>275</v>
      </c>
      <c r="J223" s="328">
        <v>0.13</v>
      </c>
      <c r="K223" s="43">
        <f t="shared" si="68"/>
        <v>35.75</v>
      </c>
      <c r="L223" s="43">
        <f t="shared" si="69"/>
        <v>13034.25</v>
      </c>
      <c r="M223" s="43"/>
      <c r="N223" s="43">
        <f t="shared" si="70"/>
        <v>13034.25</v>
      </c>
      <c r="O223" s="43">
        <f t="shared" si="72"/>
        <v>914.9</v>
      </c>
      <c r="P223" s="42">
        <v>0</v>
      </c>
      <c r="Q223" s="42"/>
      <c r="R223" s="42">
        <f t="shared" si="71"/>
        <v>0</v>
      </c>
      <c r="S223" s="47"/>
      <c r="T223" s="44"/>
    </row>
    <row r="224" spans="1:20">
      <c r="A224" s="328"/>
      <c r="B224" s="357" t="s">
        <v>3667</v>
      </c>
      <c r="C224" s="357" t="s">
        <v>444</v>
      </c>
      <c r="D224" s="42" t="s">
        <v>16</v>
      </c>
      <c r="E224" s="357" t="s">
        <v>3905</v>
      </c>
      <c r="F224" s="328">
        <v>21800</v>
      </c>
      <c r="G224" s="328"/>
      <c r="H224" s="328">
        <v>13130</v>
      </c>
      <c r="I224" s="328">
        <v>282</v>
      </c>
      <c r="J224" s="328">
        <v>0.13</v>
      </c>
      <c r="K224" s="43">
        <f t="shared" si="68"/>
        <v>36.660000000000004</v>
      </c>
      <c r="L224" s="43">
        <f t="shared" si="69"/>
        <v>13093.34</v>
      </c>
      <c r="M224" s="43"/>
      <c r="N224" s="43">
        <f t="shared" si="70"/>
        <v>13093.34</v>
      </c>
      <c r="O224" s="43">
        <f t="shared" si="72"/>
        <v>919.1</v>
      </c>
      <c r="P224" s="42">
        <v>0</v>
      </c>
      <c r="Q224" s="42"/>
      <c r="R224" s="42">
        <f t="shared" si="71"/>
        <v>0</v>
      </c>
      <c r="S224" s="47"/>
      <c r="T224" s="44"/>
    </row>
    <row r="225" spans="1:26">
      <c r="A225" s="330"/>
      <c r="B225" s="330"/>
      <c r="C225" s="330"/>
      <c r="D225" s="331" t="s">
        <v>16</v>
      </c>
      <c r="E225" s="330"/>
      <c r="F225" s="330"/>
      <c r="G225" s="330"/>
      <c r="H225" s="330"/>
      <c r="I225" s="330"/>
      <c r="J225" s="330"/>
      <c r="K225" s="332">
        <f t="shared" ref="K225" si="73">I225*J225</f>
        <v>0</v>
      </c>
      <c r="L225" s="332">
        <f t="shared" ref="L225" si="74">H225-K225</f>
        <v>0</v>
      </c>
      <c r="M225" s="332"/>
      <c r="N225" s="332">
        <f t="shared" ref="N225" si="75">L225-M225</f>
        <v>0</v>
      </c>
      <c r="O225" s="332">
        <f t="shared" ref="O225" si="76">H225/1000*70</f>
        <v>0</v>
      </c>
      <c r="P225" s="331"/>
      <c r="Q225" s="331"/>
      <c r="R225" s="331">
        <f t="shared" ref="R225" si="77">L225*Q225</f>
        <v>0</v>
      </c>
      <c r="S225" s="333"/>
      <c r="T225" s="44"/>
    </row>
    <row r="226" spans="1:26">
      <c r="A226" s="310" t="s">
        <v>4056</v>
      </c>
      <c r="B226" s="328"/>
      <c r="C226" s="328"/>
      <c r="D226" s="42" t="s">
        <v>16</v>
      </c>
      <c r="E226" s="328"/>
      <c r="F226" s="328"/>
      <c r="G226" s="328"/>
      <c r="H226" s="328"/>
      <c r="I226" s="328"/>
      <c r="J226" s="328"/>
      <c r="K226" s="43">
        <f t="shared" si="68"/>
        <v>0</v>
      </c>
      <c r="L226" s="43">
        <f t="shared" si="69"/>
        <v>0</v>
      </c>
      <c r="M226" s="43"/>
      <c r="N226" s="43">
        <f t="shared" si="70"/>
        <v>0</v>
      </c>
      <c r="O226" s="43">
        <f t="shared" si="72"/>
        <v>0</v>
      </c>
      <c r="P226" s="42"/>
      <c r="Q226" s="42"/>
      <c r="R226" s="42">
        <f t="shared" si="71"/>
        <v>0</v>
      </c>
      <c r="S226" s="47"/>
      <c r="T226" s="44"/>
    </row>
    <row r="227" spans="1:26">
      <c r="A227" s="328"/>
      <c r="B227" s="357" t="s">
        <v>4042</v>
      </c>
      <c r="C227" s="357" t="s">
        <v>3977</v>
      </c>
      <c r="D227" s="42" t="s">
        <v>16</v>
      </c>
      <c r="E227" s="357" t="s">
        <v>4046</v>
      </c>
      <c r="F227" s="328">
        <v>7</v>
      </c>
      <c r="G227" s="328">
        <v>2906</v>
      </c>
      <c r="H227" s="328">
        <v>18530</v>
      </c>
      <c r="I227" s="328">
        <v>240</v>
      </c>
      <c r="J227" s="328"/>
      <c r="K227" s="43">
        <f t="shared" si="68"/>
        <v>0</v>
      </c>
      <c r="L227" s="43">
        <f t="shared" si="69"/>
        <v>18530</v>
      </c>
      <c r="M227" s="43"/>
      <c r="N227" s="43">
        <f t="shared" si="70"/>
        <v>18530</v>
      </c>
      <c r="O227" s="43">
        <v>0</v>
      </c>
      <c r="P227" s="42">
        <v>11000</v>
      </c>
      <c r="Q227" s="42">
        <v>17.489999999999998</v>
      </c>
      <c r="R227" s="42">
        <f t="shared" si="71"/>
        <v>324089.69999999995</v>
      </c>
      <c r="S227" s="42"/>
      <c r="T227" s="44"/>
    </row>
    <row r="228" spans="1:26">
      <c r="A228" s="328"/>
      <c r="B228" s="357" t="s">
        <v>4042</v>
      </c>
      <c r="C228" s="357" t="s">
        <v>3977</v>
      </c>
      <c r="D228" s="42" t="s">
        <v>16</v>
      </c>
      <c r="E228" s="357" t="s">
        <v>4043</v>
      </c>
      <c r="F228" s="328">
        <v>8</v>
      </c>
      <c r="G228" s="328">
        <v>2907</v>
      </c>
      <c r="H228" s="328">
        <v>18590</v>
      </c>
      <c r="I228" s="328">
        <v>240</v>
      </c>
      <c r="J228" s="328"/>
      <c r="K228" s="43">
        <f t="shared" si="68"/>
        <v>0</v>
      </c>
      <c r="L228" s="43">
        <f t="shared" si="69"/>
        <v>18590</v>
      </c>
      <c r="M228" s="43"/>
      <c r="N228" s="43">
        <f t="shared" si="70"/>
        <v>18590</v>
      </c>
      <c r="O228" s="43">
        <v>0</v>
      </c>
      <c r="P228" s="42">
        <v>11000</v>
      </c>
      <c r="Q228" s="42">
        <v>17.43</v>
      </c>
      <c r="R228" s="42">
        <f t="shared" si="71"/>
        <v>324023.7</v>
      </c>
      <c r="S228" s="47"/>
      <c r="T228" s="44"/>
    </row>
    <row r="229" spans="1:26">
      <c r="A229" s="328"/>
      <c r="B229" s="357" t="s">
        <v>4035</v>
      </c>
      <c r="C229" s="357" t="s">
        <v>4057</v>
      </c>
      <c r="D229" s="42" t="s">
        <v>16</v>
      </c>
      <c r="E229" s="357" t="s">
        <v>4044</v>
      </c>
      <c r="F229" s="328">
        <v>1120</v>
      </c>
      <c r="G229" s="358">
        <v>2908</v>
      </c>
      <c r="H229" s="328">
        <v>15000</v>
      </c>
      <c r="I229" s="328">
        <v>300</v>
      </c>
      <c r="J229" s="328">
        <v>0.13</v>
      </c>
      <c r="K229" s="43">
        <f t="shared" si="68"/>
        <v>39</v>
      </c>
      <c r="L229" s="43">
        <f t="shared" si="69"/>
        <v>14961</v>
      </c>
      <c r="M229" s="43"/>
      <c r="N229" s="43">
        <f t="shared" si="70"/>
        <v>14961</v>
      </c>
      <c r="O229" s="43">
        <f t="shared" si="72"/>
        <v>1050</v>
      </c>
      <c r="P229" s="42">
        <v>10500</v>
      </c>
      <c r="Q229" s="42">
        <v>16.02</v>
      </c>
      <c r="R229" s="42">
        <f t="shared" si="71"/>
        <v>239675.22</v>
      </c>
      <c r="S229" s="47"/>
      <c r="T229" s="44"/>
      <c r="W229">
        <v>59814</v>
      </c>
      <c r="X229">
        <v>15.2</v>
      </c>
      <c r="Y229">
        <f>W229*X229</f>
        <v>909172.79999999993</v>
      </c>
    </row>
    <row r="230" spans="1:26">
      <c r="A230" s="328"/>
      <c r="B230" s="357" t="s">
        <v>4035</v>
      </c>
      <c r="C230" s="357" t="s">
        <v>4057</v>
      </c>
      <c r="D230" s="42" t="s">
        <v>16</v>
      </c>
      <c r="E230" s="357" t="s">
        <v>4058</v>
      </c>
      <c r="F230" s="328">
        <v>1121</v>
      </c>
      <c r="G230" s="358">
        <v>2909</v>
      </c>
      <c r="H230" s="328">
        <v>15000</v>
      </c>
      <c r="I230" s="328">
        <v>300</v>
      </c>
      <c r="J230" s="328">
        <v>0.13</v>
      </c>
      <c r="K230" s="43">
        <f t="shared" si="68"/>
        <v>39</v>
      </c>
      <c r="L230" s="43">
        <f t="shared" si="69"/>
        <v>14961</v>
      </c>
      <c r="M230" s="43"/>
      <c r="N230" s="43">
        <f t="shared" si="70"/>
        <v>14961</v>
      </c>
      <c r="O230" s="43">
        <f t="shared" si="72"/>
        <v>1050</v>
      </c>
      <c r="P230" s="42">
        <v>10500</v>
      </c>
      <c r="Q230" s="42">
        <v>16.02</v>
      </c>
      <c r="R230" s="42">
        <f t="shared" si="71"/>
        <v>239675.22</v>
      </c>
      <c r="S230" s="47"/>
      <c r="T230" s="44"/>
      <c r="Y230">
        <v>42000</v>
      </c>
    </row>
    <row r="231" spans="1:26">
      <c r="A231" s="328"/>
      <c r="B231" s="357" t="s">
        <v>4035</v>
      </c>
      <c r="C231" s="357" t="s">
        <v>4057</v>
      </c>
      <c r="D231" s="42" t="s">
        <v>16</v>
      </c>
      <c r="E231" s="357" t="s">
        <v>4059</v>
      </c>
      <c r="F231" s="328">
        <v>1123</v>
      </c>
      <c r="G231" s="358">
        <v>2910</v>
      </c>
      <c r="H231" s="328">
        <v>14970</v>
      </c>
      <c r="I231" s="328">
        <v>300</v>
      </c>
      <c r="J231" s="328">
        <v>0.13</v>
      </c>
      <c r="K231" s="43">
        <f t="shared" si="68"/>
        <v>39</v>
      </c>
      <c r="L231" s="43">
        <f t="shared" si="69"/>
        <v>14931</v>
      </c>
      <c r="M231" s="43"/>
      <c r="N231" s="43">
        <f t="shared" si="70"/>
        <v>14931</v>
      </c>
      <c r="O231" s="43">
        <f t="shared" si="72"/>
        <v>1047.9000000000001</v>
      </c>
      <c r="P231" s="42">
        <v>10500</v>
      </c>
      <c r="Q231" s="42">
        <v>16.02</v>
      </c>
      <c r="R231" s="42">
        <f t="shared" si="71"/>
        <v>239194.62</v>
      </c>
      <c r="S231" s="47"/>
      <c r="T231" s="44"/>
      <c r="Y231">
        <v>4198</v>
      </c>
    </row>
    <row r="232" spans="1:26">
      <c r="A232" s="328"/>
      <c r="B232" s="357" t="s">
        <v>4035</v>
      </c>
      <c r="C232" s="357" t="s">
        <v>4057</v>
      </c>
      <c r="D232" s="42" t="s">
        <v>16</v>
      </c>
      <c r="E232" s="357" t="s">
        <v>4060</v>
      </c>
      <c r="F232" s="328">
        <v>1122</v>
      </c>
      <c r="G232" s="358">
        <v>2911</v>
      </c>
      <c r="H232" s="328">
        <v>15000</v>
      </c>
      <c r="I232" s="328">
        <v>300</v>
      </c>
      <c r="J232" s="328">
        <v>0.13</v>
      </c>
      <c r="K232" s="43">
        <f t="shared" si="68"/>
        <v>39</v>
      </c>
      <c r="L232" s="43">
        <f t="shared" si="69"/>
        <v>14961</v>
      </c>
      <c r="M232" s="43"/>
      <c r="N232" s="43">
        <f t="shared" si="70"/>
        <v>14961</v>
      </c>
      <c r="O232" s="43">
        <f t="shared" si="72"/>
        <v>1050</v>
      </c>
      <c r="P232" s="42">
        <v>10500</v>
      </c>
      <c r="Q232" s="42">
        <v>16.02</v>
      </c>
      <c r="R232" s="42">
        <f t="shared" si="71"/>
        <v>239675.22</v>
      </c>
      <c r="S232" s="85"/>
      <c r="T232" s="44"/>
    </row>
    <row r="233" spans="1:26">
      <c r="A233" s="328"/>
      <c r="B233" s="357" t="s">
        <v>3667</v>
      </c>
      <c r="C233" s="357" t="s">
        <v>444</v>
      </c>
      <c r="D233" s="42" t="s">
        <v>16</v>
      </c>
      <c r="E233" s="357" t="s">
        <v>1278</v>
      </c>
      <c r="F233" s="328">
        <v>21790</v>
      </c>
      <c r="G233" s="328"/>
      <c r="H233" s="328">
        <v>12870</v>
      </c>
      <c r="I233" s="328">
        <v>268</v>
      </c>
      <c r="J233" s="328">
        <v>0.13</v>
      </c>
      <c r="K233" s="43">
        <f t="shared" si="68"/>
        <v>34.840000000000003</v>
      </c>
      <c r="L233" s="43">
        <f t="shared" si="69"/>
        <v>12835.16</v>
      </c>
      <c r="M233" s="43"/>
      <c r="N233" s="43">
        <f t="shared" si="70"/>
        <v>12835.16</v>
      </c>
      <c r="O233" s="43">
        <f t="shared" si="72"/>
        <v>900.9</v>
      </c>
      <c r="P233" s="42">
        <v>0</v>
      </c>
      <c r="Q233" s="42"/>
      <c r="R233" s="42">
        <f t="shared" si="71"/>
        <v>0</v>
      </c>
      <c r="S233" s="47"/>
      <c r="T233" s="44"/>
      <c r="Y233">
        <f>SUM(Y229:Y232)</f>
        <v>955370.79999999993</v>
      </c>
      <c r="Z233">
        <f>Y233/W229</f>
        <v>15.972360985722405</v>
      </c>
    </row>
    <row r="234" spans="1:26">
      <c r="A234" s="328"/>
      <c r="B234" s="357" t="s">
        <v>3667</v>
      </c>
      <c r="C234" s="357" t="s">
        <v>444</v>
      </c>
      <c r="D234" s="42" t="s">
        <v>16</v>
      </c>
      <c r="E234" s="357" t="s">
        <v>4061</v>
      </c>
      <c r="F234" s="328">
        <v>21801</v>
      </c>
      <c r="G234" s="328"/>
      <c r="H234" s="328">
        <v>13040</v>
      </c>
      <c r="I234" s="328">
        <v>280</v>
      </c>
      <c r="J234" s="328">
        <v>0.13</v>
      </c>
      <c r="K234" s="43">
        <f t="shared" si="68"/>
        <v>36.4</v>
      </c>
      <c r="L234" s="43">
        <f t="shared" si="69"/>
        <v>13003.6</v>
      </c>
      <c r="M234" s="43"/>
      <c r="N234" s="43">
        <f t="shared" si="70"/>
        <v>13003.6</v>
      </c>
      <c r="O234" s="43">
        <f t="shared" si="72"/>
        <v>912.8</v>
      </c>
      <c r="P234" s="42">
        <v>0</v>
      </c>
      <c r="Q234" s="42"/>
      <c r="R234" s="42">
        <f t="shared" si="71"/>
        <v>0</v>
      </c>
      <c r="S234" s="47"/>
      <c r="T234" s="44"/>
    </row>
    <row r="235" spans="1:26">
      <c r="A235" s="330"/>
      <c r="B235" s="330"/>
      <c r="C235" s="330"/>
      <c r="D235" s="331" t="s">
        <v>16</v>
      </c>
      <c r="E235" s="330"/>
      <c r="F235" s="330"/>
      <c r="G235" s="330"/>
      <c r="H235" s="330"/>
      <c r="I235" s="330"/>
      <c r="J235" s="330"/>
      <c r="K235" s="332">
        <f t="shared" si="68"/>
        <v>0</v>
      </c>
      <c r="L235" s="332">
        <f t="shared" si="69"/>
        <v>0</v>
      </c>
      <c r="M235" s="332"/>
      <c r="N235" s="332">
        <f t="shared" si="70"/>
        <v>0</v>
      </c>
      <c r="O235" s="332">
        <f t="shared" si="72"/>
        <v>0</v>
      </c>
      <c r="P235" s="331"/>
      <c r="Q235" s="331"/>
      <c r="R235" s="331">
        <f t="shared" si="71"/>
        <v>0</v>
      </c>
      <c r="S235" s="333"/>
      <c r="T235" s="44"/>
    </row>
    <row r="236" spans="1:26">
      <c r="A236" s="310" t="s">
        <v>4062</v>
      </c>
      <c r="B236" s="328"/>
      <c r="C236" s="328"/>
      <c r="D236" s="42" t="s">
        <v>16</v>
      </c>
      <c r="E236" s="328"/>
      <c r="F236" s="328"/>
      <c r="G236" s="328"/>
      <c r="H236" s="328"/>
      <c r="I236" s="328"/>
      <c r="J236" s="328"/>
      <c r="K236" s="43">
        <f t="shared" si="68"/>
        <v>0</v>
      </c>
      <c r="L236" s="43">
        <f t="shared" si="69"/>
        <v>0</v>
      </c>
      <c r="M236" s="43"/>
      <c r="N236" s="43">
        <f t="shared" si="70"/>
        <v>0</v>
      </c>
      <c r="O236" s="43">
        <f t="shared" si="72"/>
        <v>0</v>
      </c>
      <c r="P236" s="42"/>
      <c r="Q236" s="42"/>
      <c r="R236" s="42">
        <f t="shared" si="71"/>
        <v>0</v>
      </c>
      <c r="S236" s="47"/>
      <c r="T236" s="44"/>
    </row>
    <row r="237" spans="1:26">
      <c r="A237" s="328"/>
      <c r="B237" s="359" t="s">
        <v>4063</v>
      </c>
      <c r="C237" s="359" t="s">
        <v>88</v>
      </c>
      <c r="D237" s="42" t="s">
        <v>16</v>
      </c>
      <c r="E237" s="359" t="s">
        <v>4064</v>
      </c>
      <c r="F237" s="328">
        <v>47</v>
      </c>
      <c r="G237" s="328">
        <v>2924</v>
      </c>
      <c r="H237" s="328">
        <v>16505</v>
      </c>
      <c r="I237" s="328">
        <v>240</v>
      </c>
      <c r="J237" s="328">
        <v>0.13</v>
      </c>
      <c r="K237" s="43">
        <f t="shared" si="68"/>
        <v>31.200000000000003</v>
      </c>
      <c r="L237" s="43">
        <f t="shared" si="69"/>
        <v>16473.8</v>
      </c>
      <c r="M237" s="43"/>
      <c r="N237" s="43">
        <f t="shared" si="70"/>
        <v>16473.8</v>
      </c>
      <c r="O237" s="43">
        <f t="shared" si="72"/>
        <v>1155.3499999999999</v>
      </c>
      <c r="P237" s="42">
        <v>12000</v>
      </c>
      <c r="Q237" s="42">
        <v>21.9</v>
      </c>
      <c r="R237" s="42">
        <f t="shared" si="71"/>
        <v>360776.22</v>
      </c>
      <c r="S237" s="85"/>
      <c r="T237" s="44"/>
    </row>
    <row r="238" spans="1:26">
      <c r="A238" s="328"/>
      <c r="B238" s="359" t="s">
        <v>3961</v>
      </c>
      <c r="C238" s="359" t="s">
        <v>3567</v>
      </c>
      <c r="D238" s="42" t="s">
        <v>16</v>
      </c>
      <c r="E238" s="359" t="s">
        <v>4065</v>
      </c>
      <c r="F238" s="328">
        <v>1</v>
      </c>
      <c r="G238" s="328">
        <v>2925</v>
      </c>
      <c r="H238" s="328">
        <v>12200</v>
      </c>
      <c r="I238" s="328">
        <v>270</v>
      </c>
      <c r="J238" s="328"/>
      <c r="K238" s="43">
        <f t="shared" si="68"/>
        <v>0</v>
      </c>
      <c r="L238" s="43">
        <f t="shared" si="69"/>
        <v>12200</v>
      </c>
      <c r="M238" s="43"/>
      <c r="N238" s="43">
        <f t="shared" si="70"/>
        <v>12200</v>
      </c>
      <c r="O238" s="43">
        <v>0</v>
      </c>
      <c r="P238" s="42">
        <v>7000</v>
      </c>
      <c r="Q238" s="42">
        <v>15.75</v>
      </c>
      <c r="R238" s="42">
        <f t="shared" si="71"/>
        <v>192150</v>
      </c>
      <c r="S238" s="13"/>
      <c r="T238" s="44"/>
    </row>
    <row r="239" spans="1:26">
      <c r="A239" s="328"/>
      <c r="B239" s="359" t="s">
        <v>4035</v>
      </c>
      <c r="C239" s="359" t="s">
        <v>20</v>
      </c>
      <c r="D239" s="42" t="s">
        <v>16</v>
      </c>
      <c r="E239" s="359" t="s">
        <v>2860</v>
      </c>
      <c r="F239" s="328">
        <v>1135</v>
      </c>
      <c r="G239" s="328">
        <v>2926</v>
      </c>
      <c r="H239" s="328">
        <v>14970</v>
      </c>
      <c r="I239" s="328">
        <v>300</v>
      </c>
      <c r="J239" s="328">
        <v>0.13</v>
      </c>
      <c r="K239" s="43">
        <f t="shared" si="68"/>
        <v>39</v>
      </c>
      <c r="L239" s="43">
        <f t="shared" si="69"/>
        <v>14931</v>
      </c>
      <c r="M239" s="43"/>
      <c r="N239" s="43">
        <f t="shared" si="70"/>
        <v>14931</v>
      </c>
      <c r="O239" s="43">
        <f t="shared" si="72"/>
        <v>1047.9000000000001</v>
      </c>
      <c r="P239" s="42">
        <v>0</v>
      </c>
      <c r="Q239" s="42">
        <v>27.9</v>
      </c>
      <c r="R239" s="42">
        <f t="shared" si="71"/>
        <v>416574.89999999997</v>
      </c>
      <c r="S239" s="47"/>
      <c r="T239" s="44"/>
    </row>
    <row r="240" spans="1:26">
      <c r="A240" s="328"/>
      <c r="B240" s="359" t="s">
        <v>4035</v>
      </c>
      <c r="C240" s="359" t="s">
        <v>20</v>
      </c>
      <c r="D240" s="42" t="s">
        <v>16</v>
      </c>
      <c r="E240" s="359" t="s">
        <v>4066</v>
      </c>
      <c r="F240" s="328">
        <v>1133</v>
      </c>
      <c r="G240" s="328">
        <v>2927</v>
      </c>
      <c r="H240" s="328">
        <v>15000</v>
      </c>
      <c r="I240" s="328">
        <v>300</v>
      </c>
      <c r="J240" s="328">
        <v>0.13</v>
      </c>
      <c r="K240" s="43">
        <f t="shared" si="68"/>
        <v>39</v>
      </c>
      <c r="L240" s="43">
        <f t="shared" si="69"/>
        <v>14961</v>
      </c>
      <c r="M240" s="43"/>
      <c r="N240" s="43">
        <f t="shared" si="70"/>
        <v>14961</v>
      </c>
      <c r="O240" s="43">
        <f t="shared" si="72"/>
        <v>1050</v>
      </c>
      <c r="P240" s="42">
        <v>9800</v>
      </c>
      <c r="Q240" s="42">
        <v>27.9</v>
      </c>
      <c r="R240" s="42">
        <f t="shared" si="71"/>
        <v>417411.89999999997</v>
      </c>
      <c r="S240" s="47"/>
      <c r="T240" s="44"/>
    </row>
    <row r="241" spans="1:20">
      <c r="A241" s="328"/>
      <c r="B241" s="359" t="s">
        <v>330</v>
      </c>
      <c r="C241" s="359" t="s">
        <v>881</v>
      </c>
      <c r="D241" s="42" t="s">
        <v>16</v>
      </c>
      <c r="E241" s="359" t="s">
        <v>4067</v>
      </c>
      <c r="F241" s="328">
        <v>18467</v>
      </c>
      <c r="G241" s="328">
        <v>2928</v>
      </c>
      <c r="H241" s="328">
        <v>630</v>
      </c>
      <c r="I241" s="328">
        <v>13</v>
      </c>
      <c r="J241" s="328"/>
      <c r="K241" s="43">
        <f t="shared" si="68"/>
        <v>0</v>
      </c>
      <c r="L241" s="43">
        <f t="shared" si="69"/>
        <v>630</v>
      </c>
      <c r="M241" s="43"/>
      <c r="N241" s="43">
        <f t="shared" si="70"/>
        <v>630</v>
      </c>
      <c r="O241" s="43">
        <f t="shared" si="72"/>
        <v>44.1</v>
      </c>
      <c r="P241" s="42">
        <v>1500</v>
      </c>
      <c r="Q241" s="42"/>
      <c r="R241" s="42">
        <f t="shared" si="71"/>
        <v>0</v>
      </c>
      <c r="S241" s="47"/>
      <c r="T241" s="44"/>
    </row>
    <row r="242" spans="1:20">
      <c r="A242" s="330"/>
      <c r="B242" s="330"/>
      <c r="C242" s="330"/>
      <c r="D242" s="331" t="s">
        <v>16</v>
      </c>
      <c r="E242" s="330"/>
      <c r="F242" s="330"/>
      <c r="G242" s="330"/>
      <c r="H242" s="330"/>
      <c r="I242" s="330"/>
      <c r="J242" s="330"/>
      <c r="K242" s="332">
        <f t="shared" ref="K242" si="78">I242*J242</f>
        <v>0</v>
      </c>
      <c r="L242" s="332">
        <f t="shared" ref="L242" si="79">H242-K242</f>
        <v>0</v>
      </c>
      <c r="M242" s="332"/>
      <c r="N242" s="332">
        <f t="shared" ref="N242" si="80">L242-M242</f>
        <v>0</v>
      </c>
      <c r="O242" s="332">
        <f t="shared" ref="O242" si="81">H242/1000*70</f>
        <v>0</v>
      </c>
      <c r="P242" s="331"/>
      <c r="Q242" s="331"/>
      <c r="R242" s="331">
        <f t="shared" ref="R242" si="82">L242*Q242</f>
        <v>0</v>
      </c>
      <c r="S242" s="333"/>
      <c r="T242" s="44"/>
    </row>
    <row r="243" spans="1:20">
      <c r="A243" s="310" t="s">
        <v>4068</v>
      </c>
      <c r="B243" s="328"/>
      <c r="C243" s="328"/>
      <c r="D243" s="42" t="s">
        <v>16</v>
      </c>
      <c r="E243" s="328"/>
      <c r="F243" s="328"/>
      <c r="G243" s="328"/>
      <c r="H243" s="328"/>
      <c r="I243" s="328"/>
      <c r="J243" s="328"/>
      <c r="K243" s="43">
        <f t="shared" si="68"/>
        <v>0</v>
      </c>
      <c r="L243" s="43">
        <f t="shared" si="69"/>
        <v>0</v>
      </c>
      <c r="M243" s="43"/>
      <c r="N243" s="43">
        <f t="shared" si="70"/>
        <v>0</v>
      </c>
      <c r="O243" s="43">
        <f t="shared" si="72"/>
        <v>0</v>
      </c>
      <c r="P243" s="42"/>
      <c r="Q243" s="42"/>
      <c r="R243" s="42">
        <f t="shared" si="71"/>
        <v>0</v>
      </c>
      <c r="S243" s="85"/>
      <c r="T243" s="44"/>
    </row>
    <row r="244" spans="1:20">
      <c r="A244" s="328"/>
      <c r="B244" s="359" t="s">
        <v>3289</v>
      </c>
      <c r="C244" s="359" t="s">
        <v>88</v>
      </c>
      <c r="D244" s="42" t="s">
        <v>16</v>
      </c>
      <c r="E244" s="359" t="s">
        <v>4069</v>
      </c>
      <c r="F244" s="328">
        <v>464</v>
      </c>
      <c r="G244" s="328">
        <v>2929</v>
      </c>
      <c r="H244" s="328">
        <v>15340</v>
      </c>
      <c r="I244" s="328">
        <v>307</v>
      </c>
      <c r="J244" s="328">
        <v>0.13</v>
      </c>
      <c r="K244" s="43">
        <f t="shared" si="68"/>
        <v>39.910000000000004</v>
      </c>
      <c r="L244" s="43">
        <f t="shared" si="69"/>
        <v>15300.09</v>
      </c>
      <c r="M244" s="43"/>
      <c r="N244" s="43">
        <f t="shared" si="70"/>
        <v>15300.09</v>
      </c>
      <c r="O244" s="43">
        <f t="shared" si="72"/>
        <v>1073.8</v>
      </c>
      <c r="P244" s="42">
        <v>19000</v>
      </c>
      <c r="Q244" s="42">
        <v>21.8</v>
      </c>
      <c r="R244" s="42">
        <f t="shared" si="71"/>
        <v>333541.962</v>
      </c>
      <c r="S244" s="47"/>
      <c r="T244" s="44"/>
    </row>
    <row r="245" spans="1:20">
      <c r="A245" s="328"/>
      <c r="B245" s="359" t="s">
        <v>3927</v>
      </c>
      <c r="C245" s="359" t="s">
        <v>3928</v>
      </c>
      <c r="D245" s="42" t="s">
        <v>16</v>
      </c>
      <c r="E245" s="359" t="s">
        <v>2419</v>
      </c>
      <c r="F245" s="328">
        <v>7950</v>
      </c>
      <c r="G245" s="328">
        <v>2930</v>
      </c>
      <c r="H245" s="328">
        <v>13520</v>
      </c>
      <c r="I245" s="328">
        <v>300</v>
      </c>
      <c r="J245" s="328"/>
      <c r="K245" s="43">
        <f t="shared" si="68"/>
        <v>0</v>
      </c>
      <c r="L245" s="43">
        <f t="shared" si="69"/>
        <v>13520</v>
      </c>
      <c r="M245" s="43"/>
      <c r="N245" s="43">
        <f t="shared" si="70"/>
        <v>13520</v>
      </c>
      <c r="O245" s="43">
        <v>0</v>
      </c>
      <c r="P245" s="42">
        <v>5500</v>
      </c>
      <c r="Q245" s="42">
        <v>14.39</v>
      </c>
      <c r="R245" s="42">
        <f t="shared" si="71"/>
        <v>194552.80000000002</v>
      </c>
      <c r="S245" s="47"/>
      <c r="T245" s="44"/>
    </row>
    <row r="246" spans="1:20">
      <c r="A246" s="328"/>
      <c r="B246" s="359" t="s">
        <v>1304</v>
      </c>
      <c r="C246" s="359" t="s">
        <v>24</v>
      </c>
      <c r="D246" s="42" t="s">
        <v>16</v>
      </c>
      <c r="E246" s="359" t="s">
        <v>3493</v>
      </c>
      <c r="F246" s="328">
        <v>1924706</v>
      </c>
      <c r="G246" s="328">
        <v>2931</v>
      </c>
      <c r="H246" s="328">
        <v>14950</v>
      </c>
      <c r="I246" s="328">
        <v>300</v>
      </c>
      <c r="J246" s="328">
        <v>0.13</v>
      </c>
      <c r="K246" s="43">
        <f t="shared" si="68"/>
        <v>39</v>
      </c>
      <c r="L246" s="43">
        <f t="shared" si="69"/>
        <v>14911</v>
      </c>
      <c r="M246" s="43"/>
      <c r="N246" s="43">
        <f t="shared" si="70"/>
        <v>14911</v>
      </c>
      <c r="O246" s="43">
        <f t="shared" si="72"/>
        <v>1046.5</v>
      </c>
      <c r="P246" s="42">
        <v>9000</v>
      </c>
      <c r="Q246" s="42">
        <v>36</v>
      </c>
      <c r="R246" s="42">
        <f t="shared" si="71"/>
        <v>536796</v>
      </c>
      <c r="S246" s="47"/>
      <c r="T246" s="44"/>
    </row>
    <row r="247" spans="1:20">
      <c r="A247" s="330"/>
      <c r="B247" s="330"/>
      <c r="C247" s="330"/>
      <c r="D247" s="331" t="s">
        <v>16</v>
      </c>
      <c r="E247" s="330"/>
      <c r="F247" s="330"/>
      <c r="G247" s="330"/>
      <c r="H247" s="330"/>
      <c r="I247" s="330"/>
      <c r="J247" s="330"/>
      <c r="K247" s="332">
        <f t="shared" si="68"/>
        <v>0</v>
      </c>
      <c r="L247" s="332">
        <f t="shared" si="69"/>
        <v>0</v>
      </c>
      <c r="M247" s="332"/>
      <c r="N247" s="332">
        <f t="shared" si="70"/>
        <v>0</v>
      </c>
      <c r="O247" s="332">
        <f t="shared" si="72"/>
        <v>0</v>
      </c>
      <c r="P247" s="331"/>
      <c r="Q247" s="331"/>
      <c r="R247" s="331">
        <f t="shared" si="71"/>
        <v>0</v>
      </c>
      <c r="S247" s="333"/>
      <c r="T247" s="44"/>
    </row>
    <row r="248" spans="1:20">
      <c r="A248" s="310" t="s">
        <v>4070</v>
      </c>
      <c r="B248" s="328"/>
      <c r="C248" s="328"/>
      <c r="D248" s="42" t="s">
        <v>16</v>
      </c>
      <c r="E248" s="328"/>
      <c r="F248" s="328"/>
      <c r="G248" s="328"/>
      <c r="H248" s="328"/>
      <c r="I248" s="328"/>
      <c r="J248" s="328"/>
      <c r="K248" s="43">
        <f t="shared" si="68"/>
        <v>0</v>
      </c>
      <c r="L248" s="43">
        <f t="shared" si="69"/>
        <v>0</v>
      </c>
      <c r="M248" s="43"/>
      <c r="N248" s="43">
        <f t="shared" si="70"/>
        <v>0</v>
      </c>
      <c r="O248" s="43">
        <f t="shared" si="72"/>
        <v>0</v>
      </c>
      <c r="P248" s="42"/>
      <c r="Q248" s="42"/>
      <c r="R248" s="42">
        <f t="shared" si="71"/>
        <v>0</v>
      </c>
      <c r="S248" s="47"/>
      <c r="T248" s="44"/>
    </row>
    <row r="249" spans="1:20">
      <c r="A249" s="328"/>
      <c r="B249" s="360" t="s">
        <v>4042</v>
      </c>
      <c r="C249" s="360" t="s">
        <v>3977</v>
      </c>
      <c r="D249" s="42" t="s">
        <v>16</v>
      </c>
      <c r="E249" s="360" t="s">
        <v>4071</v>
      </c>
      <c r="F249" s="328">
        <v>12</v>
      </c>
      <c r="G249" s="328">
        <v>2912</v>
      </c>
      <c r="H249" s="328">
        <v>18150</v>
      </c>
      <c r="I249" s="328">
        <v>233</v>
      </c>
      <c r="J249" s="328"/>
      <c r="K249" s="43">
        <f t="shared" si="68"/>
        <v>0</v>
      </c>
      <c r="L249" s="43">
        <f t="shared" si="69"/>
        <v>18150</v>
      </c>
      <c r="M249" s="43"/>
      <c r="N249" s="43">
        <f t="shared" si="70"/>
        <v>18150</v>
      </c>
      <c r="O249" s="43">
        <v>0</v>
      </c>
      <c r="P249" s="42">
        <v>10000</v>
      </c>
      <c r="Q249" s="42">
        <v>17.559999999999999</v>
      </c>
      <c r="R249" s="42">
        <f t="shared" si="71"/>
        <v>318714</v>
      </c>
      <c r="S249" s="47"/>
      <c r="T249" s="44"/>
    </row>
    <row r="250" spans="1:20">
      <c r="A250" s="328"/>
      <c r="B250" s="360" t="s">
        <v>4042</v>
      </c>
      <c r="C250" s="360" t="s">
        <v>3977</v>
      </c>
      <c r="D250" s="42" t="s">
        <v>16</v>
      </c>
      <c r="E250" s="360" t="s">
        <v>4071</v>
      </c>
      <c r="F250" s="328">
        <v>13</v>
      </c>
      <c r="G250" s="328">
        <v>2913</v>
      </c>
      <c r="H250" s="328">
        <v>18520</v>
      </c>
      <c r="I250" s="328">
        <v>13</v>
      </c>
      <c r="J250" s="328"/>
      <c r="K250" s="43">
        <f t="shared" si="68"/>
        <v>0</v>
      </c>
      <c r="L250" s="43">
        <f t="shared" si="69"/>
        <v>18520</v>
      </c>
      <c r="M250" s="43"/>
      <c r="N250" s="43">
        <f t="shared" si="70"/>
        <v>18520</v>
      </c>
      <c r="O250" s="43">
        <v>0</v>
      </c>
      <c r="P250" s="42">
        <v>10500</v>
      </c>
      <c r="Q250" s="42">
        <v>17.559999999999999</v>
      </c>
      <c r="R250" s="42">
        <f t="shared" si="71"/>
        <v>325211.19999999995</v>
      </c>
      <c r="S250" s="47"/>
      <c r="T250" s="44"/>
    </row>
    <row r="251" spans="1:20">
      <c r="A251" s="328"/>
      <c r="B251" s="360" t="s">
        <v>4042</v>
      </c>
      <c r="C251" s="360" t="s">
        <v>3977</v>
      </c>
      <c r="D251" s="42" t="s">
        <v>16</v>
      </c>
      <c r="E251" s="360" t="s">
        <v>4072</v>
      </c>
      <c r="F251" s="328">
        <v>10</v>
      </c>
      <c r="G251" s="362">
        <v>2914</v>
      </c>
      <c r="H251" s="328">
        <v>17350</v>
      </c>
      <c r="I251" s="328">
        <v>10</v>
      </c>
      <c r="J251" s="328"/>
      <c r="K251" s="43">
        <f t="shared" si="68"/>
        <v>0</v>
      </c>
      <c r="L251" s="43">
        <f t="shared" si="69"/>
        <v>17350</v>
      </c>
      <c r="M251" s="43"/>
      <c r="N251" s="43">
        <f t="shared" si="70"/>
        <v>17350</v>
      </c>
      <c r="O251" s="43">
        <v>0</v>
      </c>
      <c r="P251" s="42">
        <v>11000</v>
      </c>
      <c r="Q251" s="42">
        <v>17.559999999999999</v>
      </c>
      <c r="R251" s="42">
        <f t="shared" si="71"/>
        <v>304666</v>
      </c>
      <c r="S251" s="47"/>
      <c r="T251" s="44"/>
    </row>
    <row r="252" spans="1:20">
      <c r="A252" s="328"/>
      <c r="B252" s="360" t="s">
        <v>3173</v>
      </c>
      <c r="C252" s="360" t="s">
        <v>88</v>
      </c>
      <c r="D252" s="42" t="s">
        <v>16</v>
      </c>
      <c r="E252" s="360" t="s">
        <v>3176</v>
      </c>
      <c r="F252" s="328">
        <v>467</v>
      </c>
      <c r="G252" s="362">
        <v>2915</v>
      </c>
      <c r="H252" s="328">
        <v>5980</v>
      </c>
      <c r="I252" s="328">
        <v>120</v>
      </c>
      <c r="J252" s="328"/>
      <c r="K252" s="43">
        <f t="shared" si="68"/>
        <v>0</v>
      </c>
      <c r="L252" s="43">
        <f t="shared" si="69"/>
        <v>5980</v>
      </c>
      <c r="M252" s="43"/>
      <c r="N252" s="43">
        <f t="shared" si="70"/>
        <v>5980</v>
      </c>
      <c r="O252" s="43">
        <v>0</v>
      </c>
      <c r="P252" s="42">
        <v>2000</v>
      </c>
      <c r="Q252" s="42">
        <v>22.5</v>
      </c>
      <c r="R252" s="42">
        <f t="shared" si="71"/>
        <v>134550</v>
      </c>
      <c r="S252" s="47"/>
      <c r="T252" s="44"/>
    </row>
    <row r="253" spans="1:20">
      <c r="A253" s="328"/>
      <c r="B253" s="360" t="s">
        <v>3173</v>
      </c>
      <c r="C253" s="360" t="s">
        <v>88</v>
      </c>
      <c r="D253" s="42" t="s">
        <v>16</v>
      </c>
      <c r="E253" s="360" t="s">
        <v>2957</v>
      </c>
      <c r="F253" s="328">
        <v>466</v>
      </c>
      <c r="G253" s="328"/>
      <c r="H253" s="328">
        <v>9370</v>
      </c>
      <c r="I253" s="328">
        <v>188</v>
      </c>
      <c r="J253" s="328"/>
      <c r="K253" s="43">
        <f t="shared" si="68"/>
        <v>0</v>
      </c>
      <c r="L253" s="43">
        <f t="shared" si="69"/>
        <v>9370</v>
      </c>
      <c r="M253" s="43"/>
      <c r="N253" s="43">
        <f t="shared" si="70"/>
        <v>9370</v>
      </c>
      <c r="O253" s="43">
        <v>0</v>
      </c>
      <c r="P253" s="42">
        <v>0</v>
      </c>
      <c r="Q253" s="42">
        <v>22.5</v>
      </c>
      <c r="R253" s="42">
        <f t="shared" si="71"/>
        <v>210825</v>
      </c>
      <c r="S253" s="47"/>
      <c r="T253" s="44"/>
    </row>
    <row r="254" spans="1:20">
      <c r="A254" s="328"/>
      <c r="B254" s="360" t="s">
        <v>14</v>
      </c>
      <c r="C254" s="360" t="s">
        <v>1077</v>
      </c>
      <c r="D254" s="42" t="s">
        <v>16</v>
      </c>
      <c r="E254" s="360" t="s">
        <v>1258</v>
      </c>
      <c r="F254" s="328">
        <v>1513</v>
      </c>
      <c r="G254" s="328">
        <v>2916</v>
      </c>
      <c r="H254" s="328">
        <v>11100</v>
      </c>
      <c r="I254" s="328">
        <v>60</v>
      </c>
      <c r="J254" s="328"/>
      <c r="K254" s="43">
        <f t="shared" si="68"/>
        <v>0</v>
      </c>
      <c r="L254" s="43">
        <f t="shared" si="69"/>
        <v>11100</v>
      </c>
      <c r="M254" s="43"/>
      <c r="N254" s="43">
        <f t="shared" si="70"/>
        <v>11100</v>
      </c>
      <c r="O254" s="43">
        <f t="shared" si="72"/>
        <v>777</v>
      </c>
      <c r="P254" s="42">
        <v>0</v>
      </c>
      <c r="Q254" s="42">
        <v>85</v>
      </c>
      <c r="R254" s="42">
        <f t="shared" si="71"/>
        <v>943500</v>
      </c>
      <c r="S254" s="47"/>
      <c r="T254" s="44"/>
    </row>
    <row r="255" spans="1:20">
      <c r="A255" s="327"/>
      <c r="B255" s="360" t="s">
        <v>4035</v>
      </c>
      <c r="C255" s="360" t="s">
        <v>20</v>
      </c>
      <c r="D255" s="42" t="s">
        <v>16</v>
      </c>
      <c r="E255" s="360" t="s">
        <v>3819</v>
      </c>
      <c r="F255" s="327">
        <v>1149</v>
      </c>
      <c r="G255" s="327">
        <v>2917</v>
      </c>
      <c r="H255" s="327">
        <v>14980</v>
      </c>
      <c r="I255" s="327">
        <v>300</v>
      </c>
      <c r="J255" s="327">
        <v>0.13</v>
      </c>
      <c r="K255" s="43">
        <f>I255*J255</f>
        <v>39</v>
      </c>
      <c r="L255" s="43">
        <f>H255-K255</f>
        <v>14941</v>
      </c>
      <c r="M255" s="43"/>
      <c r="N255" s="43">
        <f>L255-M255</f>
        <v>14941</v>
      </c>
      <c r="O255" s="43">
        <f>H255/1000*70</f>
        <v>1048.6000000000001</v>
      </c>
      <c r="P255" s="42">
        <v>9800</v>
      </c>
      <c r="Q255" s="42">
        <v>27.9</v>
      </c>
      <c r="R255" s="42">
        <f>L255*Q255</f>
        <v>416853.89999999997</v>
      </c>
      <c r="S255" s="47"/>
      <c r="T255" s="44"/>
    </row>
    <row r="256" spans="1:20">
      <c r="A256" s="6"/>
      <c r="B256" s="360" t="s">
        <v>4035</v>
      </c>
      <c r="C256" s="360" t="s">
        <v>20</v>
      </c>
      <c r="D256" s="42" t="s">
        <v>16</v>
      </c>
      <c r="E256" s="360" t="s">
        <v>2621</v>
      </c>
      <c r="F256" s="359">
        <v>1146</v>
      </c>
      <c r="G256" s="362">
        <v>2918</v>
      </c>
      <c r="H256" s="359">
        <v>14970</v>
      </c>
      <c r="I256" s="359">
        <v>300</v>
      </c>
      <c r="J256" s="359">
        <v>0.13</v>
      </c>
      <c r="K256" s="43">
        <f t="shared" ref="K256:K258" si="83">I256*J256</f>
        <v>39</v>
      </c>
      <c r="L256" s="43">
        <f t="shared" ref="L256:L258" si="84">H256-K256</f>
        <v>14931</v>
      </c>
      <c r="M256" s="43"/>
      <c r="N256" s="43">
        <f t="shared" ref="N256:N258" si="85">L256-M256</f>
        <v>14931</v>
      </c>
      <c r="O256" s="43">
        <f t="shared" ref="O256:O257" si="86">H256/1000*70</f>
        <v>1047.9000000000001</v>
      </c>
      <c r="P256" s="42">
        <v>9800</v>
      </c>
      <c r="Q256" s="42">
        <v>27.9</v>
      </c>
      <c r="R256" s="42">
        <f t="shared" ref="R256:R258" si="87">L256*Q256</f>
        <v>416574.89999999997</v>
      </c>
      <c r="S256" s="85"/>
      <c r="T256" s="44"/>
    </row>
    <row r="257" spans="1:20">
      <c r="A257" s="6"/>
      <c r="B257" s="360" t="s">
        <v>4035</v>
      </c>
      <c r="C257" s="360" t="s">
        <v>20</v>
      </c>
      <c r="D257" s="42" t="s">
        <v>16</v>
      </c>
      <c r="E257" s="360" t="s">
        <v>2860</v>
      </c>
      <c r="F257" s="359">
        <v>1151</v>
      </c>
      <c r="G257" s="362">
        <v>2919</v>
      </c>
      <c r="H257" s="359">
        <v>15000</v>
      </c>
      <c r="I257" s="359">
        <v>300</v>
      </c>
      <c r="J257" s="359">
        <v>0.13</v>
      </c>
      <c r="K257" s="43">
        <f t="shared" si="83"/>
        <v>39</v>
      </c>
      <c r="L257" s="43">
        <f t="shared" si="84"/>
        <v>14961</v>
      </c>
      <c r="M257" s="43"/>
      <c r="N257" s="43">
        <f t="shared" si="85"/>
        <v>14961</v>
      </c>
      <c r="O257" s="43">
        <f t="shared" si="86"/>
        <v>1050</v>
      </c>
      <c r="P257" s="42">
        <v>19600</v>
      </c>
      <c r="Q257" s="42">
        <v>27.9</v>
      </c>
      <c r="R257" s="42">
        <f t="shared" si="87"/>
        <v>417411.89999999997</v>
      </c>
      <c r="S257" s="327"/>
    </row>
    <row r="258" spans="1:20">
      <c r="A258" s="327"/>
      <c r="B258" s="360" t="s">
        <v>3961</v>
      </c>
      <c r="C258" s="360" t="s">
        <v>3567</v>
      </c>
      <c r="D258" s="42" t="s">
        <v>16</v>
      </c>
      <c r="E258" s="360" t="s">
        <v>4073</v>
      </c>
      <c r="F258" s="359">
        <v>8</v>
      </c>
      <c r="G258" s="362">
        <v>2920</v>
      </c>
      <c r="H258" s="359">
        <v>12820</v>
      </c>
      <c r="I258" s="359">
        <v>400</v>
      </c>
      <c r="J258" s="359"/>
      <c r="K258" s="43">
        <f t="shared" si="83"/>
        <v>0</v>
      </c>
      <c r="L258" s="43">
        <f t="shared" si="84"/>
        <v>12820</v>
      </c>
      <c r="M258" s="43"/>
      <c r="N258" s="43">
        <f t="shared" si="85"/>
        <v>12820</v>
      </c>
      <c r="O258" s="43">
        <v>0</v>
      </c>
      <c r="P258" s="42">
        <v>8000</v>
      </c>
      <c r="Q258" s="42">
        <v>15.75</v>
      </c>
      <c r="R258" s="42">
        <f t="shared" si="87"/>
        <v>201915</v>
      </c>
      <c r="S258" s="327"/>
    </row>
    <row r="259" spans="1:20">
      <c r="A259" s="327"/>
      <c r="B259" s="360" t="s">
        <v>330</v>
      </c>
      <c r="C259" s="360" t="s">
        <v>881</v>
      </c>
      <c r="D259" s="42" t="s">
        <v>16</v>
      </c>
      <c r="E259" s="360" t="s">
        <v>4067</v>
      </c>
      <c r="F259" s="327">
        <v>18497</v>
      </c>
      <c r="G259" s="362">
        <v>2921</v>
      </c>
      <c r="H259" s="327">
        <v>930</v>
      </c>
      <c r="I259" s="327">
        <v>19</v>
      </c>
      <c r="J259" s="327"/>
      <c r="K259" s="43">
        <f t="shared" ref="K259:K262" si="88">I259*J259</f>
        <v>0</v>
      </c>
      <c r="L259" s="43">
        <f t="shared" ref="L259:L262" si="89">H259-K259</f>
        <v>930</v>
      </c>
      <c r="M259" s="43"/>
      <c r="N259" s="43">
        <f t="shared" ref="N259:N262" si="90">L259-M259</f>
        <v>930</v>
      </c>
      <c r="O259" s="43">
        <f t="shared" ref="O259" si="91">H259/1000*70</f>
        <v>65.100000000000009</v>
      </c>
      <c r="P259" s="42"/>
      <c r="Q259" s="42"/>
      <c r="R259" s="42">
        <f t="shared" ref="R259:R262" si="92">L259*Q259</f>
        <v>0</v>
      </c>
      <c r="S259" s="360" t="s">
        <v>4074</v>
      </c>
    </row>
    <row r="260" spans="1:20">
      <c r="A260" s="363"/>
      <c r="B260" s="361" t="s">
        <v>4075</v>
      </c>
      <c r="C260" s="361" t="s">
        <v>3928</v>
      </c>
      <c r="D260" s="42" t="s">
        <v>16</v>
      </c>
      <c r="E260" s="361" t="s">
        <v>2419</v>
      </c>
      <c r="F260" s="361">
        <v>325</v>
      </c>
      <c r="G260" s="362">
        <v>2922</v>
      </c>
      <c r="H260" s="361">
        <v>6410</v>
      </c>
      <c r="I260" s="361">
        <v>142</v>
      </c>
      <c r="J260" s="361"/>
      <c r="K260" s="361">
        <f t="shared" si="88"/>
        <v>0</v>
      </c>
      <c r="L260" s="364">
        <f t="shared" si="89"/>
        <v>6410</v>
      </c>
      <c r="M260" s="364"/>
      <c r="N260" s="364">
        <f t="shared" si="90"/>
        <v>6410</v>
      </c>
      <c r="O260" s="361">
        <v>0</v>
      </c>
      <c r="P260" s="361">
        <v>3500</v>
      </c>
      <c r="Q260" s="361">
        <v>14.05</v>
      </c>
      <c r="R260" s="361">
        <f t="shared" si="92"/>
        <v>90060.5</v>
      </c>
      <c r="S260" s="361"/>
      <c r="T260" s="158">
        <v>0.5</v>
      </c>
    </row>
    <row r="261" spans="1:20">
      <c r="A261" s="363"/>
      <c r="B261" s="361" t="s">
        <v>1343</v>
      </c>
      <c r="C261" s="361" t="s">
        <v>481</v>
      </c>
      <c r="D261" s="42" t="s">
        <v>16</v>
      </c>
      <c r="E261" s="361" t="s">
        <v>1720</v>
      </c>
      <c r="F261" s="361">
        <v>2378</v>
      </c>
      <c r="G261" s="362">
        <v>2923</v>
      </c>
      <c r="H261" s="361">
        <v>3000</v>
      </c>
      <c r="I261" s="361">
        <v>60</v>
      </c>
      <c r="J261" s="361"/>
      <c r="K261" s="361">
        <f t="shared" si="88"/>
        <v>0</v>
      </c>
      <c r="L261" s="364">
        <f t="shared" si="89"/>
        <v>3000</v>
      </c>
      <c r="M261" s="364"/>
      <c r="N261" s="364">
        <f t="shared" si="90"/>
        <v>3000</v>
      </c>
      <c r="O261" s="361">
        <v>0</v>
      </c>
      <c r="P261" s="361">
        <v>0</v>
      </c>
      <c r="Q261" s="190">
        <f>48800/3000</f>
        <v>16.266666666666666</v>
      </c>
      <c r="R261" s="361">
        <f t="shared" si="92"/>
        <v>48800</v>
      </c>
      <c r="S261" s="361"/>
    </row>
    <row r="262" spans="1:20">
      <c r="A262" s="330"/>
      <c r="B262" s="330"/>
      <c r="C262" s="330"/>
      <c r="D262" s="331" t="s">
        <v>16</v>
      </c>
      <c r="E262" s="330"/>
      <c r="F262" s="330"/>
      <c r="G262" s="330"/>
      <c r="H262" s="330"/>
      <c r="I262" s="330"/>
      <c r="J262" s="330"/>
      <c r="K262" s="332">
        <f t="shared" si="88"/>
        <v>0</v>
      </c>
      <c r="L262" s="332">
        <f t="shared" si="89"/>
        <v>0</v>
      </c>
      <c r="M262" s="332"/>
      <c r="N262" s="332">
        <f t="shared" si="90"/>
        <v>0</v>
      </c>
      <c r="O262" s="332">
        <f t="shared" ref="O262" si="93">H262/1000*70</f>
        <v>0</v>
      </c>
      <c r="P262" s="331"/>
      <c r="Q262" s="331"/>
      <c r="R262" s="331">
        <f t="shared" si="92"/>
        <v>0</v>
      </c>
      <c r="S262" s="333"/>
    </row>
    <row r="263" spans="1:20">
      <c r="A263" s="310" t="s">
        <v>4076</v>
      </c>
      <c r="B263" s="361"/>
      <c r="C263" s="361"/>
      <c r="D263" s="42" t="s">
        <v>16</v>
      </c>
      <c r="E263" s="361"/>
      <c r="F263" s="361"/>
      <c r="G263" s="361"/>
      <c r="H263" s="361"/>
      <c r="I263" s="361"/>
      <c r="J263" s="361"/>
      <c r="K263" s="361"/>
      <c r="L263" s="364"/>
      <c r="M263" s="364"/>
      <c r="N263" s="364"/>
      <c r="O263" s="361"/>
      <c r="P263" s="361"/>
      <c r="Q263" s="361"/>
      <c r="R263" s="361"/>
      <c r="S263" s="361"/>
    </row>
    <row r="264" spans="1:20">
      <c r="A264" s="366"/>
      <c r="B264" s="366" t="s">
        <v>356</v>
      </c>
      <c r="C264" s="366" t="s">
        <v>88</v>
      </c>
      <c r="D264" s="42" t="s">
        <v>16</v>
      </c>
      <c r="E264" s="366" t="s">
        <v>4077</v>
      </c>
      <c r="F264" s="366">
        <v>1157</v>
      </c>
      <c r="G264" s="366">
        <v>2932</v>
      </c>
      <c r="H264" s="366">
        <v>19030</v>
      </c>
      <c r="I264" s="366">
        <v>320</v>
      </c>
      <c r="J264" s="366">
        <v>0.13</v>
      </c>
      <c r="K264" s="366">
        <f t="shared" ref="K264" si="94">I264*J264</f>
        <v>41.6</v>
      </c>
      <c r="L264" s="364">
        <f t="shared" ref="L264" si="95">H264-K264</f>
        <v>18988.400000000001</v>
      </c>
      <c r="M264" s="364"/>
      <c r="N264" s="364">
        <f t="shared" ref="N264" si="96">L264-M264</f>
        <v>18988.400000000001</v>
      </c>
      <c r="O264" s="43">
        <f t="shared" ref="O264:O280" si="97">H264/1000*70</f>
        <v>1332.1000000000001</v>
      </c>
      <c r="P264" s="366">
        <v>12300</v>
      </c>
      <c r="Q264" s="190">
        <v>21.8</v>
      </c>
      <c r="R264" s="366">
        <f t="shared" ref="R264" si="98">L264*Q264</f>
        <v>413947.12000000005</v>
      </c>
      <c r="S264" s="366"/>
    </row>
    <row r="265" spans="1:20">
      <c r="A265" s="366"/>
      <c r="B265" s="366" t="s">
        <v>356</v>
      </c>
      <c r="C265" s="366" t="s">
        <v>88</v>
      </c>
      <c r="D265" s="42" t="s">
        <v>16</v>
      </c>
      <c r="E265" s="366" t="s">
        <v>4078</v>
      </c>
      <c r="F265" s="366">
        <v>1156</v>
      </c>
      <c r="G265" s="366">
        <v>2933</v>
      </c>
      <c r="H265" s="366">
        <v>31030</v>
      </c>
      <c r="I265" s="366">
        <v>475</v>
      </c>
      <c r="J265" s="366">
        <v>0.13</v>
      </c>
      <c r="K265" s="366">
        <f t="shared" ref="K265:K281" si="99">I265*J265</f>
        <v>61.75</v>
      </c>
      <c r="L265" s="364">
        <f t="shared" ref="L265:L281" si="100">H265-K265</f>
        <v>30968.25</v>
      </c>
      <c r="M265" s="364"/>
      <c r="N265" s="364">
        <f t="shared" ref="N265:N281" si="101">L265-M265</f>
        <v>30968.25</v>
      </c>
      <c r="O265" s="43">
        <f t="shared" si="97"/>
        <v>2172.1</v>
      </c>
      <c r="P265" s="366">
        <v>19000</v>
      </c>
      <c r="Q265" s="190">
        <v>21.8</v>
      </c>
      <c r="R265" s="366">
        <f t="shared" ref="R265:R281" si="102">L265*Q265</f>
        <v>675107.85</v>
      </c>
      <c r="S265" s="366"/>
    </row>
    <row r="266" spans="1:20">
      <c r="A266" s="366"/>
      <c r="B266" s="366" t="s">
        <v>356</v>
      </c>
      <c r="C266" s="366" t="s">
        <v>88</v>
      </c>
      <c r="D266" s="42" t="s">
        <v>16</v>
      </c>
      <c r="E266" s="366" t="s">
        <v>3982</v>
      </c>
      <c r="F266" s="366">
        <v>1152</v>
      </c>
      <c r="G266" s="370">
        <v>2934</v>
      </c>
      <c r="H266" s="366">
        <v>25720</v>
      </c>
      <c r="I266" s="366">
        <v>353</v>
      </c>
      <c r="J266" s="366">
        <v>0.13</v>
      </c>
      <c r="K266" s="366">
        <f t="shared" si="99"/>
        <v>45.89</v>
      </c>
      <c r="L266" s="364">
        <f t="shared" si="100"/>
        <v>25674.11</v>
      </c>
      <c r="M266" s="364"/>
      <c r="N266" s="364">
        <f t="shared" si="101"/>
        <v>25674.11</v>
      </c>
      <c r="O266" s="43">
        <f t="shared" si="97"/>
        <v>1800.3999999999999</v>
      </c>
      <c r="P266" s="366">
        <v>17500</v>
      </c>
      <c r="Q266" s="190">
        <v>21.8</v>
      </c>
      <c r="R266" s="366">
        <f t="shared" si="102"/>
        <v>559695.598</v>
      </c>
      <c r="S266" s="366"/>
    </row>
    <row r="267" spans="1:20">
      <c r="A267" s="366"/>
      <c r="B267" s="366" t="s">
        <v>3961</v>
      </c>
      <c r="C267" s="366" t="s">
        <v>3567</v>
      </c>
      <c r="D267" s="42" t="s">
        <v>16</v>
      </c>
      <c r="E267" s="366" t="s">
        <v>4079</v>
      </c>
      <c r="F267" s="366">
        <v>11</v>
      </c>
      <c r="G267" s="370">
        <v>2935</v>
      </c>
      <c r="H267" s="366">
        <v>12070</v>
      </c>
      <c r="I267" s="366">
        <v>300</v>
      </c>
      <c r="J267" s="366"/>
      <c r="K267" s="366">
        <f t="shared" si="99"/>
        <v>0</v>
      </c>
      <c r="L267" s="364">
        <f t="shared" si="100"/>
        <v>12070</v>
      </c>
      <c r="M267" s="364"/>
      <c r="N267" s="364">
        <f t="shared" si="101"/>
        <v>12070</v>
      </c>
      <c r="O267" s="43">
        <v>0</v>
      </c>
      <c r="P267" s="366">
        <v>6500</v>
      </c>
      <c r="Q267" s="190">
        <v>15.75</v>
      </c>
      <c r="R267" s="366">
        <f t="shared" si="102"/>
        <v>190102.5</v>
      </c>
      <c r="S267" s="366"/>
    </row>
    <row r="268" spans="1:20">
      <c r="A268" s="366"/>
      <c r="B268" s="366" t="s">
        <v>3589</v>
      </c>
      <c r="C268" s="366" t="s">
        <v>3567</v>
      </c>
      <c r="D268" s="42" t="s">
        <v>16</v>
      </c>
      <c r="E268" s="366" t="s">
        <v>4080</v>
      </c>
      <c r="F268" s="366">
        <v>232</v>
      </c>
      <c r="G268" s="370">
        <v>2936</v>
      </c>
      <c r="H268" s="366">
        <v>7330</v>
      </c>
      <c r="I268" s="366">
        <f>H268/50</f>
        <v>146.6</v>
      </c>
      <c r="J268" s="366"/>
      <c r="K268" s="366">
        <f t="shared" si="99"/>
        <v>0</v>
      </c>
      <c r="L268" s="364">
        <f t="shared" si="100"/>
        <v>7330</v>
      </c>
      <c r="M268" s="364"/>
      <c r="N268" s="364">
        <f t="shared" si="101"/>
        <v>7330</v>
      </c>
      <c r="O268" s="43">
        <v>0</v>
      </c>
      <c r="P268" s="366">
        <v>0</v>
      </c>
      <c r="Q268" s="190">
        <f>101655/7330</f>
        <v>13.868349249658936</v>
      </c>
      <c r="R268" s="366">
        <f t="shared" si="102"/>
        <v>101655</v>
      </c>
      <c r="S268" s="366"/>
    </row>
    <row r="269" spans="1:20">
      <c r="A269" s="366"/>
      <c r="B269" s="366" t="s">
        <v>1304</v>
      </c>
      <c r="C269" s="366" t="s">
        <v>24</v>
      </c>
      <c r="D269" s="42" t="s">
        <v>16</v>
      </c>
      <c r="E269" s="366" t="s">
        <v>894</v>
      </c>
      <c r="F269" s="366">
        <v>1924738</v>
      </c>
      <c r="G269" s="370">
        <v>2937</v>
      </c>
      <c r="H269" s="366">
        <v>19900</v>
      </c>
      <c r="I269" s="366">
        <v>400</v>
      </c>
      <c r="J269" s="366">
        <v>0.13</v>
      </c>
      <c r="K269" s="366">
        <f t="shared" si="99"/>
        <v>52</v>
      </c>
      <c r="L269" s="364">
        <f t="shared" si="100"/>
        <v>19848</v>
      </c>
      <c r="M269" s="364"/>
      <c r="N269" s="364">
        <f t="shared" si="101"/>
        <v>19848</v>
      </c>
      <c r="O269" s="43">
        <f t="shared" si="97"/>
        <v>1393</v>
      </c>
      <c r="P269" s="366">
        <v>13000</v>
      </c>
      <c r="Q269" s="190">
        <v>36</v>
      </c>
      <c r="R269" s="366">
        <f t="shared" si="102"/>
        <v>714528</v>
      </c>
      <c r="S269" s="366"/>
    </row>
    <row r="270" spans="1:20">
      <c r="A270" s="366"/>
      <c r="B270" s="366" t="s">
        <v>1304</v>
      </c>
      <c r="C270" s="366" t="s">
        <v>24</v>
      </c>
      <c r="D270" s="42" t="s">
        <v>16</v>
      </c>
      <c r="E270" s="366" t="s">
        <v>2664</v>
      </c>
      <c r="F270" s="366">
        <v>1924740</v>
      </c>
      <c r="G270" s="370">
        <v>2938</v>
      </c>
      <c r="H270" s="366">
        <v>14940</v>
      </c>
      <c r="I270" s="366">
        <v>300</v>
      </c>
      <c r="J270" s="366">
        <v>0.13</v>
      </c>
      <c r="K270" s="366">
        <f t="shared" si="99"/>
        <v>39</v>
      </c>
      <c r="L270" s="364">
        <f t="shared" si="100"/>
        <v>14901</v>
      </c>
      <c r="M270" s="364"/>
      <c r="N270" s="364">
        <f t="shared" si="101"/>
        <v>14901</v>
      </c>
      <c r="O270" s="43">
        <f t="shared" si="97"/>
        <v>1045.8</v>
      </c>
      <c r="P270" s="366">
        <v>10000</v>
      </c>
      <c r="Q270" s="190">
        <v>36</v>
      </c>
      <c r="R270" s="366">
        <f t="shared" si="102"/>
        <v>536436</v>
      </c>
      <c r="S270" s="366"/>
    </row>
    <row r="271" spans="1:20">
      <c r="A271" s="366"/>
      <c r="B271" s="366" t="s">
        <v>4089</v>
      </c>
      <c r="C271" s="366" t="s">
        <v>24</v>
      </c>
      <c r="D271" s="42" t="s">
        <v>16</v>
      </c>
      <c r="E271" s="366" t="s">
        <v>4081</v>
      </c>
      <c r="F271" s="366">
        <v>2875</v>
      </c>
      <c r="G271" s="370">
        <v>2939</v>
      </c>
      <c r="H271" s="366">
        <v>14970</v>
      </c>
      <c r="I271" s="366">
        <v>300</v>
      </c>
      <c r="J271" s="366">
        <v>0.13</v>
      </c>
      <c r="K271" s="366">
        <f t="shared" si="99"/>
        <v>39</v>
      </c>
      <c r="L271" s="364">
        <f t="shared" si="100"/>
        <v>14931</v>
      </c>
      <c r="M271" s="364"/>
      <c r="N271" s="364">
        <f t="shared" si="101"/>
        <v>14931</v>
      </c>
      <c r="O271" s="43">
        <f t="shared" si="97"/>
        <v>1047.9000000000001</v>
      </c>
      <c r="P271" s="366">
        <v>10500</v>
      </c>
      <c r="Q271" s="190">
        <v>36</v>
      </c>
      <c r="R271" s="366">
        <f t="shared" si="102"/>
        <v>537516</v>
      </c>
      <c r="S271" s="366"/>
    </row>
    <row r="272" spans="1:20">
      <c r="A272" s="366"/>
      <c r="B272" s="366" t="s">
        <v>4089</v>
      </c>
      <c r="C272" s="366" t="s">
        <v>24</v>
      </c>
      <c r="D272" s="42" t="s">
        <v>16</v>
      </c>
      <c r="E272" s="366" t="s">
        <v>2205</v>
      </c>
      <c r="F272" s="366">
        <v>2873</v>
      </c>
      <c r="G272" s="370">
        <v>2940</v>
      </c>
      <c r="H272" s="366">
        <v>14970</v>
      </c>
      <c r="I272" s="366">
        <v>300</v>
      </c>
      <c r="J272" s="366">
        <v>0.13</v>
      </c>
      <c r="K272" s="366">
        <f t="shared" si="99"/>
        <v>39</v>
      </c>
      <c r="L272" s="364">
        <f t="shared" si="100"/>
        <v>14931</v>
      </c>
      <c r="M272" s="364"/>
      <c r="N272" s="364">
        <f t="shared" si="101"/>
        <v>14931</v>
      </c>
      <c r="O272" s="43">
        <f t="shared" si="97"/>
        <v>1047.9000000000001</v>
      </c>
      <c r="P272" s="366">
        <v>10500</v>
      </c>
      <c r="Q272" s="190">
        <v>36</v>
      </c>
      <c r="R272" s="366">
        <f t="shared" si="102"/>
        <v>537516</v>
      </c>
      <c r="S272" s="366"/>
    </row>
    <row r="273" spans="1:20">
      <c r="A273" s="366"/>
      <c r="B273" s="366" t="s">
        <v>4089</v>
      </c>
      <c r="C273" s="366" t="s">
        <v>24</v>
      </c>
      <c r="D273" s="42" t="s">
        <v>16</v>
      </c>
      <c r="E273" s="366" t="s">
        <v>2777</v>
      </c>
      <c r="F273" s="366">
        <v>2874</v>
      </c>
      <c r="G273" s="370">
        <v>2941</v>
      </c>
      <c r="H273" s="366">
        <v>15000</v>
      </c>
      <c r="I273" s="366">
        <v>300</v>
      </c>
      <c r="J273" s="366">
        <v>0.13</v>
      </c>
      <c r="K273" s="366">
        <f t="shared" si="99"/>
        <v>39</v>
      </c>
      <c r="L273" s="364">
        <f t="shared" si="100"/>
        <v>14961</v>
      </c>
      <c r="M273" s="364"/>
      <c r="N273" s="364">
        <f t="shared" si="101"/>
        <v>14961</v>
      </c>
      <c r="O273" s="43">
        <f t="shared" si="97"/>
        <v>1050</v>
      </c>
      <c r="P273" s="366">
        <v>10500</v>
      </c>
      <c r="Q273" s="190">
        <v>36</v>
      </c>
      <c r="R273" s="366">
        <f t="shared" si="102"/>
        <v>538596</v>
      </c>
      <c r="S273" s="366"/>
    </row>
    <row r="274" spans="1:20">
      <c r="A274" s="330"/>
      <c r="B274" s="330"/>
      <c r="C274" s="330"/>
      <c r="D274" s="331" t="s">
        <v>16</v>
      </c>
      <c r="E274" s="330"/>
      <c r="F274" s="330"/>
      <c r="G274" s="330"/>
      <c r="H274" s="330"/>
      <c r="I274" s="330"/>
      <c r="J274" s="330"/>
      <c r="K274" s="332">
        <f t="shared" si="99"/>
        <v>0</v>
      </c>
      <c r="L274" s="332">
        <f t="shared" si="100"/>
        <v>0</v>
      </c>
      <c r="M274" s="332"/>
      <c r="N274" s="332">
        <f t="shared" si="101"/>
        <v>0</v>
      </c>
      <c r="O274" s="332">
        <f t="shared" si="97"/>
        <v>0</v>
      </c>
      <c r="P274" s="331"/>
      <c r="Q274" s="331"/>
      <c r="R274" s="331">
        <f t="shared" si="102"/>
        <v>0</v>
      </c>
      <c r="S274" s="333"/>
    </row>
    <row r="275" spans="1:20">
      <c r="A275" s="310" t="s">
        <v>4082</v>
      </c>
      <c r="B275" s="366"/>
      <c r="C275" s="366"/>
      <c r="D275" s="42" t="s">
        <v>16</v>
      </c>
      <c r="E275" s="366"/>
      <c r="F275" s="366"/>
      <c r="G275" s="366"/>
      <c r="H275" s="366"/>
      <c r="I275" s="366"/>
      <c r="J275" s="366"/>
      <c r="K275" s="366">
        <f t="shared" si="99"/>
        <v>0</v>
      </c>
      <c r="L275" s="364">
        <f t="shared" si="100"/>
        <v>0</v>
      </c>
      <c r="M275" s="364"/>
      <c r="N275" s="364">
        <f t="shared" si="101"/>
        <v>0</v>
      </c>
      <c r="O275" s="43">
        <f t="shared" si="97"/>
        <v>0</v>
      </c>
      <c r="P275" s="366"/>
      <c r="Q275" s="190"/>
      <c r="R275" s="366">
        <f t="shared" si="102"/>
        <v>0</v>
      </c>
      <c r="S275" s="366"/>
    </row>
    <row r="276" spans="1:20">
      <c r="A276" s="366"/>
      <c r="B276" s="366" t="s">
        <v>3961</v>
      </c>
      <c r="C276" s="366" t="s">
        <v>3567</v>
      </c>
      <c r="D276" s="42" t="s">
        <v>16</v>
      </c>
      <c r="E276" s="366" t="s">
        <v>4083</v>
      </c>
      <c r="F276" s="366">
        <v>14</v>
      </c>
      <c r="G276" s="366">
        <v>2942</v>
      </c>
      <c r="H276" s="366">
        <v>11890</v>
      </c>
      <c r="I276" s="366">
        <v>300</v>
      </c>
      <c r="J276" s="366"/>
      <c r="K276" s="366">
        <f t="shared" si="99"/>
        <v>0</v>
      </c>
      <c r="L276" s="364">
        <f t="shared" si="100"/>
        <v>11890</v>
      </c>
      <c r="M276" s="364"/>
      <c r="N276" s="364">
        <f t="shared" si="101"/>
        <v>11890</v>
      </c>
      <c r="O276" s="43">
        <v>0</v>
      </c>
      <c r="P276" s="366">
        <v>6500</v>
      </c>
      <c r="Q276" s="190">
        <v>15.75</v>
      </c>
      <c r="R276" s="366">
        <f t="shared" si="102"/>
        <v>187267.5</v>
      </c>
      <c r="S276" s="366"/>
    </row>
    <row r="277" spans="1:20">
      <c r="A277" s="366"/>
      <c r="B277" s="366" t="s">
        <v>4035</v>
      </c>
      <c r="C277" s="366" t="s">
        <v>20</v>
      </c>
      <c r="D277" s="42" t="s">
        <v>16</v>
      </c>
      <c r="E277" s="366" t="s">
        <v>4084</v>
      </c>
      <c r="F277" s="366">
        <v>1158</v>
      </c>
      <c r="G277" s="366">
        <v>2943</v>
      </c>
      <c r="H277" s="366">
        <v>14980</v>
      </c>
      <c r="I277" s="366">
        <v>300</v>
      </c>
      <c r="J277" s="366">
        <v>0.13</v>
      </c>
      <c r="K277" s="366">
        <f t="shared" si="99"/>
        <v>39</v>
      </c>
      <c r="L277" s="364">
        <f t="shared" si="100"/>
        <v>14941</v>
      </c>
      <c r="M277" s="364"/>
      <c r="N277" s="364">
        <f t="shared" si="101"/>
        <v>14941</v>
      </c>
      <c r="O277" s="43">
        <f t="shared" si="97"/>
        <v>1048.6000000000001</v>
      </c>
      <c r="P277" s="366">
        <v>9800</v>
      </c>
      <c r="Q277" s="190">
        <v>27.9</v>
      </c>
      <c r="R277" s="366">
        <f t="shared" si="102"/>
        <v>416853.89999999997</v>
      </c>
      <c r="S277" s="366"/>
    </row>
    <row r="278" spans="1:20">
      <c r="A278" s="366"/>
      <c r="B278" s="366" t="s">
        <v>4088</v>
      </c>
      <c r="C278" s="366" t="s">
        <v>88</v>
      </c>
      <c r="D278" s="42" t="s">
        <v>16</v>
      </c>
      <c r="E278" s="366" t="s">
        <v>4085</v>
      </c>
      <c r="F278" s="366">
        <v>2988</v>
      </c>
      <c r="G278" s="370">
        <v>2944</v>
      </c>
      <c r="H278" s="366">
        <v>19960</v>
      </c>
      <c r="I278" s="366">
        <v>400</v>
      </c>
      <c r="J278" s="366">
        <v>0.13</v>
      </c>
      <c r="K278" s="366">
        <f t="shared" si="99"/>
        <v>52</v>
      </c>
      <c r="L278" s="364">
        <f t="shared" si="100"/>
        <v>19908</v>
      </c>
      <c r="M278" s="364"/>
      <c r="N278" s="364">
        <f t="shared" si="101"/>
        <v>19908</v>
      </c>
      <c r="O278" s="43">
        <f t="shared" si="97"/>
        <v>1397.2</v>
      </c>
      <c r="P278" s="366">
        <v>12300</v>
      </c>
      <c r="Q278" s="190">
        <v>21.3</v>
      </c>
      <c r="R278" s="366">
        <f t="shared" si="102"/>
        <v>424040.4</v>
      </c>
      <c r="S278" s="366"/>
    </row>
    <row r="279" spans="1:20">
      <c r="A279" s="366"/>
      <c r="B279" s="366" t="s">
        <v>4088</v>
      </c>
      <c r="C279" s="366" t="s">
        <v>88</v>
      </c>
      <c r="D279" s="42" t="s">
        <v>16</v>
      </c>
      <c r="E279" s="366" t="s">
        <v>4086</v>
      </c>
      <c r="F279" s="366">
        <v>2987</v>
      </c>
      <c r="G279" s="370">
        <v>2945</v>
      </c>
      <c r="H279" s="366">
        <v>20030</v>
      </c>
      <c r="I279" s="366">
        <v>400</v>
      </c>
      <c r="J279" s="366">
        <v>0.13</v>
      </c>
      <c r="K279" s="366">
        <f t="shared" si="99"/>
        <v>52</v>
      </c>
      <c r="L279" s="364">
        <f t="shared" si="100"/>
        <v>19978</v>
      </c>
      <c r="M279" s="364"/>
      <c r="N279" s="364">
        <f t="shared" si="101"/>
        <v>19978</v>
      </c>
      <c r="O279" s="43">
        <f t="shared" si="97"/>
        <v>1402.1000000000001</v>
      </c>
      <c r="P279" s="366">
        <v>13500</v>
      </c>
      <c r="Q279" s="190">
        <v>21.3</v>
      </c>
      <c r="R279" s="366">
        <f t="shared" si="102"/>
        <v>425531.4</v>
      </c>
      <c r="S279" s="366"/>
    </row>
    <row r="280" spans="1:20">
      <c r="A280" s="366"/>
      <c r="B280" s="366" t="s">
        <v>4088</v>
      </c>
      <c r="C280" s="366" t="s">
        <v>88</v>
      </c>
      <c r="D280" s="42" t="s">
        <v>16</v>
      </c>
      <c r="E280" s="366" t="s">
        <v>4087</v>
      </c>
      <c r="F280" s="366">
        <v>2986</v>
      </c>
      <c r="G280" s="370">
        <v>2946</v>
      </c>
      <c r="H280" s="366">
        <v>19990</v>
      </c>
      <c r="I280" s="366">
        <v>400</v>
      </c>
      <c r="J280" s="366">
        <v>0.13</v>
      </c>
      <c r="K280" s="366">
        <f t="shared" si="99"/>
        <v>52</v>
      </c>
      <c r="L280" s="364">
        <f t="shared" si="100"/>
        <v>19938</v>
      </c>
      <c r="M280" s="364"/>
      <c r="N280" s="364">
        <f t="shared" si="101"/>
        <v>19938</v>
      </c>
      <c r="O280" s="43">
        <f t="shared" si="97"/>
        <v>1399.3</v>
      </c>
      <c r="P280" s="366">
        <v>13500</v>
      </c>
      <c r="Q280" s="190">
        <v>21.3</v>
      </c>
      <c r="R280" s="366">
        <f t="shared" si="102"/>
        <v>424679.4</v>
      </c>
      <c r="S280" s="366"/>
    </row>
    <row r="281" spans="1:20">
      <c r="A281" s="366"/>
      <c r="B281" s="365" t="s">
        <v>4042</v>
      </c>
      <c r="C281" s="365" t="s">
        <v>3977</v>
      </c>
      <c r="D281" s="42" t="s">
        <v>16</v>
      </c>
      <c r="E281" s="366" t="s">
        <v>4046</v>
      </c>
      <c r="F281" s="366">
        <v>10</v>
      </c>
      <c r="G281" s="370">
        <v>2947</v>
      </c>
      <c r="H281" s="366">
        <v>19210</v>
      </c>
      <c r="I281" s="366">
        <v>240</v>
      </c>
      <c r="J281" s="366"/>
      <c r="K281" s="366">
        <f t="shared" si="99"/>
        <v>0</v>
      </c>
      <c r="L281" s="364">
        <f t="shared" si="100"/>
        <v>19210</v>
      </c>
      <c r="M281" s="364"/>
      <c r="N281" s="364">
        <f t="shared" si="101"/>
        <v>19210</v>
      </c>
      <c r="O281" s="43">
        <v>0</v>
      </c>
      <c r="P281" s="366">
        <v>11000</v>
      </c>
      <c r="Q281" s="190">
        <f>337320/19210</f>
        <v>17.559604372722539</v>
      </c>
      <c r="R281" s="366">
        <f t="shared" si="102"/>
        <v>337320</v>
      </c>
      <c r="S281" s="366"/>
    </row>
    <row r="282" spans="1:20">
      <c r="A282" s="330"/>
      <c r="B282" s="330"/>
      <c r="C282" s="330"/>
      <c r="D282" s="331" t="s">
        <v>16</v>
      </c>
      <c r="E282" s="330"/>
      <c r="F282" s="330"/>
      <c r="G282" s="330"/>
      <c r="H282" s="330"/>
      <c r="I282" s="330"/>
      <c r="J282" s="330"/>
      <c r="K282" s="332">
        <f t="shared" ref="K282:K283" si="103">I282*J282</f>
        <v>0</v>
      </c>
      <c r="L282" s="332">
        <f t="shared" ref="L282:L283" si="104">H282-K282</f>
        <v>0</v>
      </c>
      <c r="M282" s="332"/>
      <c r="N282" s="332">
        <f t="shared" ref="N282:N283" si="105">L282-M282</f>
        <v>0</v>
      </c>
      <c r="O282" s="332">
        <f t="shared" ref="O282:O283" si="106">H282/1000*70</f>
        <v>0</v>
      </c>
      <c r="P282" s="331"/>
      <c r="Q282" s="331"/>
      <c r="R282" s="331">
        <f t="shared" ref="R282:R283" si="107">L282*Q282</f>
        <v>0</v>
      </c>
      <c r="S282" s="333"/>
    </row>
    <row r="283" spans="1:20">
      <c r="A283" s="310" t="s">
        <v>4091</v>
      </c>
      <c r="B283" s="366"/>
      <c r="C283" s="366"/>
      <c r="D283" s="42" t="s">
        <v>16</v>
      </c>
      <c r="E283" s="366"/>
      <c r="F283" s="366"/>
      <c r="G283" s="366"/>
      <c r="H283" s="366"/>
      <c r="I283" s="366"/>
      <c r="J283" s="366"/>
      <c r="K283" s="368">
        <f t="shared" si="103"/>
        <v>0</v>
      </c>
      <c r="L283" s="364">
        <f t="shared" si="104"/>
        <v>0</v>
      </c>
      <c r="M283" s="364"/>
      <c r="N283" s="364">
        <f t="shared" si="105"/>
        <v>0</v>
      </c>
      <c r="O283" s="43">
        <f t="shared" si="106"/>
        <v>0</v>
      </c>
      <c r="P283" s="368"/>
      <c r="Q283" s="190"/>
      <c r="R283" s="368">
        <f t="shared" si="107"/>
        <v>0</v>
      </c>
      <c r="S283" s="366"/>
    </row>
    <row r="284" spans="1:20">
      <c r="A284" s="368"/>
      <c r="B284" s="368" t="s">
        <v>103</v>
      </c>
      <c r="C284" s="368" t="s">
        <v>88</v>
      </c>
      <c r="D284" s="42" t="s">
        <v>16</v>
      </c>
      <c r="E284" s="368" t="s">
        <v>4092</v>
      </c>
      <c r="F284" s="368">
        <v>485</v>
      </c>
      <c r="G284" s="368">
        <v>2948</v>
      </c>
      <c r="H284" s="368">
        <v>19970</v>
      </c>
      <c r="I284" s="368">
        <v>400</v>
      </c>
      <c r="J284" s="368">
        <v>0.13</v>
      </c>
      <c r="K284" s="368">
        <f t="shared" ref="K284:K298" si="108">I284*J284</f>
        <v>52</v>
      </c>
      <c r="L284" s="364">
        <f t="shared" ref="L284:L298" si="109">H284-K284</f>
        <v>19918</v>
      </c>
      <c r="M284" s="364"/>
      <c r="N284" s="364">
        <f t="shared" ref="N284:N298" si="110">L284-M284</f>
        <v>19918</v>
      </c>
      <c r="O284" s="43">
        <f t="shared" ref="O284:O298" si="111">H284/1000*70</f>
        <v>1397.8999999999999</v>
      </c>
      <c r="P284" s="368">
        <v>12500</v>
      </c>
      <c r="Q284" s="190">
        <v>22</v>
      </c>
      <c r="R284" s="368">
        <f t="shared" ref="R284:R298" si="112">L284*Q284</f>
        <v>438196</v>
      </c>
      <c r="S284" s="368"/>
    </row>
    <row r="285" spans="1:20">
      <c r="A285" s="363"/>
      <c r="B285" s="369" t="s">
        <v>1172</v>
      </c>
      <c r="C285" s="369" t="s">
        <v>1377</v>
      </c>
      <c r="D285" s="42" t="s">
        <v>16</v>
      </c>
      <c r="E285" s="368" t="s">
        <v>4093</v>
      </c>
      <c r="F285" s="368">
        <v>343</v>
      </c>
      <c r="G285" s="368">
        <v>2949</v>
      </c>
      <c r="H285" s="368">
        <v>16920</v>
      </c>
      <c r="I285" s="368">
        <v>315</v>
      </c>
      <c r="J285" s="368">
        <v>0.75</v>
      </c>
      <c r="K285" s="368">
        <f t="shared" si="108"/>
        <v>236.25</v>
      </c>
      <c r="L285" s="364">
        <f t="shared" si="109"/>
        <v>16683.75</v>
      </c>
      <c r="M285" s="364"/>
      <c r="N285" s="364">
        <f t="shared" si="110"/>
        <v>16683.75</v>
      </c>
      <c r="O285" s="43">
        <f t="shared" si="111"/>
        <v>1184.4000000000001</v>
      </c>
      <c r="P285" s="368">
        <v>19500</v>
      </c>
      <c r="Q285" s="190">
        <v>20</v>
      </c>
      <c r="R285" s="368">
        <f t="shared" si="112"/>
        <v>333675</v>
      </c>
      <c r="S285" s="363"/>
    </row>
    <row r="286" spans="1:20">
      <c r="A286" s="363"/>
      <c r="B286" s="369" t="s">
        <v>3927</v>
      </c>
      <c r="C286" s="369" t="s">
        <v>3928</v>
      </c>
      <c r="D286" s="42" t="s">
        <v>16</v>
      </c>
      <c r="E286" s="368" t="s">
        <v>323</v>
      </c>
      <c r="F286" s="368">
        <v>9601</v>
      </c>
      <c r="G286" s="370">
        <v>2950</v>
      </c>
      <c r="H286" s="368">
        <v>13660</v>
      </c>
      <c r="I286" s="368">
        <v>300</v>
      </c>
      <c r="J286" s="368"/>
      <c r="K286" s="368">
        <f t="shared" si="108"/>
        <v>0</v>
      </c>
      <c r="L286" s="364">
        <f t="shared" si="109"/>
        <v>13660</v>
      </c>
      <c r="M286" s="364"/>
      <c r="N286" s="364">
        <f t="shared" si="110"/>
        <v>13660</v>
      </c>
      <c r="O286" s="43">
        <v>0</v>
      </c>
      <c r="P286" s="368">
        <v>5000</v>
      </c>
      <c r="Q286" s="190">
        <v>14.7</v>
      </c>
      <c r="R286" s="368">
        <f t="shared" si="112"/>
        <v>200802</v>
      </c>
      <c r="S286" s="363"/>
      <c r="T286">
        <v>0.5</v>
      </c>
    </row>
    <row r="287" spans="1:20">
      <c r="A287" s="363"/>
      <c r="B287" s="369" t="s">
        <v>3927</v>
      </c>
      <c r="C287" s="369" t="s">
        <v>3928</v>
      </c>
      <c r="D287" s="42" t="s">
        <v>16</v>
      </c>
      <c r="E287" s="368" t="s">
        <v>323</v>
      </c>
      <c r="F287" s="368">
        <v>9602</v>
      </c>
      <c r="G287" s="370">
        <v>2951</v>
      </c>
      <c r="H287" s="368">
        <v>13520</v>
      </c>
      <c r="I287" s="368">
        <v>300</v>
      </c>
      <c r="J287" s="368"/>
      <c r="K287" s="368">
        <f t="shared" si="108"/>
        <v>0</v>
      </c>
      <c r="L287" s="364">
        <f t="shared" si="109"/>
        <v>13520</v>
      </c>
      <c r="M287" s="364"/>
      <c r="N287" s="364">
        <f t="shared" si="110"/>
        <v>13520</v>
      </c>
      <c r="O287" s="43">
        <v>0</v>
      </c>
      <c r="P287" s="368">
        <v>5000</v>
      </c>
      <c r="Q287" s="190">
        <v>14.85</v>
      </c>
      <c r="R287" s="368">
        <f t="shared" si="112"/>
        <v>200772</v>
      </c>
      <c r="S287" s="363"/>
      <c r="T287">
        <v>0.5</v>
      </c>
    </row>
    <row r="288" spans="1:20">
      <c r="A288" s="363"/>
      <c r="B288" s="369" t="s">
        <v>3961</v>
      </c>
      <c r="C288" s="369" t="s">
        <v>3567</v>
      </c>
      <c r="D288" s="42" t="s">
        <v>16</v>
      </c>
      <c r="E288" s="368" t="s">
        <v>4094</v>
      </c>
      <c r="F288" s="368">
        <v>22</v>
      </c>
      <c r="G288" s="370">
        <v>2952</v>
      </c>
      <c r="H288" s="368">
        <v>13810</v>
      </c>
      <c r="I288" s="368">
        <v>300</v>
      </c>
      <c r="J288" s="368"/>
      <c r="K288" s="368">
        <f t="shared" si="108"/>
        <v>0</v>
      </c>
      <c r="L288" s="364">
        <f t="shared" si="109"/>
        <v>13810</v>
      </c>
      <c r="M288" s="364"/>
      <c r="N288" s="364">
        <f t="shared" si="110"/>
        <v>13810</v>
      </c>
      <c r="O288" s="43">
        <v>0</v>
      </c>
      <c r="P288" s="368">
        <v>7000</v>
      </c>
      <c r="Q288" s="190">
        <v>15</v>
      </c>
      <c r="R288" s="368">
        <f t="shared" si="112"/>
        <v>207150</v>
      </c>
      <c r="S288" s="363" t="s">
        <v>4095</v>
      </c>
    </row>
    <row r="289" spans="1:19">
      <c r="A289" s="363"/>
      <c r="B289" s="368" t="s">
        <v>4035</v>
      </c>
      <c r="C289" s="368" t="s">
        <v>20</v>
      </c>
      <c r="D289" s="42" t="s">
        <v>16</v>
      </c>
      <c r="E289" s="368" t="s">
        <v>4096</v>
      </c>
      <c r="F289" s="368">
        <v>1159</v>
      </c>
      <c r="G289" s="370">
        <v>2953</v>
      </c>
      <c r="H289" s="368">
        <v>14960</v>
      </c>
      <c r="I289" s="368">
        <v>300</v>
      </c>
      <c r="J289" s="368">
        <v>0.13</v>
      </c>
      <c r="K289" s="368">
        <f t="shared" si="108"/>
        <v>39</v>
      </c>
      <c r="L289" s="364">
        <f t="shared" si="109"/>
        <v>14921</v>
      </c>
      <c r="M289" s="364"/>
      <c r="N289" s="364">
        <f t="shared" si="110"/>
        <v>14921</v>
      </c>
      <c r="O289" s="43">
        <f t="shared" si="111"/>
        <v>1047.2</v>
      </c>
      <c r="P289" s="368">
        <v>9800</v>
      </c>
      <c r="Q289" s="190">
        <v>27.9</v>
      </c>
      <c r="R289" s="368">
        <f t="shared" si="112"/>
        <v>416295.89999999997</v>
      </c>
      <c r="S289" s="363"/>
    </row>
    <row r="290" spans="1:19">
      <c r="A290" s="363"/>
      <c r="B290" s="368" t="s">
        <v>4035</v>
      </c>
      <c r="C290" s="368" t="s">
        <v>20</v>
      </c>
      <c r="D290" s="42" t="s">
        <v>16</v>
      </c>
      <c r="E290" s="368" t="s">
        <v>4097</v>
      </c>
      <c r="F290" s="368">
        <v>1176</v>
      </c>
      <c r="G290" s="370">
        <v>2954</v>
      </c>
      <c r="H290" s="368">
        <v>14940</v>
      </c>
      <c r="I290" s="368">
        <v>300</v>
      </c>
      <c r="J290" s="368">
        <v>0.13</v>
      </c>
      <c r="K290" s="368">
        <f t="shared" si="108"/>
        <v>39</v>
      </c>
      <c r="L290" s="364">
        <f t="shared" si="109"/>
        <v>14901</v>
      </c>
      <c r="M290" s="364"/>
      <c r="N290" s="364">
        <f t="shared" si="110"/>
        <v>14901</v>
      </c>
      <c r="O290" s="43">
        <f t="shared" si="111"/>
        <v>1045.8</v>
      </c>
      <c r="P290" s="368">
        <v>9800</v>
      </c>
      <c r="Q290" s="190">
        <v>27.9</v>
      </c>
      <c r="R290" s="368">
        <f t="shared" si="112"/>
        <v>415737.89999999997</v>
      </c>
      <c r="S290" s="363"/>
    </row>
    <row r="291" spans="1:19">
      <c r="A291" s="330"/>
      <c r="B291" s="330"/>
      <c r="C291" s="330"/>
      <c r="D291" s="331" t="s">
        <v>16</v>
      </c>
      <c r="E291" s="330"/>
      <c r="F291" s="330"/>
      <c r="G291" s="330"/>
      <c r="H291" s="330"/>
      <c r="I291" s="330"/>
      <c r="J291" s="330"/>
      <c r="K291" s="332">
        <f t="shared" si="108"/>
        <v>0</v>
      </c>
      <c r="L291" s="332">
        <f t="shared" si="109"/>
        <v>0</v>
      </c>
      <c r="M291" s="332"/>
      <c r="N291" s="332">
        <f t="shared" si="110"/>
        <v>0</v>
      </c>
      <c r="O291" s="332">
        <f t="shared" si="111"/>
        <v>0</v>
      </c>
      <c r="P291" s="331"/>
      <c r="Q291" s="331"/>
      <c r="R291" s="331">
        <f t="shared" si="112"/>
        <v>0</v>
      </c>
      <c r="S291" s="333"/>
    </row>
    <row r="292" spans="1:19">
      <c r="A292" s="363"/>
      <c r="B292" s="369"/>
      <c r="C292" s="369"/>
      <c r="D292" s="42" t="s">
        <v>16</v>
      </c>
      <c r="E292" s="368"/>
      <c r="F292" s="368"/>
      <c r="G292" s="368"/>
      <c r="H292" s="368"/>
      <c r="I292" s="368"/>
      <c r="J292" s="368"/>
      <c r="K292" s="368">
        <f t="shared" si="108"/>
        <v>0</v>
      </c>
      <c r="L292" s="364">
        <f t="shared" si="109"/>
        <v>0</v>
      </c>
      <c r="M292" s="364"/>
      <c r="N292" s="364">
        <f t="shared" si="110"/>
        <v>0</v>
      </c>
      <c r="O292" s="43">
        <f t="shared" si="111"/>
        <v>0</v>
      </c>
      <c r="P292" s="368"/>
      <c r="Q292" s="190"/>
      <c r="R292" s="368">
        <f t="shared" si="112"/>
        <v>0</v>
      </c>
      <c r="S292" s="363"/>
    </row>
    <row r="293" spans="1:19">
      <c r="A293" s="363"/>
      <c r="B293" s="369"/>
      <c r="C293" s="369"/>
      <c r="D293" s="42" t="s">
        <v>16</v>
      </c>
      <c r="E293" s="368"/>
      <c r="F293" s="368"/>
      <c r="G293" s="368"/>
      <c r="H293" s="368"/>
      <c r="I293" s="368"/>
      <c r="J293" s="368"/>
      <c r="K293" s="368">
        <f t="shared" si="108"/>
        <v>0</v>
      </c>
      <c r="L293" s="364">
        <f t="shared" si="109"/>
        <v>0</v>
      </c>
      <c r="M293" s="364"/>
      <c r="N293" s="364">
        <f t="shared" si="110"/>
        <v>0</v>
      </c>
      <c r="O293" s="43">
        <f t="shared" si="111"/>
        <v>0</v>
      </c>
      <c r="P293" s="368"/>
      <c r="Q293" s="190"/>
      <c r="R293" s="368">
        <f t="shared" si="112"/>
        <v>0</v>
      </c>
      <c r="S293" s="363"/>
    </row>
    <row r="294" spans="1:19">
      <c r="A294" s="363"/>
      <c r="B294" s="369"/>
      <c r="C294" s="369"/>
      <c r="D294" s="42" t="s">
        <v>16</v>
      </c>
      <c r="E294" s="368"/>
      <c r="F294" s="368"/>
      <c r="G294" s="368"/>
      <c r="H294" s="368"/>
      <c r="I294" s="368"/>
      <c r="J294" s="368"/>
      <c r="K294" s="368">
        <f t="shared" si="108"/>
        <v>0</v>
      </c>
      <c r="L294" s="364">
        <f t="shared" si="109"/>
        <v>0</v>
      </c>
      <c r="M294" s="364"/>
      <c r="N294" s="364">
        <f t="shared" si="110"/>
        <v>0</v>
      </c>
      <c r="O294" s="43">
        <f t="shared" si="111"/>
        <v>0</v>
      </c>
      <c r="P294" s="368"/>
      <c r="Q294" s="190"/>
      <c r="R294" s="368">
        <f t="shared" si="112"/>
        <v>0</v>
      </c>
      <c r="S294" s="363"/>
    </row>
    <row r="295" spans="1:19">
      <c r="A295" s="363"/>
      <c r="B295" s="369"/>
      <c r="C295" s="369"/>
      <c r="D295" s="42" t="s">
        <v>16</v>
      </c>
      <c r="E295" s="368"/>
      <c r="F295" s="368"/>
      <c r="G295" s="368"/>
      <c r="H295" s="368"/>
      <c r="I295" s="368"/>
      <c r="J295" s="368"/>
      <c r="K295" s="368">
        <f t="shared" si="108"/>
        <v>0</v>
      </c>
      <c r="L295" s="364">
        <f t="shared" si="109"/>
        <v>0</v>
      </c>
      <c r="M295" s="364"/>
      <c r="N295" s="364">
        <f t="shared" si="110"/>
        <v>0</v>
      </c>
      <c r="O295" s="43">
        <f t="shared" si="111"/>
        <v>0</v>
      </c>
      <c r="P295" s="368"/>
      <c r="Q295" s="190"/>
      <c r="R295" s="368">
        <f t="shared" si="112"/>
        <v>0</v>
      </c>
      <c r="S295" s="363"/>
    </row>
    <row r="296" spans="1:19">
      <c r="A296" s="363"/>
      <c r="B296" s="369"/>
      <c r="C296" s="369"/>
      <c r="D296" s="42" t="s">
        <v>16</v>
      </c>
      <c r="E296" s="368"/>
      <c r="F296" s="368"/>
      <c r="G296" s="368"/>
      <c r="H296" s="368"/>
      <c r="I296" s="368"/>
      <c r="J296" s="368"/>
      <c r="K296" s="368">
        <f t="shared" si="108"/>
        <v>0</v>
      </c>
      <c r="L296" s="364">
        <f t="shared" si="109"/>
        <v>0</v>
      </c>
      <c r="M296" s="364"/>
      <c r="N296" s="364">
        <f t="shared" si="110"/>
        <v>0</v>
      </c>
      <c r="O296" s="43">
        <f t="shared" si="111"/>
        <v>0</v>
      </c>
      <c r="P296" s="368"/>
      <c r="Q296" s="190"/>
      <c r="R296" s="368">
        <f t="shared" si="112"/>
        <v>0</v>
      </c>
      <c r="S296" s="363"/>
    </row>
    <row r="297" spans="1:19">
      <c r="A297" s="363"/>
      <c r="B297" s="363"/>
      <c r="C297" s="363"/>
      <c r="D297" s="42" t="s">
        <v>16</v>
      </c>
      <c r="E297" s="368"/>
      <c r="F297" s="368"/>
      <c r="G297" s="368"/>
      <c r="H297" s="368"/>
      <c r="I297" s="368"/>
      <c r="J297" s="368"/>
      <c r="K297" s="368">
        <f t="shared" si="108"/>
        <v>0</v>
      </c>
      <c r="L297" s="364">
        <f t="shared" si="109"/>
        <v>0</v>
      </c>
      <c r="M297" s="364"/>
      <c r="N297" s="364">
        <f t="shared" si="110"/>
        <v>0</v>
      </c>
      <c r="O297" s="43">
        <f t="shared" si="111"/>
        <v>0</v>
      </c>
      <c r="P297" s="368"/>
      <c r="Q297" s="190"/>
      <c r="R297" s="368">
        <f t="shared" si="112"/>
        <v>0</v>
      </c>
      <c r="S297" s="363"/>
    </row>
    <row r="298" spans="1:19">
      <c r="A298" s="363"/>
      <c r="B298" s="363"/>
      <c r="C298" s="363"/>
      <c r="D298" s="42" t="s">
        <v>16</v>
      </c>
      <c r="E298" s="368"/>
      <c r="F298" s="368"/>
      <c r="G298" s="368"/>
      <c r="H298" s="368"/>
      <c r="I298" s="368"/>
      <c r="J298" s="368"/>
      <c r="K298" s="368">
        <f t="shared" si="108"/>
        <v>0</v>
      </c>
      <c r="L298" s="364">
        <f t="shared" si="109"/>
        <v>0</v>
      </c>
      <c r="M298" s="364"/>
      <c r="N298" s="364">
        <f t="shared" si="110"/>
        <v>0</v>
      </c>
      <c r="O298" s="43">
        <f t="shared" si="111"/>
        <v>0</v>
      </c>
      <c r="P298" s="368"/>
      <c r="Q298" s="190"/>
      <c r="R298" s="368">
        <f t="shared" si="112"/>
        <v>0</v>
      </c>
      <c r="S298" s="363"/>
    </row>
  </sheetData>
  <autoFilter ref="C1:C7"/>
  <mergeCells count="3">
    <mergeCell ref="A5:B5"/>
    <mergeCell ref="A2:S2"/>
    <mergeCell ref="A3:S3"/>
  </mergeCells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5:T6"/>
  <sheetViews>
    <sheetView workbookViewId="0">
      <selection activeCell="D22" sqref="D22"/>
    </sheetView>
  </sheetViews>
  <sheetFormatPr defaultRowHeight="14.4"/>
  <cols>
    <col min="2" max="2" width="13.88671875" customWidth="1"/>
  </cols>
  <sheetData>
    <row r="5" spans="1:20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3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3" t="s">
        <v>36</v>
      </c>
      <c r="N5" s="3" t="s">
        <v>12</v>
      </c>
      <c r="O5" s="3" t="s">
        <v>2</v>
      </c>
      <c r="Q5" s="14" t="s">
        <v>77</v>
      </c>
      <c r="R5" s="14" t="s">
        <v>78</v>
      </c>
      <c r="S5" s="14" t="s">
        <v>79</v>
      </c>
      <c r="T5" s="14" t="s">
        <v>80</v>
      </c>
    </row>
    <row r="6" spans="1:20">
      <c r="A6" s="1" t="s">
        <v>13</v>
      </c>
      <c r="B6" s="2" t="s">
        <v>14</v>
      </c>
      <c r="C6" s="2" t="s">
        <v>15</v>
      </c>
      <c r="D6" s="2" t="s">
        <v>16</v>
      </c>
      <c r="E6" s="2" t="s">
        <v>38</v>
      </c>
      <c r="F6" s="2">
        <v>949</v>
      </c>
      <c r="G6" s="2">
        <v>325</v>
      </c>
      <c r="H6" s="2">
        <v>11760</v>
      </c>
      <c r="I6" s="2">
        <v>60</v>
      </c>
      <c r="J6" s="2">
        <v>10</v>
      </c>
      <c r="K6" s="2">
        <f>I6*J6</f>
        <v>600</v>
      </c>
      <c r="L6" s="5">
        <f>H6-K6</f>
        <v>11160</v>
      </c>
      <c r="M6" s="5">
        <f>H6/1000*70</f>
        <v>823.19999999999993</v>
      </c>
      <c r="N6" s="2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5:T37"/>
  <sheetViews>
    <sheetView topLeftCell="A16" workbookViewId="0">
      <selection activeCell="A38" sqref="A38"/>
    </sheetView>
  </sheetViews>
  <sheetFormatPr defaultRowHeight="14.4"/>
  <cols>
    <col min="1" max="1" width="7.88671875" style="1" customWidth="1"/>
    <col min="2" max="2" width="17.33203125" style="1" customWidth="1"/>
    <col min="3" max="3" width="8.88671875" style="1"/>
    <col min="4" max="4" width="5.44140625" style="1" customWidth="1"/>
    <col min="5" max="6" width="8.88671875" style="1"/>
    <col min="7" max="7" width="6.33203125" style="1" customWidth="1"/>
    <col min="8" max="8" width="8.88671875" style="1"/>
    <col min="9" max="9" width="6.5546875" style="1" customWidth="1"/>
    <col min="10" max="10" width="7" style="1" customWidth="1"/>
    <col min="11" max="11" width="7.44140625" style="1" customWidth="1"/>
    <col min="12" max="16384" width="8.88671875" style="1"/>
  </cols>
  <sheetData>
    <row r="5" spans="1:20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3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3" t="s">
        <v>36</v>
      </c>
      <c r="N5" s="3" t="s">
        <v>12</v>
      </c>
      <c r="O5" s="3" t="s">
        <v>2</v>
      </c>
      <c r="Q5" s="14" t="s">
        <v>77</v>
      </c>
      <c r="R5" s="14" t="s">
        <v>78</v>
      </c>
      <c r="S5" s="14" t="s">
        <v>79</v>
      </c>
      <c r="T5" s="14" t="s">
        <v>80</v>
      </c>
    </row>
    <row r="6" spans="1:20">
      <c r="A6" s="6" t="s">
        <v>99</v>
      </c>
      <c r="B6" s="2" t="s">
        <v>100</v>
      </c>
      <c r="C6" s="2" t="s">
        <v>101</v>
      </c>
      <c r="D6" s="2" t="s">
        <v>16</v>
      </c>
      <c r="E6" s="2" t="s">
        <v>102</v>
      </c>
      <c r="F6" s="2">
        <v>1640</v>
      </c>
      <c r="G6" s="2"/>
      <c r="H6" s="2">
        <v>7210</v>
      </c>
      <c r="I6" s="2"/>
      <c r="J6" s="2"/>
      <c r="K6" s="2">
        <f t="shared" ref="K6:K7" si="0">I6*J6</f>
        <v>0</v>
      </c>
      <c r="L6" s="5">
        <v>9012</v>
      </c>
      <c r="M6" s="5">
        <v>0</v>
      </c>
      <c r="N6" s="2">
        <v>0</v>
      </c>
    </row>
    <row r="7" spans="1:20">
      <c r="A7" s="6" t="s">
        <v>243</v>
      </c>
      <c r="B7" s="2" t="s">
        <v>100</v>
      </c>
      <c r="C7" s="2" t="s">
        <v>101</v>
      </c>
      <c r="D7" s="2" t="s">
        <v>16</v>
      </c>
      <c r="E7" s="2" t="s">
        <v>249</v>
      </c>
      <c r="F7" s="2">
        <v>1646</v>
      </c>
      <c r="G7" s="2"/>
      <c r="H7" s="2">
        <v>8837.5</v>
      </c>
      <c r="I7" s="2"/>
      <c r="J7" s="2"/>
      <c r="K7" s="5">
        <f t="shared" si="0"/>
        <v>0</v>
      </c>
      <c r="L7" s="19">
        <f t="shared" ref="L7" si="1">H7-K7</f>
        <v>8837.5</v>
      </c>
      <c r="M7" s="5"/>
      <c r="N7" s="2">
        <v>0</v>
      </c>
    </row>
    <row r="9" spans="1:20">
      <c r="A9" s="21" t="s">
        <v>291</v>
      </c>
      <c r="B9" s="2" t="s">
        <v>297</v>
      </c>
      <c r="C9" s="2" t="s">
        <v>101</v>
      </c>
      <c r="D9" s="2" t="s">
        <v>16</v>
      </c>
      <c r="E9" s="2" t="s">
        <v>40</v>
      </c>
      <c r="F9" s="2">
        <v>10872</v>
      </c>
      <c r="G9" s="2"/>
      <c r="H9" s="2">
        <v>1800</v>
      </c>
      <c r="I9" s="2"/>
      <c r="J9" s="2"/>
      <c r="K9" s="5">
        <f t="shared" ref="K9" si="2">I9*J9</f>
        <v>0</v>
      </c>
      <c r="L9" s="19">
        <f t="shared" ref="L9" si="3">H9-K9</f>
        <v>1800</v>
      </c>
      <c r="M9" s="5">
        <f t="shared" ref="M9" si="4">H9/1000*70</f>
        <v>126</v>
      </c>
      <c r="N9" s="2"/>
      <c r="O9" s="2">
        <v>65</v>
      </c>
      <c r="P9" s="2">
        <f t="shared" ref="P9" si="5">L9*O9</f>
        <v>117000</v>
      </c>
    </row>
    <row r="11" spans="1:20">
      <c r="A11" s="21" t="s">
        <v>299</v>
      </c>
      <c r="B11" s="2" t="s">
        <v>100</v>
      </c>
      <c r="C11" s="2" t="s">
        <v>101</v>
      </c>
      <c r="D11" s="2" t="s">
        <v>16</v>
      </c>
      <c r="E11" s="2" t="s">
        <v>249</v>
      </c>
      <c r="F11" s="2">
        <v>1662</v>
      </c>
      <c r="G11" s="2"/>
      <c r="H11" s="2">
        <v>8900</v>
      </c>
      <c r="I11" s="2"/>
      <c r="J11" s="2"/>
      <c r="K11" s="5">
        <f t="shared" ref="K11" si="6">I11*J11</f>
        <v>0</v>
      </c>
      <c r="L11" s="19">
        <f t="shared" ref="L11" si="7">H11-K11</f>
        <v>8900</v>
      </c>
      <c r="M11" s="5">
        <v>0</v>
      </c>
      <c r="N11" s="2">
        <v>0</v>
      </c>
      <c r="O11" s="2">
        <v>64</v>
      </c>
      <c r="P11" s="2">
        <f t="shared" ref="P11" si="8">L11*O11</f>
        <v>569600</v>
      </c>
    </row>
    <row r="13" spans="1:20">
      <c r="A13" s="1" t="s">
        <v>348</v>
      </c>
      <c r="B13" s="2" t="s">
        <v>100</v>
      </c>
      <c r="C13" s="2" t="s">
        <v>101</v>
      </c>
      <c r="D13" s="42" t="s">
        <v>16</v>
      </c>
      <c r="E13" s="42" t="s">
        <v>249</v>
      </c>
      <c r="F13" s="42">
        <v>1674</v>
      </c>
      <c r="G13" s="42"/>
      <c r="H13" s="42">
        <v>8925</v>
      </c>
      <c r="I13" s="42"/>
      <c r="J13" s="42"/>
      <c r="K13" s="42">
        <f t="shared" ref="K13" si="9">I13*J13</f>
        <v>0</v>
      </c>
      <c r="L13" s="43">
        <f t="shared" ref="L13" si="10">H13-K13</f>
        <v>8925</v>
      </c>
      <c r="M13" s="43">
        <f t="shared" ref="M13" si="11">H13/1000*70</f>
        <v>624.75</v>
      </c>
      <c r="N13" s="42">
        <v>0</v>
      </c>
      <c r="O13" s="42">
        <v>64</v>
      </c>
      <c r="P13" s="42">
        <f t="shared" ref="P13" si="12">L13*O13</f>
        <v>571200</v>
      </c>
    </row>
    <row r="15" spans="1:20">
      <c r="A15" s="1" t="s">
        <v>440</v>
      </c>
      <c r="B15" s="42" t="s">
        <v>100</v>
      </c>
      <c r="C15" s="42" t="s">
        <v>101</v>
      </c>
      <c r="D15" s="42" t="s">
        <v>16</v>
      </c>
      <c r="E15" s="42" t="s">
        <v>441</v>
      </c>
      <c r="F15" s="42">
        <v>1697</v>
      </c>
      <c r="G15" s="42"/>
      <c r="H15" s="42">
        <v>9087.5</v>
      </c>
      <c r="I15" s="42"/>
      <c r="J15" s="42"/>
      <c r="K15" s="42">
        <f t="shared" ref="K15" si="13">I15*J15</f>
        <v>0</v>
      </c>
      <c r="L15" s="43">
        <f t="shared" ref="L15" si="14">H15-K15</f>
        <v>9087.5</v>
      </c>
      <c r="M15" s="43">
        <f t="shared" ref="M15" si="15">H15/1000*70</f>
        <v>636.125</v>
      </c>
      <c r="N15" s="42">
        <v>0</v>
      </c>
      <c r="O15" s="42"/>
      <c r="P15" s="42"/>
    </row>
    <row r="17" spans="1:19">
      <c r="A17" s="1" t="s">
        <v>569</v>
      </c>
      <c r="B17" s="42" t="s">
        <v>100</v>
      </c>
      <c r="C17" s="42" t="s">
        <v>101</v>
      </c>
      <c r="D17" s="42" t="s">
        <v>16</v>
      </c>
      <c r="E17" s="42" t="s">
        <v>572</v>
      </c>
      <c r="F17" s="42">
        <v>758</v>
      </c>
      <c r="G17" s="42"/>
      <c r="H17" s="42">
        <v>8775</v>
      </c>
      <c r="I17" s="42"/>
      <c r="J17" s="42"/>
      <c r="K17" s="42">
        <f t="shared" ref="K17" si="16">I17*J17</f>
        <v>0</v>
      </c>
      <c r="L17" s="43">
        <f t="shared" ref="L17" si="17">H17-K17</f>
        <v>8775</v>
      </c>
      <c r="M17" s="43">
        <f t="shared" ref="M17" si="18">H17/1000*70</f>
        <v>614.25</v>
      </c>
    </row>
    <row r="19" spans="1:19">
      <c r="A19" s="1" t="s">
        <v>718</v>
      </c>
      <c r="B19" s="42" t="s">
        <v>715</v>
      </c>
      <c r="C19" s="42" t="s">
        <v>101</v>
      </c>
      <c r="D19" s="42" t="s">
        <v>16</v>
      </c>
      <c r="E19" s="42" t="s">
        <v>716</v>
      </c>
      <c r="F19" s="42">
        <v>1770</v>
      </c>
      <c r="G19" s="42">
        <v>333</v>
      </c>
      <c r="H19" s="42">
        <v>9075</v>
      </c>
      <c r="I19" s="42"/>
      <c r="J19" s="42"/>
      <c r="K19" s="42">
        <f t="shared" ref="K19" si="19">I19*J19</f>
        <v>0</v>
      </c>
      <c r="L19" s="43">
        <f t="shared" ref="L19" si="20">H19-K19</f>
        <v>9075</v>
      </c>
      <c r="M19" s="43"/>
      <c r="N19" s="43">
        <f t="shared" ref="N19" si="21">L19-M19</f>
        <v>9075</v>
      </c>
      <c r="O19" s="43">
        <f t="shared" ref="O19" si="22">H19/1000*70</f>
        <v>635.25</v>
      </c>
      <c r="P19" s="42">
        <v>0</v>
      </c>
      <c r="Q19" s="42">
        <v>64</v>
      </c>
      <c r="R19" s="42">
        <f t="shared" ref="R19" si="23">L19*Q19</f>
        <v>580800</v>
      </c>
    </row>
    <row r="21" spans="1:19">
      <c r="A21" s="1" t="s">
        <v>811</v>
      </c>
      <c r="B21" s="42" t="s">
        <v>100</v>
      </c>
      <c r="C21" s="42" t="s">
        <v>101</v>
      </c>
      <c r="D21" s="42" t="s">
        <v>16</v>
      </c>
      <c r="E21" s="42" t="s">
        <v>848</v>
      </c>
      <c r="F21" s="42">
        <v>1776</v>
      </c>
      <c r="G21" s="42"/>
      <c r="H21" s="42">
        <v>9162</v>
      </c>
      <c r="I21" s="42"/>
      <c r="J21" s="42"/>
      <c r="K21" s="43">
        <f t="shared" ref="K21" si="24">I21*J21</f>
        <v>0</v>
      </c>
      <c r="L21" s="43">
        <f t="shared" ref="L21" si="25">H21-K21</f>
        <v>9162</v>
      </c>
      <c r="M21" s="43"/>
      <c r="N21" s="43">
        <f t="shared" ref="N21" si="26">L21-M21</f>
        <v>9162</v>
      </c>
      <c r="O21" s="43">
        <f t="shared" ref="O21" si="27">H21/1000*70</f>
        <v>641.34</v>
      </c>
      <c r="P21" s="42"/>
      <c r="Q21" s="42">
        <v>64</v>
      </c>
      <c r="R21" s="42">
        <f t="shared" ref="R21" si="28">L21*Q21</f>
        <v>586368</v>
      </c>
    </row>
    <row r="23" spans="1:19">
      <c r="A23" s="1" t="s">
        <v>964</v>
      </c>
      <c r="B23" s="92" t="s">
        <v>100</v>
      </c>
      <c r="C23" s="92" t="s">
        <v>101</v>
      </c>
      <c r="D23" s="42" t="s">
        <v>16</v>
      </c>
      <c r="E23" s="92" t="s">
        <v>716</v>
      </c>
      <c r="F23" s="92">
        <v>1788</v>
      </c>
      <c r="G23" s="92"/>
      <c r="H23" s="92">
        <v>8912</v>
      </c>
      <c r="I23" s="92"/>
      <c r="J23" s="92"/>
      <c r="K23" s="42">
        <f t="shared" ref="K23" si="29">I23*J23</f>
        <v>0</v>
      </c>
      <c r="L23" s="43">
        <f t="shared" ref="L23" si="30">H23-K23</f>
        <v>8912</v>
      </c>
      <c r="M23" s="43"/>
      <c r="N23" s="43">
        <f t="shared" ref="N23" si="31">L23-M23</f>
        <v>8912</v>
      </c>
      <c r="O23" s="43">
        <f t="shared" ref="O23" si="32">H23/1000*70</f>
        <v>623.84</v>
      </c>
      <c r="P23" s="92"/>
      <c r="Q23" s="92">
        <v>64</v>
      </c>
      <c r="R23" s="92">
        <f t="shared" ref="R23" si="33">L23*Q23</f>
        <v>570368</v>
      </c>
    </row>
    <row r="25" spans="1:19">
      <c r="A25" s="1" t="s">
        <v>1047</v>
      </c>
      <c r="B25" s="42" t="s">
        <v>100</v>
      </c>
      <c r="C25" s="42" t="s">
        <v>101</v>
      </c>
      <c r="D25" s="42" t="s">
        <v>16</v>
      </c>
      <c r="E25" s="42" t="s">
        <v>249</v>
      </c>
      <c r="F25" s="42">
        <v>1849</v>
      </c>
      <c r="G25" s="42"/>
      <c r="H25" s="42">
        <f>7410*1.25</f>
        <v>9262.5</v>
      </c>
      <c r="I25" s="42"/>
      <c r="J25" s="42"/>
      <c r="K25" s="42">
        <f t="shared" ref="K25:K26" si="34">I25*J25</f>
        <v>0</v>
      </c>
      <c r="L25" s="43">
        <f t="shared" ref="L25:L26" si="35">H25-K25</f>
        <v>9262.5</v>
      </c>
      <c r="M25" s="43"/>
      <c r="N25" s="43">
        <f t="shared" ref="N25:N26" si="36">L25-M25</f>
        <v>9262.5</v>
      </c>
      <c r="O25" s="43">
        <f t="shared" ref="O25:O26" si="37">H25/1000*70</f>
        <v>648.375</v>
      </c>
      <c r="P25" s="42"/>
      <c r="Q25" s="42"/>
      <c r="R25" s="42">
        <f t="shared" ref="R25:R26" si="38">L25*Q25</f>
        <v>0</v>
      </c>
      <c r="S25" s="42"/>
    </row>
    <row r="26" spans="1:19">
      <c r="A26" s="21" t="s">
        <v>1425</v>
      </c>
      <c r="B26" s="42" t="s">
        <v>1428</v>
      </c>
      <c r="C26" s="42" t="s">
        <v>101</v>
      </c>
      <c r="D26" s="42" t="s">
        <v>16</v>
      </c>
      <c r="E26" s="42" t="s">
        <v>716</v>
      </c>
      <c r="F26" s="42">
        <v>2124</v>
      </c>
      <c r="G26" s="42"/>
      <c r="H26" s="42">
        <f>7230*1.25</f>
        <v>9037.5</v>
      </c>
      <c r="I26" s="42"/>
      <c r="J26" s="42"/>
      <c r="K26" s="42">
        <f t="shared" si="34"/>
        <v>0</v>
      </c>
      <c r="L26" s="43">
        <f t="shared" si="35"/>
        <v>9037.5</v>
      </c>
      <c r="M26" s="43"/>
      <c r="N26" s="43">
        <f t="shared" si="36"/>
        <v>9037.5</v>
      </c>
      <c r="O26" s="43">
        <f t="shared" si="37"/>
        <v>632.625</v>
      </c>
      <c r="P26" s="42">
        <v>0</v>
      </c>
      <c r="Q26" s="42">
        <v>64</v>
      </c>
      <c r="R26" s="42">
        <f t="shared" si="38"/>
        <v>578400</v>
      </c>
    </row>
    <row r="28" spans="1:19">
      <c r="A28" s="21" t="s">
        <v>1587</v>
      </c>
      <c r="B28" s="42" t="s">
        <v>100</v>
      </c>
      <c r="C28" s="42" t="s">
        <v>101</v>
      </c>
      <c r="D28" s="42" t="s">
        <v>16</v>
      </c>
      <c r="E28" s="42" t="s">
        <v>716</v>
      </c>
      <c r="F28" s="42">
        <v>2179</v>
      </c>
      <c r="G28" s="42"/>
      <c r="H28" s="42">
        <v>7210</v>
      </c>
      <c r="I28" s="42"/>
      <c r="J28" s="42"/>
      <c r="K28" s="42">
        <f t="shared" ref="K28" si="39">I28*J28</f>
        <v>0</v>
      </c>
      <c r="L28" s="43">
        <f t="shared" ref="L28" si="40">H28-K28</f>
        <v>7210</v>
      </c>
      <c r="M28" s="43"/>
      <c r="N28" s="43">
        <f t="shared" ref="N28" si="41">L28-M28</f>
        <v>7210</v>
      </c>
      <c r="O28" s="43">
        <f t="shared" ref="O28" si="42">H28/1000*70</f>
        <v>504.7</v>
      </c>
      <c r="P28" s="42"/>
      <c r="Q28" s="42"/>
      <c r="R28" s="42">
        <f t="shared" ref="R28" si="43">L28*Q28</f>
        <v>0</v>
      </c>
      <c r="S28" s="42" t="s">
        <v>1602</v>
      </c>
    </row>
    <row r="30" spans="1:19">
      <c r="A30" s="21" t="s">
        <v>1964</v>
      </c>
      <c r="B30" s="42" t="s">
        <v>100</v>
      </c>
      <c r="C30" s="42" t="s">
        <v>101</v>
      </c>
      <c r="D30" s="42" t="s">
        <v>16</v>
      </c>
      <c r="E30" s="42" t="s">
        <v>1965</v>
      </c>
      <c r="F30" s="42">
        <v>2342</v>
      </c>
      <c r="G30" s="42"/>
      <c r="H30" s="42">
        <v>8937.5</v>
      </c>
      <c r="I30" s="42">
        <v>1</v>
      </c>
      <c r="J30" s="42"/>
      <c r="K30" s="43">
        <f t="shared" ref="K30" si="44">I30*J30</f>
        <v>0</v>
      </c>
      <c r="L30" s="43">
        <f t="shared" ref="L30" si="45">H30-K30</f>
        <v>8937.5</v>
      </c>
      <c r="M30" s="43"/>
      <c r="N30" s="43">
        <f t="shared" ref="N30" si="46">L30-M30</f>
        <v>8937.5</v>
      </c>
      <c r="O30" s="43">
        <f t="shared" ref="O30" si="47">H30/1000*70</f>
        <v>625.625</v>
      </c>
      <c r="P30" s="42">
        <v>0</v>
      </c>
      <c r="Q30" s="42">
        <v>64</v>
      </c>
      <c r="R30" s="42">
        <f t="shared" ref="R30" si="48">L30*Q30</f>
        <v>572000</v>
      </c>
      <c r="S30" s="48" t="s">
        <v>1966</v>
      </c>
    </row>
    <row r="32" spans="1:19">
      <c r="A32" s="1" t="s">
        <v>2403</v>
      </c>
      <c r="B32" s="42" t="s">
        <v>2407</v>
      </c>
      <c r="C32" s="42" t="s">
        <v>101</v>
      </c>
      <c r="D32" s="42" t="s">
        <v>16</v>
      </c>
      <c r="E32" s="42" t="s">
        <v>2408</v>
      </c>
      <c r="F32" s="42">
        <v>2463</v>
      </c>
      <c r="G32" s="42"/>
      <c r="H32" s="42">
        <v>9100</v>
      </c>
      <c r="I32" s="42">
        <v>1</v>
      </c>
      <c r="J32" s="42"/>
      <c r="K32" s="43">
        <f t="shared" ref="K32:K33" si="49">I32*J32</f>
        <v>0</v>
      </c>
      <c r="L32" s="43">
        <f t="shared" ref="L32:L33" si="50">H32-K32</f>
        <v>9100</v>
      </c>
      <c r="M32" s="43"/>
      <c r="N32" s="43">
        <f t="shared" ref="N32:N33" si="51">L32-M32</f>
        <v>9100</v>
      </c>
      <c r="O32" s="43">
        <f t="shared" ref="O32:O33" si="52">H32/1000*70</f>
        <v>637</v>
      </c>
      <c r="P32" s="42">
        <v>0</v>
      </c>
      <c r="Q32" s="42"/>
      <c r="R32" s="42">
        <f t="shared" ref="R32:R33" si="53">L32*Q32</f>
        <v>0</v>
      </c>
    </row>
    <row r="33" spans="1:20">
      <c r="A33" s="21" t="s">
        <v>3052</v>
      </c>
      <c r="B33" s="42" t="s">
        <v>100</v>
      </c>
      <c r="C33" s="42" t="s">
        <v>101</v>
      </c>
      <c r="D33" s="42" t="s">
        <v>16</v>
      </c>
      <c r="E33" s="42" t="s">
        <v>3057</v>
      </c>
      <c r="F33" s="42">
        <v>221</v>
      </c>
      <c r="G33" s="42"/>
      <c r="H33" s="42">
        <v>9125</v>
      </c>
      <c r="I33" s="42"/>
      <c r="J33" s="42"/>
      <c r="K33" s="43">
        <f t="shared" si="49"/>
        <v>0</v>
      </c>
      <c r="L33" s="43">
        <f t="shared" si="50"/>
        <v>9125</v>
      </c>
      <c r="M33" s="43"/>
      <c r="N33" s="43">
        <f t="shared" si="51"/>
        <v>9125</v>
      </c>
      <c r="O33" s="43">
        <f t="shared" si="52"/>
        <v>638.75</v>
      </c>
      <c r="P33" s="42"/>
      <c r="Q33" s="42"/>
      <c r="R33" s="42">
        <f t="shared" si="53"/>
        <v>0</v>
      </c>
      <c r="S33" s="42" t="s">
        <v>3058</v>
      </c>
    </row>
    <row r="35" spans="1:20">
      <c r="A35" s="21" t="s">
        <v>3366</v>
      </c>
      <c r="B35" s="42" t="s">
        <v>100</v>
      </c>
      <c r="C35" s="42" t="s">
        <v>101</v>
      </c>
      <c r="D35" s="42" t="s">
        <v>16</v>
      </c>
      <c r="E35" s="47" t="s">
        <v>3369</v>
      </c>
      <c r="F35" s="47">
        <v>725</v>
      </c>
      <c r="G35" s="47"/>
      <c r="H35" s="47">
        <f>7150*1.25</f>
        <v>8937.5</v>
      </c>
      <c r="I35" s="47"/>
      <c r="J35" s="47"/>
      <c r="K35" s="43">
        <f t="shared" ref="K35" si="54">I35*J35</f>
        <v>0</v>
      </c>
      <c r="L35" s="43">
        <f t="shared" ref="L35" si="55">H35-K35</f>
        <v>8937.5</v>
      </c>
      <c r="M35" s="43"/>
      <c r="N35" s="43">
        <f t="shared" ref="N35" si="56">L35-M35</f>
        <v>8937.5</v>
      </c>
      <c r="O35" s="43">
        <v>0</v>
      </c>
      <c r="P35" s="42"/>
      <c r="Q35" s="42"/>
      <c r="R35" s="42">
        <f t="shared" ref="R35" si="57">L35*Q35</f>
        <v>0</v>
      </c>
      <c r="S35" s="42" t="s">
        <v>1966</v>
      </c>
    </row>
    <row r="37" spans="1:20">
      <c r="A37" s="21" t="s">
        <v>3870</v>
      </c>
      <c r="B37" s="42" t="s">
        <v>100</v>
      </c>
      <c r="C37" s="42" t="s">
        <v>101</v>
      </c>
      <c r="D37" s="42" t="s">
        <v>16</v>
      </c>
      <c r="E37" s="47" t="s">
        <v>3057</v>
      </c>
      <c r="F37" s="47">
        <v>791</v>
      </c>
      <c r="G37" s="47"/>
      <c r="H37" s="47">
        <v>9200</v>
      </c>
      <c r="I37" s="47">
        <v>1</v>
      </c>
      <c r="J37" s="47"/>
      <c r="K37" s="43">
        <f t="shared" ref="K37" si="58">I37*J37</f>
        <v>0</v>
      </c>
      <c r="L37" s="43">
        <f t="shared" ref="L37" si="59">H37-K37</f>
        <v>9200</v>
      </c>
      <c r="M37" s="43"/>
      <c r="N37" s="43">
        <f t="shared" ref="N37" si="60">L37-M37</f>
        <v>9200</v>
      </c>
      <c r="O37" s="43">
        <v>0</v>
      </c>
      <c r="P37" s="42"/>
      <c r="Q37" s="42"/>
      <c r="R37" s="42">
        <f t="shared" ref="R37" si="61">L37*Q37</f>
        <v>0</v>
      </c>
      <c r="S37" s="42" t="s">
        <v>3871</v>
      </c>
      <c r="T37" s="44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5:T21"/>
  <sheetViews>
    <sheetView workbookViewId="0">
      <selection activeCell="S13" sqref="S13"/>
    </sheetView>
  </sheetViews>
  <sheetFormatPr defaultRowHeight="14.4"/>
  <cols>
    <col min="1" max="1" width="7.88671875" style="1" customWidth="1"/>
    <col min="2" max="2" width="17.33203125" style="1" customWidth="1"/>
    <col min="3" max="3" width="8.88671875" style="1"/>
    <col min="4" max="4" width="5.44140625" style="1" customWidth="1"/>
    <col min="5" max="6" width="8.88671875" style="1"/>
    <col min="7" max="7" width="6.33203125" style="1" customWidth="1"/>
    <col min="8" max="8" width="8.88671875" style="1"/>
    <col min="9" max="9" width="6.5546875" style="1" customWidth="1"/>
    <col min="10" max="10" width="7" style="1" customWidth="1"/>
    <col min="11" max="11" width="7.44140625" style="1" customWidth="1"/>
    <col min="12" max="16384" width="8.88671875" style="1"/>
  </cols>
  <sheetData>
    <row r="5" spans="1:20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3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3" t="s">
        <v>36</v>
      </c>
      <c r="N5" s="3" t="s">
        <v>12</v>
      </c>
      <c r="O5" s="3" t="s">
        <v>2</v>
      </c>
      <c r="Q5" s="14" t="s">
        <v>77</v>
      </c>
      <c r="R5" s="14" t="s">
        <v>78</v>
      </c>
      <c r="S5" s="14" t="s">
        <v>79</v>
      </c>
      <c r="T5" s="14" t="s">
        <v>80</v>
      </c>
    </row>
    <row r="7" spans="1:20">
      <c r="A7" s="21" t="s">
        <v>291</v>
      </c>
      <c r="B7" s="2" t="s">
        <v>297</v>
      </c>
      <c r="C7" s="2" t="s">
        <v>101</v>
      </c>
      <c r="D7" s="2" t="s">
        <v>16</v>
      </c>
      <c r="E7" s="2" t="s">
        <v>40</v>
      </c>
      <c r="F7" s="2">
        <v>10872</v>
      </c>
      <c r="G7" s="2"/>
      <c r="H7" s="2">
        <v>1800</v>
      </c>
      <c r="I7" s="2"/>
      <c r="J7" s="2"/>
      <c r="K7" s="5">
        <f t="shared" ref="K7" si="0">I7*J7</f>
        <v>0</v>
      </c>
      <c r="L7" s="19">
        <f t="shared" ref="L7" si="1">H7-K7</f>
        <v>1800</v>
      </c>
      <c r="M7" s="5">
        <f t="shared" ref="M7" si="2">H7/1000*70</f>
        <v>126</v>
      </c>
      <c r="N7" s="2"/>
      <c r="O7" s="2">
        <v>65</v>
      </c>
      <c r="P7" s="2">
        <f t="shared" ref="P7" si="3">L7*O7</f>
        <v>117000</v>
      </c>
    </row>
    <row r="9" spans="1:20">
      <c r="A9" s="21" t="s">
        <v>491</v>
      </c>
      <c r="B9" s="42" t="s">
        <v>492</v>
      </c>
      <c r="C9" s="42" t="s">
        <v>493</v>
      </c>
      <c r="D9" s="42" t="s">
        <v>16</v>
      </c>
      <c r="E9" s="42" t="s">
        <v>494</v>
      </c>
      <c r="F9" s="42">
        <v>1994</v>
      </c>
      <c r="G9" s="42"/>
      <c r="H9" s="42">
        <v>1643</v>
      </c>
      <c r="I9" s="42"/>
      <c r="J9" s="42"/>
      <c r="K9" s="43">
        <f t="shared" ref="K9:K10" si="4">I9*J9</f>
        <v>0</v>
      </c>
      <c r="L9" s="43">
        <f t="shared" ref="L9:L10" si="5">H9-K9</f>
        <v>1643</v>
      </c>
      <c r="M9" s="43">
        <f t="shared" ref="M9:M10" si="6">H9/1000*70</f>
        <v>115.01</v>
      </c>
      <c r="N9" s="42"/>
      <c r="O9" s="42">
        <v>65</v>
      </c>
      <c r="P9" s="42">
        <f t="shared" ref="P9:P10" si="7">L9*O9</f>
        <v>106795</v>
      </c>
    </row>
    <row r="10" spans="1:20">
      <c r="A10" s="21" t="s">
        <v>502</v>
      </c>
      <c r="B10" s="42" t="s">
        <v>492</v>
      </c>
      <c r="C10" s="42" t="s">
        <v>493</v>
      </c>
      <c r="D10" s="42" t="s">
        <v>16</v>
      </c>
      <c r="E10" s="42" t="s">
        <v>494</v>
      </c>
      <c r="F10" s="42">
        <v>2847</v>
      </c>
      <c r="G10" s="42"/>
      <c r="H10" s="42">
        <v>1654</v>
      </c>
      <c r="I10" s="42"/>
      <c r="J10" s="42"/>
      <c r="K10" s="43">
        <f t="shared" si="4"/>
        <v>0</v>
      </c>
      <c r="L10" s="43">
        <f t="shared" si="5"/>
        <v>1654</v>
      </c>
      <c r="M10" s="43">
        <f t="shared" si="6"/>
        <v>115.78</v>
      </c>
      <c r="N10" s="42"/>
      <c r="O10" s="42">
        <f>107510/1654</f>
        <v>65</v>
      </c>
      <c r="P10" s="42">
        <f t="shared" si="7"/>
        <v>107510</v>
      </c>
    </row>
    <row r="11" spans="1:20">
      <c r="A11" s="21" t="s">
        <v>516</v>
      </c>
      <c r="B11" s="42" t="s">
        <v>492</v>
      </c>
      <c r="C11" s="42" t="s">
        <v>493</v>
      </c>
      <c r="D11" s="42" t="s">
        <v>16</v>
      </c>
      <c r="E11" s="42" t="s">
        <v>494</v>
      </c>
      <c r="F11" s="42">
        <v>2913</v>
      </c>
      <c r="G11" s="42"/>
      <c r="H11" s="42">
        <v>1538.46</v>
      </c>
      <c r="I11" s="42"/>
      <c r="J11" s="42"/>
      <c r="K11" s="43">
        <f t="shared" ref="K11:K14" si="8">I11*J11</f>
        <v>0</v>
      </c>
      <c r="L11" s="43">
        <f t="shared" ref="L11:L14" si="9">H11-K11</f>
        <v>1538.46</v>
      </c>
      <c r="M11" s="43">
        <f t="shared" ref="M11:M14" si="10">H11/1000*70</f>
        <v>107.6922</v>
      </c>
      <c r="N11" s="42"/>
      <c r="O11" s="42">
        <v>65</v>
      </c>
      <c r="P11" s="42">
        <f t="shared" ref="P11:P14" si="11">L11*O11</f>
        <v>99999.900000000009</v>
      </c>
    </row>
    <row r="12" spans="1:20">
      <c r="A12" s="21" t="s">
        <v>517</v>
      </c>
      <c r="B12" s="42" t="s">
        <v>492</v>
      </c>
      <c r="C12" s="42" t="s">
        <v>493</v>
      </c>
      <c r="D12" s="42" t="s">
        <v>16</v>
      </c>
      <c r="E12" s="42" t="s">
        <v>494</v>
      </c>
      <c r="F12" s="42">
        <v>3027</v>
      </c>
      <c r="G12" s="42"/>
      <c r="H12" s="42">
        <v>1644</v>
      </c>
      <c r="I12" s="42"/>
      <c r="J12" s="42"/>
      <c r="K12" s="43">
        <f t="shared" si="8"/>
        <v>0</v>
      </c>
      <c r="L12" s="43">
        <f t="shared" si="9"/>
        <v>1644</v>
      </c>
      <c r="M12" s="43">
        <f t="shared" si="10"/>
        <v>115.08</v>
      </c>
      <c r="N12" s="42"/>
      <c r="O12" s="42">
        <v>65</v>
      </c>
      <c r="P12" s="42">
        <f t="shared" si="11"/>
        <v>106860</v>
      </c>
    </row>
    <row r="13" spans="1:20">
      <c r="A13" s="21" t="s">
        <v>521</v>
      </c>
      <c r="B13" s="42" t="s">
        <v>492</v>
      </c>
      <c r="C13" s="42" t="s">
        <v>493</v>
      </c>
      <c r="D13" s="42" t="s">
        <v>16</v>
      </c>
      <c r="E13" s="42" t="s">
        <v>494</v>
      </c>
      <c r="F13" s="42">
        <v>3148</v>
      </c>
      <c r="G13" s="42"/>
      <c r="H13" s="42">
        <v>1901</v>
      </c>
      <c r="I13" s="42"/>
      <c r="J13" s="42"/>
      <c r="K13" s="43">
        <f t="shared" si="8"/>
        <v>0</v>
      </c>
      <c r="L13" s="43">
        <f t="shared" si="9"/>
        <v>1901</v>
      </c>
      <c r="M13" s="43">
        <f t="shared" si="10"/>
        <v>133.07</v>
      </c>
      <c r="N13" s="42"/>
      <c r="O13" s="42">
        <v>65</v>
      </c>
      <c r="P13" s="42">
        <f t="shared" si="11"/>
        <v>123565</v>
      </c>
    </row>
    <row r="14" spans="1:20">
      <c r="A14" s="21" t="s">
        <v>542</v>
      </c>
      <c r="B14" s="42" t="s">
        <v>492</v>
      </c>
      <c r="C14" s="42" t="s">
        <v>493</v>
      </c>
      <c r="D14" s="42" t="s">
        <v>16</v>
      </c>
      <c r="E14" s="42" t="s">
        <v>555</v>
      </c>
      <c r="F14" s="42">
        <v>3240</v>
      </c>
      <c r="G14" s="42"/>
      <c r="H14" s="42">
        <v>1615.38</v>
      </c>
      <c r="I14" s="42"/>
      <c r="J14" s="42"/>
      <c r="K14" s="43">
        <f t="shared" si="8"/>
        <v>0</v>
      </c>
      <c r="L14" s="43">
        <f t="shared" si="9"/>
        <v>1615.38</v>
      </c>
      <c r="M14" s="43">
        <f t="shared" si="10"/>
        <v>113.0766</v>
      </c>
      <c r="N14" s="42"/>
      <c r="O14" s="42">
        <v>65</v>
      </c>
      <c r="P14" s="42">
        <f t="shared" si="11"/>
        <v>104999.70000000001</v>
      </c>
    </row>
    <row r="16" spans="1:20">
      <c r="A16" s="21" t="s">
        <v>660</v>
      </c>
      <c r="B16" s="42" t="s">
        <v>492</v>
      </c>
      <c r="C16" s="42" t="s">
        <v>101</v>
      </c>
      <c r="D16" s="42" t="s">
        <v>16</v>
      </c>
      <c r="E16" s="42" t="s">
        <v>661</v>
      </c>
      <c r="F16" s="42">
        <v>3722</v>
      </c>
      <c r="G16" s="42"/>
      <c r="H16" s="42">
        <v>1207</v>
      </c>
      <c r="I16" s="42"/>
      <c r="J16" s="42"/>
      <c r="K16" s="43">
        <f t="shared" ref="K16:K17" si="12">I16*J16</f>
        <v>0</v>
      </c>
      <c r="L16" s="43">
        <f t="shared" ref="L16:L17" si="13">H16-K16</f>
        <v>1207</v>
      </c>
      <c r="M16" s="43">
        <f t="shared" ref="M16:M17" si="14">H16/1000*70</f>
        <v>84.490000000000009</v>
      </c>
      <c r="N16" s="42"/>
      <c r="O16" s="42">
        <v>65</v>
      </c>
      <c r="P16" s="42">
        <f t="shared" ref="P16:P17" si="15">L16*O16</f>
        <v>78455</v>
      </c>
    </row>
    <row r="17" spans="1:18">
      <c r="A17" s="21" t="s">
        <v>665</v>
      </c>
      <c r="B17" s="42" t="s">
        <v>492</v>
      </c>
      <c r="C17" s="42" t="s">
        <v>101</v>
      </c>
      <c r="D17" s="42" t="s">
        <v>16</v>
      </c>
      <c r="E17" s="42" t="s">
        <v>666</v>
      </c>
      <c r="F17" s="42">
        <v>3751</v>
      </c>
      <c r="G17" s="42"/>
      <c r="H17" s="42">
        <v>1200.1400000000001</v>
      </c>
      <c r="I17" s="42"/>
      <c r="J17" s="42"/>
      <c r="K17" s="43">
        <f t="shared" si="12"/>
        <v>0</v>
      </c>
      <c r="L17" s="43">
        <f t="shared" si="13"/>
        <v>1200.1400000000001</v>
      </c>
      <c r="M17" s="43">
        <f t="shared" si="14"/>
        <v>84.009800000000013</v>
      </c>
      <c r="N17" s="42"/>
      <c r="O17" s="42">
        <v>65</v>
      </c>
      <c r="P17" s="42">
        <f t="shared" si="15"/>
        <v>78009.100000000006</v>
      </c>
    </row>
    <row r="18" spans="1:18">
      <c r="A18" s="21" t="s">
        <v>669</v>
      </c>
      <c r="B18" s="33" t="s">
        <v>492</v>
      </c>
      <c r="C18" s="33" t="s">
        <v>101</v>
      </c>
      <c r="D18" s="33" t="s">
        <v>16</v>
      </c>
      <c r="E18" s="33"/>
      <c r="F18" s="33">
        <v>3810</v>
      </c>
      <c r="G18" s="33"/>
      <c r="H18" s="33">
        <v>2551</v>
      </c>
      <c r="I18" s="33"/>
      <c r="J18" s="33"/>
      <c r="K18" s="33">
        <v>0</v>
      </c>
      <c r="L18" s="33">
        <v>2551</v>
      </c>
      <c r="M18" s="33">
        <v>179</v>
      </c>
      <c r="N18" s="33">
        <v>0</v>
      </c>
      <c r="O18" s="33">
        <v>65</v>
      </c>
      <c r="P18" s="33">
        <v>165815</v>
      </c>
    </row>
    <row r="19" spans="1:18">
      <c r="A19" s="21" t="s">
        <v>690</v>
      </c>
      <c r="B19" s="42" t="s">
        <v>492</v>
      </c>
      <c r="C19" s="42" t="s">
        <v>101</v>
      </c>
      <c r="D19" s="42" t="s">
        <v>16</v>
      </c>
      <c r="E19" s="42" t="s">
        <v>691</v>
      </c>
      <c r="F19" s="42">
        <v>14006</v>
      </c>
      <c r="G19" s="42"/>
      <c r="H19" s="42">
        <v>2390</v>
      </c>
      <c r="I19" s="42"/>
      <c r="J19" s="42"/>
      <c r="K19" s="42">
        <f t="shared" ref="K19" si="16">I19*J19</f>
        <v>0</v>
      </c>
      <c r="L19" s="43">
        <f t="shared" ref="L19" si="17">H19-K19</f>
        <v>2390</v>
      </c>
      <c r="M19" s="43"/>
      <c r="N19" s="43">
        <f t="shared" ref="N19" si="18">L19-M19</f>
        <v>2390</v>
      </c>
      <c r="O19" s="43">
        <f t="shared" ref="O19" si="19">H19/1000*70</f>
        <v>167.3</v>
      </c>
      <c r="P19" s="42"/>
    </row>
    <row r="21" spans="1:18">
      <c r="A21" s="21" t="s">
        <v>801</v>
      </c>
      <c r="B21" s="42" t="s">
        <v>492</v>
      </c>
      <c r="C21" s="42" t="s">
        <v>101</v>
      </c>
      <c r="D21" s="42" t="s">
        <v>16</v>
      </c>
      <c r="E21" s="42" t="s">
        <v>449</v>
      </c>
      <c r="F21" s="42">
        <v>14504</v>
      </c>
      <c r="G21" s="42"/>
      <c r="H21" s="42">
        <v>2638.61</v>
      </c>
      <c r="I21" s="42"/>
      <c r="J21" s="42"/>
      <c r="K21" s="43">
        <f t="shared" ref="K21" si="20">I21*J21</f>
        <v>0</v>
      </c>
      <c r="L21" s="43">
        <f t="shared" ref="L21" si="21">H21-K21</f>
        <v>2638.61</v>
      </c>
      <c r="M21" s="43"/>
      <c r="N21" s="43">
        <f t="shared" ref="N21" si="22">L21-M21</f>
        <v>2638.61</v>
      </c>
      <c r="O21" s="43">
        <f t="shared" ref="O21" si="23">H21/1000*70</f>
        <v>184.70270000000002</v>
      </c>
      <c r="P21" s="42">
        <v>0</v>
      </c>
      <c r="Q21" s="42">
        <v>65</v>
      </c>
      <c r="R21" s="42">
        <f t="shared" ref="R21" si="24">L21*Q21</f>
        <v>171509.65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2:V52"/>
  <sheetViews>
    <sheetView topLeftCell="A15" zoomScale="85" zoomScaleNormal="85" workbookViewId="0">
      <selection activeCell="E34" sqref="E34"/>
    </sheetView>
  </sheetViews>
  <sheetFormatPr defaultRowHeight="14.4"/>
  <cols>
    <col min="1" max="1" width="8.88671875" style="1"/>
    <col min="2" max="2" width="13.88671875" style="1" customWidth="1"/>
    <col min="3" max="3" width="7.77734375" style="1" customWidth="1"/>
    <col min="4" max="4" width="4.44140625" style="1" customWidth="1"/>
    <col min="5" max="5" width="9.6640625" style="1" customWidth="1"/>
    <col min="6" max="6" width="7.109375" style="1" customWidth="1"/>
    <col min="7" max="7" width="6.6640625" style="1" customWidth="1"/>
    <col min="8" max="8" width="8.88671875" style="1"/>
    <col min="9" max="9" width="6.44140625" style="1" customWidth="1"/>
    <col min="10" max="10" width="6.21875" style="1" customWidth="1"/>
    <col min="11" max="11" width="6.77734375" style="1" customWidth="1"/>
    <col min="12" max="13" width="6.6640625" style="1" customWidth="1"/>
    <col min="14" max="14" width="7.44140625" style="1" customWidth="1"/>
    <col min="15" max="18" width="8.88671875" style="1"/>
    <col min="19" max="19" width="16.6640625" style="1" customWidth="1"/>
    <col min="20" max="16384" width="8.88671875" style="1"/>
  </cols>
  <sheetData>
    <row r="2" spans="1:22" ht="20.399999999999999">
      <c r="A2" s="3" t="s">
        <v>3</v>
      </c>
      <c r="B2" s="3" t="s">
        <v>4</v>
      </c>
      <c r="C2" s="3" t="s">
        <v>5</v>
      </c>
      <c r="D2" s="3" t="s">
        <v>6</v>
      </c>
      <c r="E2" s="3" t="s">
        <v>37</v>
      </c>
      <c r="F2" s="3" t="s">
        <v>7</v>
      </c>
      <c r="G2" s="3" t="s">
        <v>8</v>
      </c>
      <c r="H2" s="3" t="s">
        <v>9</v>
      </c>
      <c r="I2" s="3" t="s">
        <v>10</v>
      </c>
      <c r="J2" s="4" t="s">
        <v>18</v>
      </c>
      <c r="K2" s="4" t="s">
        <v>17</v>
      </c>
      <c r="L2" s="3" t="s">
        <v>11</v>
      </c>
      <c r="M2" s="3"/>
      <c r="N2" s="3" t="s">
        <v>36</v>
      </c>
      <c r="O2" s="3" t="s">
        <v>12</v>
      </c>
      <c r="P2" s="3" t="s">
        <v>2</v>
      </c>
      <c r="R2" s="14" t="s">
        <v>77</v>
      </c>
      <c r="S2" s="14" t="s">
        <v>78</v>
      </c>
      <c r="T2" s="14" t="s">
        <v>79</v>
      </c>
      <c r="U2" s="14" t="s">
        <v>80</v>
      </c>
      <c r="V2" s="14" t="s">
        <v>125</v>
      </c>
    </row>
    <row r="3" spans="1:22">
      <c r="A3" s="6" t="s">
        <v>76</v>
      </c>
      <c r="B3" s="12" t="s">
        <v>87</v>
      </c>
      <c r="C3" s="2" t="s">
        <v>88</v>
      </c>
      <c r="D3" s="2" t="s">
        <v>16</v>
      </c>
      <c r="E3" s="2" t="s">
        <v>89</v>
      </c>
      <c r="F3" s="2">
        <v>33</v>
      </c>
      <c r="G3" s="2">
        <v>363</v>
      </c>
      <c r="H3" s="2">
        <v>15390</v>
      </c>
      <c r="I3" s="2">
        <v>258</v>
      </c>
      <c r="J3" s="2">
        <v>0.5</v>
      </c>
      <c r="K3" s="2">
        <f t="shared" ref="K3:K12" si="0">I3*J3</f>
        <v>129</v>
      </c>
      <c r="L3" s="5">
        <f t="shared" ref="L3:L12" si="1">H3-K3</f>
        <v>15261</v>
      </c>
      <c r="M3" s="5"/>
      <c r="N3" s="5">
        <f t="shared" ref="N3:N12" si="2">H3/1000*70</f>
        <v>1077.3</v>
      </c>
      <c r="O3" s="2">
        <v>30000</v>
      </c>
      <c r="R3" s="1" t="s">
        <v>96</v>
      </c>
      <c r="S3" s="1">
        <v>106</v>
      </c>
      <c r="T3" s="1">
        <v>100000</v>
      </c>
      <c r="U3" s="1" t="s">
        <v>97</v>
      </c>
    </row>
    <row r="4" spans="1:22">
      <c r="A4" s="6" t="s">
        <v>151</v>
      </c>
      <c r="B4" s="12" t="s">
        <v>155</v>
      </c>
      <c r="C4" s="2" t="s">
        <v>144</v>
      </c>
      <c r="D4" s="2" t="s">
        <v>16</v>
      </c>
      <c r="E4" s="2" t="s">
        <v>156</v>
      </c>
      <c r="F4" s="2">
        <v>260</v>
      </c>
      <c r="G4" s="2"/>
      <c r="H4" s="2">
        <v>16260</v>
      </c>
      <c r="I4" s="2">
        <v>273</v>
      </c>
      <c r="J4" s="2">
        <v>0.5</v>
      </c>
      <c r="K4" s="5">
        <f t="shared" si="0"/>
        <v>136.5</v>
      </c>
      <c r="L4" s="19">
        <f t="shared" si="1"/>
        <v>16123.5</v>
      </c>
      <c r="M4" s="19"/>
      <c r="N4" s="5">
        <f t="shared" si="2"/>
        <v>1138.2</v>
      </c>
      <c r="O4" s="2">
        <v>32000</v>
      </c>
      <c r="R4" s="1" t="s">
        <v>151</v>
      </c>
      <c r="S4" s="1">
        <v>135</v>
      </c>
      <c r="T4" s="1">
        <v>100000</v>
      </c>
      <c r="U4" s="1" t="s">
        <v>86</v>
      </c>
      <c r="V4" s="1">
        <v>19.5</v>
      </c>
    </row>
    <row r="5" spans="1:22">
      <c r="A5" s="13" t="s">
        <v>210</v>
      </c>
      <c r="B5" s="12" t="s">
        <v>87</v>
      </c>
      <c r="C5" s="2" t="s">
        <v>88</v>
      </c>
      <c r="D5" s="2" t="s">
        <v>16</v>
      </c>
      <c r="E5" s="2" t="s">
        <v>211</v>
      </c>
      <c r="F5" s="2">
        <v>766</v>
      </c>
      <c r="G5" s="2">
        <v>397</v>
      </c>
      <c r="H5" s="2">
        <v>22740</v>
      </c>
      <c r="I5" s="2">
        <v>383</v>
      </c>
      <c r="J5" s="2">
        <v>0.5</v>
      </c>
      <c r="K5" s="5">
        <f t="shared" si="0"/>
        <v>191.5</v>
      </c>
      <c r="L5" s="19">
        <f t="shared" si="1"/>
        <v>22548.5</v>
      </c>
      <c r="M5" s="19"/>
      <c r="N5" s="5">
        <f t="shared" si="2"/>
        <v>1591.8</v>
      </c>
      <c r="O5" s="2">
        <v>0</v>
      </c>
      <c r="T5" s="1">
        <v>50000</v>
      </c>
      <c r="U5" s="21" t="s">
        <v>259</v>
      </c>
    </row>
    <row r="6" spans="1:22">
      <c r="A6" s="375" t="s">
        <v>236</v>
      </c>
      <c r="B6" s="12" t="s">
        <v>87</v>
      </c>
      <c r="C6" s="2" t="s">
        <v>88</v>
      </c>
      <c r="D6" s="2" t="s">
        <v>16</v>
      </c>
      <c r="E6" s="2" t="s">
        <v>237</v>
      </c>
      <c r="F6" s="2">
        <v>263</v>
      </c>
      <c r="G6" s="2"/>
      <c r="H6" s="2">
        <v>15560</v>
      </c>
      <c r="I6" s="2">
        <v>260</v>
      </c>
      <c r="J6" s="2">
        <v>0.5</v>
      </c>
      <c r="K6" s="5">
        <f t="shared" si="0"/>
        <v>130</v>
      </c>
      <c r="L6" s="19">
        <f t="shared" si="1"/>
        <v>15430</v>
      </c>
      <c r="M6" s="19"/>
      <c r="N6" s="5">
        <f t="shared" si="2"/>
        <v>1089.2</v>
      </c>
      <c r="O6" s="26">
        <v>30000</v>
      </c>
    </row>
    <row r="7" spans="1:22">
      <c r="A7" s="375"/>
      <c r="B7" s="12" t="s">
        <v>87</v>
      </c>
      <c r="C7" s="2" t="s">
        <v>88</v>
      </c>
      <c r="D7" s="2" t="s">
        <v>16</v>
      </c>
      <c r="E7" s="2" t="s">
        <v>238</v>
      </c>
      <c r="F7" s="2">
        <v>264</v>
      </c>
      <c r="G7" s="2"/>
      <c r="H7" s="2">
        <v>15650</v>
      </c>
      <c r="I7" s="2">
        <v>255</v>
      </c>
      <c r="J7" s="2">
        <v>0.5</v>
      </c>
      <c r="K7" s="5">
        <f t="shared" si="0"/>
        <v>127.5</v>
      </c>
      <c r="L7" s="19">
        <f t="shared" si="1"/>
        <v>15522.5</v>
      </c>
      <c r="M7" s="19"/>
      <c r="N7" s="5">
        <f t="shared" si="2"/>
        <v>1095.5</v>
      </c>
      <c r="O7" s="26">
        <v>25000</v>
      </c>
    </row>
    <row r="8" spans="1:22">
      <c r="A8" s="375" t="s">
        <v>243</v>
      </c>
      <c r="B8" s="12" t="s">
        <v>87</v>
      </c>
      <c r="C8" s="2" t="s">
        <v>88</v>
      </c>
      <c r="D8" s="2" t="s">
        <v>16</v>
      </c>
      <c r="E8" s="2" t="s">
        <v>244</v>
      </c>
      <c r="F8" s="2">
        <v>265</v>
      </c>
      <c r="G8" s="2"/>
      <c r="H8" s="2">
        <v>15800</v>
      </c>
      <c r="I8" s="2">
        <v>261</v>
      </c>
      <c r="J8" s="2">
        <v>0.5</v>
      </c>
      <c r="K8" s="5">
        <f t="shared" si="0"/>
        <v>130.5</v>
      </c>
      <c r="L8" s="19">
        <f t="shared" si="1"/>
        <v>15669.5</v>
      </c>
      <c r="M8" s="19"/>
      <c r="N8" s="5">
        <f t="shared" si="2"/>
        <v>1106</v>
      </c>
      <c r="O8" s="28">
        <v>29500</v>
      </c>
    </row>
    <row r="9" spans="1:22">
      <c r="A9" s="375"/>
      <c r="B9" s="12" t="s">
        <v>87</v>
      </c>
      <c r="C9" s="2" t="s">
        <v>88</v>
      </c>
      <c r="D9" s="2" t="s">
        <v>16</v>
      </c>
      <c r="E9" s="2" t="s">
        <v>245</v>
      </c>
      <c r="F9" s="2">
        <v>262</v>
      </c>
      <c r="G9" s="2"/>
      <c r="H9" s="2">
        <v>15490</v>
      </c>
      <c r="I9" s="2">
        <v>255</v>
      </c>
      <c r="J9" s="2">
        <v>0.5</v>
      </c>
      <c r="K9" s="5">
        <f t="shared" si="0"/>
        <v>127.5</v>
      </c>
      <c r="L9" s="19">
        <f t="shared" si="1"/>
        <v>15362.5</v>
      </c>
      <c r="M9" s="19"/>
      <c r="N9" s="5">
        <f t="shared" si="2"/>
        <v>1084.3</v>
      </c>
      <c r="O9" s="28">
        <v>24000</v>
      </c>
    </row>
    <row r="10" spans="1:22">
      <c r="A10" s="375" t="s">
        <v>250</v>
      </c>
      <c r="B10" s="12" t="s">
        <v>87</v>
      </c>
      <c r="C10" s="2" t="s">
        <v>88</v>
      </c>
      <c r="D10" s="2" t="s">
        <v>16</v>
      </c>
      <c r="E10" s="2" t="s">
        <v>253</v>
      </c>
      <c r="F10" s="2">
        <v>270</v>
      </c>
      <c r="G10" s="2"/>
      <c r="H10" s="2">
        <v>16910</v>
      </c>
      <c r="I10" s="2">
        <v>286</v>
      </c>
      <c r="J10" s="2">
        <v>0.5</v>
      </c>
      <c r="K10" s="5">
        <f t="shared" si="0"/>
        <v>143</v>
      </c>
      <c r="L10" s="19">
        <f t="shared" si="1"/>
        <v>16767</v>
      </c>
      <c r="M10" s="19"/>
      <c r="N10" s="5">
        <f t="shared" si="2"/>
        <v>1183.7</v>
      </c>
      <c r="O10" s="29">
        <v>34000</v>
      </c>
    </row>
    <row r="11" spans="1:22">
      <c r="A11" s="375"/>
      <c r="B11" s="12" t="s">
        <v>87</v>
      </c>
      <c r="C11" s="2" t="s">
        <v>88</v>
      </c>
      <c r="D11" s="2" t="s">
        <v>16</v>
      </c>
      <c r="E11" s="2" t="s">
        <v>254</v>
      </c>
      <c r="F11" s="2">
        <v>272</v>
      </c>
      <c r="G11" s="2"/>
      <c r="H11" s="2">
        <v>17570</v>
      </c>
      <c r="I11" s="2">
        <v>290</v>
      </c>
      <c r="J11" s="2">
        <v>0.5</v>
      </c>
      <c r="K11" s="5">
        <f t="shared" si="0"/>
        <v>145</v>
      </c>
      <c r="L11" s="19">
        <f t="shared" si="1"/>
        <v>17425</v>
      </c>
      <c r="M11" s="19"/>
      <c r="N11" s="5">
        <f t="shared" si="2"/>
        <v>1229.9000000000001</v>
      </c>
      <c r="O11" s="29">
        <v>33000</v>
      </c>
    </row>
    <row r="12" spans="1:22">
      <c r="A12" s="6" t="s">
        <v>260</v>
      </c>
      <c r="B12" s="12" t="s">
        <v>87</v>
      </c>
      <c r="C12" s="2" t="s">
        <v>88</v>
      </c>
      <c r="D12" s="2" t="s">
        <v>16</v>
      </c>
      <c r="E12" s="2" t="s">
        <v>261</v>
      </c>
      <c r="F12" s="2">
        <v>270</v>
      </c>
      <c r="G12" s="2"/>
      <c r="H12" s="2">
        <v>15130</v>
      </c>
      <c r="I12" s="2">
        <v>255</v>
      </c>
      <c r="J12" s="2">
        <v>0.5</v>
      </c>
      <c r="K12" s="5">
        <f t="shared" si="0"/>
        <v>127.5</v>
      </c>
      <c r="L12" s="19">
        <f t="shared" si="1"/>
        <v>15002.5</v>
      </c>
      <c r="M12" s="19"/>
      <c r="N12" s="5">
        <f t="shared" si="2"/>
        <v>1059.1000000000001</v>
      </c>
      <c r="O12" s="2">
        <v>30000</v>
      </c>
      <c r="P12" s="2"/>
      <c r="Q12" s="2"/>
    </row>
    <row r="13" spans="1:22">
      <c r="A13" s="6"/>
      <c r="R13" s="1" t="s">
        <v>307</v>
      </c>
      <c r="S13" s="1">
        <v>146</v>
      </c>
      <c r="T13" s="1">
        <v>100000</v>
      </c>
      <c r="U13" s="1" t="s">
        <v>316</v>
      </c>
      <c r="V13" s="1">
        <v>19.5</v>
      </c>
    </row>
    <row r="14" spans="1:22">
      <c r="A14" s="6" t="s">
        <v>319</v>
      </c>
      <c r="B14" s="87" t="s">
        <v>87</v>
      </c>
      <c r="C14" s="42" t="s">
        <v>88</v>
      </c>
      <c r="D14" s="42" t="s">
        <v>16</v>
      </c>
      <c r="E14" s="42" t="s">
        <v>320</v>
      </c>
      <c r="F14" s="42">
        <v>273</v>
      </c>
      <c r="G14" s="42"/>
      <c r="H14" s="42">
        <v>17200</v>
      </c>
      <c r="I14" s="42">
        <v>288</v>
      </c>
      <c r="J14" s="42">
        <v>0.5</v>
      </c>
      <c r="K14" s="42">
        <f t="shared" ref="K14:K19" si="3">I14*J14</f>
        <v>144</v>
      </c>
      <c r="L14" s="43">
        <f t="shared" ref="L14:L19" si="4">H14-K14</f>
        <v>17056</v>
      </c>
      <c r="M14" s="43"/>
      <c r="N14" s="43">
        <f t="shared" ref="N14:N19" si="5">H14/1000*70</f>
        <v>1204</v>
      </c>
      <c r="O14" s="42">
        <v>25000</v>
      </c>
      <c r="P14" s="42"/>
      <c r="Q14" s="42"/>
    </row>
    <row r="15" spans="1:22">
      <c r="A15" s="376" t="s">
        <v>326</v>
      </c>
      <c r="B15" s="87" t="s">
        <v>87</v>
      </c>
      <c r="C15" s="42" t="s">
        <v>88</v>
      </c>
      <c r="D15" s="42" t="s">
        <v>16</v>
      </c>
      <c r="E15" s="42" t="s">
        <v>327</v>
      </c>
      <c r="F15" s="42">
        <v>274</v>
      </c>
      <c r="G15" s="42"/>
      <c r="H15" s="42">
        <v>15320</v>
      </c>
      <c r="I15" s="42">
        <v>256</v>
      </c>
      <c r="J15" s="42">
        <v>0.5</v>
      </c>
      <c r="K15" s="42">
        <f t="shared" si="3"/>
        <v>128</v>
      </c>
      <c r="L15" s="43">
        <f t="shared" si="4"/>
        <v>15192</v>
      </c>
      <c r="M15" s="43"/>
      <c r="N15" s="43">
        <f t="shared" si="5"/>
        <v>1072.4000000000001</v>
      </c>
      <c r="O15" s="42">
        <v>22200</v>
      </c>
      <c r="P15" s="42"/>
      <c r="Q15" s="42"/>
    </row>
    <row r="16" spans="1:22">
      <c r="A16" s="376"/>
      <c r="B16" s="87" t="s">
        <v>87</v>
      </c>
      <c r="C16" s="42" t="s">
        <v>88</v>
      </c>
      <c r="D16" s="42" t="s">
        <v>16</v>
      </c>
      <c r="E16" s="42" t="s">
        <v>328</v>
      </c>
      <c r="F16" s="42">
        <v>266</v>
      </c>
      <c r="G16" s="42"/>
      <c r="H16" s="42">
        <v>15810</v>
      </c>
      <c r="I16" s="42">
        <v>265</v>
      </c>
      <c r="J16" s="42">
        <v>0.5</v>
      </c>
      <c r="K16" s="42">
        <f t="shared" si="3"/>
        <v>132.5</v>
      </c>
      <c r="L16" s="43">
        <f t="shared" si="4"/>
        <v>15677.5</v>
      </c>
      <c r="M16" s="43"/>
      <c r="N16" s="43">
        <f t="shared" si="5"/>
        <v>1106.7</v>
      </c>
      <c r="O16" s="42">
        <v>20000</v>
      </c>
      <c r="P16" s="42"/>
      <c r="Q16" s="42"/>
    </row>
    <row r="17" spans="1:22">
      <c r="A17" s="6" t="s">
        <v>334</v>
      </c>
      <c r="B17" s="87" t="s">
        <v>87</v>
      </c>
      <c r="C17" s="42" t="s">
        <v>88</v>
      </c>
      <c r="D17" s="42" t="s">
        <v>16</v>
      </c>
      <c r="E17" s="42" t="s">
        <v>336</v>
      </c>
      <c r="F17" s="42">
        <v>267</v>
      </c>
      <c r="G17" s="42"/>
      <c r="H17" s="42">
        <v>15280</v>
      </c>
      <c r="I17" s="42">
        <v>250</v>
      </c>
      <c r="J17" s="42">
        <v>0.5</v>
      </c>
      <c r="K17" s="42">
        <f t="shared" si="3"/>
        <v>125</v>
      </c>
      <c r="L17" s="43">
        <f t="shared" si="4"/>
        <v>15155</v>
      </c>
      <c r="M17" s="43"/>
      <c r="N17" s="43">
        <f t="shared" si="5"/>
        <v>1069.5999999999999</v>
      </c>
      <c r="O17" s="42">
        <v>15000</v>
      </c>
      <c r="P17" s="42"/>
      <c r="Q17" s="42"/>
    </row>
    <row r="18" spans="1:22">
      <c r="A18" s="6" t="s">
        <v>343</v>
      </c>
      <c r="B18" s="87" t="s">
        <v>87</v>
      </c>
      <c r="C18" s="42" t="s">
        <v>88</v>
      </c>
      <c r="D18" s="42" t="s">
        <v>16</v>
      </c>
      <c r="E18" s="42" t="s">
        <v>344</v>
      </c>
      <c r="F18" s="42">
        <v>275</v>
      </c>
      <c r="G18" s="42"/>
      <c r="H18" s="42">
        <v>15090</v>
      </c>
      <c r="I18" s="42">
        <v>260</v>
      </c>
      <c r="J18" s="42">
        <v>0.5</v>
      </c>
      <c r="K18" s="42">
        <f t="shared" si="3"/>
        <v>130</v>
      </c>
      <c r="L18" s="43">
        <f t="shared" si="4"/>
        <v>14960</v>
      </c>
      <c r="M18" s="43"/>
      <c r="N18" s="43">
        <f t="shared" si="5"/>
        <v>1056.3</v>
      </c>
      <c r="O18" s="42">
        <v>17500</v>
      </c>
      <c r="P18" s="42"/>
      <c r="Q18" s="42"/>
    </row>
    <row r="19" spans="1:22">
      <c r="A19" s="13" t="s">
        <v>348</v>
      </c>
      <c r="B19" s="87" t="s">
        <v>87</v>
      </c>
      <c r="C19" s="42" t="s">
        <v>88</v>
      </c>
      <c r="D19" s="42" t="s">
        <v>16</v>
      </c>
      <c r="E19" s="42" t="s">
        <v>349</v>
      </c>
      <c r="F19" s="42">
        <v>276</v>
      </c>
      <c r="G19" s="42"/>
      <c r="H19" s="42">
        <v>15730</v>
      </c>
      <c r="I19" s="42">
        <v>263</v>
      </c>
      <c r="J19" s="42">
        <v>0.5</v>
      </c>
      <c r="K19" s="42">
        <f t="shared" si="3"/>
        <v>131.5</v>
      </c>
      <c r="L19" s="43">
        <f t="shared" si="4"/>
        <v>15598.5</v>
      </c>
      <c r="M19" s="43"/>
      <c r="N19" s="43">
        <f t="shared" si="5"/>
        <v>1101.1000000000001</v>
      </c>
      <c r="O19" s="42">
        <v>16000</v>
      </c>
      <c r="P19" s="42"/>
      <c r="Q19" s="42"/>
    </row>
    <row r="20" spans="1:22" ht="6.6" customHeight="1">
      <c r="A20" s="6"/>
    </row>
    <row r="21" spans="1:22">
      <c r="A21" s="13" t="s">
        <v>416</v>
      </c>
      <c r="B21" s="87" t="s">
        <v>87</v>
      </c>
      <c r="C21" s="42" t="s">
        <v>88</v>
      </c>
      <c r="D21" s="42" t="s">
        <v>16</v>
      </c>
      <c r="E21" s="42" t="s">
        <v>417</v>
      </c>
      <c r="F21" s="42">
        <v>254</v>
      </c>
      <c r="G21" s="42"/>
      <c r="H21" s="42">
        <v>18100</v>
      </c>
      <c r="I21" s="42">
        <v>300</v>
      </c>
      <c r="J21" s="42">
        <v>0.5</v>
      </c>
      <c r="K21" s="42">
        <f t="shared" ref="K21:K30" si="6">I21*J21</f>
        <v>150</v>
      </c>
      <c r="L21" s="43">
        <f t="shared" ref="L21:L30" si="7">H21-K21</f>
        <v>17950</v>
      </c>
      <c r="M21" s="43"/>
      <c r="N21" s="43">
        <f t="shared" ref="N21:N30" si="8">H21/1000*70</f>
        <v>1267</v>
      </c>
      <c r="O21" s="42">
        <v>11000</v>
      </c>
      <c r="P21" s="42"/>
      <c r="Q21" s="42"/>
      <c r="R21" s="42"/>
    </row>
    <row r="22" spans="1:22">
      <c r="A22" s="13" t="s">
        <v>422</v>
      </c>
      <c r="B22" s="87" t="s">
        <v>87</v>
      </c>
      <c r="C22" s="42" t="s">
        <v>88</v>
      </c>
      <c r="D22" s="42" t="s">
        <v>16</v>
      </c>
      <c r="E22" s="42" t="s">
        <v>423</v>
      </c>
      <c r="F22" s="42">
        <v>255</v>
      </c>
      <c r="G22" s="42"/>
      <c r="H22" s="42">
        <v>18100</v>
      </c>
      <c r="I22" s="42">
        <v>300</v>
      </c>
      <c r="J22" s="42">
        <v>0.5</v>
      </c>
      <c r="K22" s="42">
        <f t="shared" si="6"/>
        <v>150</v>
      </c>
      <c r="L22" s="43">
        <f t="shared" si="7"/>
        <v>17950</v>
      </c>
      <c r="M22" s="43"/>
      <c r="N22" s="43">
        <f t="shared" si="8"/>
        <v>1267</v>
      </c>
      <c r="O22" s="42">
        <v>11000</v>
      </c>
      <c r="P22" s="42"/>
      <c r="Q22" s="42"/>
    </row>
    <row r="23" spans="1:22">
      <c r="A23" s="13" t="s">
        <v>434</v>
      </c>
      <c r="B23" s="87" t="s">
        <v>87</v>
      </c>
      <c r="C23" s="42" t="s">
        <v>88</v>
      </c>
      <c r="D23" s="42" t="s">
        <v>16</v>
      </c>
      <c r="E23" s="42" t="s">
        <v>435</v>
      </c>
      <c r="F23" s="42">
        <v>551</v>
      </c>
      <c r="G23" s="42"/>
      <c r="H23" s="42">
        <v>16060</v>
      </c>
      <c r="I23" s="42">
        <v>268</v>
      </c>
      <c r="J23" s="42">
        <v>0.5</v>
      </c>
      <c r="K23" s="42">
        <f t="shared" si="6"/>
        <v>134</v>
      </c>
      <c r="L23" s="43">
        <f t="shared" si="7"/>
        <v>15926</v>
      </c>
      <c r="M23" s="43"/>
      <c r="N23" s="43">
        <f t="shared" si="8"/>
        <v>1124.1999999999998</v>
      </c>
      <c r="O23" s="42">
        <v>19000</v>
      </c>
      <c r="P23" s="42"/>
      <c r="Q23" s="42"/>
      <c r="R23" s="1" t="s">
        <v>431</v>
      </c>
      <c r="S23" s="1">
        <v>168</v>
      </c>
      <c r="T23" s="67">
        <v>100000</v>
      </c>
      <c r="U23" s="1" t="s">
        <v>434</v>
      </c>
      <c r="V23" s="1">
        <v>20</v>
      </c>
    </row>
    <row r="24" spans="1:22">
      <c r="A24" s="13" t="s">
        <v>440</v>
      </c>
      <c r="B24" s="87" t="s">
        <v>87</v>
      </c>
      <c r="C24" s="42" t="s">
        <v>88</v>
      </c>
      <c r="D24" s="42" t="s">
        <v>16</v>
      </c>
      <c r="E24" s="42" t="s">
        <v>442</v>
      </c>
      <c r="F24" s="42">
        <v>154</v>
      </c>
      <c r="G24" s="42"/>
      <c r="H24" s="42">
        <v>15650</v>
      </c>
      <c r="I24" s="42">
        <v>285</v>
      </c>
      <c r="J24" s="42">
        <v>0.5</v>
      </c>
      <c r="K24" s="42">
        <f t="shared" si="6"/>
        <v>142.5</v>
      </c>
      <c r="L24" s="43">
        <f t="shared" si="7"/>
        <v>15507.5</v>
      </c>
      <c r="M24" s="43"/>
      <c r="N24" s="43">
        <f t="shared" si="8"/>
        <v>1095.5</v>
      </c>
      <c r="O24" s="42">
        <v>0</v>
      </c>
      <c r="P24" s="50"/>
    </row>
    <row r="25" spans="1:22">
      <c r="A25" s="13" t="s">
        <v>452</v>
      </c>
      <c r="B25" s="87" t="s">
        <v>87</v>
      </c>
      <c r="C25" s="42" t="s">
        <v>88</v>
      </c>
      <c r="D25" s="42" t="s">
        <v>16</v>
      </c>
      <c r="E25" s="42" t="s">
        <v>453</v>
      </c>
      <c r="F25" s="42">
        <v>779</v>
      </c>
      <c r="G25" s="42"/>
      <c r="H25" s="42">
        <v>20820</v>
      </c>
      <c r="I25" s="42">
        <v>300</v>
      </c>
      <c r="J25" s="42">
        <v>0.13</v>
      </c>
      <c r="K25" s="42">
        <f t="shared" si="6"/>
        <v>39</v>
      </c>
      <c r="L25" s="43">
        <f t="shared" si="7"/>
        <v>20781</v>
      </c>
      <c r="M25" s="43"/>
      <c r="N25" s="43">
        <f t="shared" si="8"/>
        <v>1457.4</v>
      </c>
      <c r="O25" s="42">
        <v>11000</v>
      </c>
      <c r="P25" s="42"/>
    </row>
    <row r="26" spans="1:22">
      <c r="A26" s="376" t="s">
        <v>475</v>
      </c>
      <c r="B26" s="87" t="s">
        <v>87</v>
      </c>
      <c r="C26" s="42" t="s">
        <v>88</v>
      </c>
      <c r="D26" s="42" t="s">
        <v>16</v>
      </c>
      <c r="E26" s="42" t="s">
        <v>476</v>
      </c>
      <c r="F26" s="42">
        <v>780</v>
      </c>
      <c r="G26" s="42"/>
      <c r="H26" s="42">
        <v>21510</v>
      </c>
      <c r="I26" s="42">
        <v>321</v>
      </c>
      <c r="J26" s="42">
        <v>0.13</v>
      </c>
      <c r="K26" s="42">
        <f t="shared" si="6"/>
        <v>41.730000000000004</v>
      </c>
      <c r="L26" s="43">
        <f t="shared" si="7"/>
        <v>21468.27</v>
      </c>
      <c r="M26" s="43"/>
      <c r="N26" s="43">
        <f t="shared" si="8"/>
        <v>1505.7</v>
      </c>
      <c r="O26" s="42">
        <v>10500</v>
      </c>
      <c r="P26" s="42"/>
      <c r="Q26" s="42"/>
    </row>
    <row r="27" spans="1:22">
      <c r="A27" s="376"/>
      <c r="B27" s="87" t="s">
        <v>87</v>
      </c>
      <c r="C27" s="42" t="s">
        <v>88</v>
      </c>
      <c r="D27" s="42" t="s">
        <v>16</v>
      </c>
      <c r="E27" s="42" t="s">
        <v>477</v>
      </c>
      <c r="F27" s="42">
        <v>154</v>
      </c>
      <c r="G27" s="42"/>
      <c r="H27" s="42">
        <v>15400</v>
      </c>
      <c r="I27" s="42">
        <v>282</v>
      </c>
      <c r="J27" s="42">
        <v>0.5</v>
      </c>
      <c r="K27" s="42">
        <f t="shared" si="6"/>
        <v>141</v>
      </c>
      <c r="L27" s="43">
        <f t="shared" si="7"/>
        <v>15259</v>
      </c>
      <c r="M27" s="43"/>
      <c r="N27" s="43">
        <f t="shared" si="8"/>
        <v>1078</v>
      </c>
      <c r="O27" s="42">
        <v>15200</v>
      </c>
      <c r="P27" s="42"/>
      <c r="Q27" s="42"/>
    </row>
    <row r="28" spans="1:22">
      <c r="A28" s="13" t="s">
        <v>502</v>
      </c>
      <c r="B28" s="87" t="s">
        <v>87</v>
      </c>
      <c r="C28" s="42" t="s">
        <v>88</v>
      </c>
      <c r="D28" s="42" t="s">
        <v>16</v>
      </c>
      <c r="E28" s="42" t="s">
        <v>503</v>
      </c>
      <c r="F28" s="42">
        <v>75</v>
      </c>
      <c r="G28" s="42"/>
      <c r="H28" s="42">
        <v>15500</v>
      </c>
      <c r="I28" s="42">
        <v>259</v>
      </c>
      <c r="J28" s="42">
        <v>0.5</v>
      </c>
      <c r="K28" s="42">
        <f t="shared" si="6"/>
        <v>129.5</v>
      </c>
      <c r="L28" s="43">
        <f t="shared" si="7"/>
        <v>15370.5</v>
      </c>
      <c r="M28" s="43"/>
      <c r="N28" s="43">
        <f t="shared" si="8"/>
        <v>1085</v>
      </c>
      <c r="O28" s="42">
        <v>23000</v>
      </c>
    </row>
    <row r="29" spans="1:22">
      <c r="A29" s="13" t="s">
        <v>521</v>
      </c>
      <c r="B29" s="87" t="s">
        <v>87</v>
      </c>
      <c r="C29" s="42" t="s">
        <v>88</v>
      </c>
      <c r="D29" s="42" t="s">
        <v>16</v>
      </c>
      <c r="E29" s="42" t="s">
        <v>522</v>
      </c>
      <c r="F29" s="42">
        <v>787</v>
      </c>
      <c r="G29" s="42"/>
      <c r="H29" s="42">
        <v>19000</v>
      </c>
      <c r="I29" s="42">
        <v>300</v>
      </c>
      <c r="J29" s="42">
        <v>0.13</v>
      </c>
      <c r="K29" s="43">
        <f t="shared" si="6"/>
        <v>39</v>
      </c>
      <c r="L29" s="43">
        <f t="shared" si="7"/>
        <v>18961</v>
      </c>
      <c r="M29" s="43"/>
      <c r="N29" s="43">
        <f t="shared" si="8"/>
        <v>1330</v>
      </c>
      <c r="O29" s="42">
        <v>12000</v>
      </c>
      <c r="P29" s="42"/>
      <c r="Q29" s="42"/>
      <c r="R29" s="42" t="s">
        <v>523</v>
      </c>
    </row>
    <row r="30" spans="1:22">
      <c r="A30" s="13" t="s">
        <v>520</v>
      </c>
      <c r="B30" s="87" t="s">
        <v>87</v>
      </c>
      <c r="C30" s="42" t="s">
        <v>88</v>
      </c>
      <c r="D30" s="42" t="s">
        <v>16</v>
      </c>
      <c r="E30" s="42" t="s">
        <v>449</v>
      </c>
      <c r="F30" s="42">
        <v>159</v>
      </c>
      <c r="G30" s="42"/>
      <c r="H30" s="42">
        <v>14780</v>
      </c>
      <c r="I30" s="42">
        <v>260</v>
      </c>
      <c r="J30" s="42">
        <v>0.5</v>
      </c>
      <c r="K30" s="43">
        <f t="shared" si="6"/>
        <v>130</v>
      </c>
      <c r="L30" s="43">
        <f t="shared" si="7"/>
        <v>14650</v>
      </c>
      <c r="M30" s="43"/>
      <c r="N30" s="43">
        <f t="shared" si="8"/>
        <v>1034.5999999999999</v>
      </c>
      <c r="O30" s="42">
        <v>7000</v>
      </c>
      <c r="P30" s="42"/>
    </row>
    <row r="31" spans="1:22" ht="69" customHeight="1">
      <c r="A31" s="6"/>
    </row>
    <row r="32" spans="1:22">
      <c r="A32" s="375" t="s">
        <v>557</v>
      </c>
      <c r="B32" s="87" t="s">
        <v>87</v>
      </c>
      <c r="C32" s="42" t="s">
        <v>88</v>
      </c>
      <c r="D32" s="42" t="s">
        <v>16</v>
      </c>
      <c r="E32" s="42" t="s">
        <v>558</v>
      </c>
      <c r="F32" s="42">
        <v>160</v>
      </c>
      <c r="G32" s="42"/>
      <c r="H32" s="42">
        <v>14130</v>
      </c>
      <c r="I32" s="42">
        <v>245</v>
      </c>
      <c r="J32" s="42">
        <v>0.5</v>
      </c>
      <c r="K32" s="42">
        <f t="shared" ref="K32:K35" si="9">I32*J32</f>
        <v>122.5</v>
      </c>
      <c r="L32" s="43">
        <f t="shared" ref="L32:L35" si="10">H32-K32</f>
        <v>14007.5</v>
      </c>
      <c r="M32" s="43"/>
      <c r="N32" s="43">
        <f t="shared" ref="N32:N35" si="11">H32/1000*70</f>
        <v>989.1</v>
      </c>
      <c r="O32" s="42">
        <v>0</v>
      </c>
      <c r="P32" s="42"/>
    </row>
    <row r="33" spans="1:22">
      <c r="A33" s="375"/>
      <c r="B33" s="87" t="s">
        <v>87</v>
      </c>
      <c r="C33" s="42" t="s">
        <v>88</v>
      </c>
      <c r="D33" s="42" t="s">
        <v>16</v>
      </c>
      <c r="E33" s="42" t="s">
        <v>301</v>
      </c>
      <c r="F33" s="42">
        <v>161</v>
      </c>
      <c r="G33" s="42"/>
      <c r="H33" s="42">
        <v>9160</v>
      </c>
      <c r="I33" s="42">
        <v>135</v>
      </c>
      <c r="J33" s="42">
        <v>0.5</v>
      </c>
      <c r="K33" s="42">
        <f t="shared" si="9"/>
        <v>67.5</v>
      </c>
      <c r="L33" s="43">
        <f t="shared" si="10"/>
        <v>9092.5</v>
      </c>
      <c r="M33" s="43"/>
      <c r="N33" s="43">
        <f t="shared" si="11"/>
        <v>641.20000000000005</v>
      </c>
      <c r="O33" s="42">
        <v>6500</v>
      </c>
      <c r="P33" s="42"/>
    </row>
    <row r="34" spans="1:22">
      <c r="A34" s="13" t="s">
        <v>559</v>
      </c>
      <c r="B34" s="87" t="s">
        <v>87</v>
      </c>
      <c r="C34" s="42" t="s">
        <v>88</v>
      </c>
      <c r="D34" s="42" t="s">
        <v>16</v>
      </c>
      <c r="E34" s="42" t="s">
        <v>560</v>
      </c>
      <c r="F34" s="42">
        <v>162</v>
      </c>
      <c r="G34" s="42"/>
      <c r="H34" s="42">
        <v>13640</v>
      </c>
      <c r="I34" s="42">
        <v>258</v>
      </c>
      <c r="J34" s="42">
        <v>0.5</v>
      </c>
      <c r="K34" s="42">
        <f t="shared" si="9"/>
        <v>129</v>
      </c>
      <c r="L34" s="43">
        <f t="shared" si="10"/>
        <v>13511</v>
      </c>
      <c r="M34" s="43"/>
      <c r="N34" s="43">
        <f t="shared" si="11"/>
        <v>954.80000000000007</v>
      </c>
      <c r="O34" s="42">
        <v>6500</v>
      </c>
      <c r="P34" s="42"/>
    </row>
    <row r="35" spans="1:22">
      <c r="A35" s="27" t="s">
        <v>567</v>
      </c>
      <c r="B35" s="42" t="s">
        <v>87</v>
      </c>
      <c r="C35" s="42" t="s">
        <v>88</v>
      </c>
      <c r="D35" s="42" t="s">
        <v>16</v>
      </c>
      <c r="E35" s="42" t="s">
        <v>568</v>
      </c>
      <c r="F35" s="42">
        <v>51</v>
      </c>
      <c r="G35" s="42"/>
      <c r="H35" s="42">
        <v>16090</v>
      </c>
      <c r="I35" s="42">
        <v>267</v>
      </c>
      <c r="J35" s="42">
        <v>0.5</v>
      </c>
      <c r="K35" s="42">
        <f t="shared" si="9"/>
        <v>133.5</v>
      </c>
      <c r="L35" s="43">
        <f t="shared" si="10"/>
        <v>15956.5</v>
      </c>
      <c r="M35" s="43"/>
      <c r="N35" s="43">
        <f t="shared" si="11"/>
        <v>1126.3</v>
      </c>
      <c r="O35" s="42">
        <v>19500</v>
      </c>
    </row>
    <row r="37" spans="1:22">
      <c r="A37" s="374" t="s">
        <v>569</v>
      </c>
      <c r="B37" s="42" t="s">
        <v>87</v>
      </c>
      <c r="C37" s="42" t="s">
        <v>88</v>
      </c>
      <c r="D37" s="42" t="s">
        <v>16</v>
      </c>
      <c r="E37" s="42" t="s">
        <v>573</v>
      </c>
      <c r="F37" s="42">
        <v>52</v>
      </c>
      <c r="G37" s="42"/>
      <c r="H37" s="42">
        <v>20060</v>
      </c>
      <c r="I37" s="42">
        <v>273</v>
      </c>
      <c r="J37" s="42">
        <v>0.5</v>
      </c>
      <c r="K37" s="42">
        <f t="shared" ref="K37:K52" si="12">I37*J37</f>
        <v>136.5</v>
      </c>
      <c r="L37" s="43">
        <f t="shared" ref="L37:L52" si="13">H37-K37</f>
        <v>19923.5</v>
      </c>
      <c r="M37" s="43"/>
      <c r="N37" s="43">
        <f t="shared" ref="N37:N51" si="14">H37/1000*70</f>
        <v>1404.1999999999998</v>
      </c>
      <c r="O37" s="42">
        <v>13600</v>
      </c>
      <c r="P37" s="42">
        <v>20</v>
      </c>
      <c r="Q37" s="42">
        <f t="shared" ref="Q37:Q47" si="15">L37*P37</f>
        <v>398470</v>
      </c>
    </row>
    <row r="38" spans="1:22">
      <c r="A38" s="374"/>
      <c r="B38" s="42" t="s">
        <v>87</v>
      </c>
      <c r="C38" s="42" t="s">
        <v>88</v>
      </c>
      <c r="D38" s="42" t="s">
        <v>16</v>
      </c>
      <c r="E38" s="42" t="s">
        <v>574</v>
      </c>
      <c r="F38" s="42">
        <v>53</v>
      </c>
      <c r="G38" s="42"/>
      <c r="H38" s="42">
        <v>16490</v>
      </c>
      <c r="I38" s="42">
        <v>270</v>
      </c>
      <c r="J38" s="42">
        <v>0.5</v>
      </c>
      <c r="K38" s="42">
        <f t="shared" si="12"/>
        <v>135</v>
      </c>
      <c r="L38" s="43">
        <f t="shared" si="13"/>
        <v>16355</v>
      </c>
      <c r="M38" s="43"/>
      <c r="N38" s="43">
        <f t="shared" si="14"/>
        <v>1154.3</v>
      </c>
      <c r="O38" s="42">
        <v>22000</v>
      </c>
      <c r="P38" s="42">
        <v>20</v>
      </c>
      <c r="Q38" s="42">
        <f t="shared" si="15"/>
        <v>327100</v>
      </c>
    </row>
    <row r="39" spans="1:22">
      <c r="A39" s="374"/>
      <c r="B39" s="42" t="s">
        <v>87</v>
      </c>
      <c r="C39" s="42" t="s">
        <v>88</v>
      </c>
      <c r="D39" s="42" t="s">
        <v>16</v>
      </c>
      <c r="E39" s="42" t="s">
        <v>575</v>
      </c>
      <c r="F39" s="42">
        <v>54</v>
      </c>
      <c r="G39" s="42"/>
      <c r="H39" s="42">
        <v>15730</v>
      </c>
      <c r="I39" s="42">
        <v>270</v>
      </c>
      <c r="J39" s="42">
        <v>0.5</v>
      </c>
      <c r="K39" s="42">
        <f t="shared" si="12"/>
        <v>135</v>
      </c>
      <c r="L39" s="43">
        <f t="shared" si="13"/>
        <v>15595</v>
      </c>
      <c r="M39" s="43"/>
      <c r="N39" s="43">
        <f t="shared" si="14"/>
        <v>1101.1000000000001</v>
      </c>
      <c r="O39" s="42">
        <v>18300</v>
      </c>
      <c r="P39" s="42">
        <v>20</v>
      </c>
      <c r="Q39" s="42">
        <f t="shared" si="15"/>
        <v>311900</v>
      </c>
    </row>
    <row r="40" spans="1:22">
      <c r="A40" s="1" t="s">
        <v>577</v>
      </c>
      <c r="B40" s="42" t="s">
        <v>87</v>
      </c>
      <c r="C40" s="42" t="s">
        <v>88</v>
      </c>
      <c r="D40" s="42" t="s">
        <v>16</v>
      </c>
      <c r="E40" s="42" t="s">
        <v>578</v>
      </c>
      <c r="F40" s="42">
        <v>956</v>
      </c>
      <c r="G40" s="42"/>
      <c r="H40" s="42">
        <v>19250</v>
      </c>
      <c r="I40" s="42">
        <v>268</v>
      </c>
      <c r="J40" s="42">
        <v>0.13</v>
      </c>
      <c r="K40" s="42">
        <f t="shared" si="12"/>
        <v>34.840000000000003</v>
      </c>
      <c r="L40" s="43">
        <f t="shared" si="13"/>
        <v>19215.16</v>
      </c>
      <c r="M40" s="43"/>
      <c r="N40" s="43">
        <f t="shared" si="14"/>
        <v>1347.5</v>
      </c>
      <c r="O40" s="42">
        <v>10000</v>
      </c>
      <c r="P40" s="42"/>
      <c r="Q40" s="42">
        <f t="shared" si="15"/>
        <v>0</v>
      </c>
      <c r="R40" s="42" t="s">
        <v>576</v>
      </c>
    </row>
    <row r="41" spans="1:22">
      <c r="A41" s="374" t="s">
        <v>591</v>
      </c>
      <c r="B41" s="42" t="s">
        <v>87</v>
      </c>
      <c r="C41" s="42" t="s">
        <v>88</v>
      </c>
      <c r="D41" s="42" t="s">
        <v>16</v>
      </c>
      <c r="E41" s="42" t="s">
        <v>592</v>
      </c>
      <c r="F41" s="42">
        <v>56</v>
      </c>
      <c r="G41" s="42"/>
      <c r="H41" s="42">
        <v>16700</v>
      </c>
      <c r="I41" s="42">
        <v>267</v>
      </c>
      <c r="J41" s="42">
        <v>0.5</v>
      </c>
      <c r="K41" s="42">
        <f t="shared" si="12"/>
        <v>133.5</v>
      </c>
      <c r="L41" s="43">
        <f t="shared" si="13"/>
        <v>16566.5</v>
      </c>
      <c r="M41" s="43"/>
      <c r="N41" s="43">
        <f t="shared" si="14"/>
        <v>1169</v>
      </c>
      <c r="O41" s="42">
        <v>24100</v>
      </c>
      <c r="P41" s="42"/>
      <c r="Q41" s="42">
        <f t="shared" si="15"/>
        <v>0</v>
      </c>
      <c r="R41" s="42"/>
    </row>
    <row r="42" spans="1:22">
      <c r="A42" s="374"/>
      <c r="B42" s="42" t="s">
        <v>87</v>
      </c>
      <c r="C42" s="42" t="s">
        <v>88</v>
      </c>
      <c r="D42" s="42" t="s">
        <v>16</v>
      </c>
      <c r="E42" s="42" t="s">
        <v>593</v>
      </c>
      <c r="F42" s="42">
        <v>55</v>
      </c>
      <c r="G42" s="42"/>
      <c r="H42" s="42">
        <v>16420</v>
      </c>
      <c r="I42" s="42">
        <v>270</v>
      </c>
      <c r="J42" s="42">
        <v>0.5</v>
      </c>
      <c r="K42" s="42">
        <f t="shared" si="12"/>
        <v>135</v>
      </c>
      <c r="L42" s="43">
        <f t="shared" si="13"/>
        <v>16285</v>
      </c>
      <c r="M42" s="43"/>
      <c r="N42" s="43">
        <f t="shared" si="14"/>
        <v>1149.4000000000001</v>
      </c>
      <c r="O42" s="42">
        <v>23500</v>
      </c>
      <c r="P42" s="42"/>
      <c r="Q42" s="42">
        <f t="shared" si="15"/>
        <v>0</v>
      </c>
      <c r="R42" s="42"/>
    </row>
    <row r="43" spans="1:22">
      <c r="A43" s="374"/>
      <c r="B43" s="42" t="s">
        <v>87</v>
      </c>
      <c r="C43" s="42" t="s">
        <v>88</v>
      </c>
      <c r="D43" s="42" t="s">
        <v>16</v>
      </c>
      <c r="E43" s="42" t="s">
        <v>578</v>
      </c>
      <c r="F43" s="42">
        <v>205</v>
      </c>
      <c r="G43" s="42"/>
      <c r="H43" s="42">
        <v>16830</v>
      </c>
      <c r="I43" s="42">
        <v>235</v>
      </c>
      <c r="J43" s="42">
        <v>0.13</v>
      </c>
      <c r="K43" s="42">
        <f t="shared" si="12"/>
        <v>30.55</v>
      </c>
      <c r="L43" s="43">
        <f t="shared" si="13"/>
        <v>16799.45</v>
      </c>
      <c r="M43" s="43"/>
      <c r="N43" s="43">
        <f t="shared" si="14"/>
        <v>1178.0999999999999</v>
      </c>
      <c r="O43" s="42">
        <v>10000</v>
      </c>
      <c r="P43" s="42"/>
      <c r="Q43" s="42">
        <f t="shared" si="15"/>
        <v>0</v>
      </c>
      <c r="R43" s="42" t="s">
        <v>576</v>
      </c>
    </row>
    <row r="44" spans="1:22">
      <c r="A44" s="93"/>
      <c r="B44" s="42"/>
      <c r="C44" s="42"/>
      <c r="D44" s="42"/>
      <c r="E44" s="42"/>
      <c r="F44" s="42"/>
      <c r="G44" s="42"/>
      <c r="H44" s="42"/>
      <c r="I44" s="42"/>
      <c r="J44" s="42"/>
      <c r="K44" s="42"/>
      <c r="L44" s="43"/>
      <c r="M44" s="43"/>
      <c r="N44" s="43"/>
      <c r="O44" s="42"/>
      <c r="P44" s="42"/>
      <c r="Q44" s="42"/>
      <c r="R44" s="42"/>
    </row>
    <row r="45" spans="1:22">
      <c r="A45" s="374" t="s">
        <v>606</v>
      </c>
      <c r="B45" s="42" t="s">
        <v>87</v>
      </c>
      <c r="C45" s="42" t="s">
        <v>88</v>
      </c>
      <c r="D45" s="42" t="s">
        <v>16</v>
      </c>
      <c r="E45" s="42" t="s">
        <v>607</v>
      </c>
      <c r="F45" s="42">
        <v>207</v>
      </c>
      <c r="G45" s="42"/>
      <c r="H45" s="42">
        <v>17500</v>
      </c>
      <c r="I45" s="42">
        <v>250</v>
      </c>
      <c r="J45" s="42">
        <v>0.13</v>
      </c>
      <c r="K45" s="42">
        <f t="shared" si="12"/>
        <v>32.5</v>
      </c>
      <c r="L45" s="43">
        <f t="shared" si="13"/>
        <v>17467.5</v>
      </c>
      <c r="M45" s="43"/>
      <c r="N45" s="43">
        <f t="shared" si="14"/>
        <v>1225</v>
      </c>
      <c r="O45" s="42">
        <v>11000</v>
      </c>
      <c r="P45" s="42"/>
      <c r="Q45" s="42">
        <f t="shared" si="15"/>
        <v>0</v>
      </c>
      <c r="R45" s="42" t="s">
        <v>523</v>
      </c>
      <c r="S45" s="1" t="s">
        <v>599</v>
      </c>
      <c r="T45" s="1">
        <v>200000</v>
      </c>
      <c r="V45" s="1">
        <v>19.5</v>
      </c>
    </row>
    <row r="46" spans="1:22">
      <c r="A46" s="374"/>
      <c r="B46" s="42" t="s">
        <v>87</v>
      </c>
      <c r="C46" s="42" t="s">
        <v>88</v>
      </c>
      <c r="D46" s="42" t="s">
        <v>16</v>
      </c>
      <c r="E46" s="42" t="s">
        <v>323</v>
      </c>
      <c r="F46" s="42">
        <v>163</v>
      </c>
      <c r="G46" s="42"/>
      <c r="H46" s="42">
        <v>14180</v>
      </c>
      <c r="I46" s="42">
        <v>263</v>
      </c>
      <c r="J46" s="42">
        <v>0.5</v>
      </c>
      <c r="K46" s="42">
        <f t="shared" si="12"/>
        <v>131.5</v>
      </c>
      <c r="L46" s="43">
        <f t="shared" si="13"/>
        <v>14048.5</v>
      </c>
      <c r="M46" s="43"/>
      <c r="N46" s="43">
        <f t="shared" si="14"/>
        <v>992.6</v>
      </c>
      <c r="O46" s="42">
        <v>7000</v>
      </c>
      <c r="P46" s="42"/>
      <c r="Q46" s="42">
        <f t="shared" si="15"/>
        <v>0</v>
      </c>
      <c r="R46" s="42" t="s">
        <v>608</v>
      </c>
    </row>
    <row r="47" spans="1:22">
      <c r="A47" s="1" t="s">
        <v>616</v>
      </c>
      <c r="B47" s="42" t="s">
        <v>87</v>
      </c>
      <c r="C47" s="42" t="s">
        <v>88</v>
      </c>
      <c r="D47" s="42" t="s">
        <v>16</v>
      </c>
      <c r="E47" s="42" t="s">
        <v>578</v>
      </c>
      <c r="F47" s="42">
        <v>219</v>
      </c>
      <c r="G47" s="42"/>
      <c r="H47" s="42">
        <v>16770</v>
      </c>
      <c r="I47" s="42">
        <v>244</v>
      </c>
      <c r="J47" s="42">
        <v>0.13</v>
      </c>
      <c r="K47" s="42">
        <f t="shared" si="12"/>
        <v>31.720000000000002</v>
      </c>
      <c r="L47" s="43">
        <f t="shared" si="13"/>
        <v>16738.28</v>
      </c>
      <c r="M47" s="43"/>
      <c r="N47" s="43">
        <f t="shared" si="14"/>
        <v>1173.8999999999999</v>
      </c>
      <c r="O47" s="42">
        <v>10000</v>
      </c>
      <c r="P47" s="42"/>
      <c r="Q47" s="42">
        <f t="shared" si="15"/>
        <v>0</v>
      </c>
    </row>
    <row r="48" spans="1:22">
      <c r="A48" s="1" t="s">
        <v>617</v>
      </c>
      <c r="B48" s="42" t="s">
        <v>87</v>
      </c>
      <c r="C48" s="42" t="s">
        <v>88</v>
      </c>
      <c r="D48" s="42" t="s">
        <v>16</v>
      </c>
      <c r="E48" s="42" t="s">
        <v>575</v>
      </c>
      <c r="F48" s="42">
        <v>59</v>
      </c>
      <c r="G48" s="42"/>
      <c r="H48" s="42">
        <v>16885</v>
      </c>
      <c r="I48" s="42">
        <v>272</v>
      </c>
      <c r="J48" s="42">
        <v>0.13</v>
      </c>
      <c r="K48" s="42">
        <f t="shared" si="12"/>
        <v>35.36</v>
      </c>
      <c r="L48" s="43">
        <f t="shared" si="13"/>
        <v>16849.64</v>
      </c>
      <c r="M48" s="43"/>
      <c r="N48" s="43">
        <f t="shared" si="14"/>
        <v>1181.95</v>
      </c>
      <c r="O48" s="42">
        <v>20500</v>
      </c>
      <c r="P48" s="42"/>
    </row>
    <row r="49" spans="1:19">
      <c r="A49" s="1" t="s">
        <v>625</v>
      </c>
      <c r="B49" s="42" t="s">
        <v>87</v>
      </c>
      <c r="C49" s="42" t="s">
        <v>88</v>
      </c>
      <c r="D49" s="42" t="s">
        <v>16</v>
      </c>
      <c r="E49" s="42" t="s">
        <v>631</v>
      </c>
      <c r="F49" s="42">
        <v>476</v>
      </c>
      <c r="G49" s="42"/>
      <c r="H49" s="42">
        <v>19640</v>
      </c>
      <c r="I49" s="42">
        <v>271</v>
      </c>
      <c r="J49" s="42">
        <v>0.75</v>
      </c>
      <c r="K49" s="42">
        <f t="shared" si="12"/>
        <v>203.25</v>
      </c>
      <c r="L49" s="43">
        <f t="shared" si="13"/>
        <v>19436.75</v>
      </c>
      <c r="M49" s="43"/>
      <c r="N49" s="43">
        <f t="shared" si="14"/>
        <v>1374.8</v>
      </c>
      <c r="O49" s="42">
        <v>10000</v>
      </c>
      <c r="P49" s="42"/>
    </row>
    <row r="50" spans="1:19">
      <c r="A50" s="1" t="s">
        <v>641</v>
      </c>
      <c r="B50" s="42" t="s">
        <v>87</v>
      </c>
      <c r="C50" s="42" t="s">
        <v>88</v>
      </c>
      <c r="D50" s="42" t="s">
        <v>16</v>
      </c>
      <c r="E50" s="42" t="s">
        <v>643</v>
      </c>
      <c r="F50" s="42">
        <v>61</v>
      </c>
      <c r="G50" s="42"/>
      <c r="H50" s="42">
        <v>18025</v>
      </c>
      <c r="I50" s="42">
        <v>301</v>
      </c>
      <c r="J50" s="42">
        <v>0.5</v>
      </c>
      <c r="K50" s="43">
        <f t="shared" si="12"/>
        <v>150.5</v>
      </c>
      <c r="L50" s="43">
        <f t="shared" si="13"/>
        <v>17874.5</v>
      </c>
      <c r="M50" s="43"/>
      <c r="N50" s="43">
        <f t="shared" si="14"/>
        <v>1261.75</v>
      </c>
      <c r="O50" s="42">
        <v>24600</v>
      </c>
      <c r="P50" s="42"/>
    </row>
    <row r="51" spans="1:19">
      <c r="A51" s="1" t="s">
        <v>650</v>
      </c>
      <c r="B51" s="42" t="s">
        <v>87</v>
      </c>
      <c r="C51" s="42" t="s">
        <v>88</v>
      </c>
      <c r="D51" s="42" t="s">
        <v>16</v>
      </c>
      <c r="E51" s="42" t="s">
        <v>651</v>
      </c>
      <c r="F51" s="42">
        <v>62</v>
      </c>
      <c r="G51" s="42"/>
      <c r="H51" s="42">
        <v>16770</v>
      </c>
      <c r="I51" s="42">
        <v>267</v>
      </c>
      <c r="J51" s="42">
        <v>0.5</v>
      </c>
      <c r="K51" s="42">
        <f t="shared" si="12"/>
        <v>133.5</v>
      </c>
      <c r="L51" s="43">
        <f t="shared" si="13"/>
        <v>16636.5</v>
      </c>
      <c r="M51" s="43"/>
      <c r="N51" s="43">
        <f t="shared" si="14"/>
        <v>1173.8999999999999</v>
      </c>
      <c r="O51" s="42">
        <v>20600</v>
      </c>
    </row>
    <row r="52" spans="1:19">
      <c r="A52" s="1" t="s">
        <v>678</v>
      </c>
      <c r="B52" s="42" t="s">
        <v>87</v>
      </c>
      <c r="C52" s="42" t="s">
        <v>88</v>
      </c>
      <c r="D52" s="42" t="s">
        <v>16</v>
      </c>
      <c r="E52" s="42" t="s">
        <v>575</v>
      </c>
      <c r="F52" s="42">
        <v>63</v>
      </c>
      <c r="G52" s="42"/>
      <c r="H52" s="42">
        <v>15845</v>
      </c>
      <c r="I52" s="42">
        <v>267</v>
      </c>
      <c r="J52" s="42">
        <v>0.5</v>
      </c>
      <c r="K52" s="42">
        <f t="shared" si="12"/>
        <v>133.5</v>
      </c>
      <c r="L52" s="43">
        <f t="shared" si="13"/>
        <v>15711.5</v>
      </c>
      <c r="M52" s="43">
        <f>L52*1.5%</f>
        <v>235.67249999999999</v>
      </c>
      <c r="N52" s="43">
        <f t="shared" ref="N52" si="16">L52-M52</f>
        <v>15475.827499999999</v>
      </c>
      <c r="O52" s="43">
        <f t="shared" ref="O52" si="17">H52/1000*70</f>
        <v>1109.1500000000001</v>
      </c>
      <c r="P52" s="42">
        <v>16800</v>
      </c>
      <c r="Q52" s="42">
        <v>19.5</v>
      </c>
      <c r="R52" s="42">
        <f t="shared" ref="R52" si="18">L52*Q52</f>
        <v>306374.25</v>
      </c>
      <c r="S52" s="42" t="s">
        <v>679</v>
      </c>
    </row>
  </sheetData>
  <mergeCells count="9">
    <mergeCell ref="A45:A46"/>
    <mergeCell ref="A41:A43"/>
    <mergeCell ref="A37:A39"/>
    <mergeCell ref="A32:A33"/>
    <mergeCell ref="A6:A7"/>
    <mergeCell ref="A8:A9"/>
    <mergeCell ref="A10:A11"/>
    <mergeCell ref="A15:A16"/>
    <mergeCell ref="A26:A27"/>
  </mergeCells>
  <pageMargins left="0.7" right="0.7" top="0.75" bottom="0.75" header="0.3" footer="0.3"/>
  <pageSetup paperSize="9" orientation="landscape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5:U178"/>
  <sheetViews>
    <sheetView topLeftCell="A160" workbookViewId="0">
      <selection activeCell="A179" sqref="A179"/>
    </sheetView>
  </sheetViews>
  <sheetFormatPr defaultRowHeight="14.4"/>
  <cols>
    <col min="1" max="1" width="7.88671875" style="1" customWidth="1"/>
    <col min="2" max="2" width="12.77734375" style="1" customWidth="1"/>
    <col min="3" max="3" width="7.77734375" style="1" customWidth="1"/>
    <col min="4" max="4" width="4.77734375" style="1" customWidth="1"/>
    <col min="5" max="5" width="9.88671875" style="1" customWidth="1"/>
    <col min="6" max="6" width="7.6640625" style="1" customWidth="1"/>
    <col min="7" max="7" width="6.6640625" style="1" customWidth="1"/>
    <col min="8" max="8" width="7.44140625" style="1" customWidth="1"/>
    <col min="9" max="9" width="5.88671875" style="1" customWidth="1"/>
    <col min="10" max="10" width="6" style="1" customWidth="1"/>
    <col min="11" max="11" width="8.44140625" style="1" customWidth="1"/>
    <col min="12" max="12" width="6.5546875" style="1" customWidth="1"/>
    <col min="13" max="13" width="7.33203125" style="1" customWidth="1"/>
    <col min="14" max="18" width="8.88671875" style="1"/>
    <col min="19" max="19" width="14.33203125" style="1" customWidth="1"/>
    <col min="20" max="16384" width="8.88671875" style="1"/>
  </cols>
  <sheetData>
    <row r="5" spans="1:21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3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3" t="s">
        <v>36</v>
      </c>
      <c r="N5" s="3" t="s">
        <v>12</v>
      </c>
      <c r="O5" s="3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125</v>
      </c>
    </row>
    <row r="6" spans="1:21">
      <c r="A6" s="375" t="s">
        <v>99</v>
      </c>
      <c r="B6" s="12" t="s">
        <v>103</v>
      </c>
      <c r="C6" s="2" t="s">
        <v>88</v>
      </c>
      <c r="D6" s="2" t="s">
        <v>16</v>
      </c>
      <c r="E6" s="2" t="s">
        <v>104</v>
      </c>
      <c r="F6" s="2">
        <v>2261</v>
      </c>
      <c r="G6" s="2"/>
      <c r="H6" s="2">
        <v>15080</v>
      </c>
      <c r="I6" s="2">
        <v>276</v>
      </c>
      <c r="J6" s="2">
        <v>0.5</v>
      </c>
      <c r="K6" s="2">
        <f t="shared" ref="K6:K7" si="0">I6*J6</f>
        <v>138</v>
      </c>
      <c r="L6" s="5">
        <f t="shared" ref="L6:L7" si="1">H6-K6</f>
        <v>14942</v>
      </c>
      <c r="M6" s="5">
        <f t="shared" ref="M6:M7" si="2">H6/1000*70</f>
        <v>1055.5999999999999</v>
      </c>
      <c r="N6" s="2"/>
      <c r="Q6" s="1" t="s">
        <v>96</v>
      </c>
      <c r="R6" s="1">
        <v>108</v>
      </c>
      <c r="S6" s="1">
        <v>100000</v>
      </c>
      <c r="T6" s="1" t="s">
        <v>97</v>
      </c>
      <c r="U6" s="17">
        <v>19</v>
      </c>
    </row>
    <row r="7" spans="1:21">
      <c r="A7" s="375"/>
      <c r="B7" s="12" t="s">
        <v>103</v>
      </c>
      <c r="C7" s="2" t="s">
        <v>88</v>
      </c>
      <c r="D7" s="2" t="s">
        <v>16</v>
      </c>
      <c r="E7" s="2" t="s">
        <v>105</v>
      </c>
      <c r="F7" s="2">
        <v>2262</v>
      </c>
      <c r="G7" s="2"/>
      <c r="H7" s="2">
        <v>16140</v>
      </c>
      <c r="I7" s="2">
        <v>300</v>
      </c>
      <c r="J7" s="2">
        <v>0.5</v>
      </c>
      <c r="K7" s="2">
        <f t="shared" si="0"/>
        <v>150</v>
      </c>
      <c r="L7" s="5">
        <f t="shared" si="1"/>
        <v>15990</v>
      </c>
      <c r="M7" s="5">
        <f t="shared" si="2"/>
        <v>1129.8</v>
      </c>
      <c r="N7" s="2"/>
    </row>
    <row r="8" spans="1:21">
      <c r="A8" s="6"/>
    </row>
    <row r="9" spans="1:21">
      <c r="A9" s="6"/>
    </row>
    <row r="10" spans="1:21">
      <c r="A10" s="6" t="s">
        <v>81</v>
      </c>
      <c r="B10" s="12" t="s">
        <v>115</v>
      </c>
      <c r="C10" s="2" t="s">
        <v>88</v>
      </c>
      <c r="D10" s="2" t="s">
        <v>16</v>
      </c>
      <c r="E10" s="2" t="s">
        <v>116</v>
      </c>
      <c r="F10" s="2">
        <v>597</v>
      </c>
      <c r="G10" s="2">
        <v>377</v>
      </c>
      <c r="H10" s="2">
        <v>17750</v>
      </c>
      <c r="I10" s="2">
        <v>348</v>
      </c>
      <c r="J10" s="2">
        <v>0.5</v>
      </c>
      <c r="K10" s="2">
        <f t="shared" ref="K10:K19" si="3">I10*J10</f>
        <v>174</v>
      </c>
      <c r="L10" s="5">
        <f t="shared" ref="L10:L19" si="4">H10-K10</f>
        <v>17576</v>
      </c>
      <c r="M10" s="5">
        <f t="shared" ref="M10:M19" si="5">H10/1000*70</f>
        <v>1242.5</v>
      </c>
      <c r="N10" s="2">
        <v>0</v>
      </c>
      <c r="O10" s="1">
        <v>18.8</v>
      </c>
      <c r="Q10" s="1" t="s">
        <v>112</v>
      </c>
      <c r="R10" s="1">
        <v>132</v>
      </c>
      <c r="S10" s="1">
        <v>40000</v>
      </c>
      <c r="T10" s="1" t="s">
        <v>126</v>
      </c>
      <c r="U10" s="1">
        <v>18.8</v>
      </c>
    </row>
    <row r="11" spans="1:21">
      <c r="A11" s="6" t="s">
        <v>129</v>
      </c>
      <c r="B11" s="12" t="s">
        <v>115</v>
      </c>
      <c r="C11" s="2" t="s">
        <v>88</v>
      </c>
      <c r="D11" s="2" t="s">
        <v>16</v>
      </c>
      <c r="E11" s="2" t="s">
        <v>105</v>
      </c>
      <c r="F11" s="2">
        <v>2264</v>
      </c>
      <c r="G11" s="2"/>
      <c r="H11" s="2">
        <v>16410</v>
      </c>
      <c r="I11" s="2">
        <v>300</v>
      </c>
      <c r="J11" s="2">
        <v>0.5</v>
      </c>
      <c r="K11" s="2">
        <f t="shared" si="3"/>
        <v>150</v>
      </c>
      <c r="L11" s="5">
        <f t="shared" si="4"/>
        <v>16260</v>
      </c>
      <c r="M11" s="5">
        <f t="shared" si="5"/>
        <v>1148.7</v>
      </c>
      <c r="N11" s="2">
        <v>0</v>
      </c>
      <c r="O11" s="1">
        <v>18.8</v>
      </c>
    </row>
    <row r="12" spans="1:21">
      <c r="A12" s="6" t="s">
        <v>126</v>
      </c>
      <c r="B12" s="12" t="s">
        <v>143</v>
      </c>
      <c r="C12" s="2" t="s">
        <v>144</v>
      </c>
      <c r="D12" s="2" t="s">
        <v>16</v>
      </c>
      <c r="E12" s="2" t="s">
        <v>145</v>
      </c>
      <c r="F12" s="2">
        <v>2263</v>
      </c>
      <c r="G12" s="2"/>
      <c r="H12" s="2">
        <v>14990</v>
      </c>
      <c r="I12" s="2">
        <v>275</v>
      </c>
      <c r="J12" s="2">
        <v>0.5</v>
      </c>
      <c r="K12" s="5">
        <f t="shared" si="3"/>
        <v>137.5</v>
      </c>
      <c r="L12" s="19">
        <f t="shared" si="4"/>
        <v>14852.5</v>
      </c>
      <c r="M12" s="5">
        <f t="shared" si="5"/>
        <v>1049.3</v>
      </c>
      <c r="N12" s="2">
        <v>0</v>
      </c>
      <c r="O12" s="1">
        <v>18.8</v>
      </c>
    </row>
    <row r="13" spans="1:21">
      <c r="A13" s="13" t="s">
        <v>200</v>
      </c>
      <c r="B13" s="12" t="s">
        <v>115</v>
      </c>
      <c r="C13" s="2" t="s">
        <v>88</v>
      </c>
      <c r="D13" s="2" t="s">
        <v>16</v>
      </c>
      <c r="E13" s="2" t="s">
        <v>209</v>
      </c>
      <c r="F13" s="20">
        <v>2266</v>
      </c>
      <c r="G13" s="20"/>
      <c r="H13" s="20">
        <v>16390</v>
      </c>
      <c r="I13" s="20">
        <v>300</v>
      </c>
      <c r="J13" s="20">
        <v>0.5</v>
      </c>
      <c r="K13" s="5">
        <f t="shared" si="3"/>
        <v>150</v>
      </c>
      <c r="L13" s="19">
        <f t="shared" si="4"/>
        <v>16240</v>
      </c>
      <c r="M13" s="5">
        <f t="shared" si="5"/>
        <v>1147.3</v>
      </c>
      <c r="N13" s="20"/>
      <c r="O13" s="1">
        <v>19.5</v>
      </c>
    </row>
    <row r="14" spans="1:21">
      <c r="A14" s="27" t="s">
        <v>236</v>
      </c>
      <c r="B14" s="2" t="s">
        <v>115</v>
      </c>
      <c r="C14" s="2" t="s">
        <v>88</v>
      </c>
      <c r="D14" s="2" t="s">
        <v>16</v>
      </c>
      <c r="E14" s="2" t="s">
        <v>239</v>
      </c>
      <c r="F14" s="2">
        <v>1896</v>
      </c>
      <c r="G14" s="2"/>
      <c r="H14" s="2">
        <v>17100</v>
      </c>
      <c r="I14" s="2">
        <v>313</v>
      </c>
      <c r="J14" s="2">
        <v>0.5</v>
      </c>
      <c r="K14" s="5">
        <f t="shared" si="3"/>
        <v>156.5</v>
      </c>
      <c r="L14" s="19">
        <f t="shared" si="4"/>
        <v>16943.5</v>
      </c>
      <c r="M14" s="5">
        <f t="shared" si="5"/>
        <v>1197</v>
      </c>
      <c r="N14" s="26">
        <v>0</v>
      </c>
      <c r="Q14" s="1" t="s">
        <v>151</v>
      </c>
      <c r="R14" s="1">
        <v>137</v>
      </c>
      <c r="S14" s="1">
        <v>250000</v>
      </c>
      <c r="T14" s="1" t="s">
        <v>86</v>
      </c>
      <c r="U14" s="1">
        <v>19.5</v>
      </c>
    </row>
    <row r="15" spans="1:21">
      <c r="A15" s="375" t="s">
        <v>250</v>
      </c>
      <c r="B15" s="2" t="s">
        <v>115</v>
      </c>
      <c r="C15" s="2" t="s">
        <v>88</v>
      </c>
      <c r="D15" s="2" t="s">
        <v>16</v>
      </c>
      <c r="E15" s="2" t="s">
        <v>251</v>
      </c>
      <c r="F15" s="2">
        <v>953</v>
      </c>
      <c r="G15" s="2"/>
      <c r="H15" s="2">
        <v>15990</v>
      </c>
      <c r="I15" s="2">
        <v>293</v>
      </c>
      <c r="J15" s="2">
        <v>0.5</v>
      </c>
      <c r="K15" s="5">
        <f t="shared" si="3"/>
        <v>146.5</v>
      </c>
      <c r="L15" s="19">
        <f t="shared" si="4"/>
        <v>15843.5</v>
      </c>
      <c r="M15" s="5">
        <f t="shared" si="5"/>
        <v>1119.3</v>
      </c>
      <c r="N15" s="29">
        <v>0</v>
      </c>
    </row>
    <row r="16" spans="1:21">
      <c r="A16" s="375"/>
      <c r="B16" s="2" t="s">
        <v>115</v>
      </c>
      <c r="C16" s="2" t="s">
        <v>88</v>
      </c>
      <c r="D16" s="2" t="s">
        <v>16</v>
      </c>
      <c r="E16" s="2" t="s">
        <v>252</v>
      </c>
      <c r="F16" s="2">
        <v>951</v>
      </c>
      <c r="G16" s="2"/>
      <c r="H16" s="2">
        <v>17150</v>
      </c>
      <c r="I16" s="2">
        <v>312</v>
      </c>
      <c r="J16" s="2">
        <v>0.5</v>
      </c>
      <c r="K16" s="5">
        <f t="shared" si="3"/>
        <v>156</v>
      </c>
      <c r="L16" s="19">
        <f t="shared" si="4"/>
        <v>16994</v>
      </c>
      <c r="M16" s="5">
        <f t="shared" si="5"/>
        <v>1200.5</v>
      </c>
      <c r="N16" s="29">
        <v>0</v>
      </c>
    </row>
    <row r="17" spans="1:21">
      <c r="A17" s="21" t="s">
        <v>264</v>
      </c>
      <c r="B17" s="2" t="s">
        <v>115</v>
      </c>
      <c r="C17" s="2" t="s">
        <v>88</v>
      </c>
      <c r="D17" s="2" t="s">
        <v>16</v>
      </c>
      <c r="E17" s="2" t="s">
        <v>265</v>
      </c>
      <c r="F17" s="2">
        <v>955</v>
      </c>
      <c r="G17" s="2"/>
      <c r="H17" s="2">
        <v>16940</v>
      </c>
      <c r="I17" s="2">
        <v>313</v>
      </c>
      <c r="J17" s="2">
        <v>0.5</v>
      </c>
      <c r="K17" s="5">
        <f t="shared" si="3"/>
        <v>156.5</v>
      </c>
      <c r="L17" s="19">
        <f t="shared" si="4"/>
        <v>16783.5</v>
      </c>
      <c r="M17" s="5">
        <f t="shared" si="5"/>
        <v>1185.8000000000002</v>
      </c>
      <c r="N17" s="2">
        <v>0</v>
      </c>
      <c r="O17" s="2">
        <v>19.5</v>
      </c>
      <c r="P17" s="2">
        <f t="shared" ref="P17:P19" si="6">L17*O17</f>
        <v>327278.25</v>
      </c>
    </row>
    <row r="18" spans="1:21">
      <c r="A18" s="21" t="s">
        <v>267</v>
      </c>
      <c r="B18" s="2" t="s">
        <v>115</v>
      </c>
      <c r="C18" s="2" t="s">
        <v>88</v>
      </c>
      <c r="D18" s="2" t="s">
        <v>16</v>
      </c>
      <c r="E18" s="2" t="s">
        <v>239</v>
      </c>
      <c r="F18" s="2">
        <v>957</v>
      </c>
      <c r="G18" s="2"/>
      <c r="H18" s="2">
        <v>16090</v>
      </c>
      <c r="I18" s="2">
        <v>312</v>
      </c>
      <c r="J18" s="2">
        <v>0.5</v>
      </c>
      <c r="K18" s="5">
        <f t="shared" si="3"/>
        <v>156</v>
      </c>
      <c r="L18" s="19">
        <f t="shared" si="4"/>
        <v>15934</v>
      </c>
      <c r="M18" s="5">
        <f t="shared" si="5"/>
        <v>1126.3</v>
      </c>
      <c r="N18" s="2">
        <v>0</v>
      </c>
      <c r="O18" s="2">
        <v>19.5</v>
      </c>
      <c r="P18" s="2">
        <f t="shared" si="6"/>
        <v>310713</v>
      </c>
    </row>
    <row r="19" spans="1:21">
      <c r="A19" s="21" t="s">
        <v>271</v>
      </c>
      <c r="B19" s="2" t="s">
        <v>115</v>
      </c>
      <c r="C19" s="2" t="s">
        <v>88</v>
      </c>
      <c r="D19" s="2" t="s">
        <v>16</v>
      </c>
      <c r="E19" s="2" t="s">
        <v>105</v>
      </c>
      <c r="F19" s="2">
        <v>1741</v>
      </c>
      <c r="G19" s="2"/>
      <c r="H19" s="2">
        <v>15900</v>
      </c>
      <c r="I19" s="2">
        <v>295</v>
      </c>
      <c r="J19" s="2">
        <v>0.5</v>
      </c>
      <c r="K19" s="5">
        <f t="shared" si="3"/>
        <v>147.5</v>
      </c>
      <c r="L19" s="19">
        <f t="shared" si="4"/>
        <v>15752.5</v>
      </c>
      <c r="M19" s="5">
        <f t="shared" si="5"/>
        <v>1113</v>
      </c>
      <c r="N19" s="2">
        <v>0</v>
      </c>
      <c r="O19" s="2">
        <v>19.5</v>
      </c>
      <c r="P19" s="2">
        <f t="shared" si="6"/>
        <v>307173.75</v>
      </c>
    </row>
    <row r="22" spans="1:21">
      <c r="A22" s="21" t="s">
        <v>317</v>
      </c>
      <c r="B22" s="42" t="s">
        <v>103</v>
      </c>
      <c r="C22" s="42" t="s">
        <v>88</v>
      </c>
      <c r="D22" s="42" t="s">
        <v>16</v>
      </c>
      <c r="E22" s="42" t="s">
        <v>323</v>
      </c>
      <c r="F22" s="42">
        <v>2080</v>
      </c>
      <c r="G22" s="42"/>
      <c r="H22" s="42">
        <v>17750</v>
      </c>
      <c r="I22" s="42">
        <v>340</v>
      </c>
      <c r="J22" s="42">
        <v>0.5</v>
      </c>
      <c r="K22" s="42">
        <f t="shared" ref="K22:K25" si="7">I22*J22</f>
        <v>170</v>
      </c>
      <c r="L22" s="43">
        <f t="shared" ref="L22:L25" si="8">H22-K22</f>
        <v>17580</v>
      </c>
      <c r="M22" s="43">
        <f t="shared" ref="M22:M25" si="9">H22/1000*70</f>
        <v>1242.5</v>
      </c>
      <c r="N22" s="42">
        <v>0</v>
      </c>
      <c r="O22" s="42"/>
      <c r="P22" s="42">
        <f t="shared" ref="P22:P25" si="10">L22*O22</f>
        <v>0</v>
      </c>
    </row>
    <row r="23" spans="1:21">
      <c r="A23" s="21" t="s">
        <v>326</v>
      </c>
      <c r="B23" s="42" t="s">
        <v>103</v>
      </c>
      <c r="C23" s="42" t="s">
        <v>88</v>
      </c>
      <c r="D23" s="42" t="s">
        <v>16</v>
      </c>
      <c r="E23" s="42" t="s">
        <v>323</v>
      </c>
      <c r="F23" s="42">
        <v>2081</v>
      </c>
      <c r="G23" s="42"/>
      <c r="H23" s="42">
        <v>14370</v>
      </c>
      <c r="I23" s="42">
        <v>351</v>
      </c>
      <c r="J23" s="42">
        <v>0.5</v>
      </c>
      <c r="K23" s="42">
        <f t="shared" si="7"/>
        <v>175.5</v>
      </c>
      <c r="L23" s="43">
        <f t="shared" si="8"/>
        <v>14194.5</v>
      </c>
      <c r="M23" s="43">
        <f t="shared" si="9"/>
        <v>1005.9</v>
      </c>
      <c r="N23" s="42">
        <v>0</v>
      </c>
      <c r="O23" s="42">
        <v>19.5</v>
      </c>
      <c r="P23" s="42">
        <f t="shared" si="10"/>
        <v>276792.75</v>
      </c>
    </row>
    <row r="24" spans="1:21">
      <c r="A24" s="21" t="s">
        <v>338</v>
      </c>
      <c r="B24" s="42" t="s">
        <v>103</v>
      </c>
      <c r="C24" s="42" t="s">
        <v>88</v>
      </c>
      <c r="D24" s="42" t="s">
        <v>16</v>
      </c>
      <c r="E24" s="42" t="s">
        <v>339</v>
      </c>
      <c r="F24" s="42">
        <v>2269</v>
      </c>
      <c r="G24" s="42"/>
      <c r="H24" s="42">
        <v>16860</v>
      </c>
      <c r="I24" s="42">
        <v>310</v>
      </c>
      <c r="J24" s="42">
        <v>0.5</v>
      </c>
      <c r="K24" s="42">
        <f t="shared" si="7"/>
        <v>155</v>
      </c>
      <c r="L24" s="43">
        <f t="shared" si="8"/>
        <v>16705</v>
      </c>
      <c r="M24" s="43">
        <f t="shared" si="9"/>
        <v>1180.2</v>
      </c>
      <c r="N24" s="42">
        <v>0</v>
      </c>
      <c r="O24" s="42">
        <v>19.5</v>
      </c>
      <c r="P24" s="42">
        <f t="shared" si="10"/>
        <v>325747.5</v>
      </c>
    </row>
    <row r="25" spans="1:21">
      <c r="A25" s="21" t="s">
        <v>351</v>
      </c>
      <c r="B25" s="42" t="s">
        <v>103</v>
      </c>
      <c r="C25" s="42" t="s">
        <v>88</v>
      </c>
      <c r="D25" s="42" t="s">
        <v>16</v>
      </c>
      <c r="E25" s="42" t="s">
        <v>352</v>
      </c>
      <c r="F25" s="42">
        <v>2270</v>
      </c>
      <c r="G25" s="42"/>
      <c r="H25" s="42">
        <v>16020</v>
      </c>
      <c r="I25" s="42">
        <v>296</v>
      </c>
      <c r="J25" s="42">
        <v>0.5</v>
      </c>
      <c r="K25" s="42">
        <f t="shared" si="7"/>
        <v>148</v>
      </c>
      <c r="L25" s="43">
        <f t="shared" si="8"/>
        <v>15872</v>
      </c>
      <c r="M25" s="43">
        <f t="shared" si="9"/>
        <v>1121.3999999999999</v>
      </c>
      <c r="N25" s="42">
        <v>0</v>
      </c>
      <c r="O25" s="42">
        <v>19.5</v>
      </c>
      <c r="P25" s="42">
        <f t="shared" si="10"/>
        <v>309504</v>
      </c>
    </row>
    <row r="27" spans="1:21">
      <c r="A27" s="21" t="s">
        <v>355</v>
      </c>
      <c r="B27" s="42" t="s">
        <v>103</v>
      </c>
      <c r="C27" s="42" t="s">
        <v>88</v>
      </c>
      <c r="D27" s="42" t="s">
        <v>16</v>
      </c>
      <c r="E27" s="42" t="s">
        <v>359</v>
      </c>
      <c r="F27" s="42">
        <v>2082</v>
      </c>
      <c r="G27" s="42"/>
      <c r="H27" s="42">
        <v>17390</v>
      </c>
      <c r="I27" s="42">
        <v>351</v>
      </c>
      <c r="J27" s="42">
        <v>0.5</v>
      </c>
      <c r="K27" s="42">
        <f t="shared" ref="K27:K28" si="11">I27*J27</f>
        <v>175.5</v>
      </c>
      <c r="L27" s="43">
        <f t="shared" ref="L27:L28" si="12">H27-K27</f>
        <v>17214.5</v>
      </c>
      <c r="M27" s="43">
        <f t="shared" ref="M27:M28" si="13">H27/1000*70</f>
        <v>1217.3</v>
      </c>
      <c r="N27" s="42">
        <v>0</v>
      </c>
      <c r="O27" s="42">
        <v>19.8</v>
      </c>
      <c r="P27" s="42">
        <f t="shared" ref="P27:P28" si="14">L27*O27</f>
        <v>340847.10000000003</v>
      </c>
      <c r="Q27" s="1" t="s">
        <v>326</v>
      </c>
      <c r="R27" s="1">
        <v>149</v>
      </c>
      <c r="S27" s="67">
        <v>500000</v>
      </c>
      <c r="U27" s="1">
        <v>19.8</v>
      </c>
    </row>
    <row r="28" spans="1:21">
      <c r="A28" s="21" t="s">
        <v>363</v>
      </c>
      <c r="B28" s="42" t="s">
        <v>103</v>
      </c>
      <c r="C28" s="42" t="s">
        <v>88</v>
      </c>
      <c r="D28" s="42" t="s">
        <v>16</v>
      </c>
      <c r="E28" s="42" t="s">
        <v>359</v>
      </c>
      <c r="F28" s="42">
        <v>2087</v>
      </c>
      <c r="G28" s="42"/>
      <c r="H28" s="42">
        <v>12140</v>
      </c>
      <c r="I28" s="42">
        <v>271</v>
      </c>
      <c r="J28" s="42">
        <v>0.5</v>
      </c>
      <c r="K28" s="42">
        <f t="shared" si="11"/>
        <v>135.5</v>
      </c>
      <c r="L28" s="43">
        <f t="shared" si="12"/>
        <v>12004.5</v>
      </c>
      <c r="M28" s="43">
        <f t="shared" si="13"/>
        <v>849.80000000000007</v>
      </c>
      <c r="N28" s="42">
        <v>0</v>
      </c>
      <c r="O28" s="42">
        <v>19.8</v>
      </c>
      <c r="P28" s="42">
        <f t="shared" si="14"/>
        <v>237689.1</v>
      </c>
    </row>
    <row r="30" spans="1:21">
      <c r="A30" s="21" t="s">
        <v>396</v>
      </c>
      <c r="B30" s="42" t="s">
        <v>103</v>
      </c>
      <c r="C30" s="42" t="s">
        <v>88</v>
      </c>
      <c r="D30" s="42" t="s">
        <v>16</v>
      </c>
      <c r="E30" s="42" t="s">
        <v>397</v>
      </c>
      <c r="F30" s="42">
        <v>966</v>
      </c>
      <c r="G30" s="42"/>
      <c r="H30" s="42">
        <v>18090</v>
      </c>
      <c r="I30" s="42">
        <v>320</v>
      </c>
      <c r="J30" s="42">
        <v>0.5</v>
      </c>
      <c r="K30" s="43">
        <f t="shared" ref="K30:K37" si="15">I30*J30</f>
        <v>160</v>
      </c>
      <c r="L30" s="43">
        <f t="shared" ref="L30:L37" si="16">H30-K30</f>
        <v>17930</v>
      </c>
      <c r="M30" s="43">
        <f t="shared" ref="M30:M37" si="17">H30/1000*70</f>
        <v>1266.3</v>
      </c>
      <c r="N30" s="42">
        <v>0</v>
      </c>
      <c r="O30" s="42">
        <v>19.8</v>
      </c>
      <c r="P30" s="42">
        <f t="shared" ref="P30:P33" si="18">L30*O30</f>
        <v>355014</v>
      </c>
      <c r="Q30" s="42"/>
    </row>
    <row r="31" spans="1:21">
      <c r="A31" s="21" t="s">
        <v>398</v>
      </c>
      <c r="B31" s="42" t="s">
        <v>103</v>
      </c>
      <c r="C31" s="42" t="s">
        <v>88</v>
      </c>
      <c r="D31" s="42" t="s">
        <v>16</v>
      </c>
      <c r="E31" s="42" t="s">
        <v>399</v>
      </c>
      <c r="F31" s="42">
        <v>964</v>
      </c>
      <c r="G31" s="42"/>
      <c r="H31" s="42">
        <v>16740</v>
      </c>
      <c r="I31" s="42">
        <v>315</v>
      </c>
      <c r="J31" s="42">
        <v>0.5</v>
      </c>
      <c r="K31" s="43">
        <f t="shared" si="15"/>
        <v>157.5</v>
      </c>
      <c r="L31" s="43">
        <f t="shared" si="16"/>
        <v>16582.5</v>
      </c>
      <c r="M31" s="43">
        <f t="shared" si="17"/>
        <v>1171.8</v>
      </c>
      <c r="N31" s="42">
        <v>0</v>
      </c>
      <c r="O31" s="42">
        <v>19.8</v>
      </c>
      <c r="P31" s="42">
        <f t="shared" si="18"/>
        <v>328333.5</v>
      </c>
    </row>
    <row r="32" spans="1:21">
      <c r="A32" s="21" t="s">
        <v>409</v>
      </c>
      <c r="B32" s="42" t="s">
        <v>103</v>
      </c>
      <c r="C32" s="42" t="s">
        <v>88</v>
      </c>
      <c r="D32" s="42" t="s">
        <v>16</v>
      </c>
      <c r="E32" s="42" t="s">
        <v>410</v>
      </c>
      <c r="F32" s="42"/>
      <c r="G32" s="42"/>
      <c r="H32" s="42">
        <v>16040</v>
      </c>
      <c r="I32" s="42">
        <v>270</v>
      </c>
      <c r="J32" s="42">
        <v>0.5</v>
      </c>
      <c r="K32" s="43">
        <f t="shared" si="15"/>
        <v>135</v>
      </c>
      <c r="L32" s="43">
        <f t="shared" si="16"/>
        <v>15905</v>
      </c>
      <c r="M32" s="43">
        <f t="shared" si="17"/>
        <v>1122.8</v>
      </c>
      <c r="N32" s="42">
        <v>0</v>
      </c>
      <c r="O32" s="42">
        <v>19.8</v>
      </c>
      <c r="P32" s="42">
        <f t="shared" si="18"/>
        <v>314919</v>
      </c>
    </row>
    <row r="33" spans="1:19">
      <c r="A33" s="21" t="s">
        <v>431</v>
      </c>
      <c r="B33" s="42" t="s">
        <v>103</v>
      </c>
      <c r="C33" s="42" t="s">
        <v>88</v>
      </c>
      <c r="D33" s="42" t="s">
        <v>16</v>
      </c>
      <c r="E33" s="42" t="s">
        <v>432</v>
      </c>
      <c r="F33" s="42">
        <v>1102</v>
      </c>
      <c r="G33" s="42"/>
      <c r="H33" s="42">
        <v>15450</v>
      </c>
      <c r="I33" s="42">
        <v>280</v>
      </c>
      <c r="J33" s="42">
        <v>0.5</v>
      </c>
      <c r="K33" s="42">
        <f t="shared" si="15"/>
        <v>140</v>
      </c>
      <c r="L33" s="43">
        <f t="shared" si="16"/>
        <v>15310</v>
      </c>
      <c r="M33" s="43">
        <f t="shared" si="17"/>
        <v>1081.5</v>
      </c>
      <c r="N33" s="42">
        <v>0</v>
      </c>
      <c r="O33" s="42">
        <v>19.8</v>
      </c>
      <c r="P33" s="42">
        <f t="shared" si="18"/>
        <v>303138</v>
      </c>
    </row>
    <row r="34" spans="1:19">
      <c r="A34" s="21" t="s">
        <v>448</v>
      </c>
      <c r="B34" s="42" t="s">
        <v>103</v>
      </c>
      <c r="C34" s="42" t="s">
        <v>88</v>
      </c>
      <c r="D34" s="42" t="s">
        <v>16</v>
      </c>
      <c r="E34" s="42" t="s">
        <v>449</v>
      </c>
      <c r="F34" s="42">
        <v>2702</v>
      </c>
      <c r="G34" s="42"/>
      <c r="H34" s="42">
        <v>16680</v>
      </c>
      <c r="I34" s="42">
        <v>329</v>
      </c>
      <c r="J34" s="42">
        <v>0.5</v>
      </c>
      <c r="K34" s="42">
        <f t="shared" si="15"/>
        <v>164.5</v>
      </c>
      <c r="L34" s="43">
        <f t="shared" si="16"/>
        <v>16515.5</v>
      </c>
      <c r="M34" s="43">
        <f t="shared" si="17"/>
        <v>1167.5999999999999</v>
      </c>
      <c r="N34" s="42"/>
      <c r="O34" s="42"/>
    </row>
    <row r="35" spans="1:19">
      <c r="A35" s="21" t="s">
        <v>457</v>
      </c>
      <c r="B35" s="42" t="s">
        <v>103</v>
      </c>
      <c r="C35" s="42" t="s">
        <v>88</v>
      </c>
      <c r="D35" s="42" t="s">
        <v>16</v>
      </c>
      <c r="E35" s="42" t="s">
        <v>449</v>
      </c>
      <c r="F35" s="42">
        <v>2703</v>
      </c>
      <c r="G35" s="42"/>
      <c r="H35" s="42">
        <v>15800</v>
      </c>
      <c r="I35" s="42">
        <v>300</v>
      </c>
      <c r="J35" s="42">
        <v>0.5</v>
      </c>
      <c r="K35" s="42">
        <f t="shared" si="15"/>
        <v>150</v>
      </c>
      <c r="L35" s="43">
        <f t="shared" si="16"/>
        <v>15650</v>
      </c>
      <c r="M35" s="43">
        <f t="shared" si="17"/>
        <v>1106</v>
      </c>
      <c r="N35" s="42">
        <v>14000</v>
      </c>
      <c r="O35" s="42"/>
    </row>
    <row r="36" spans="1:19">
      <c r="A36" s="21" t="s">
        <v>459</v>
      </c>
      <c r="B36" s="42" t="s">
        <v>103</v>
      </c>
      <c r="C36" s="42" t="s">
        <v>88</v>
      </c>
      <c r="D36" s="42" t="s">
        <v>16</v>
      </c>
      <c r="E36" s="42" t="s">
        <v>460</v>
      </c>
      <c r="F36" s="42">
        <v>1106</v>
      </c>
      <c r="G36" s="42"/>
      <c r="H36" s="42">
        <v>5740</v>
      </c>
      <c r="I36" s="42">
        <v>115</v>
      </c>
      <c r="J36" s="42">
        <v>0.5</v>
      </c>
      <c r="K36" s="42">
        <f t="shared" si="15"/>
        <v>57.5</v>
      </c>
      <c r="L36" s="43">
        <f t="shared" si="16"/>
        <v>5682.5</v>
      </c>
      <c r="M36" s="43">
        <f t="shared" si="17"/>
        <v>401.8</v>
      </c>
      <c r="N36" s="42">
        <v>0</v>
      </c>
      <c r="O36" s="42"/>
    </row>
    <row r="37" spans="1:19">
      <c r="A37" s="21" t="s">
        <v>491</v>
      </c>
      <c r="B37" s="42" t="s">
        <v>103</v>
      </c>
      <c r="C37" s="42" t="s">
        <v>88</v>
      </c>
      <c r="D37" s="42" t="s">
        <v>16</v>
      </c>
      <c r="E37" s="42" t="s">
        <v>495</v>
      </c>
      <c r="F37" s="42">
        <v>2161</v>
      </c>
      <c r="G37" s="42"/>
      <c r="H37" s="42">
        <v>17235</v>
      </c>
      <c r="I37" s="42">
        <v>344</v>
      </c>
      <c r="J37" s="42">
        <v>0.5</v>
      </c>
      <c r="K37" s="43">
        <f t="shared" si="15"/>
        <v>172</v>
      </c>
      <c r="L37" s="43">
        <f t="shared" si="16"/>
        <v>17063</v>
      </c>
      <c r="M37" s="43">
        <f t="shared" si="17"/>
        <v>1206.45</v>
      </c>
      <c r="N37" s="42">
        <v>0</v>
      </c>
      <c r="O37" s="42"/>
      <c r="P37" s="42">
        <f t="shared" ref="P37" si="19">L37*O37</f>
        <v>0</v>
      </c>
    </row>
    <row r="39" spans="1:19">
      <c r="A39" s="21" t="s">
        <v>585</v>
      </c>
      <c r="B39" s="42" t="s">
        <v>103</v>
      </c>
      <c r="C39" s="42" t="s">
        <v>88</v>
      </c>
      <c r="D39" s="42" t="s">
        <v>16</v>
      </c>
      <c r="E39" s="42" t="s">
        <v>588</v>
      </c>
      <c r="F39" s="42">
        <v>1120</v>
      </c>
      <c r="G39" s="42"/>
      <c r="H39" s="42">
        <v>15500</v>
      </c>
      <c r="I39" s="42">
        <v>282</v>
      </c>
      <c r="J39" s="42">
        <v>0.5</v>
      </c>
      <c r="K39" s="42">
        <f t="shared" ref="K39" si="20">I39*J39</f>
        <v>141</v>
      </c>
      <c r="L39" s="43">
        <f t="shared" ref="L39" si="21">H39-K39</f>
        <v>15359</v>
      </c>
      <c r="M39" s="43">
        <f t="shared" ref="M39" si="22">H39/1000*70</f>
        <v>1085</v>
      </c>
      <c r="N39" s="42">
        <v>0</v>
      </c>
      <c r="O39" s="42"/>
    </row>
    <row r="42" spans="1:19">
      <c r="A42" s="1" t="s">
        <v>1316</v>
      </c>
      <c r="B42" s="42" t="s">
        <v>103</v>
      </c>
      <c r="C42" s="42" t="s">
        <v>88</v>
      </c>
      <c r="D42" s="42" t="s">
        <v>16</v>
      </c>
      <c r="E42" s="42" t="s">
        <v>1317</v>
      </c>
      <c r="F42" s="42">
        <v>455</v>
      </c>
      <c r="G42" s="42"/>
      <c r="H42" s="42">
        <v>20260</v>
      </c>
      <c r="I42" s="42">
        <v>336</v>
      </c>
      <c r="J42" s="42">
        <v>0.13</v>
      </c>
      <c r="K42" s="42">
        <v>44</v>
      </c>
      <c r="L42" s="43">
        <f t="shared" ref="L42:L44" si="23">H42-K42</f>
        <v>20216</v>
      </c>
      <c r="M42" s="43"/>
      <c r="N42" s="43">
        <f t="shared" ref="N42:N44" si="24">L42-M42</f>
        <v>20216</v>
      </c>
      <c r="O42" s="43">
        <f t="shared" ref="O42:O44" si="25">H42/1000*70</f>
        <v>1418.2</v>
      </c>
      <c r="P42" s="42">
        <v>0</v>
      </c>
      <c r="Q42" s="42"/>
      <c r="R42" s="42">
        <f t="shared" ref="R42:R44" si="26">L42*Q42</f>
        <v>0</v>
      </c>
    </row>
    <row r="43" spans="1:19">
      <c r="A43" s="1" t="s">
        <v>1318</v>
      </c>
      <c r="B43" s="42" t="s">
        <v>103</v>
      </c>
      <c r="C43" s="42" t="s">
        <v>88</v>
      </c>
      <c r="D43" s="42" t="s">
        <v>16</v>
      </c>
      <c r="E43" s="42" t="s">
        <v>1319</v>
      </c>
      <c r="F43" s="42">
        <v>358</v>
      </c>
      <c r="G43" s="42"/>
      <c r="H43" s="42">
        <v>18580</v>
      </c>
      <c r="I43" s="42">
        <v>264</v>
      </c>
      <c r="J43" s="42">
        <v>0.13</v>
      </c>
      <c r="K43" s="42">
        <f t="shared" ref="K43" si="27">I43*J43</f>
        <v>34.32</v>
      </c>
      <c r="L43" s="43">
        <f t="shared" si="23"/>
        <v>18545.68</v>
      </c>
      <c r="M43" s="43"/>
      <c r="N43" s="43">
        <f t="shared" si="24"/>
        <v>18545.68</v>
      </c>
      <c r="O43" s="43">
        <f t="shared" si="25"/>
        <v>1300.5999999999999</v>
      </c>
      <c r="P43" s="42">
        <v>0</v>
      </c>
      <c r="Q43" s="42"/>
      <c r="R43" s="42">
        <f t="shared" si="26"/>
        <v>0</v>
      </c>
    </row>
    <row r="44" spans="1:19">
      <c r="A44" s="21" t="s">
        <v>1320</v>
      </c>
      <c r="B44" s="42" t="s">
        <v>103</v>
      </c>
      <c r="C44" s="42" t="s">
        <v>88</v>
      </c>
      <c r="D44" s="42" t="s">
        <v>16</v>
      </c>
      <c r="E44" s="42" t="s">
        <v>1321</v>
      </c>
      <c r="F44" s="42">
        <v>853</v>
      </c>
      <c r="G44" s="42"/>
      <c r="H44" s="42">
        <v>17200</v>
      </c>
      <c r="I44" s="42">
        <v>248</v>
      </c>
      <c r="J44" s="42">
        <v>0.13</v>
      </c>
      <c r="K44" s="42">
        <v>32</v>
      </c>
      <c r="L44" s="43">
        <f t="shared" si="23"/>
        <v>17168</v>
      </c>
      <c r="M44" s="43"/>
      <c r="N44" s="43">
        <f t="shared" si="24"/>
        <v>17168</v>
      </c>
      <c r="O44" s="43">
        <f t="shared" si="25"/>
        <v>1204</v>
      </c>
      <c r="P44" s="42">
        <v>0</v>
      </c>
      <c r="Q44" s="42"/>
      <c r="R44" s="42">
        <f t="shared" si="26"/>
        <v>0</v>
      </c>
    </row>
    <row r="45" spans="1:19">
      <c r="A45" s="21" t="s">
        <v>1326</v>
      </c>
      <c r="B45" s="42" t="s">
        <v>103</v>
      </c>
      <c r="C45" s="42" t="s">
        <v>88</v>
      </c>
      <c r="D45" s="42" t="s">
        <v>16</v>
      </c>
      <c r="E45" s="42" t="s">
        <v>1323</v>
      </c>
      <c r="F45" s="42">
        <v>2751</v>
      </c>
      <c r="G45" s="42"/>
      <c r="H45" s="42">
        <v>20210</v>
      </c>
      <c r="I45" s="42">
        <v>404</v>
      </c>
      <c r="J45" s="42">
        <v>0.315</v>
      </c>
      <c r="K45" s="42">
        <v>108</v>
      </c>
      <c r="L45" s="43">
        <f t="shared" ref="L45" si="28">H45-K45</f>
        <v>20102</v>
      </c>
      <c r="M45" s="43"/>
      <c r="N45" s="43">
        <f t="shared" ref="N45" si="29">L45-M45</f>
        <v>20102</v>
      </c>
      <c r="O45" s="43">
        <f t="shared" ref="O45" si="30">H45/1000*70</f>
        <v>1414.7</v>
      </c>
      <c r="P45" s="42"/>
      <c r="Q45" s="42"/>
      <c r="R45" s="42">
        <f t="shared" ref="R45" si="31">L45*Q45</f>
        <v>0</v>
      </c>
      <c r="S45" s="42" t="s">
        <v>1325</v>
      </c>
    </row>
    <row r="46" spans="1:19">
      <c r="A46" s="374" t="s">
        <v>1330</v>
      </c>
      <c r="B46" s="42" t="s">
        <v>103</v>
      </c>
      <c r="C46" s="42" t="s">
        <v>88</v>
      </c>
      <c r="D46" s="42" t="s">
        <v>16</v>
      </c>
      <c r="E46" s="42" t="s">
        <v>1332</v>
      </c>
      <c r="F46" s="42">
        <v>458</v>
      </c>
      <c r="G46" s="42"/>
      <c r="H46" s="42">
        <v>16810</v>
      </c>
      <c r="I46" s="42">
        <v>260</v>
      </c>
      <c r="J46" s="42">
        <v>0.13</v>
      </c>
      <c r="K46" s="42">
        <v>34</v>
      </c>
      <c r="L46" s="43">
        <f t="shared" ref="L46:L56" si="32">H46-K46</f>
        <v>16776</v>
      </c>
      <c r="M46" s="43"/>
      <c r="N46" s="43">
        <f t="shared" ref="N46:N56" si="33">L46-M46</f>
        <v>16776</v>
      </c>
      <c r="O46" s="43">
        <f t="shared" ref="O46:O56" si="34">H46/1000*70</f>
        <v>1176.6999999999998</v>
      </c>
      <c r="P46" s="42">
        <v>0</v>
      </c>
      <c r="Q46" s="42"/>
      <c r="R46" s="42">
        <f t="shared" ref="R46:R56" si="35">L46*Q46</f>
        <v>0</v>
      </c>
      <c r="S46" s="85" t="s">
        <v>1324</v>
      </c>
    </row>
    <row r="47" spans="1:19">
      <c r="A47" s="374"/>
      <c r="B47" s="42" t="s">
        <v>103</v>
      </c>
      <c r="C47" s="42" t="s">
        <v>88</v>
      </c>
      <c r="D47" s="42" t="s">
        <v>16</v>
      </c>
      <c r="E47" s="42" t="s">
        <v>1333</v>
      </c>
      <c r="F47" s="42">
        <v>2753</v>
      </c>
      <c r="G47" s="42"/>
      <c r="H47" s="42">
        <v>19440</v>
      </c>
      <c r="I47" s="42">
        <v>400</v>
      </c>
      <c r="J47" s="42">
        <v>0.13</v>
      </c>
      <c r="K47" s="42">
        <f t="shared" ref="K47" si="36">I47*J47</f>
        <v>52</v>
      </c>
      <c r="L47" s="43">
        <f t="shared" si="32"/>
        <v>19388</v>
      </c>
      <c r="M47" s="43"/>
      <c r="N47" s="43">
        <f t="shared" si="33"/>
        <v>19388</v>
      </c>
      <c r="O47" s="43">
        <f t="shared" si="34"/>
        <v>1360.8000000000002</v>
      </c>
      <c r="P47" s="42">
        <v>0</v>
      </c>
      <c r="Q47" s="42"/>
      <c r="R47" s="42">
        <f t="shared" si="35"/>
        <v>0</v>
      </c>
      <c r="S47" s="85" t="s">
        <v>1324</v>
      </c>
    </row>
    <row r="48" spans="1:19">
      <c r="A48" s="374" t="s">
        <v>1342</v>
      </c>
      <c r="B48" s="42" t="s">
        <v>103</v>
      </c>
      <c r="C48" s="42" t="s">
        <v>88</v>
      </c>
      <c r="D48" s="42" t="s">
        <v>16</v>
      </c>
      <c r="E48" s="42" t="s">
        <v>1344</v>
      </c>
      <c r="F48" s="42">
        <v>2755</v>
      </c>
      <c r="G48" s="42"/>
      <c r="H48" s="42">
        <v>20330</v>
      </c>
      <c r="I48" s="42">
        <v>320</v>
      </c>
      <c r="J48" s="42">
        <v>0.13</v>
      </c>
      <c r="K48" s="42">
        <v>42</v>
      </c>
      <c r="L48" s="43">
        <f t="shared" si="32"/>
        <v>20288</v>
      </c>
      <c r="M48" s="43"/>
      <c r="N48" s="43">
        <f t="shared" si="33"/>
        <v>20288</v>
      </c>
      <c r="O48" s="43">
        <f t="shared" si="34"/>
        <v>1423.1</v>
      </c>
      <c r="P48" s="42">
        <v>0</v>
      </c>
      <c r="Q48" s="42">
        <v>22.75</v>
      </c>
      <c r="R48" s="42">
        <f t="shared" si="35"/>
        <v>461552</v>
      </c>
      <c r="S48" s="42" t="s">
        <v>1324</v>
      </c>
    </row>
    <row r="49" spans="1:19">
      <c r="A49" s="374"/>
      <c r="B49" s="42" t="s">
        <v>103</v>
      </c>
      <c r="C49" s="42" t="s">
        <v>88</v>
      </c>
      <c r="D49" s="42" t="s">
        <v>16</v>
      </c>
      <c r="E49" s="42" t="s">
        <v>1345</v>
      </c>
      <c r="F49" s="42">
        <v>2202</v>
      </c>
      <c r="G49" s="42"/>
      <c r="H49" s="42">
        <v>12180</v>
      </c>
      <c r="I49" s="42">
        <v>202</v>
      </c>
      <c r="J49" s="42">
        <v>0.5</v>
      </c>
      <c r="K49" s="42">
        <f t="shared" ref="K49" si="37">I49*J49</f>
        <v>101</v>
      </c>
      <c r="L49" s="43">
        <f t="shared" si="32"/>
        <v>12079</v>
      </c>
      <c r="M49" s="43"/>
      <c r="N49" s="43">
        <f t="shared" si="33"/>
        <v>12079</v>
      </c>
      <c r="O49" s="43">
        <f t="shared" si="34"/>
        <v>852.6</v>
      </c>
      <c r="P49" s="42">
        <v>0</v>
      </c>
      <c r="Q49" s="42">
        <v>22.75</v>
      </c>
      <c r="R49" s="42">
        <f t="shared" si="35"/>
        <v>274797.25</v>
      </c>
      <c r="S49" s="92" t="s">
        <v>1346</v>
      </c>
    </row>
    <row r="50" spans="1:19">
      <c r="A50" s="374"/>
      <c r="B50" s="42" t="s">
        <v>103</v>
      </c>
      <c r="C50" s="42" t="s">
        <v>88</v>
      </c>
      <c r="D50" s="42" t="s">
        <v>16</v>
      </c>
      <c r="E50" s="42" t="s">
        <v>1347</v>
      </c>
      <c r="F50" s="42">
        <v>459</v>
      </c>
      <c r="G50" s="42"/>
      <c r="H50" s="42">
        <v>20440</v>
      </c>
      <c r="I50" s="42">
        <v>336</v>
      </c>
      <c r="J50" s="42">
        <v>0.13</v>
      </c>
      <c r="K50" s="42">
        <v>44</v>
      </c>
      <c r="L50" s="43">
        <f t="shared" si="32"/>
        <v>20396</v>
      </c>
      <c r="M50" s="43"/>
      <c r="N50" s="43">
        <f t="shared" si="33"/>
        <v>20396</v>
      </c>
      <c r="O50" s="43">
        <f t="shared" si="34"/>
        <v>1430.8000000000002</v>
      </c>
      <c r="P50" s="42">
        <v>0</v>
      </c>
      <c r="Q50" s="42">
        <v>22.75</v>
      </c>
      <c r="R50" s="42">
        <f t="shared" si="35"/>
        <v>464009</v>
      </c>
      <c r="S50" s="42" t="s">
        <v>1324</v>
      </c>
    </row>
    <row r="51" spans="1:19">
      <c r="A51" s="374" t="s">
        <v>1358</v>
      </c>
      <c r="B51" s="42" t="s">
        <v>103</v>
      </c>
      <c r="C51" s="42" t="s">
        <v>88</v>
      </c>
      <c r="D51" s="42" t="s">
        <v>16</v>
      </c>
      <c r="E51" s="42" t="s">
        <v>1359</v>
      </c>
      <c r="F51" s="42">
        <v>266</v>
      </c>
      <c r="G51" s="42"/>
      <c r="H51" s="42">
        <v>19180</v>
      </c>
      <c r="I51" s="42">
        <v>309</v>
      </c>
      <c r="J51" s="42">
        <v>0.13</v>
      </c>
      <c r="K51" s="42">
        <f t="shared" ref="K51:K54" si="38">I51*J51</f>
        <v>40.17</v>
      </c>
      <c r="L51" s="43">
        <f t="shared" si="32"/>
        <v>19139.830000000002</v>
      </c>
      <c r="M51" s="43"/>
      <c r="N51" s="43">
        <f t="shared" si="33"/>
        <v>19139.830000000002</v>
      </c>
      <c r="O51" s="43">
        <f t="shared" si="34"/>
        <v>1342.6</v>
      </c>
      <c r="P51" s="42">
        <v>0</v>
      </c>
      <c r="Q51" s="42">
        <v>22.75</v>
      </c>
      <c r="R51" s="42">
        <f t="shared" si="35"/>
        <v>435431.13250000007</v>
      </c>
      <c r="S51" s="42" t="s">
        <v>1324</v>
      </c>
    </row>
    <row r="52" spans="1:19">
      <c r="A52" s="374"/>
      <c r="B52" s="42" t="s">
        <v>103</v>
      </c>
      <c r="C52" s="42" t="s">
        <v>88</v>
      </c>
      <c r="D52" s="42" t="s">
        <v>16</v>
      </c>
      <c r="E52" s="42" t="s">
        <v>1360</v>
      </c>
      <c r="F52" s="42">
        <v>2756</v>
      </c>
      <c r="G52" s="42"/>
      <c r="H52" s="42">
        <v>20240</v>
      </c>
      <c r="I52" s="42">
        <v>404</v>
      </c>
      <c r="J52" s="42">
        <v>0.5</v>
      </c>
      <c r="K52" s="42">
        <f t="shared" si="38"/>
        <v>202</v>
      </c>
      <c r="L52" s="43">
        <f t="shared" si="32"/>
        <v>20038</v>
      </c>
      <c r="M52" s="43"/>
      <c r="N52" s="43">
        <f t="shared" si="33"/>
        <v>20038</v>
      </c>
      <c r="O52" s="43">
        <f t="shared" si="34"/>
        <v>1416.8</v>
      </c>
      <c r="P52" s="42">
        <v>0</v>
      </c>
      <c r="Q52" s="42">
        <v>22.75</v>
      </c>
      <c r="R52" s="42">
        <f t="shared" si="35"/>
        <v>455864.5</v>
      </c>
      <c r="S52" s="42" t="s">
        <v>1346</v>
      </c>
    </row>
    <row r="53" spans="1:19">
      <c r="A53" s="374" t="s">
        <v>1372</v>
      </c>
      <c r="B53" s="42" t="s">
        <v>103</v>
      </c>
      <c r="C53" s="42" t="s">
        <v>88</v>
      </c>
      <c r="D53" s="42" t="s">
        <v>16</v>
      </c>
      <c r="E53" s="42" t="s">
        <v>1373</v>
      </c>
      <c r="F53" s="42">
        <v>866</v>
      </c>
      <c r="G53" s="42"/>
      <c r="H53" s="42">
        <v>14040</v>
      </c>
      <c r="I53" s="42">
        <v>234</v>
      </c>
      <c r="J53" s="42">
        <v>0.5</v>
      </c>
      <c r="K53" s="42">
        <f t="shared" si="38"/>
        <v>117</v>
      </c>
      <c r="L53" s="43">
        <f t="shared" si="32"/>
        <v>13923</v>
      </c>
      <c r="M53" s="43"/>
      <c r="N53" s="43">
        <f t="shared" si="33"/>
        <v>13923</v>
      </c>
      <c r="O53" s="43">
        <f t="shared" si="34"/>
        <v>982.8</v>
      </c>
      <c r="P53" s="42">
        <v>0</v>
      </c>
      <c r="Q53" s="42">
        <v>22.75</v>
      </c>
      <c r="R53" s="42">
        <f t="shared" si="35"/>
        <v>316748.25</v>
      </c>
      <c r="S53" s="42" t="s">
        <v>1346</v>
      </c>
    </row>
    <row r="54" spans="1:19">
      <c r="A54" s="374"/>
      <c r="B54" s="42" t="s">
        <v>103</v>
      </c>
      <c r="C54" s="42" t="s">
        <v>88</v>
      </c>
      <c r="D54" s="42" t="s">
        <v>16</v>
      </c>
      <c r="E54" s="42" t="s">
        <v>1374</v>
      </c>
      <c r="F54" s="42">
        <v>460</v>
      </c>
      <c r="G54" s="42"/>
      <c r="H54" s="42">
        <v>16540</v>
      </c>
      <c r="I54" s="42">
        <v>270</v>
      </c>
      <c r="J54" s="42">
        <v>0.13</v>
      </c>
      <c r="K54" s="42">
        <f t="shared" si="38"/>
        <v>35.1</v>
      </c>
      <c r="L54" s="43">
        <f t="shared" si="32"/>
        <v>16504.900000000001</v>
      </c>
      <c r="M54" s="43"/>
      <c r="N54" s="43">
        <f t="shared" si="33"/>
        <v>16504.900000000001</v>
      </c>
      <c r="O54" s="43">
        <f t="shared" si="34"/>
        <v>1157.8</v>
      </c>
      <c r="P54" s="42">
        <v>0</v>
      </c>
      <c r="Q54" s="42">
        <v>22.75</v>
      </c>
      <c r="R54" s="42">
        <f t="shared" si="35"/>
        <v>375486.47500000003</v>
      </c>
      <c r="S54" s="42" t="s">
        <v>1324</v>
      </c>
    </row>
    <row r="55" spans="1:19">
      <c r="A55" s="374"/>
      <c r="B55" s="42" t="s">
        <v>103</v>
      </c>
      <c r="C55" s="42" t="s">
        <v>88</v>
      </c>
      <c r="D55" s="42" t="s">
        <v>16</v>
      </c>
      <c r="E55" s="42" t="s">
        <v>1375</v>
      </c>
      <c r="F55" s="42">
        <v>501</v>
      </c>
      <c r="G55" s="42"/>
      <c r="H55" s="42">
        <v>17320</v>
      </c>
      <c r="I55" s="42">
        <v>290</v>
      </c>
      <c r="J55" s="42">
        <v>0.13</v>
      </c>
      <c r="K55" s="42">
        <v>38</v>
      </c>
      <c r="L55" s="43">
        <f t="shared" si="32"/>
        <v>17282</v>
      </c>
      <c r="M55" s="43"/>
      <c r="N55" s="43">
        <f t="shared" si="33"/>
        <v>17282</v>
      </c>
      <c r="O55" s="43">
        <f t="shared" si="34"/>
        <v>1212.4000000000001</v>
      </c>
      <c r="P55" s="42">
        <v>0</v>
      </c>
      <c r="Q55" s="42">
        <v>22.75</v>
      </c>
      <c r="R55" s="42">
        <f t="shared" si="35"/>
        <v>393165.5</v>
      </c>
      <c r="S55" s="42" t="s">
        <v>1324</v>
      </c>
    </row>
    <row r="56" spans="1:19">
      <c r="A56" s="1" t="s">
        <v>1379</v>
      </c>
      <c r="B56" s="42" t="s">
        <v>103</v>
      </c>
      <c r="C56" s="42" t="s">
        <v>88</v>
      </c>
      <c r="D56" s="42" t="s">
        <v>16</v>
      </c>
      <c r="E56" s="42" t="s">
        <v>1385</v>
      </c>
      <c r="F56" s="42">
        <v>2804</v>
      </c>
      <c r="G56" s="42"/>
      <c r="H56" s="42">
        <v>20340</v>
      </c>
      <c r="I56" s="42">
        <v>416</v>
      </c>
      <c r="J56" s="42">
        <v>0.5</v>
      </c>
      <c r="K56" s="42">
        <f t="shared" ref="K56" si="39">I56*J56</f>
        <v>208</v>
      </c>
      <c r="L56" s="43">
        <f t="shared" si="32"/>
        <v>20132</v>
      </c>
      <c r="M56" s="43"/>
      <c r="N56" s="43">
        <f t="shared" si="33"/>
        <v>20132</v>
      </c>
      <c r="O56" s="43">
        <f t="shared" si="34"/>
        <v>1423.8</v>
      </c>
      <c r="P56" s="42">
        <v>0</v>
      </c>
      <c r="Q56" s="42">
        <v>22.75</v>
      </c>
      <c r="R56" s="42">
        <f t="shared" si="35"/>
        <v>458003</v>
      </c>
      <c r="S56" s="42" t="s">
        <v>1346</v>
      </c>
    </row>
    <row r="58" spans="1:19">
      <c r="A58" s="1" t="s">
        <v>1449</v>
      </c>
      <c r="B58" s="42" t="s">
        <v>103</v>
      </c>
      <c r="C58" s="42" t="s">
        <v>88</v>
      </c>
      <c r="D58" s="42" t="s">
        <v>16</v>
      </c>
      <c r="E58" s="42" t="s">
        <v>1451</v>
      </c>
      <c r="F58" s="42">
        <v>2806</v>
      </c>
      <c r="G58" s="42"/>
      <c r="H58" s="42">
        <v>18010</v>
      </c>
      <c r="I58" s="42">
        <v>300</v>
      </c>
      <c r="J58" s="42">
        <v>0.5</v>
      </c>
      <c r="K58" s="42">
        <f t="shared" ref="K58" si="40">I58*J58</f>
        <v>150</v>
      </c>
      <c r="L58" s="43">
        <f t="shared" ref="L58:L76" si="41">H58-K58</f>
        <v>17860</v>
      </c>
      <c r="M58" s="43"/>
      <c r="N58" s="43">
        <f t="shared" ref="N58:N76" si="42">L58-M58</f>
        <v>17860</v>
      </c>
      <c r="O58" s="43">
        <f t="shared" ref="O58:O76" si="43">H58/1000*70</f>
        <v>1260.7</v>
      </c>
      <c r="P58" s="42">
        <v>0</v>
      </c>
      <c r="Q58" s="42">
        <v>19.75</v>
      </c>
      <c r="R58" s="42">
        <f t="shared" ref="R58:R76" si="44">L58*Q58</f>
        <v>352735</v>
      </c>
    </row>
    <row r="59" spans="1:19">
      <c r="A59" s="1" t="s">
        <v>1456</v>
      </c>
      <c r="B59" s="42" t="s">
        <v>103</v>
      </c>
      <c r="C59" s="42" t="s">
        <v>88</v>
      </c>
      <c r="D59" s="42" t="s">
        <v>16</v>
      </c>
      <c r="E59" s="42" t="s">
        <v>1323</v>
      </c>
      <c r="F59" s="42">
        <v>2767</v>
      </c>
      <c r="G59" s="42"/>
      <c r="H59" s="42">
        <v>20350</v>
      </c>
      <c r="I59" s="42">
        <v>304</v>
      </c>
      <c r="J59" s="42">
        <v>304</v>
      </c>
      <c r="K59" s="42">
        <v>48</v>
      </c>
      <c r="L59" s="43">
        <f t="shared" si="41"/>
        <v>20302</v>
      </c>
      <c r="M59" s="43"/>
      <c r="N59" s="43">
        <f t="shared" si="42"/>
        <v>20302</v>
      </c>
      <c r="O59" s="43">
        <f t="shared" si="43"/>
        <v>1424.5</v>
      </c>
      <c r="P59" s="42">
        <v>0</v>
      </c>
      <c r="Q59" s="42">
        <v>19.75</v>
      </c>
      <c r="R59" s="42">
        <f t="shared" si="44"/>
        <v>400964.5</v>
      </c>
      <c r="S59" s="42" t="s">
        <v>1457</v>
      </c>
    </row>
    <row r="60" spans="1:19">
      <c r="A60" s="21" t="s">
        <v>1461</v>
      </c>
      <c r="B60" s="42" t="s">
        <v>103</v>
      </c>
      <c r="C60" s="42" t="s">
        <v>88</v>
      </c>
      <c r="D60" s="42" t="s">
        <v>16</v>
      </c>
      <c r="E60" s="42" t="s">
        <v>1323</v>
      </c>
      <c r="F60" s="42">
        <v>2768</v>
      </c>
      <c r="G60" s="42"/>
      <c r="H60" s="42">
        <v>19720</v>
      </c>
      <c r="I60" s="42">
        <v>289</v>
      </c>
      <c r="J60" s="42"/>
      <c r="K60" s="42">
        <v>81</v>
      </c>
      <c r="L60" s="43">
        <f t="shared" si="41"/>
        <v>19639</v>
      </c>
      <c r="M60" s="43"/>
      <c r="N60" s="43">
        <f t="shared" si="42"/>
        <v>19639</v>
      </c>
      <c r="O60" s="43">
        <f t="shared" si="43"/>
        <v>1380.3999999999999</v>
      </c>
      <c r="P60" s="42">
        <v>0</v>
      </c>
      <c r="Q60" s="42">
        <v>19.75</v>
      </c>
      <c r="R60" s="42">
        <f t="shared" si="44"/>
        <v>387870.25</v>
      </c>
      <c r="S60" s="42" t="s">
        <v>1462</v>
      </c>
    </row>
    <row r="61" spans="1:19">
      <c r="A61" s="21" t="s">
        <v>1488</v>
      </c>
      <c r="B61" s="42" t="s">
        <v>103</v>
      </c>
      <c r="C61" s="42" t="s">
        <v>88</v>
      </c>
      <c r="D61" s="42" t="s">
        <v>16</v>
      </c>
      <c r="E61" s="42" t="s">
        <v>1323</v>
      </c>
      <c r="F61" s="42">
        <v>2228</v>
      </c>
      <c r="G61" s="42"/>
      <c r="H61" s="42">
        <v>20620</v>
      </c>
      <c r="I61" s="42">
        <v>310</v>
      </c>
      <c r="J61" s="42">
        <v>0.13</v>
      </c>
      <c r="K61" s="42">
        <f t="shared" ref="K61" si="45">I61*J61</f>
        <v>40.300000000000004</v>
      </c>
      <c r="L61" s="43">
        <f t="shared" si="41"/>
        <v>20579.7</v>
      </c>
      <c r="M61" s="43"/>
      <c r="N61" s="43">
        <f t="shared" si="42"/>
        <v>20579.7</v>
      </c>
      <c r="O61" s="43">
        <f t="shared" si="43"/>
        <v>1443.4</v>
      </c>
      <c r="P61" s="42">
        <v>0</v>
      </c>
      <c r="Q61" s="42">
        <v>19.75</v>
      </c>
      <c r="R61" s="42">
        <f t="shared" si="44"/>
        <v>406449.07500000001</v>
      </c>
    </row>
    <row r="62" spans="1:19">
      <c r="A62" s="21" t="s">
        <v>1490</v>
      </c>
      <c r="B62" s="42" t="s">
        <v>103</v>
      </c>
      <c r="C62" s="42" t="s">
        <v>88</v>
      </c>
      <c r="D62" s="42" t="s">
        <v>16</v>
      </c>
      <c r="E62" s="42" t="s">
        <v>1497</v>
      </c>
      <c r="F62" s="42">
        <v>2229</v>
      </c>
      <c r="G62" s="42"/>
      <c r="H62" s="42">
        <v>20230</v>
      </c>
      <c r="I62" s="42">
        <v>315</v>
      </c>
      <c r="J62" s="42">
        <v>0.13</v>
      </c>
      <c r="K62" s="42">
        <v>41</v>
      </c>
      <c r="L62" s="43">
        <f t="shared" si="41"/>
        <v>20189</v>
      </c>
      <c r="M62" s="43"/>
      <c r="N62" s="43">
        <f t="shared" si="42"/>
        <v>20189</v>
      </c>
      <c r="O62" s="43">
        <f t="shared" si="43"/>
        <v>1416.1000000000001</v>
      </c>
      <c r="P62" s="42">
        <v>0</v>
      </c>
      <c r="Q62" s="42">
        <v>19.75</v>
      </c>
      <c r="R62" s="42">
        <f t="shared" si="44"/>
        <v>398732.75</v>
      </c>
    </row>
    <row r="63" spans="1:19">
      <c r="A63" s="21" t="s">
        <v>1506</v>
      </c>
      <c r="B63" s="42" t="s">
        <v>103</v>
      </c>
      <c r="C63" s="42" t="s">
        <v>88</v>
      </c>
      <c r="D63" s="42" t="s">
        <v>16</v>
      </c>
      <c r="E63" s="42" t="s">
        <v>1513</v>
      </c>
      <c r="F63" s="42">
        <v>4131</v>
      </c>
      <c r="G63" s="42"/>
      <c r="H63" s="42">
        <v>18100</v>
      </c>
      <c r="I63" s="42">
        <v>265</v>
      </c>
      <c r="J63" s="42">
        <v>0.13</v>
      </c>
      <c r="K63" s="42">
        <v>35</v>
      </c>
      <c r="L63" s="43">
        <f t="shared" si="41"/>
        <v>18065</v>
      </c>
      <c r="M63" s="43"/>
      <c r="N63" s="43">
        <f t="shared" si="42"/>
        <v>18065</v>
      </c>
      <c r="O63" s="43">
        <f t="shared" si="43"/>
        <v>1267</v>
      </c>
      <c r="P63" s="42">
        <v>0</v>
      </c>
      <c r="Q63" s="42">
        <v>19.75</v>
      </c>
      <c r="R63" s="42">
        <f t="shared" si="44"/>
        <v>356783.75</v>
      </c>
    </row>
    <row r="64" spans="1:19">
      <c r="A64" s="21" t="s">
        <v>1523</v>
      </c>
      <c r="B64" s="42" t="s">
        <v>103</v>
      </c>
      <c r="C64" s="42" t="s">
        <v>88</v>
      </c>
      <c r="D64" s="42" t="s">
        <v>16</v>
      </c>
      <c r="E64" s="42" t="s">
        <v>1525</v>
      </c>
      <c r="F64" s="42">
        <v>2812</v>
      </c>
      <c r="G64" s="42"/>
      <c r="H64" s="42">
        <v>18020</v>
      </c>
      <c r="I64" s="42">
        <v>301</v>
      </c>
      <c r="J64" s="42">
        <v>0.5</v>
      </c>
      <c r="K64" s="42">
        <v>151</v>
      </c>
      <c r="L64" s="43">
        <f t="shared" si="41"/>
        <v>17869</v>
      </c>
      <c r="M64" s="43"/>
      <c r="N64" s="43">
        <f t="shared" si="42"/>
        <v>17869</v>
      </c>
      <c r="O64" s="43">
        <f t="shared" si="43"/>
        <v>1261.3999999999999</v>
      </c>
      <c r="P64" s="42">
        <v>0</v>
      </c>
      <c r="Q64" s="42">
        <v>19.75</v>
      </c>
      <c r="R64" s="42">
        <f t="shared" si="44"/>
        <v>352912.75</v>
      </c>
    </row>
    <row r="65" spans="1:18">
      <c r="A65" s="21" t="s">
        <v>1540</v>
      </c>
      <c r="B65" s="42" t="s">
        <v>103</v>
      </c>
      <c r="C65" s="42" t="s">
        <v>88</v>
      </c>
      <c r="D65" s="42" t="s">
        <v>16</v>
      </c>
      <c r="E65" s="42" t="s">
        <v>1451</v>
      </c>
      <c r="F65" s="42">
        <v>2230</v>
      </c>
      <c r="G65" s="42"/>
      <c r="H65" s="42">
        <v>14470</v>
      </c>
      <c r="I65" s="42">
        <v>249</v>
      </c>
      <c r="J65" s="42">
        <v>0.5</v>
      </c>
      <c r="K65" s="42">
        <v>125</v>
      </c>
      <c r="L65" s="43">
        <f t="shared" si="41"/>
        <v>14345</v>
      </c>
      <c r="M65" s="43"/>
      <c r="N65" s="43">
        <f t="shared" si="42"/>
        <v>14345</v>
      </c>
      <c r="O65" s="43">
        <f t="shared" si="43"/>
        <v>1012.9000000000001</v>
      </c>
      <c r="P65" s="42">
        <v>0</v>
      </c>
      <c r="Q65" s="42">
        <v>19.600000000000001</v>
      </c>
      <c r="R65" s="42">
        <f t="shared" si="44"/>
        <v>281162</v>
      </c>
    </row>
    <row r="66" spans="1:18">
      <c r="A66" s="374" t="s">
        <v>1549</v>
      </c>
      <c r="B66" s="42" t="s">
        <v>103</v>
      </c>
      <c r="C66" s="42" t="s">
        <v>88</v>
      </c>
      <c r="D66" s="42" t="s">
        <v>16</v>
      </c>
      <c r="E66" s="42" t="s">
        <v>1550</v>
      </c>
      <c r="F66" s="42">
        <v>128</v>
      </c>
      <c r="G66" s="42"/>
      <c r="H66" s="42">
        <v>15330</v>
      </c>
      <c r="I66" s="42">
        <v>280</v>
      </c>
      <c r="J66" s="42">
        <v>0.5</v>
      </c>
      <c r="K66" s="42">
        <f t="shared" ref="K66" si="46">I66*J66</f>
        <v>140</v>
      </c>
      <c r="L66" s="43">
        <f t="shared" si="41"/>
        <v>15190</v>
      </c>
      <c r="M66" s="43"/>
      <c r="N66" s="43">
        <f t="shared" si="42"/>
        <v>15190</v>
      </c>
      <c r="O66" s="43">
        <f t="shared" si="43"/>
        <v>1073.0999999999999</v>
      </c>
      <c r="P66" s="42">
        <v>0</v>
      </c>
      <c r="Q66" s="42">
        <v>19.600000000000001</v>
      </c>
      <c r="R66" s="42">
        <f t="shared" si="44"/>
        <v>297724</v>
      </c>
    </row>
    <row r="67" spans="1:18">
      <c r="A67" s="374"/>
      <c r="B67" s="42" t="s">
        <v>103</v>
      </c>
      <c r="C67" s="42" t="s">
        <v>88</v>
      </c>
      <c r="D67" s="42" t="s">
        <v>16</v>
      </c>
      <c r="E67" s="42" t="s">
        <v>1551</v>
      </c>
      <c r="F67" s="42">
        <v>293</v>
      </c>
      <c r="G67" s="42"/>
      <c r="H67" s="42">
        <v>19410</v>
      </c>
      <c r="I67" s="42">
        <v>275</v>
      </c>
      <c r="J67" s="42">
        <v>0.13</v>
      </c>
      <c r="K67" s="42">
        <v>36</v>
      </c>
      <c r="L67" s="43">
        <f t="shared" si="41"/>
        <v>19374</v>
      </c>
      <c r="M67" s="43"/>
      <c r="N67" s="43">
        <f t="shared" si="42"/>
        <v>19374</v>
      </c>
      <c r="O67" s="43">
        <f t="shared" si="43"/>
        <v>1358.7</v>
      </c>
      <c r="P67" s="42">
        <v>0</v>
      </c>
      <c r="Q67" s="42">
        <v>19.600000000000001</v>
      </c>
      <c r="R67" s="42">
        <f t="shared" si="44"/>
        <v>379730.4</v>
      </c>
    </row>
    <row r="68" spans="1:18">
      <c r="A68" s="374"/>
      <c r="B68" s="42" t="s">
        <v>103</v>
      </c>
      <c r="C68" s="42" t="s">
        <v>88</v>
      </c>
      <c r="D68" s="42" t="s">
        <v>16</v>
      </c>
      <c r="E68" s="42" t="s">
        <v>1552</v>
      </c>
      <c r="F68" s="42">
        <v>294</v>
      </c>
      <c r="G68" s="42"/>
      <c r="H68" s="42">
        <v>11030</v>
      </c>
      <c r="I68" s="42">
        <v>220</v>
      </c>
      <c r="J68" s="42">
        <v>0.13</v>
      </c>
      <c r="K68" s="42">
        <v>29</v>
      </c>
      <c r="L68" s="43">
        <f t="shared" si="41"/>
        <v>11001</v>
      </c>
      <c r="M68" s="43"/>
      <c r="N68" s="43">
        <f t="shared" si="42"/>
        <v>11001</v>
      </c>
      <c r="O68" s="43">
        <f t="shared" si="43"/>
        <v>772.09999999999991</v>
      </c>
      <c r="P68" s="42">
        <v>0</v>
      </c>
      <c r="Q68" s="42">
        <v>19.600000000000001</v>
      </c>
      <c r="R68" s="42">
        <f t="shared" si="44"/>
        <v>215619.6</v>
      </c>
    </row>
    <row r="69" spans="1:18">
      <c r="A69" s="21" t="s">
        <v>1569</v>
      </c>
      <c r="B69" s="42" t="s">
        <v>103</v>
      </c>
      <c r="C69" s="42" t="s">
        <v>88</v>
      </c>
      <c r="D69" s="42" t="s">
        <v>16</v>
      </c>
      <c r="E69" s="42" t="s">
        <v>1570</v>
      </c>
      <c r="F69" s="42">
        <v>2380</v>
      </c>
      <c r="G69" s="42"/>
      <c r="H69" s="42">
        <v>18860</v>
      </c>
      <c r="I69" s="42">
        <v>317</v>
      </c>
      <c r="J69" s="42">
        <v>0.13</v>
      </c>
      <c r="K69" s="42">
        <f t="shared" ref="K69" si="47">I69*J69</f>
        <v>41.21</v>
      </c>
      <c r="L69" s="43">
        <f t="shared" si="41"/>
        <v>18818.79</v>
      </c>
      <c r="M69" s="43"/>
      <c r="N69" s="43">
        <f t="shared" si="42"/>
        <v>18818.79</v>
      </c>
      <c r="O69" s="43">
        <f t="shared" si="43"/>
        <v>1320.2</v>
      </c>
      <c r="P69" s="42">
        <v>0</v>
      </c>
      <c r="Q69" s="42">
        <v>19.600000000000001</v>
      </c>
      <c r="R69" s="42">
        <f t="shared" si="44"/>
        <v>368848.28400000004</v>
      </c>
    </row>
    <row r="70" spans="1:18">
      <c r="A70" s="374" t="s">
        <v>1580</v>
      </c>
      <c r="B70" s="42" t="s">
        <v>103</v>
      </c>
      <c r="C70" s="42" t="s">
        <v>88</v>
      </c>
      <c r="D70" s="42" t="s">
        <v>16</v>
      </c>
      <c r="E70" s="42" t="s">
        <v>1582</v>
      </c>
      <c r="F70" s="42">
        <v>2943</v>
      </c>
      <c r="G70" s="42"/>
      <c r="H70" s="42">
        <v>15180</v>
      </c>
      <c r="I70" s="42">
        <v>275</v>
      </c>
      <c r="J70" s="42">
        <v>0.5</v>
      </c>
      <c r="K70" s="42">
        <v>138</v>
      </c>
      <c r="L70" s="43">
        <f t="shared" si="41"/>
        <v>15042</v>
      </c>
      <c r="M70" s="43"/>
      <c r="N70" s="43">
        <f t="shared" si="42"/>
        <v>15042</v>
      </c>
      <c r="O70" s="43">
        <f t="shared" si="43"/>
        <v>1062.5999999999999</v>
      </c>
      <c r="P70" s="42">
        <v>0</v>
      </c>
      <c r="Q70" s="42">
        <v>19.600000000000001</v>
      </c>
      <c r="R70" s="42">
        <f t="shared" si="44"/>
        <v>294823.2</v>
      </c>
    </row>
    <row r="71" spans="1:18">
      <c r="A71" s="374"/>
      <c r="B71" s="42" t="s">
        <v>103</v>
      </c>
      <c r="C71" s="42" t="s">
        <v>88</v>
      </c>
      <c r="D71" s="42" t="s">
        <v>16</v>
      </c>
      <c r="E71" s="42" t="s">
        <v>1583</v>
      </c>
      <c r="F71" s="42">
        <v>2237</v>
      </c>
      <c r="G71" s="42"/>
      <c r="H71" s="42">
        <v>15110</v>
      </c>
      <c r="I71" s="42">
        <v>275</v>
      </c>
      <c r="J71" s="42">
        <v>0.5</v>
      </c>
      <c r="K71" s="42">
        <v>138</v>
      </c>
      <c r="L71" s="43">
        <f t="shared" si="41"/>
        <v>14972</v>
      </c>
      <c r="M71" s="43">
        <f>L71*1%</f>
        <v>149.72</v>
      </c>
      <c r="N71" s="43">
        <f t="shared" si="42"/>
        <v>14822.28</v>
      </c>
      <c r="O71" s="43">
        <f t="shared" si="43"/>
        <v>1057.7</v>
      </c>
      <c r="P71" s="42">
        <v>0</v>
      </c>
      <c r="Q71" s="42">
        <v>19.600000000000001</v>
      </c>
      <c r="R71" s="42">
        <f t="shared" si="44"/>
        <v>293451.2</v>
      </c>
    </row>
    <row r="72" spans="1:18">
      <c r="A72" s="374" t="s">
        <v>1587</v>
      </c>
      <c r="B72" s="42" t="s">
        <v>103</v>
      </c>
      <c r="C72" s="42" t="s">
        <v>88</v>
      </c>
      <c r="D72" s="42" t="s">
        <v>16</v>
      </c>
      <c r="E72" s="42" t="s">
        <v>1588</v>
      </c>
      <c r="F72" s="42">
        <v>283</v>
      </c>
      <c r="G72" s="42"/>
      <c r="H72" s="42">
        <v>22530</v>
      </c>
      <c r="I72" s="42">
        <v>320</v>
      </c>
      <c r="J72" s="42">
        <v>0.13</v>
      </c>
      <c r="K72" s="42">
        <v>42</v>
      </c>
      <c r="L72" s="43">
        <f t="shared" si="41"/>
        <v>22488</v>
      </c>
      <c r="M72" s="43"/>
      <c r="N72" s="43">
        <f t="shared" si="42"/>
        <v>22488</v>
      </c>
      <c r="O72" s="43">
        <f t="shared" si="43"/>
        <v>1577.1000000000001</v>
      </c>
      <c r="P72" s="42">
        <v>0</v>
      </c>
      <c r="Q72" s="42">
        <v>19.600000000000001</v>
      </c>
      <c r="R72" s="42">
        <f t="shared" si="44"/>
        <v>440764.80000000005</v>
      </c>
    </row>
    <row r="73" spans="1:18">
      <c r="A73" s="374"/>
      <c r="B73" s="42" t="s">
        <v>103</v>
      </c>
      <c r="C73" s="42" t="s">
        <v>88</v>
      </c>
      <c r="D73" s="42" t="s">
        <v>16</v>
      </c>
      <c r="E73" s="42" t="s">
        <v>1589</v>
      </c>
      <c r="F73" s="42">
        <v>281</v>
      </c>
      <c r="G73" s="42"/>
      <c r="H73" s="42">
        <v>19210</v>
      </c>
      <c r="I73" s="42">
        <v>290</v>
      </c>
      <c r="J73" s="42">
        <v>0.13</v>
      </c>
      <c r="K73" s="42">
        <v>38</v>
      </c>
      <c r="L73" s="43">
        <f t="shared" si="41"/>
        <v>19172</v>
      </c>
      <c r="M73" s="43"/>
      <c r="N73" s="43">
        <f t="shared" si="42"/>
        <v>19172</v>
      </c>
      <c r="O73" s="43">
        <f t="shared" si="43"/>
        <v>1344.7</v>
      </c>
      <c r="P73" s="42">
        <v>0</v>
      </c>
      <c r="Q73" s="42">
        <v>19.600000000000001</v>
      </c>
      <c r="R73" s="42">
        <f t="shared" si="44"/>
        <v>375771.2</v>
      </c>
    </row>
    <row r="74" spans="1:18">
      <c r="A74" s="374"/>
      <c r="B74" s="42" t="s">
        <v>103</v>
      </c>
      <c r="C74" s="42" t="s">
        <v>88</v>
      </c>
      <c r="D74" s="42" t="s">
        <v>16</v>
      </c>
      <c r="E74" s="42" t="s">
        <v>1590</v>
      </c>
      <c r="F74" s="42">
        <v>58</v>
      </c>
      <c r="G74" s="42"/>
      <c r="H74" s="42">
        <v>16690</v>
      </c>
      <c r="I74" s="42">
        <v>300</v>
      </c>
      <c r="J74" s="42">
        <v>0.5</v>
      </c>
      <c r="K74" s="42">
        <f t="shared" ref="K74" si="48">I74*J74</f>
        <v>150</v>
      </c>
      <c r="L74" s="43">
        <f t="shared" si="41"/>
        <v>16540</v>
      </c>
      <c r="M74" s="43"/>
      <c r="N74" s="43">
        <f t="shared" si="42"/>
        <v>16540</v>
      </c>
      <c r="O74" s="43">
        <f t="shared" si="43"/>
        <v>1168.3000000000002</v>
      </c>
      <c r="P74" s="42">
        <v>0</v>
      </c>
      <c r="Q74" s="42">
        <v>19.600000000000001</v>
      </c>
      <c r="R74" s="42">
        <f t="shared" si="44"/>
        <v>324184</v>
      </c>
    </row>
    <row r="75" spans="1:18">
      <c r="A75" s="1" t="s">
        <v>1606</v>
      </c>
      <c r="B75" s="42" t="s">
        <v>103</v>
      </c>
      <c r="C75" s="42" t="s">
        <v>88</v>
      </c>
      <c r="D75" s="42" t="s">
        <v>16</v>
      </c>
      <c r="E75" s="42" t="s">
        <v>1612</v>
      </c>
      <c r="F75" s="42">
        <v>961</v>
      </c>
      <c r="G75" s="42"/>
      <c r="H75" s="42">
        <v>19240</v>
      </c>
      <c r="I75" s="42">
        <v>320</v>
      </c>
      <c r="J75" s="42">
        <v>0.13</v>
      </c>
      <c r="K75" s="42">
        <v>42</v>
      </c>
      <c r="L75" s="43">
        <f t="shared" si="41"/>
        <v>19198</v>
      </c>
      <c r="M75" s="43">
        <f>L75*1%</f>
        <v>191.98000000000002</v>
      </c>
      <c r="N75" s="43">
        <f t="shared" si="42"/>
        <v>19006.02</v>
      </c>
      <c r="O75" s="43">
        <f t="shared" si="43"/>
        <v>1346.8</v>
      </c>
      <c r="P75" s="42">
        <v>0</v>
      </c>
      <c r="Q75" s="42">
        <v>19.75</v>
      </c>
      <c r="R75" s="42">
        <f t="shared" si="44"/>
        <v>379160.5</v>
      </c>
    </row>
    <row r="76" spans="1:18">
      <c r="A76" s="1" t="s">
        <v>1615</v>
      </c>
      <c r="B76" s="42" t="s">
        <v>103</v>
      </c>
      <c r="C76" s="42" t="s">
        <v>88</v>
      </c>
      <c r="D76" s="42" t="s">
        <v>16</v>
      </c>
      <c r="E76" s="42" t="s">
        <v>1616</v>
      </c>
      <c r="F76" s="42">
        <v>1062</v>
      </c>
      <c r="G76" s="42"/>
      <c r="H76" s="42">
        <v>18660</v>
      </c>
      <c r="I76" s="42">
        <v>373</v>
      </c>
      <c r="J76" s="42">
        <v>0.13</v>
      </c>
      <c r="K76" s="42">
        <v>48</v>
      </c>
      <c r="L76" s="43">
        <f t="shared" si="41"/>
        <v>18612</v>
      </c>
      <c r="M76" s="43"/>
      <c r="N76" s="43">
        <f t="shared" si="42"/>
        <v>18612</v>
      </c>
      <c r="O76" s="43">
        <f t="shared" si="43"/>
        <v>1306.2</v>
      </c>
      <c r="P76" s="42">
        <v>0</v>
      </c>
      <c r="Q76" s="42">
        <v>19.75</v>
      </c>
      <c r="R76" s="42">
        <f t="shared" si="44"/>
        <v>367587</v>
      </c>
    </row>
    <row r="78" spans="1:18">
      <c r="A78" s="1" t="s">
        <v>2391</v>
      </c>
      <c r="B78" s="42" t="s">
        <v>103</v>
      </c>
      <c r="C78" s="42" t="s">
        <v>88</v>
      </c>
      <c r="D78" s="42" t="s">
        <v>16</v>
      </c>
      <c r="E78" s="42" t="s">
        <v>2392</v>
      </c>
      <c r="F78" s="42">
        <v>2743</v>
      </c>
      <c r="G78" s="42"/>
      <c r="H78" s="42">
        <v>20510</v>
      </c>
      <c r="I78" s="42">
        <v>380</v>
      </c>
      <c r="J78" s="42">
        <v>0.5</v>
      </c>
      <c r="K78" s="43">
        <f t="shared" ref="K78:K80" si="49">I78*J78</f>
        <v>190</v>
      </c>
      <c r="L78" s="43">
        <f t="shared" ref="L78:L80" si="50">H78-K78</f>
        <v>20320</v>
      </c>
      <c r="M78" s="43"/>
      <c r="N78" s="43">
        <f t="shared" ref="N78:N80" si="51">L78-M78</f>
        <v>20320</v>
      </c>
      <c r="O78" s="43">
        <f t="shared" ref="O78:O80" si="52">H78/1000*70</f>
        <v>1435.7</v>
      </c>
      <c r="P78" s="42">
        <v>7000</v>
      </c>
      <c r="Q78" s="42">
        <v>20.75</v>
      </c>
      <c r="R78" s="42">
        <f t="shared" ref="R78:R80" si="53">L78*Q78</f>
        <v>421640</v>
      </c>
    </row>
    <row r="79" spans="1:18">
      <c r="A79" s="21" t="s">
        <v>2397</v>
      </c>
      <c r="B79" s="42" t="s">
        <v>103</v>
      </c>
      <c r="C79" s="42" t="s">
        <v>88</v>
      </c>
      <c r="D79" s="42" t="s">
        <v>16</v>
      </c>
      <c r="E79" s="42" t="s">
        <v>359</v>
      </c>
      <c r="F79" s="42">
        <v>2747</v>
      </c>
      <c r="G79" s="42"/>
      <c r="H79" s="42">
        <v>16050</v>
      </c>
      <c r="I79" s="42">
        <v>320</v>
      </c>
      <c r="J79" s="42">
        <v>0.5</v>
      </c>
      <c r="K79" s="43">
        <f t="shared" si="49"/>
        <v>160</v>
      </c>
      <c r="L79" s="43">
        <f t="shared" si="50"/>
        <v>15890</v>
      </c>
      <c r="M79" s="43"/>
      <c r="N79" s="43">
        <f t="shared" si="51"/>
        <v>15890</v>
      </c>
      <c r="O79" s="43">
        <f t="shared" si="52"/>
        <v>1123.5</v>
      </c>
      <c r="P79" s="42">
        <v>19000</v>
      </c>
      <c r="Q79" s="42">
        <v>20.75</v>
      </c>
      <c r="R79" s="42">
        <f t="shared" si="53"/>
        <v>329717.5</v>
      </c>
    </row>
    <row r="80" spans="1:18">
      <c r="A80" s="21" t="s">
        <v>2415</v>
      </c>
      <c r="B80" s="42" t="s">
        <v>103</v>
      </c>
      <c r="C80" s="42" t="s">
        <v>88</v>
      </c>
      <c r="D80" s="42" t="s">
        <v>16</v>
      </c>
      <c r="E80" s="42" t="s">
        <v>2419</v>
      </c>
      <c r="F80" s="42">
        <v>2748</v>
      </c>
      <c r="G80" s="42"/>
      <c r="H80" s="42">
        <v>19780</v>
      </c>
      <c r="I80" s="42">
        <v>380</v>
      </c>
      <c r="J80" s="42">
        <v>0.5</v>
      </c>
      <c r="K80" s="43">
        <f t="shared" si="49"/>
        <v>190</v>
      </c>
      <c r="L80" s="43">
        <f t="shared" si="50"/>
        <v>19590</v>
      </c>
      <c r="M80" s="43"/>
      <c r="N80" s="43">
        <f t="shared" si="51"/>
        <v>19590</v>
      </c>
      <c r="O80" s="43">
        <f t="shared" si="52"/>
        <v>1384.6000000000001</v>
      </c>
      <c r="P80" s="42">
        <v>7500</v>
      </c>
      <c r="Q80" s="42">
        <v>20.75</v>
      </c>
      <c r="R80" s="42">
        <f t="shared" si="53"/>
        <v>406492.5</v>
      </c>
    </row>
    <row r="82" spans="1:19">
      <c r="A82" s="21" t="s">
        <v>2610</v>
      </c>
      <c r="B82" s="42" t="s">
        <v>115</v>
      </c>
      <c r="C82" s="42" t="s">
        <v>88</v>
      </c>
      <c r="D82" s="42" t="s">
        <v>16</v>
      </c>
      <c r="E82" s="42" t="s">
        <v>2611</v>
      </c>
      <c r="F82" s="42">
        <v>3707</v>
      </c>
      <c r="G82" s="42"/>
      <c r="H82" s="42">
        <v>15930</v>
      </c>
      <c r="I82" s="42">
        <v>320</v>
      </c>
      <c r="J82" s="42">
        <v>0.5</v>
      </c>
      <c r="K82" s="43">
        <f t="shared" ref="K82:K89" si="54">I82*J82</f>
        <v>160</v>
      </c>
      <c r="L82" s="43">
        <f t="shared" ref="L82:L89" si="55">H82-K82</f>
        <v>15770</v>
      </c>
      <c r="M82" s="43"/>
      <c r="N82" s="43">
        <f t="shared" ref="N82:N89" si="56">L82-M82</f>
        <v>15770</v>
      </c>
      <c r="O82" s="43">
        <f t="shared" ref="O82:O89" si="57">H82/1000*70</f>
        <v>1115.0999999999999</v>
      </c>
      <c r="P82" s="42">
        <v>0</v>
      </c>
      <c r="Q82" s="42">
        <v>21.5</v>
      </c>
      <c r="R82" s="42">
        <f t="shared" ref="R82:R89" si="58">L82*Q82</f>
        <v>339055</v>
      </c>
    </row>
    <row r="83" spans="1:19">
      <c r="A83" s="374" t="s">
        <v>2627</v>
      </c>
      <c r="B83" s="42" t="s">
        <v>115</v>
      </c>
      <c r="C83" s="42" t="s">
        <v>88</v>
      </c>
      <c r="D83" s="42" t="s">
        <v>16</v>
      </c>
      <c r="E83" s="42" t="s">
        <v>2628</v>
      </c>
      <c r="F83" s="42">
        <v>3711</v>
      </c>
      <c r="G83" s="42"/>
      <c r="H83" s="42">
        <v>16230</v>
      </c>
      <c r="I83" s="42">
        <v>330</v>
      </c>
      <c r="J83" s="42">
        <v>0.5</v>
      </c>
      <c r="K83" s="43">
        <f t="shared" si="54"/>
        <v>165</v>
      </c>
      <c r="L83" s="43">
        <f t="shared" si="55"/>
        <v>16065</v>
      </c>
      <c r="M83" s="43"/>
      <c r="N83" s="43">
        <f t="shared" si="56"/>
        <v>16065</v>
      </c>
      <c r="O83" s="43">
        <f t="shared" si="57"/>
        <v>1136.1000000000001</v>
      </c>
      <c r="P83" s="42">
        <v>0</v>
      </c>
      <c r="Q83" s="42">
        <v>21.5</v>
      </c>
      <c r="R83" s="42">
        <f t="shared" si="58"/>
        <v>345397.5</v>
      </c>
      <c r="S83" s="48"/>
    </row>
    <row r="84" spans="1:19">
      <c r="A84" s="374"/>
      <c r="B84" s="42" t="s">
        <v>115</v>
      </c>
      <c r="C84" s="42" t="s">
        <v>88</v>
      </c>
      <c r="D84" s="42" t="s">
        <v>16</v>
      </c>
      <c r="E84" s="42" t="s">
        <v>2629</v>
      </c>
      <c r="F84" s="42">
        <v>3714</v>
      </c>
      <c r="G84" s="42"/>
      <c r="H84" s="42">
        <v>16740</v>
      </c>
      <c r="I84" s="42">
        <v>330</v>
      </c>
      <c r="J84" s="42">
        <v>0.5</v>
      </c>
      <c r="K84" s="43">
        <f t="shared" si="54"/>
        <v>165</v>
      </c>
      <c r="L84" s="43">
        <f t="shared" si="55"/>
        <v>16575</v>
      </c>
      <c r="M84" s="43"/>
      <c r="N84" s="43">
        <f t="shared" si="56"/>
        <v>16575</v>
      </c>
      <c r="O84" s="43">
        <f t="shared" si="57"/>
        <v>1171.8</v>
      </c>
      <c r="P84" s="42">
        <v>0</v>
      </c>
      <c r="Q84" s="42">
        <v>21.5</v>
      </c>
      <c r="R84" s="42">
        <f t="shared" si="58"/>
        <v>356362.5</v>
      </c>
      <c r="S84" s="48"/>
    </row>
    <row r="85" spans="1:19">
      <c r="A85" s="374"/>
      <c r="B85" s="42" t="s">
        <v>115</v>
      </c>
      <c r="C85" s="42" t="s">
        <v>88</v>
      </c>
      <c r="D85" s="42" t="s">
        <v>16</v>
      </c>
      <c r="E85" s="42" t="s">
        <v>666</v>
      </c>
      <c r="F85" s="42">
        <v>3708</v>
      </c>
      <c r="G85" s="42"/>
      <c r="H85" s="42">
        <v>16610</v>
      </c>
      <c r="I85" s="42">
        <v>330</v>
      </c>
      <c r="J85" s="42">
        <v>0.5</v>
      </c>
      <c r="K85" s="43">
        <f t="shared" si="54"/>
        <v>165</v>
      </c>
      <c r="L85" s="43">
        <f t="shared" si="55"/>
        <v>16445</v>
      </c>
      <c r="M85" s="43"/>
      <c r="N85" s="43">
        <f t="shared" si="56"/>
        <v>16445</v>
      </c>
      <c r="O85" s="43">
        <f t="shared" si="57"/>
        <v>1162.7</v>
      </c>
      <c r="P85" s="42">
        <v>10000</v>
      </c>
      <c r="Q85" s="42">
        <v>21.5</v>
      </c>
      <c r="R85" s="42">
        <f t="shared" si="58"/>
        <v>353567.5</v>
      </c>
      <c r="S85" s="42"/>
    </row>
    <row r="86" spans="1:19">
      <c r="A86" s="21" t="s">
        <v>2668</v>
      </c>
      <c r="B86" s="42" t="s">
        <v>115</v>
      </c>
      <c r="C86" s="42" t="s">
        <v>88</v>
      </c>
      <c r="D86" s="42" t="s">
        <v>16</v>
      </c>
      <c r="E86" s="42" t="s">
        <v>2671</v>
      </c>
      <c r="F86" s="42">
        <v>4342</v>
      </c>
      <c r="G86" s="42"/>
      <c r="H86" s="42">
        <v>14080</v>
      </c>
      <c r="I86" s="42">
        <v>240</v>
      </c>
      <c r="J86" s="42">
        <v>0.5</v>
      </c>
      <c r="K86" s="43">
        <f t="shared" si="54"/>
        <v>120</v>
      </c>
      <c r="L86" s="43">
        <f t="shared" si="55"/>
        <v>13960</v>
      </c>
      <c r="M86" s="43"/>
      <c r="N86" s="43">
        <f t="shared" si="56"/>
        <v>13960</v>
      </c>
      <c r="O86" s="43">
        <f t="shared" si="57"/>
        <v>985.6</v>
      </c>
      <c r="P86" s="42">
        <v>0</v>
      </c>
      <c r="Q86" s="42">
        <v>21.6</v>
      </c>
      <c r="R86" s="42">
        <f t="shared" si="58"/>
        <v>301536</v>
      </c>
    </row>
    <row r="87" spans="1:19">
      <c r="A87" s="21" t="s">
        <v>2684</v>
      </c>
      <c r="B87" s="42" t="s">
        <v>115</v>
      </c>
      <c r="C87" s="42" t="s">
        <v>88</v>
      </c>
      <c r="D87" s="42" t="s">
        <v>16</v>
      </c>
      <c r="E87" s="42" t="s">
        <v>2671</v>
      </c>
      <c r="F87" s="42">
        <v>4343</v>
      </c>
      <c r="G87" s="42"/>
      <c r="H87" s="42">
        <v>13990</v>
      </c>
      <c r="I87" s="42">
        <v>240</v>
      </c>
      <c r="J87" s="42">
        <v>0.5</v>
      </c>
      <c r="K87" s="43">
        <f t="shared" si="54"/>
        <v>120</v>
      </c>
      <c r="L87" s="43">
        <f t="shared" si="55"/>
        <v>13870</v>
      </c>
      <c r="M87" s="43"/>
      <c r="N87" s="43">
        <f t="shared" si="56"/>
        <v>13870</v>
      </c>
      <c r="O87" s="43">
        <f t="shared" si="57"/>
        <v>979.30000000000007</v>
      </c>
      <c r="P87" s="42">
        <v>0</v>
      </c>
      <c r="Q87" s="42">
        <v>21.6</v>
      </c>
      <c r="R87" s="42">
        <f t="shared" si="58"/>
        <v>299592</v>
      </c>
    </row>
    <row r="88" spans="1:19">
      <c r="A88" s="21" t="s">
        <v>2687</v>
      </c>
      <c r="B88" s="42" t="s">
        <v>115</v>
      </c>
      <c r="C88" s="42" t="s">
        <v>88</v>
      </c>
      <c r="D88" s="42" t="s">
        <v>16</v>
      </c>
      <c r="E88" s="42" t="s">
        <v>2688</v>
      </c>
      <c r="F88" s="42">
        <v>4346</v>
      </c>
      <c r="G88" s="42"/>
      <c r="H88" s="42">
        <v>13330</v>
      </c>
      <c r="I88" s="42">
        <v>230</v>
      </c>
      <c r="J88" s="42">
        <v>0.5</v>
      </c>
      <c r="K88" s="43">
        <f t="shared" si="54"/>
        <v>115</v>
      </c>
      <c r="L88" s="43">
        <f t="shared" si="55"/>
        <v>13215</v>
      </c>
      <c r="M88" s="43"/>
      <c r="N88" s="43">
        <f t="shared" si="56"/>
        <v>13215</v>
      </c>
      <c r="O88" s="43">
        <f t="shared" si="57"/>
        <v>933.1</v>
      </c>
      <c r="P88" s="42">
        <v>0</v>
      </c>
      <c r="Q88" s="42">
        <v>21.5</v>
      </c>
      <c r="R88" s="42">
        <f t="shared" si="58"/>
        <v>284122.5</v>
      </c>
    </row>
    <row r="89" spans="1:19">
      <c r="A89" s="21" t="s">
        <v>2926</v>
      </c>
      <c r="B89" s="42" t="s">
        <v>115</v>
      </c>
      <c r="C89" s="42" t="s">
        <v>88</v>
      </c>
      <c r="D89" s="42" t="s">
        <v>16</v>
      </c>
      <c r="E89" s="42" t="s">
        <v>2927</v>
      </c>
      <c r="F89" s="42">
        <v>1618</v>
      </c>
      <c r="G89" s="45">
        <v>1984</v>
      </c>
      <c r="H89" s="42">
        <v>23790</v>
      </c>
      <c r="I89" s="42">
        <v>330</v>
      </c>
      <c r="J89" s="42">
        <v>0.13</v>
      </c>
      <c r="K89" s="43">
        <f t="shared" si="54"/>
        <v>42.9</v>
      </c>
      <c r="L89" s="43">
        <f t="shared" si="55"/>
        <v>23747.1</v>
      </c>
      <c r="M89" s="43">
        <f>L89*2%</f>
        <v>474.94200000000001</v>
      </c>
      <c r="N89" s="43">
        <f t="shared" si="56"/>
        <v>23272.157999999999</v>
      </c>
      <c r="O89" s="43">
        <f t="shared" si="57"/>
        <v>1665.3</v>
      </c>
      <c r="P89" s="42">
        <v>28000</v>
      </c>
      <c r="Q89" s="42">
        <v>18.5</v>
      </c>
      <c r="R89" s="42">
        <f t="shared" si="58"/>
        <v>439321.35</v>
      </c>
    </row>
    <row r="90" spans="1:19">
      <c r="A90" s="21" t="s">
        <v>2946</v>
      </c>
      <c r="B90" s="42" t="s">
        <v>115</v>
      </c>
      <c r="C90" s="42" t="s">
        <v>88</v>
      </c>
      <c r="D90" s="42" t="s">
        <v>16</v>
      </c>
      <c r="E90" s="42" t="s">
        <v>2949</v>
      </c>
      <c r="F90" s="42">
        <v>642</v>
      </c>
      <c r="G90" s="42"/>
      <c r="H90" s="42">
        <v>14070</v>
      </c>
      <c r="I90" s="42">
        <v>234</v>
      </c>
      <c r="J90" s="42">
        <v>0.5</v>
      </c>
      <c r="K90" s="43">
        <f t="shared" ref="K90:K93" si="59">I90*J90</f>
        <v>117</v>
      </c>
      <c r="L90" s="43">
        <f t="shared" ref="L90:L93" si="60">H90-K90</f>
        <v>13953</v>
      </c>
      <c r="M90" s="43"/>
      <c r="N90" s="43">
        <f t="shared" ref="N90:N93" si="61">L90-M90</f>
        <v>13953</v>
      </c>
      <c r="O90" s="43">
        <f t="shared" ref="O90:O93" si="62">H90/1000*70</f>
        <v>984.9</v>
      </c>
      <c r="P90" s="42">
        <v>9800</v>
      </c>
      <c r="Q90" s="42">
        <v>18.5</v>
      </c>
      <c r="R90" s="42">
        <f t="shared" ref="R90:R93" si="63">L90*Q90</f>
        <v>258130.5</v>
      </c>
    </row>
    <row r="91" spans="1:19">
      <c r="A91" s="21" t="s">
        <v>2954</v>
      </c>
      <c r="B91" s="42" t="s">
        <v>115</v>
      </c>
      <c r="C91" s="42" t="s">
        <v>88</v>
      </c>
      <c r="D91" s="42" t="s">
        <v>16</v>
      </c>
      <c r="E91" s="42" t="s">
        <v>2927</v>
      </c>
      <c r="F91" s="42">
        <v>1631</v>
      </c>
      <c r="G91" s="42"/>
      <c r="H91" s="42">
        <v>22560</v>
      </c>
      <c r="I91" s="42">
        <v>320</v>
      </c>
      <c r="J91" s="42">
        <v>0.13</v>
      </c>
      <c r="K91" s="43">
        <f t="shared" si="59"/>
        <v>41.6</v>
      </c>
      <c r="L91" s="43">
        <f t="shared" si="60"/>
        <v>22518.400000000001</v>
      </c>
      <c r="M91" s="43"/>
      <c r="N91" s="43">
        <f t="shared" si="61"/>
        <v>22518.400000000001</v>
      </c>
      <c r="O91" s="43">
        <f t="shared" si="62"/>
        <v>1579.1999999999998</v>
      </c>
      <c r="P91" s="42">
        <v>0</v>
      </c>
      <c r="Q91" s="42">
        <v>18.5</v>
      </c>
      <c r="R91" s="42">
        <f t="shared" si="63"/>
        <v>416590.4</v>
      </c>
    </row>
    <row r="92" spans="1:19">
      <c r="A92" s="21" t="s">
        <v>2960</v>
      </c>
      <c r="B92" s="42" t="s">
        <v>115</v>
      </c>
      <c r="C92" s="42" t="s">
        <v>88</v>
      </c>
      <c r="D92" s="42" t="s">
        <v>16</v>
      </c>
      <c r="E92" s="42" t="s">
        <v>2961</v>
      </c>
      <c r="F92" s="42">
        <v>449</v>
      </c>
      <c r="G92" s="42"/>
      <c r="H92" s="42">
        <v>19480</v>
      </c>
      <c r="I92" s="42">
        <v>280</v>
      </c>
      <c r="J92" s="42">
        <v>0.13</v>
      </c>
      <c r="K92" s="43">
        <f t="shared" si="59"/>
        <v>36.4</v>
      </c>
      <c r="L92" s="43">
        <f t="shared" si="60"/>
        <v>19443.599999999999</v>
      </c>
      <c r="M92" s="43"/>
      <c r="N92" s="43">
        <f t="shared" si="61"/>
        <v>19443.599999999999</v>
      </c>
      <c r="O92" s="43">
        <f t="shared" si="62"/>
        <v>1363.6000000000001</v>
      </c>
      <c r="P92" s="42">
        <v>10500</v>
      </c>
      <c r="Q92" s="42">
        <v>18.5</v>
      </c>
      <c r="R92" s="42">
        <f t="shared" si="63"/>
        <v>359706.6</v>
      </c>
    </row>
    <row r="93" spans="1:19">
      <c r="A93" s="21" t="s">
        <v>2990</v>
      </c>
      <c r="B93" s="42" t="s">
        <v>115</v>
      </c>
      <c r="C93" s="42" t="s">
        <v>88</v>
      </c>
      <c r="D93" s="42" t="s">
        <v>16</v>
      </c>
      <c r="E93" s="42" t="s">
        <v>1465</v>
      </c>
      <c r="F93" s="42">
        <v>417</v>
      </c>
      <c r="G93" s="42"/>
      <c r="H93" s="42">
        <v>20040</v>
      </c>
      <c r="I93" s="42">
        <v>303</v>
      </c>
      <c r="J93" s="42">
        <v>0.13</v>
      </c>
      <c r="K93" s="43">
        <f t="shared" si="59"/>
        <v>39.39</v>
      </c>
      <c r="L93" s="43">
        <f t="shared" si="60"/>
        <v>20000.61</v>
      </c>
      <c r="M93" s="43"/>
      <c r="N93" s="43">
        <f t="shared" si="61"/>
        <v>20000.61</v>
      </c>
      <c r="O93" s="43">
        <f t="shared" si="62"/>
        <v>1402.8</v>
      </c>
      <c r="P93" s="42">
        <v>0</v>
      </c>
      <c r="Q93" s="42">
        <v>17.75</v>
      </c>
      <c r="R93" s="42">
        <f t="shared" si="63"/>
        <v>355010.82750000001</v>
      </c>
    </row>
    <row r="95" spans="1:19">
      <c r="A95" s="21" t="s">
        <v>3033</v>
      </c>
      <c r="B95" s="42" t="s">
        <v>103</v>
      </c>
      <c r="C95" s="42" t="s">
        <v>88</v>
      </c>
      <c r="D95" s="42" t="s">
        <v>16</v>
      </c>
      <c r="E95" s="42" t="s">
        <v>3034</v>
      </c>
      <c r="F95" s="42">
        <v>599</v>
      </c>
      <c r="G95" s="42"/>
      <c r="H95" s="42">
        <v>14020</v>
      </c>
      <c r="I95" s="42">
        <v>280</v>
      </c>
      <c r="J95" s="42">
        <v>0.5</v>
      </c>
      <c r="K95" s="43">
        <f t="shared" ref="K95" si="64">I95*J95</f>
        <v>140</v>
      </c>
      <c r="L95" s="43">
        <f t="shared" ref="L95" si="65">H95-K95</f>
        <v>13880</v>
      </c>
      <c r="M95" s="43"/>
      <c r="N95" s="43">
        <f t="shared" ref="N95" si="66">L95-M95</f>
        <v>13880</v>
      </c>
      <c r="O95" s="43">
        <f t="shared" ref="O95" si="67">H95/1000*70</f>
        <v>981.4</v>
      </c>
      <c r="P95" s="42">
        <v>0</v>
      </c>
      <c r="Q95" s="45">
        <v>17.75</v>
      </c>
      <c r="R95" s="42">
        <f t="shared" ref="R95" si="68">L95*Q95</f>
        <v>246370</v>
      </c>
    </row>
    <row r="97" spans="1:19">
      <c r="A97" s="21" t="s">
        <v>3052</v>
      </c>
      <c r="B97" s="42" t="s">
        <v>103</v>
      </c>
      <c r="C97" s="42" t="s">
        <v>88</v>
      </c>
      <c r="D97" s="42" t="s">
        <v>16</v>
      </c>
      <c r="E97" s="42" t="s">
        <v>3054</v>
      </c>
      <c r="F97" s="42">
        <v>517</v>
      </c>
      <c r="G97" s="42">
        <v>2098</v>
      </c>
      <c r="H97" s="42">
        <v>18760</v>
      </c>
      <c r="I97" s="42">
        <v>245</v>
      </c>
      <c r="J97" s="42">
        <v>0.13</v>
      </c>
      <c r="K97" s="43">
        <f t="shared" ref="K97" si="69">I97*J97</f>
        <v>31.85</v>
      </c>
      <c r="L97" s="43">
        <f t="shared" ref="L97" si="70">H97-K97</f>
        <v>18728.150000000001</v>
      </c>
      <c r="M97" s="43">
        <f>L97*1%</f>
        <v>187.28150000000002</v>
      </c>
      <c r="N97" s="43">
        <f t="shared" ref="N97" si="71">L97-M97</f>
        <v>18540.8685</v>
      </c>
      <c r="O97" s="43">
        <f t="shared" ref="O97" si="72">H97/1000*70</f>
        <v>1313.2</v>
      </c>
      <c r="P97" s="42">
        <v>0</v>
      </c>
      <c r="Q97" s="42">
        <v>16.899999999999999</v>
      </c>
      <c r="R97" s="42">
        <f t="shared" ref="R97" si="73">L97*Q97</f>
        <v>316505.73499999999</v>
      </c>
    </row>
    <row r="99" spans="1:19">
      <c r="A99" s="1" t="s">
        <v>3084</v>
      </c>
      <c r="B99" s="42" t="s">
        <v>103</v>
      </c>
      <c r="C99" s="42" t="s">
        <v>88</v>
      </c>
      <c r="D99" s="42" t="s">
        <v>16</v>
      </c>
      <c r="E99" s="42" t="s">
        <v>3089</v>
      </c>
      <c r="F99" s="42">
        <v>864</v>
      </c>
      <c r="G99" s="42"/>
      <c r="H99" s="42">
        <v>16030</v>
      </c>
      <c r="I99" s="42">
        <v>291</v>
      </c>
      <c r="J99" s="42">
        <v>0.5</v>
      </c>
      <c r="K99" s="43">
        <f t="shared" ref="K99" si="74">I99*J99</f>
        <v>145.5</v>
      </c>
      <c r="L99" s="43">
        <f t="shared" ref="L99" si="75">H99-K99</f>
        <v>15884.5</v>
      </c>
      <c r="M99" s="43"/>
      <c r="N99" s="43">
        <f t="shared" ref="N99" si="76">L99-M99</f>
        <v>15884.5</v>
      </c>
      <c r="O99" s="43">
        <f t="shared" ref="O99" si="77">H99/1000*70</f>
        <v>1122.1000000000001</v>
      </c>
      <c r="P99" s="42">
        <v>16600</v>
      </c>
      <c r="Q99" s="42">
        <v>16.899999999999999</v>
      </c>
      <c r="R99" s="42">
        <f t="shared" ref="R99" si="78">L99*Q99</f>
        <v>268448.05</v>
      </c>
    </row>
    <row r="101" spans="1:19">
      <c r="A101" s="1" t="s">
        <v>3097</v>
      </c>
      <c r="B101" s="42" t="s">
        <v>103</v>
      </c>
      <c r="C101" s="42" t="s">
        <v>88</v>
      </c>
      <c r="D101" s="42" t="s">
        <v>16</v>
      </c>
      <c r="E101" s="42" t="s">
        <v>3099</v>
      </c>
      <c r="F101" s="42">
        <v>549</v>
      </c>
      <c r="G101" s="42"/>
      <c r="H101" s="42">
        <v>20590</v>
      </c>
      <c r="I101" s="42">
        <v>342</v>
      </c>
      <c r="J101" s="42">
        <v>0.13</v>
      </c>
      <c r="K101" s="43">
        <f t="shared" ref="K101" si="79">I101*J101</f>
        <v>44.46</v>
      </c>
      <c r="L101" s="43">
        <f t="shared" ref="L101" si="80">H101-K101</f>
        <v>20545.54</v>
      </c>
      <c r="M101" s="43"/>
      <c r="N101" s="43">
        <f t="shared" ref="N101" si="81">L101-M101</f>
        <v>20545.54</v>
      </c>
      <c r="O101" s="43">
        <f t="shared" ref="O101" si="82">H101/1000*70</f>
        <v>1441.3</v>
      </c>
      <c r="P101" s="42">
        <v>0</v>
      </c>
      <c r="Q101" s="42">
        <v>16.899999999999999</v>
      </c>
      <c r="R101" s="42">
        <f t="shared" ref="R101" si="83">L101*Q101</f>
        <v>347219.62599999999</v>
      </c>
    </row>
    <row r="103" spans="1:19">
      <c r="A103" s="1" t="s">
        <v>3101</v>
      </c>
      <c r="B103" s="42" t="s">
        <v>103</v>
      </c>
      <c r="C103" s="42" t="s">
        <v>88</v>
      </c>
      <c r="D103" s="42" t="s">
        <v>16</v>
      </c>
      <c r="E103" s="42" t="s">
        <v>3100</v>
      </c>
      <c r="F103" s="42">
        <v>4253</v>
      </c>
      <c r="G103" s="42"/>
      <c r="H103" s="42">
        <v>14460</v>
      </c>
      <c r="I103" s="42">
        <v>289</v>
      </c>
      <c r="J103" s="42">
        <v>0.5</v>
      </c>
      <c r="K103" s="43">
        <f t="shared" ref="K103:K104" si="84">I103*J103</f>
        <v>144.5</v>
      </c>
      <c r="L103" s="43">
        <f t="shared" ref="L103:L104" si="85">H103-K103</f>
        <v>14315.5</v>
      </c>
      <c r="M103" s="43"/>
      <c r="N103" s="43">
        <f t="shared" ref="N103:N104" si="86">L103-M103</f>
        <v>14315.5</v>
      </c>
      <c r="O103" s="43">
        <f t="shared" ref="O103:O104" si="87">H103/1000*70</f>
        <v>1012.2</v>
      </c>
      <c r="P103" s="42">
        <v>11000</v>
      </c>
      <c r="Q103" s="42">
        <v>16.899999999999999</v>
      </c>
      <c r="R103" s="42">
        <f t="shared" ref="R103:R104" si="88">L103*Q103</f>
        <v>241931.94999999998</v>
      </c>
    </row>
    <row r="104" spans="1:19">
      <c r="A104" s="21" t="s">
        <v>3106</v>
      </c>
      <c r="B104" s="42" t="s">
        <v>103</v>
      </c>
      <c r="C104" s="42" t="s">
        <v>88</v>
      </c>
      <c r="D104" s="42" t="s">
        <v>16</v>
      </c>
      <c r="E104" s="42" t="s">
        <v>3109</v>
      </c>
      <c r="F104" s="42">
        <v>3830</v>
      </c>
      <c r="G104" s="42"/>
      <c r="H104" s="42">
        <v>20410</v>
      </c>
      <c r="I104" s="42">
        <v>320</v>
      </c>
      <c r="J104" s="42">
        <v>0.5</v>
      </c>
      <c r="K104" s="43">
        <f t="shared" si="84"/>
        <v>160</v>
      </c>
      <c r="L104" s="43">
        <f t="shared" si="85"/>
        <v>20250</v>
      </c>
      <c r="M104" s="43">
        <f>L104*0.6%</f>
        <v>121.5</v>
      </c>
      <c r="N104" s="43">
        <f t="shared" si="86"/>
        <v>20128.5</v>
      </c>
      <c r="O104" s="43">
        <f t="shared" si="87"/>
        <v>1428.7</v>
      </c>
      <c r="P104" s="42">
        <v>16500</v>
      </c>
      <c r="Q104" s="42">
        <v>16.899999999999999</v>
      </c>
      <c r="R104" s="42">
        <f t="shared" si="88"/>
        <v>342225</v>
      </c>
    </row>
    <row r="106" spans="1:19">
      <c r="A106" s="21" t="s">
        <v>3121</v>
      </c>
      <c r="B106" s="42" t="s">
        <v>103</v>
      </c>
      <c r="C106" s="42" t="s">
        <v>88</v>
      </c>
      <c r="D106" s="42" t="s">
        <v>16</v>
      </c>
      <c r="E106" s="42" t="s">
        <v>2927</v>
      </c>
      <c r="F106" s="42">
        <v>3835</v>
      </c>
      <c r="G106" s="42"/>
      <c r="H106" s="42">
        <v>19160</v>
      </c>
      <c r="I106" s="42">
        <v>300</v>
      </c>
      <c r="J106" s="42">
        <v>0.13</v>
      </c>
      <c r="K106" s="43">
        <f t="shared" ref="K106:K107" si="89">I106*J106</f>
        <v>39</v>
      </c>
      <c r="L106" s="43">
        <f t="shared" ref="L106:L107" si="90">H106-K106</f>
        <v>19121</v>
      </c>
      <c r="M106" s="43"/>
      <c r="N106" s="43">
        <f t="shared" ref="N106:N107" si="91">L106-M106</f>
        <v>19121</v>
      </c>
      <c r="O106" s="43">
        <f t="shared" ref="O106:O107" si="92">H106/1000*70</f>
        <v>1341.2</v>
      </c>
      <c r="P106" s="42">
        <v>0</v>
      </c>
      <c r="Q106" s="42">
        <v>16.899999999999999</v>
      </c>
      <c r="R106" s="42">
        <f t="shared" ref="R106:R107" si="93">L106*Q106</f>
        <v>323144.89999999997</v>
      </c>
    </row>
    <row r="107" spans="1:19">
      <c r="A107" s="21" t="s">
        <v>3160</v>
      </c>
      <c r="B107" s="42" t="s">
        <v>103</v>
      </c>
      <c r="C107" s="42" t="s">
        <v>88</v>
      </c>
      <c r="D107" s="42" t="s">
        <v>16</v>
      </c>
      <c r="E107" s="42" t="s">
        <v>2927</v>
      </c>
      <c r="F107" s="42">
        <v>8153</v>
      </c>
      <c r="G107" s="42"/>
      <c r="H107" s="42">
        <v>21130</v>
      </c>
      <c r="I107" s="42">
        <v>311</v>
      </c>
      <c r="J107" s="42">
        <v>0.13</v>
      </c>
      <c r="K107" s="43">
        <f t="shared" si="89"/>
        <v>40.43</v>
      </c>
      <c r="L107" s="43">
        <f t="shared" si="90"/>
        <v>21089.57</v>
      </c>
      <c r="M107" s="43"/>
      <c r="N107" s="43">
        <f t="shared" si="91"/>
        <v>21089.57</v>
      </c>
      <c r="O107" s="43">
        <f t="shared" si="92"/>
        <v>1479.1</v>
      </c>
      <c r="P107" s="42">
        <v>20000</v>
      </c>
      <c r="Q107" s="42">
        <v>16.899999999999999</v>
      </c>
      <c r="R107" s="42">
        <f t="shared" si="93"/>
        <v>356413.73299999995</v>
      </c>
    </row>
    <row r="109" spans="1:19">
      <c r="A109" s="21" t="s">
        <v>3318</v>
      </c>
      <c r="B109" s="42" t="s">
        <v>115</v>
      </c>
      <c r="C109" s="42" t="s">
        <v>88</v>
      </c>
      <c r="D109" s="42" t="s">
        <v>16</v>
      </c>
      <c r="E109" s="47" t="s">
        <v>3319</v>
      </c>
      <c r="F109" s="47">
        <v>1037</v>
      </c>
      <c r="G109" s="47"/>
      <c r="H109" s="47">
        <v>16220</v>
      </c>
      <c r="I109" s="47">
        <v>260</v>
      </c>
      <c r="J109" s="47">
        <v>0.5</v>
      </c>
      <c r="K109" s="43">
        <f t="shared" ref="K109" si="94">I109*J109</f>
        <v>130</v>
      </c>
      <c r="L109" s="43">
        <f t="shared" ref="L109" si="95">H109-K109</f>
        <v>16090</v>
      </c>
      <c r="M109" s="43">
        <f>L109*1%</f>
        <v>160.9</v>
      </c>
      <c r="N109" s="43">
        <f t="shared" ref="N109" si="96">L109-M109</f>
        <v>15929.1</v>
      </c>
      <c r="O109" s="43">
        <f t="shared" ref="O109" si="97">H109/1000*70</f>
        <v>1135.3999999999999</v>
      </c>
      <c r="P109" s="42">
        <v>28500</v>
      </c>
      <c r="Q109" s="42">
        <v>17.2</v>
      </c>
      <c r="R109" s="42">
        <f t="shared" ref="R109" si="98">L109*Q109</f>
        <v>276748</v>
      </c>
      <c r="S109" s="42"/>
    </row>
    <row r="111" spans="1:19">
      <c r="A111" s="21" t="s">
        <v>3320</v>
      </c>
      <c r="B111" s="42" t="s">
        <v>103</v>
      </c>
      <c r="C111" s="42" t="s">
        <v>88</v>
      </c>
      <c r="D111" s="42" t="s">
        <v>16</v>
      </c>
      <c r="E111" s="47" t="s">
        <v>3321</v>
      </c>
      <c r="F111" s="47">
        <v>1079</v>
      </c>
      <c r="G111" s="47"/>
      <c r="H111" s="47">
        <v>17380</v>
      </c>
      <c r="I111" s="47">
        <v>285</v>
      </c>
      <c r="J111" s="47">
        <v>0.5</v>
      </c>
      <c r="K111" s="43">
        <f t="shared" ref="K111" si="99">I111*J111</f>
        <v>142.5</v>
      </c>
      <c r="L111" s="43">
        <f t="shared" ref="L111" si="100">H111-K111</f>
        <v>17237.5</v>
      </c>
      <c r="M111" s="43">
        <f>L111*1.5%</f>
        <v>258.5625</v>
      </c>
      <c r="N111" s="43">
        <f t="shared" ref="N111" si="101">L111-M111</f>
        <v>16978.9375</v>
      </c>
      <c r="O111" s="43">
        <f t="shared" ref="O111" si="102">H111/1000*70</f>
        <v>1216.5999999999999</v>
      </c>
      <c r="P111" s="42">
        <v>30000</v>
      </c>
      <c r="Q111" s="42">
        <v>17.149999999999999</v>
      </c>
      <c r="R111" s="42">
        <f t="shared" ref="R111" si="103">L111*Q111</f>
        <v>295623.125</v>
      </c>
      <c r="S111" s="42"/>
    </row>
    <row r="113" spans="1:18">
      <c r="A113" s="1" t="s">
        <v>3326</v>
      </c>
      <c r="B113" s="42" t="s">
        <v>103</v>
      </c>
      <c r="C113" s="42" t="s">
        <v>88</v>
      </c>
      <c r="D113" s="42" t="s">
        <v>16</v>
      </c>
      <c r="E113" s="47" t="s">
        <v>3327</v>
      </c>
      <c r="F113" s="47">
        <v>3740</v>
      </c>
      <c r="G113" s="47"/>
      <c r="H113" s="47">
        <v>16980</v>
      </c>
      <c r="I113" s="47">
        <v>276</v>
      </c>
      <c r="J113" s="47">
        <v>0.5</v>
      </c>
      <c r="K113" s="43">
        <f t="shared" ref="K113:K118" si="104">I113*J113</f>
        <v>138</v>
      </c>
      <c r="L113" s="43">
        <f t="shared" ref="L113:L118" si="105">H113-K113</f>
        <v>16842</v>
      </c>
      <c r="M113" s="43"/>
      <c r="N113" s="43">
        <f t="shared" ref="N113:N118" si="106">L113-M113</f>
        <v>16842</v>
      </c>
      <c r="O113" s="43">
        <f t="shared" ref="O113:O118" si="107">H113/1000*70</f>
        <v>1188.6000000000001</v>
      </c>
      <c r="P113" s="42">
        <v>33500</v>
      </c>
      <c r="Q113" s="42">
        <v>17</v>
      </c>
      <c r="R113" s="42">
        <f t="shared" ref="R113:R118" si="108">L113*Q113</f>
        <v>286314</v>
      </c>
    </row>
    <row r="114" spans="1:18">
      <c r="A114" s="21" t="s">
        <v>3329</v>
      </c>
      <c r="B114" s="42" t="s">
        <v>103</v>
      </c>
      <c r="C114" s="42" t="s">
        <v>88</v>
      </c>
      <c r="D114" s="42" t="s">
        <v>16</v>
      </c>
      <c r="E114" s="47" t="s">
        <v>3332</v>
      </c>
      <c r="F114" s="47">
        <v>3659</v>
      </c>
      <c r="G114" s="47"/>
      <c r="H114" s="47">
        <v>15020</v>
      </c>
      <c r="I114" s="47">
        <v>253</v>
      </c>
      <c r="J114" s="47">
        <v>0.5</v>
      </c>
      <c r="K114" s="43">
        <f t="shared" si="104"/>
        <v>126.5</v>
      </c>
      <c r="L114" s="43">
        <f t="shared" si="105"/>
        <v>14893.5</v>
      </c>
      <c r="M114" s="43"/>
      <c r="N114" s="43">
        <f t="shared" si="106"/>
        <v>14893.5</v>
      </c>
      <c r="O114" s="43">
        <f t="shared" si="107"/>
        <v>1051.3999999999999</v>
      </c>
      <c r="P114" s="42">
        <v>33000</v>
      </c>
      <c r="Q114" s="42">
        <v>17</v>
      </c>
      <c r="R114" s="42">
        <f t="shared" si="108"/>
        <v>253189.5</v>
      </c>
    </row>
    <row r="115" spans="1:18">
      <c r="A115" s="377" t="s">
        <v>3345</v>
      </c>
      <c r="B115" s="42" t="s">
        <v>103</v>
      </c>
      <c r="C115" s="42" t="s">
        <v>88</v>
      </c>
      <c r="D115" s="42" t="s">
        <v>16</v>
      </c>
      <c r="E115" s="47" t="s">
        <v>1780</v>
      </c>
      <c r="F115" s="47">
        <v>590</v>
      </c>
      <c r="G115" s="47"/>
      <c r="H115" s="47">
        <v>20370</v>
      </c>
      <c r="I115" s="47">
        <v>320</v>
      </c>
      <c r="J115" s="47">
        <v>0.13</v>
      </c>
      <c r="K115" s="43">
        <f t="shared" si="104"/>
        <v>41.6</v>
      </c>
      <c r="L115" s="43">
        <f t="shared" si="105"/>
        <v>20328.400000000001</v>
      </c>
      <c r="M115" s="43">
        <f>L115*1%</f>
        <v>203.28400000000002</v>
      </c>
      <c r="N115" s="43">
        <f t="shared" si="106"/>
        <v>20125.116000000002</v>
      </c>
      <c r="O115" s="43">
        <f t="shared" si="107"/>
        <v>1425.9</v>
      </c>
      <c r="P115" s="42">
        <v>16000</v>
      </c>
      <c r="Q115" s="42">
        <v>17</v>
      </c>
      <c r="R115" s="42">
        <f t="shared" si="108"/>
        <v>345582.80000000005</v>
      </c>
    </row>
    <row r="116" spans="1:18">
      <c r="A116" s="377"/>
      <c r="B116" s="42" t="s">
        <v>103</v>
      </c>
      <c r="C116" s="42" t="s">
        <v>88</v>
      </c>
      <c r="D116" s="42" t="s">
        <v>16</v>
      </c>
      <c r="E116" s="47" t="s">
        <v>3346</v>
      </c>
      <c r="F116" s="47">
        <v>3666</v>
      </c>
      <c r="G116" s="47"/>
      <c r="H116" s="47">
        <v>18080</v>
      </c>
      <c r="I116" s="47">
        <v>292</v>
      </c>
      <c r="J116" s="47">
        <v>0.5</v>
      </c>
      <c r="K116" s="43">
        <f t="shared" si="104"/>
        <v>146</v>
      </c>
      <c r="L116" s="43">
        <f t="shared" si="105"/>
        <v>17934</v>
      </c>
      <c r="M116" s="43"/>
      <c r="N116" s="43">
        <f t="shared" si="106"/>
        <v>17934</v>
      </c>
      <c r="O116" s="43">
        <f t="shared" si="107"/>
        <v>1265.5999999999999</v>
      </c>
      <c r="P116" s="42">
        <v>17000</v>
      </c>
      <c r="Q116" s="42">
        <v>17</v>
      </c>
      <c r="R116" s="42">
        <f t="shared" si="108"/>
        <v>304878</v>
      </c>
    </row>
    <row r="117" spans="1:18">
      <c r="A117" s="377"/>
      <c r="B117" s="42" t="s">
        <v>103</v>
      </c>
      <c r="C117" s="42" t="s">
        <v>88</v>
      </c>
      <c r="D117" s="42" t="s">
        <v>16</v>
      </c>
      <c r="E117" s="47" t="s">
        <v>3347</v>
      </c>
      <c r="F117" s="47">
        <v>964</v>
      </c>
      <c r="G117" s="47"/>
      <c r="H117" s="47">
        <v>16590</v>
      </c>
      <c r="I117" s="47">
        <v>245</v>
      </c>
      <c r="J117" s="47">
        <v>0.13</v>
      </c>
      <c r="K117" s="43">
        <f t="shared" si="104"/>
        <v>31.85</v>
      </c>
      <c r="L117" s="43">
        <f t="shared" si="105"/>
        <v>16558.150000000001</v>
      </c>
      <c r="M117" s="43">
        <f>L117*3%</f>
        <v>496.74450000000002</v>
      </c>
      <c r="N117" s="43">
        <f t="shared" si="106"/>
        <v>16061.405500000001</v>
      </c>
      <c r="O117" s="43">
        <f t="shared" si="107"/>
        <v>1161.3</v>
      </c>
      <c r="P117" s="42">
        <v>0</v>
      </c>
      <c r="Q117" s="42">
        <v>17</v>
      </c>
      <c r="R117" s="42">
        <f t="shared" si="108"/>
        <v>281488.55000000005</v>
      </c>
    </row>
    <row r="118" spans="1:18">
      <c r="A118" s="21" t="s">
        <v>3360</v>
      </c>
      <c r="B118" s="42" t="s">
        <v>103</v>
      </c>
      <c r="C118" s="42" t="s">
        <v>88</v>
      </c>
      <c r="D118" s="42" t="s">
        <v>16</v>
      </c>
      <c r="E118" s="47" t="s">
        <v>3362</v>
      </c>
      <c r="F118" s="47">
        <v>3671</v>
      </c>
      <c r="G118" s="47"/>
      <c r="H118" s="47">
        <v>17070</v>
      </c>
      <c r="I118" s="47">
        <v>257</v>
      </c>
      <c r="J118" s="47">
        <v>0.5</v>
      </c>
      <c r="K118" s="43">
        <f t="shared" si="104"/>
        <v>128.5</v>
      </c>
      <c r="L118" s="43">
        <f t="shared" si="105"/>
        <v>16941.5</v>
      </c>
      <c r="M118" s="43"/>
      <c r="N118" s="43">
        <f t="shared" si="106"/>
        <v>16941.5</v>
      </c>
      <c r="O118" s="43">
        <f t="shared" si="107"/>
        <v>1194.9000000000001</v>
      </c>
      <c r="P118" s="42">
        <v>27160</v>
      </c>
      <c r="Q118" s="42">
        <v>17</v>
      </c>
      <c r="R118" s="42">
        <f t="shared" si="108"/>
        <v>288005.5</v>
      </c>
    </row>
    <row r="120" spans="1:18">
      <c r="A120" s="374" t="s">
        <v>3381</v>
      </c>
      <c r="B120" s="42" t="s">
        <v>103</v>
      </c>
      <c r="C120" s="42" t="s">
        <v>88</v>
      </c>
      <c r="D120" s="42" t="s">
        <v>16</v>
      </c>
      <c r="E120" s="47" t="s">
        <v>3383</v>
      </c>
      <c r="F120" s="47">
        <v>3677</v>
      </c>
      <c r="G120" s="47"/>
      <c r="H120" s="47">
        <v>13560</v>
      </c>
      <c r="I120" s="47">
        <v>238</v>
      </c>
      <c r="J120" s="47">
        <v>0.5</v>
      </c>
      <c r="K120" s="43">
        <f t="shared" ref="K120:K121" si="109">I120*J120</f>
        <v>119</v>
      </c>
      <c r="L120" s="43">
        <f t="shared" ref="L120:L121" si="110">H120-K120</f>
        <v>13441</v>
      </c>
      <c r="M120" s="43"/>
      <c r="N120" s="43">
        <f t="shared" ref="N120:N121" si="111">L120-M120</f>
        <v>13441</v>
      </c>
      <c r="O120" s="43">
        <f t="shared" ref="O120:O121" si="112">H120/1000*70</f>
        <v>949.2</v>
      </c>
      <c r="P120" s="42">
        <v>6000</v>
      </c>
      <c r="Q120" s="42">
        <v>17.25</v>
      </c>
      <c r="R120" s="42">
        <f t="shared" ref="R120:R121" si="113">L120*Q120</f>
        <v>231857.25</v>
      </c>
    </row>
    <row r="121" spans="1:18">
      <c r="A121" s="374"/>
      <c r="B121" s="42" t="s">
        <v>103</v>
      </c>
      <c r="C121" s="42" t="s">
        <v>88</v>
      </c>
      <c r="D121" s="42" t="s">
        <v>16</v>
      </c>
      <c r="E121" s="47" t="s">
        <v>3384</v>
      </c>
      <c r="F121" s="47">
        <v>3676</v>
      </c>
      <c r="G121" s="47"/>
      <c r="H121" s="47">
        <v>13280</v>
      </c>
      <c r="I121" s="47">
        <v>235</v>
      </c>
      <c r="J121" s="47">
        <v>0.5</v>
      </c>
      <c r="K121" s="43">
        <f t="shared" si="109"/>
        <v>117.5</v>
      </c>
      <c r="L121" s="43">
        <f t="shared" si="110"/>
        <v>13162.5</v>
      </c>
      <c r="M121" s="43"/>
      <c r="N121" s="43">
        <f t="shared" si="111"/>
        <v>13162.5</v>
      </c>
      <c r="O121" s="43">
        <f t="shared" si="112"/>
        <v>929.59999999999991</v>
      </c>
      <c r="P121" s="42">
        <v>6000</v>
      </c>
      <c r="Q121" s="42">
        <v>17.25</v>
      </c>
      <c r="R121" s="42">
        <f t="shared" si="113"/>
        <v>227053.125</v>
      </c>
    </row>
    <row r="123" spans="1:18">
      <c r="A123" s="374" t="s">
        <v>3420</v>
      </c>
      <c r="B123" s="42" t="s">
        <v>103</v>
      </c>
      <c r="C123" s="42" t="s">
        <v>88</v>
      </c>
      <c r="D123" s="42" t="s">
        <v>16</v>
      </c>
      <c r="E123" s="47" t="s">
        <v>3423</v>
      </c>
      <c r="F123" s="47">
        <v>2104</v>
      </c>
      <c r="G123" s="47"/>
      <c r="H123" s="47">
        <v>17540</v>
      </c>
      <c r="I123" s="47">
        <v>288</v>
      </c>
      <c r="J123" s="47">
        <v>0.5</v>
      </c>
      <c r="K123" s="43">
        <f t="shared" ref="K123:K124" si="114">I123*J123</f>
        <v>144</v>
      </c>
      <c r="L123" s="43">
        <f t="shared" ref="L123:L124" si="115">H123-K123</f>
        <v>17396</v>
      </c>
      <c r="M123" s="43"/>
      <c r="N123" s="43">
        <f t="shared" ref="N123:N124" si="116">L123-M123</f>
        <v>17396</v>
      </c>
      <c r="O123" s="43">
        <f t="shared" ref="O123:O124" si="117">H123/1000*70</f>
        <v>1227.8</v>
      </c>
      <c r="P123" s="42">
        <v>27960</v>
      </c>
      <c r="Q123" s="42">
        <v>17.25</v>
      </c>
      <c r="R123" s="42">
        <f t="shared" ref="R123:R124" si="118">L123*Q123</f>
        <v>300081</v>
      </c>
    </row>
    <row r="124" spans="1:18">
      <c r="A124" s="374"/>
      <c r="B124" s="42" t="s">
        <v>103</v>
      </c>
      <c r="C124" s="42" t="s">
        <v>88</v>
      </c>
      <c r="D124" s="42" t="s">
        <v>16</v>
      </c>
      <c r="E124" s="47" t="s">
        <v>3424</v>
      </c>
      <c r="F124" s="47">
        <v>2103</v>
      </c>
      <c r="G124" s="47"/>
      <c r="H124" s="47">
        <v>16260</v>
      </c>
      <c r="I124" s="47">
        <v>270</v>
      </c>
      <c r="J124" s="47">
        <v>0.5</v>
      </c>
      <c r="K124" s="43">
        <f t="shared" si="114"/>
        <v>135</v>
      </c>
      <c r="L124" s="43">
        <f t="shared" si="115"/>
        <v>16125</v>
      </c>
      <c r="M124" s="43"/>
      <c r="N124" s="43">
        <f t="shared" si="116"/>
        <v>16125</v>
      </c>
      <c r="O124" s="43">
        <f t="shared" si="117"/>
        <v>1138.2</v>
      </c>
      <c r="P124" s="42">
        <v>24300</v>
      </c>
      <c r="Q124" s="42">
        <v>17.25</v>
      </c>
      <c r="R124" s="42">
        <f t="shared" si="118"/>
        <v>278156.25</v>
      </c>
    </row>
    <row r="126" spans="1:18">
      <c r="A126" s="1" t="s">
        <v>3452</v>
      </c>
      <c r="B126" s="42" t="s">
        <v>103</v>
      </c>
      <c r="C126" s="42" t="s">
        <v>88</v>
      </c>
      <c r="D126" s="42" t="s">
        <v>16</v>
      </c>
      <c r="E126" s="47" t="s">
        <v>3453</v>
      </c>
      <c r="F126" s="47">
        <v>1122</v>
      </c>
      <c r="G126" s="47"/>
      <c r="H126" s="47">
        <v>15600</v>
      </c>
      <c r="I126" s="47">
        <v>290</v>
      </c>
      <c r="J126" s="47">
        <v>0.5</v>
      </c>
      <c r="K126" s="43">
        <f t="shared" ref="K126" si="119">I126*J126</f>
        <v>145</v>
      </c>
      <c r="L126" s="43">
        <f t="shared" ref="L126" si="120">H126-K126</f>
        <v>15455</v>
      </c>
      <c r="M126" s="43">
        <f>L126*2.5%</f>
        <v>386.375</v>
      </c>
      <c r="N126" s="43">
        <f t="shared" ref="N126" si="121">L126-M126</f>
        <v>15068.625</v>
      </c>
      <c r="O126" s="43">
        <f t="shared" ref="O126" si="122">H126/1000*70</f>
        <v>1092</v>
      </c>
      <c r="P126" s="42">
        <v>20000</v>
      </c>
      <c r="Q126" s="42">
        <v>20</v>
      </c>
      <c r="R126" s="42">
        <f t="shared" ref="R126" si="123">L126*Q126</f>
        <v>309100</v>
      </c>
    </row>
    <row r="128" spans="1:18">
      <c r="A128" s="1" t="s">
        <v>3461</v>
      </c>
      <c r="B128" s="42" t="s">
        <v>103</v>
      </c>
      <c r="C128" s="42" t="s">
        <v>88</v>
      </c>
      <c r="D128" s="42" t="s">
        <v>16</v>
      </c>
      <c r="E128" s="47" t="s">
        <v>3462</v>
      </c>
      <c r="F128" s="47">
        <v>4257</v>
      </c>
      <c r="G128" s="47"/>
      <c r="H128" s="47">
        <v>20860</v>
      </c>
      <c r="I128" s="47">
        <v>417</v>
      </c>
      <c r="J128" s="47">
        <v>0.13</v>
      </c>
      <c r="K128" s="43">
        <f t="shared" ref="K128" si="124">I128*J128</f>
        <v>54.21</v>
      </c>
      <c r="L128" s="43">
        <f t="shared" ref="L128" si="125">H128-K128</f>
        <v>20805.79</v>
      </c>
      <c r="M128" s="43">
        <f>L128*1%</f>
        <v>208.05790000000002</v>
      </c>
      <c r="N128" s="43">
        <f t="shared" ref="N128" si="126">L128-M128</f>
        <v>20597.732100000001</v>
      </c>
      <c r="O128" s="43">
        <f t="shared" ref="O128" si="127">H128/1000*70</f>
        <v>1460.2</v>
      </c>
      <c r="P128" s="42">
        <v>13000</v>
      </c>
      <c r="Q128" s="42">
        <v>20</v>
      </c>
      <c r="R128" s="42">
        <f t="shared" ref="R128" si="128">L128*Q128</f>
        <v>416115.80000000005</v>
      </c>
    </row>
    <row r="130" spans="1:18">
      <c r="A130" s="1" t="s">
        <v>3477</v>
      </c>
      <c r="B130" s="42" t="s">
        <v>103</v>
      </c>
      <c r="C130" s="42" t="s">
        <v>88</v>
      </c>
      <c r="D130" s="42" t="s">
        <v>16</v>
      </c>
      <c r="E130" s="47" t="s">
        <v>3480</v>
      </c>
      <c r="F130" s="47">
        <v>2867</v>
      </c>
      <c r="G130" s="47"/>
      <c r="H130" s="47">
        <v>16100</v>
      </c>
      <c r="I130" s="47">
        <v>291</v>
      </c>
      <c r="J130" s="47">
        <v>0.5</v>
      </c>
      <c r="K130" s="43">
        <f t="shared" ref="K130" si="129">I130*J130</f>
        <v>145.5</v>
      </c>
      <c r="L130" s="43">
        <f t="shared" ref="L130" si="130">H130-K130</f>
        <v>15954.5</v>
      </c>
      <c r="M130" s="43"/>
      <c r="N130" s="43">
        <f t="shared" ref="N130" si="131">L130-M130</f>
        <v>15954.5</v>
      </c>
      <c r="O130" s="43">
        <f t="shared" ref="O130" si="132">H130/1000*70</f>
        <v>1127</v>
      </c>
      <c r="P130" s="42">
        <v>19000</v>
      </c>
      <c r="Q130" s="42"/>
      <c r="R130" s="42">
        <f t="shared" ref="R130" si="133">L130*Q130</f>
        <v>0</v>
      </c>
    </row>
    <row r="132" spans="1:18">
      <c r="A132" s="1" t="s">
        <v>3489</v>
      </c>
      <c r="B132" s="42" t="s">
        <v>103</v>
      </c>
      <c r="C132" s="42" t="s">
        <v>88</v>
      </c>
      <c r="D132" s="42" t="s">
        <v>16</v>
      </c>
      <c r="E132" s="47" t="s">
        <v>3491</v>
      </c>
      <c r="F132" s="47">
        <v>263</v>
      </c>
      <c r="G132" s="47"/>
      <c r="H132" s="47">
        <v>20970</v>
      </c>
      <c r="I132" s="47">
        <v>321</v>
      </c>
      <c r="J132" s="47">
        <v>0.13</v>
      </c>
      <c r="K132" s="43">
        <f t="shared" ref="K132" si="134">I132*J132</f>
        <v>41.730000000000004</v>
      </c>
      <c r="L132" s="43">
        <f t="shared" ref="L132" si="135">H132-K132</f>
        <v>20928.27</v>
      </c>
      <c r="M132" s="43"/>
      <c r="N132" s="43">
        <f t="shared" ref="N132" si="136">L132-M132</f>
        <v>20928.27</v>
      </c>
      <c r="O132" s="43">
        <f t="shared" ref="O132" si="137">H132/1000*70</f>
        <v>1467.8999999999999</v>
      </c>
      <c r="P132" s="42">
        <v>11800</v>
      </c>
      <c r="Q132" s="42">
        <v>20.75</v>
      </c>
      <c r="R132" s="42">
        <f t="shared" ref="R132" si="138">L132*Q132</f>
        <v>434261.60250000004</v>
      </c>
    </row>
    <row r="134" spans="1:18">
      <c r="A134" s="374" t="s">
        <v>3499</v>
      </c>
      <c r="B134" s="42" t="s">
        <v>103</v>
      </c>
      <c r="C134" s="42" t="s">
        <v>88</v>
      </c>
      <c r="D134" s="42" t="s">
        <v>16</v>
      </c>
      <c r="E134" s="47" t="s">
        <v>3500</v>
      </c>
      <c r="F134" s="47">
        <v>95</v>
      </c>
      <c r="G134" s="47"/>
      <c r="H134" s="47">
        <v>16550</v>
      </c>
      <c r="I134" s="47">
        <v>305</v>
      </c>
      <c r="J134" s="47">
        <v>0.5</v>
      </c>
      <c r="K134" s="43">
        <v>152.5</v>
      </c>
      <c r="L134" s="43">
        <v>16397.5</v>
      </c>
      <c r="M134" s="43">
        <v>819.875</v>
      </c>
      <c r="N134" s="43">
        <v>15577.625</v>
      </c>
      <c r="O134" s="43">
        <v>1158.5</v>
      </c>
      <c r="P134" s="42">
        <v>29400</v>
      </c>
      <c r="Q134" s="42">
        <v>20.75</v>
      </c>
      <c r="R134" s="42">
        <v>340248.125</v>
      </c>
    </row>
    <row r="135" spans="1:18">
      <c r="A135" s="374"/>
      <c r="B135" s="42" t="s">
        <v>103</v>
      </c>
      <c r="C135" s="42" t="s">
        <v>88</v>
      </c>
      <c r="D135" s="42" t="s">
        <v>16</v>
      </c>
      <c r="E135" s="47" t="s">
        <v>3501</v>
      </c>
      <c r="F135" s="47">
        <v>97</v>
      </c>
      <c r="G135" s="47"/>
      <c r="H135" s="47">
        <v>13730</v>
      </c>
      <c r="I135" s="47">
        <v>253</v>
      </c>
      <c r="J135" s="47">
        <v>0.5</v>
      </c>
      <c r="K135" s="43">
        <v>126.5</v>
      </c>
      <c r="L135" s="43">
        <v>13603.5</v>
      </c>
      <c r="M135" s="43">
        <v>612.15750000000003</v>
      </c>
      <c r="N135" s="43">
        <v>12991.342500000001</v>
      </c>
      <c r="O135" s="43">
        <v>961.1</v>
      </c>
      <c r="P135" s="42">
        <v>19000</v>
      </c>
      <c r="Q135" s="42">
        <v>20.75</v>
      </c>
      <c r="R135" s="42">
        <v>282272.625</v>
      </c>
    </row>
    <row r="136" spans="1:18">
      <c r="A136" s="374" t="s">
        <v>3503</v>
      </c>
      <c r="B136" s="42" t="s">
        <v>103</v>
      </c>
      <c r="C136" s="42" t="s">
        <v>88</v>
      </c>
      <c r="D136" s="42" t="s">
        <v>16</v>
      </c>
      <c r="E136" s="47" t="s">
        <v>3504</v>
      </c>
      <c r="F136" s="47">
        <v>3054</v>
      </c>
      <c r="G136" s="47"/>
      <c r="H136" s="47">
        <v>16350</v>
      </c>
      <c r="I136" s="47">
        <v>270</v>
      </c>
      <c r="J136" s="47">
        <v>0.13</v>
      </c>
      <c r="K136" s="43">
        <v>35.1</v>
      </c>
      <c r="L136" s="43">
        <v>16314.9</v>
      </c>
      <c r="M136" s="43"/>
      <c r="N136" s="43">
        <v>16314.9</v>
      </c>
      <c r="O136" s="43">
        <v>1144.5</v>
      </c>
      <c r="P136" s="42">
        <v>20000</v>
      </c>
      <c r="Q136" s="42">
        <v>20.75</v>
      </c>
      <c r="R136" s="42">
        <v>338534.17499999999</v>
      </c>
    </row>
    <row r="137" spans="1:18">
      <c r="A137" s="374"/>
      <c r="B137" s="42" t="s">
        <v>103</v>
      </c>
      <c r="C137" s="42" t="s">
        <v>88</v>
      </c>
      <c r="D137" s="42" t="s">
        <v>16</v>
      </c>
      <c r="E137" s="47" t="s">
        <v>3505</v>
      </c>
      <c r="F137" s="47">
        <v>3655</v>
      </c>
      <c r="G137" s="47"/>
      <c r="H137" s="47">
        <v>15350</v>
      </c>
      <c r="I137" s="47">
        <v>280</v>
      </c>
      <c r="J137" s="47">
        <v>0.5</v>
      </c>
      <c r="K137" s="43">
        <v>140</v>
      </c>
      <c r="L137" s="43">
        <v>15210</v>
      </c>
      <c r="M137" s="43"/>
      <c r="N137" s="43">
        <v>15210</v>
      </c>
      <c r="O137" s="43">
        <v>1074.5</v>
      </c>
      <c r="P137" s="42">
        <v>18000</v>
      </c>
      <c r="Q137" s="42">
        <v>20.75</v>
      </c>
      <c r="R137" s="42">
        <v>315607.5</v>
      </c>
    </row>
    <row r="139" spans="1:18">
      <c r="A139" s="374" t="s">
        <v>3510</v>
      </c>
      <c r="B139" s="42" t="s">
        <v>103</v>
      </c>
      <c r="C139" s="42" t="s">
        <v>88</v>
      </c>
      <c r="D139" s="42" t="s">
        <v>16</v>
      </c>
      <c r="E139" s="47" t="s">
        <v>3511</v>
      </c>
      <c r="F139" s="47">
        <v>2876</v>
      </c>
      <c r="G139" s="47"/>
      <c r="H139" s="47">
        <v>16150</v>
      </c>
      <c r="I139" s="47">
        <v>280</v>
      </c>
      <c r="J139" s="47">
        <v>0.5</v>
      </c>
      <c r="K139" s="43">
        <f t="shared" ref="K139:K140" si="139">I139*J139</f>
        <v>140</v>
      </c>
      <c r="L139" s="43">
        <f t="shared" ref="L139:L140" si="140">H139-K139</f>
        <v>16010</v>
      </c>
      <c r="M139" s="43"/>
      <c r="N139" s="43">
        <f t="shared" ref="N139:N140" si="141">L139-M139</f>
        <v>16010</v>
      </c>
      <c r="O139" s="43">
        <f t="shared" ref="O139:O140" si="142">H139/1000*70</f>
        <v>1130.5</v>
      </c>
      <c r="P139" s="42">
        <v>18000</v>
      </c>
      <c r="Q139" s="42">
        <v>20.75</v>
      </c>
      <c r="R139" s="42">
        <f t="shared" ref="R139:R140" si="143">L139*Q139</f>
        <v>332207.5</v>
      </c>
    </row>
    <row r="140" spans="1:18">
      <c r="A140" s="374"/>
      <c r="B140" s="42" t="s">
        <v>103</v>
      </c>
      <c r="C140" s="42" t="s">
        <v>88</v>
      </c>
      <c r="D140" s="42" t="s">
        <v>16</v>
      </c>
      <c r="E140" s="47" t="s">
        <v>869</v>
      </c>
      <c r="F140" s="47">
        <v>4258</v>
      </c>
      <c r="G140" s="47"/>
      <c r="H140" s="47">
        <v>17170</v>
      </c>
      <c r="I140" s="47">
        <v>290</v>
      </c>
      <c r="J140" s="47">
        <v>0.13</v>
      </c>
      <c r="K140" s="43">
        <f t="shared" si="139"/>
        <v>37.700000000000003</v>
      </c>
      <c r="L140" s="43">
        <f t="shared" si="140"/>
        <v>17132.3</v>
      </c>
      <c r="M140" s="43"/>
      <c r="N140" s="43">
        <f t="shared" si="141"/>
        <v>17132.3</v>
      </c>
      <c r="O140" s="43">
        <f t="shared" si="142"/>
        <v>1201.9000000000001</v>
      </c>
      <c r="P140" s="42">
        <v>11000</v>
      </c>
      <c r="Q140" s="42">
        <v>20.75</v>
      </c>
      <c r="R140" s="42">
        <f t="shared" si="143"/>
        <v>355495.22499999998</v>
      </c>
    </row>
    <row r="142" spans="1:18">
      <c r="A142" s="1" t="s">
        <v>3515</v>
      </c>
      <c r="B142" s="42" t="s">
        <v>103</v>
      </c>
      <c r="C142" s="42" t="s">
        <v>88</v>
      </c>
      <c r="D142" s="42" t="s">
        <v>16</v>
      </c>
      <c r="E142" s="47" t="s">
        <v>2927</v>
      </c>
      <c r="F142" s="47">
        <v>51</v>
      </c>
      <c r="G142" s="47"/>
      <c r="H142" s="47">
        <v>21370</v>
      </c>
      <c r="I142" s="47">
        <v>332</v>
      </c>
      <c r="J142" s="47">
        <v>0.13</v>
      </c>
      <c r="K142" s="43">
        <f t="shared" ref="K142" si="144">I142*J142</f>
        <v>43.160000000000004</v>
      </c>
      <c r="L142" s="43">
        <f t="shared" ref="L142" si="145">H142-K142</f>
        <v>21326.84</v>
      </c>
      <c r="M142" s="43"/>
      <c r="N142" s="43">
        <f t="shared" ref="N142" si="146">L142-M142</f>
        <v>21326.84</v>
      </c>
      <c r="O142" s="43">
        <f t="shared" ref="O142" si="147">H142/1000*70</f>
        <v>1495.9</v>
      </c>
      <c r="P142" s="42">
        <v>11000</v>
      </c>
      <c r="Q142" s="42">
        <v>20.75</v>
      </c>
      <c r="R142" s="42">
        <f t="shared" ref="R142" si="148">L142*Q142</f>
        <v>442531.93</v>
      </c>
    </row>
    <row r="144" spans="1:18">
      <c r="A144" s="1" t="s">
        <v>3523</v>
      </c>
      <c r="B144" s="42" t="s">
        <v>103</v>
      </c>
      <c r="C144" s="42" t="s">
        <v>88</v>
      </c>
      <c r="D144" s="42" t="s">
        <v>16</v>
      </c>
      <c r="E144" s="47" t="s">
        <v>3524</v>
      </c>
      <c r="F144" s="47">
        <v>9113</v>
      </c>
      <c r="G144" s="47"/>
      <c r="H144" s="47">
        <v>16680</v>
      </c>
      <c r="I144" s="47">
        <v>307</v>
      </c>
      <c r="J144" s="47">
        <v>0.5</v>
      </c>
      <c r="K144" s="43">
        <f t="shared" ref="K144" si="149">I144*J144</f>
        <v>153.5</v>
      </c>
      <c r="L144" s="43">
        <f t="shared" ref="L144" si="150">H144-K144</f>
        <v>16526.5</v>
      </c>
      <c r="M144" s="43"/>
      <c r="N144" s="43">
        <f t="shared" ref="N144" si="151">L144-M144</f>
        <v>16526.5</v>
      </c>
      <c r="O144" s="43">
        <f t="shared" ref="O144" si="152">H144/1000*70</f>
        <v>1167.5999999999999</v>
      </c>
      <c r="P144" s="42">
        <v>19000</v>
      </c>
      <c r="Q144" s="42">
        <v>20.75</v>
      </c>
      <c r="R144" s="42">
        <f t="shared" ref="R144" si="153">L144*Q144</f>
        <v>342924.875</v>
      </c>
    </row>
    <row r="146" spans="1:18">
      <c r="A146" s="374" t="s">
        <v>3523</v>
      </c>
      <c r="B146" s="42" t="s">
        <v>103</v>
      </c>
      <c r="C146" s="42" t="s">
        <v>88</v>
      </c>
      <c r="D146" s="42" t="s">
        <v>16</v>
      </c>
      <c r="E146" s="47" t="s">
        <v>1037</v>
      </c>
      <c r="F146" s="47">
        <v>286</v>
      </c>
      <c r="G146" s="47"/>
      <c r="H146" s="47">
        <v>15820</v>
      </c>
      <c r="I146" s="47">
        <v>270</v>
      </c>
      <c r="J146" s="47">
        <v>0.13</v>
      </c>
      <c r="K146" s="43">
        <f t="shared" ref="K146:K149" si="154">I146*J146</f>
        <v>35.1</v>
      </c>
      <c r="L146" s="43">
        <f t="shared" ref="L146:L149" si="155">H146-K146</f>
        <v>15784.9</v>
      </c>
      <c r="M146" s="43">
        <f>L146*4%</f>
        <v>631.39599999999996</v>
      </c>
      <c r="N146" s="43">
        <f t="shared" ref="N146:N149" si="156">L146-M146</f>
        <v>15153.503999999999</v>
      </c>
      <c r="O146" s="43">
        <f t="shared" ref="O146:O149" si="157">H146/1000*70</f>
        <v>1107.4000000000001</v>
      </c>
      <c r="P146" s="42">
        <v>17000</v>
      </c>
      <c r="Q146" s="42">
        <v>20.75</v>
      </c>
      <c r="R146" s="42">
        <f t="shared" ref="R146:R149" si="158">L146*Q146</f>
        <v>327536.67499999999</v>
      </c>
    </row>
    <row r="147" spans="1:18">
      <c r="A147" s="374"/>
      <c r="B147" s="42" t="s">
        <v>103</v>
      </c>
      <c r="C147" s="42" t="s">
        <v>88</v>
      </c>
      <c r="D147" s="42" t="s">
        <v>16</v>
      </c>
      <c r="E147" s="47" t="s">
        <v>3516</v>
      </c>
      <c r="F147" s="47">
        <v>3660</v>
      </c>
      <c r="G147" s="47"/>
      <c r="H147" s="47">
        <v>16550</v>
      </c>
      <c r="I147" s="47">
        <v>280</v>
      </c>
      <c r="J147" s="47">
        <v>0.5</v>
      </c>
      <c r="K147" s="43">
        <f t="shared" si="154"/>
        <v>140</v>
      </c>
      <c r="L147" s="43">
        <f t="shared" si="155"/>
        <v>16410</v>
      </c>
      <c r="M147" s="43"/>
      <c r="N147" s="43">
        <f t="shared" si="156"/>
        <v>16410</v>
      </c>
      <c r="O147" s="43">
        <f t="shared" si="157"/>
        <v>1158.5</v>
      </c>
      <c r="P147" s="42">
        <v>22000</v>
      </c>
      <c r="Q147" s="42">
        <v>20.75</v>
      </c>
      <c r="R147" s="42">
        <f t="shared" si="158"/>
        <v>340507.5</v>
      </c>
    </row>
    <row r="148" spans="1:18">
      <c r="A148" s="374"/>
      <c r="B148" s="42" t="s">
        <v>103</v>
      </c>
      <c r="C148" s="42" t="s">
        <v>88</v>
      </c>
      <c r="D148" s="42" t="s">
        <v>16</v>
      </c>
      <c r="E148" s="47" t="s">
        <v>3517</v>
      </c>
      <c r="F148" s="47">
        <v>3190</v>
      </c>
      <c r="G148" s="47"/>
      <c r="H148" s="47">
        <v>16750</v>
      </c>
      <c r="I148" s="47">
        <v>296</v>
      </c>
      <c r="J148" s="47">
        <v>0.5</v>
      </c>
      <c r="K148" s="43">
        <f t="shared" si="154"/>
        <v>148</v>
      </c>
      <c r="L148" s="43">
        <f t="shared" si="155"/>
        <v>16602</v>
      </c>
      <c r="M148" s="43"/>
      <c r="N148" s="43">
        <f t="shared" si="156"/>
        <v>16602</v>
      </c>
      <c r="O148" s="43">
        <f t="shared" si="157"/>
        <v>1172.5</v>
      </c>
      <c r="P148" s="42">
        <v>22000</v>
      </c>
      <c r="Q148" s="42">
        <v>20.75</v>
      </c>
      <c r="R148" s="42">
        <f t="shared" si="158"/>
        <v>344491.5</v>
      </c>
    </row>
    <row r="149" spans="1:18">
      <c r="A149" s="374"/>
      <c r="B149" s="42" t="s">
        <v>103</v>
      </c>
      <c r="C149" s="42" t="s">
        <v>88</v>
      </c>
      <c r="D149" s="42" t="s">
        <v>16</v>
      </c>
      <c r="E149" s="47" t="s">
        <v>2927</v>
      </c>
      <c r="F149" s="47">
        <v>646</v>
      </c>
      <c r="G149" s="47"/>
      <c r="H149" s="47">
        <v>21040</v>
      </c>
      <c r="I149" s="47">
        <v>326</v>
      </c>
      <c r="J149" s="47">
        <v>0.13</v>
      </c>
      <c r="K149" s="43">
        <f t="shared" si="154"/>
        <v>42.38</v>
      </c>
      <c r="L149" s="43">
        <f t="shared" si="155"/>
        <v>20997.62</v>
      </c>
      <c r="M149" s="43"/>
      <c r="N149" s="43">
        <f t="shared" si="156"/>
        <v>20997.62</v>
      </c>
      <c r="O149" s="43">
        <f t="shared" si="157"/>
        <v>1472.8</v>
      </c>
      <c r="P149" s="42">
        <v>28000</v>
      </c>
      <c r="Q149" s="42">
        <v>20.75</v>
      </c>
      <c r="R149" s="42">
        <f t="shared" si="158"/>
        <v>435700.61499999999</v>
      </c>
    </row>
    <row r="151" spans="1:18">
      <c r="A151" s="1" t="s">
        <v>3537</v>
      </c>
      <c r="B151" s="42" t="s">
        <v>103</v>
      </c>
      <c r="C151" s="42" t="s">
        <v>88</v>
      </c>
      <c r="D151" s="42" t="s">
        <v>16</v>
      </c>
      <c r="E151" s="47" t="s">
        <v>573</v>
      </c>
      <c r="F151" s="47">
        <v>1056</v>
      </c>
      <c r="G151" s="47"/>
      <c r="H151" s="47">
        <v>19980</v>
      </c>
      <c r="I151" s="47">
        <v>328</v>
      </c>
      <c r="J151" s="47">
        <v>0.13</v>
      </c>
      <c r="K151" s="43">
        <f t="shared" ref="K151:K152" si="159">I151*J151</f>
        <v>42.64</v>
      </c>
      <c r="L151" s="43">
        <f t="shared" ref="L151:L152" si="160">H151-K151</f>
        <v>19937.36</v>
      </c>
      <c r="M151" s="43"/>
      <c r="N151" s="43">
        <f t="shared" ref="N151:N152" si="161">L151-M151</f>
        <v>19937.36</v>
      </c>
      <c r="O151" s="43">
        <f t="shared" ref="O151:O152" si="162">H151/1000*70</f>
        <v>1398.6000000000001</v>
      </c>
      <c r="P151" s="42">
        <v>11000</v>
      </c>
      <c r="Q151" s="42">
        <v>20.75</v>
      </c>
      <c r="R151" s="42">
        <f t="shared" ref="R151:R152" si="163">L151*Q151</f>
        <v>413700.22000000003</v>
      </c>
    </row>
    <row r="152" spans="1:18">
      <c r="A152" s="1" t="s">
        <v>3538</v>
      </c>
      <c r="B152" s="42" t="s">
        <v>103</v>
      </c>
      <c r="C152" s="42" t="s">
        <v>88</v>
      </c>
      <c r="D152" s="42" t="s">
        <v>16</v>
      </c>
      <c r="E152" s="47" t="s">
        <v>3539</v>
      </c>
      <c r="F152" s="47">
        <v>1059</v>
      </c>
      <c r="G152" s="47"/>
      <c r="H152" s="47">
        <v>20800</v>
      </c>
      <c r="I152" s="47">
        <v>320</v>
      </c>
      <c r="J152" s="47">
        <v>0.13</v>
      </c>
      <c r="K152" s="43">
        <f t="shared" si="159"/>
        <v>41.6</v>
      </c>
      <c r="L152" s="43">
        <f t="shared" si="160"/>
        <v>20758.400000000001</v>
      </c>
      <c r="M152" s="43"/>
      <c r="N152" s="43">
        <f t="shared" si="161"/>
        <v>20758.400000000001</v>
      </c>
      <c r="O152" s="43">
        <f t="shared" si="162"/>
        <v>1456</v>
      </c>
      <c r="P152" s="42">
        <v>9000</v>
      </c>
      <c r="Q152" s="42">
        <v>20.75</v>
      </c>
      <c r="R152" s="42">
        <f t="shared" si="163"/>
        <v>430736.80000000005</v>
      </c>
    </row>
    <row r="154" spans="1:18">
      <c r="A154" s="1" t="s">
        <v>3631</v>
      </c>
      <c r="B154" s="42" t="s">
        <v>3635</v>
      </c>
      <c r="C154" s="42" t="s">
        <v>88</v>
      </c>
      <c r="D154" s="42" t="s">
        <v>16</v>
      </c>
      <c r="E154" s="47" t="s">
        <v>3614</v>
      </c>
      <c r="F154" s="47">
        <v>3458</v>
      </c>
      <c r="G154" s="47">
        <v>2614</v>
      </c>
      <c r="H154" s="47">
        <v>13440</v>
      </c>
      <c r="I154" s="47">
        <v>216</v>
      </c>
      <c r="J154" s="47">
        <v>0.5</v>
      </c>
      <c r="K154" s="43">
        <f t="shared" ref="K154:K178" si="164">I154*J154</f>
        <v>108</v>
      </c>
      <c r="L154" s="43">
        <f t="shared" ref="L154:L178" si="165">H154-K154</f>
        <v>13332</v>
      </c>
      <c r="M154" s="43"/>
      <c r="N154" s="43">
        <f t="shared" ref="N154:N178" si="166">L154-M154</f>
        <v>13332</v>
      </c>
      <c r="O154" s="43">
        <f t="shared" ref="O154" si="167">H154/1000*70</f>
        <v>940.8</v>
      </c>
      <c r="P154" s="42">
        <v>18000</v>
      </c>
      <c r="Q154" s="42">
        <v>20</v>
      </c>
      <c r="R154" s="42">
        <f t="shared" ref="R154:R160" si="168">L154*Q154</f>
        <v>266640</v>
      </c>
    </row>
    <row r="155" spans="1:18">
      <c r="A155" s="21" t="s">
        <v>3632</v>
      </c>
      <c r="B155" s="42" t="s">
        <v>3635</v>
      </c>
      <c r="C155" s="42" t="s">
        <v>88</v>
      </c>
      <c r="D155" s="42" t="s">
        <v>16</v>
      </c>
      <c r="E155" s="47" t="s">
        <v>3621</v>
      </c>
      <c r="F155" s="47">
        <v>317</v>
      </c>
      <c r="G155" s="47">
        <v>2620</v>
      </c>
      <c r="H155" s="47">
        <v>15590</v>
      </c>
      <c r="I155" s="47">
        <v>260</v>
      </c>
      <c r="J155" s="47">
        <v>0.5</v>
      </c>
      <c r="K155" s="43">
        <f t="shared" si="164"/>
        <v>130</v>
      </c>
      <c r="L155" s="43">
        <f t="shared" si="165"/>
        <v>15460</v>
      </c>
      <c r="M155" s="43"/>
      <c r="N155" s="43">
        <f t="shared" si="166"/>
        <v>15460</v>
      </c>
      <c r="O155" s="43">
        <f>H155/1000*70</f>
        <v>1091.3</v>
      </c>
      <c r="P155" s="42">
        <v>22700</v>
      </c>
      <c r="Q155" s="42">
        <v>20</v>
      </c>
      <c r="R155" s="42">
        <f t="shared" si="168"/>
        <v>309200</v>
      </c>
    </row>
    <row r="156" spans="1:18">
      <c r="A156" s="374" t="s">
        <v>3637</v>
      </c>
      <c r="B156" s="42" t="s">
        <v>115</v>
      </c>
      <c r="C156" s="42" t="s">
        <v>88</v>
      </c>
      <c r="D156" s="42" t="s">
        <v>16</v>
      </c>
      <c r="E156" s="47" t="s">
        <v>3177</v>
      </c>
      <c r="F156" s="47">
        <v>318</v>
      </c>
      <c r="G156" s="47"/>
      <c r="H156" s="47">
        <v>17720</v>
      </c>
      <c r="I156" s="47">
        <v>285</v>
      </c>
      <c r="J156" s="47">
        <v>0.5</v>
      </c>
      <c r="K156" s="43">
        <f t="shared" si="164"/>
        <v>142.5</v>
      </c>
      <c r="L156" s="43">
        <f t="shared" si="165"/>
        <v>17577.5</v>
      </c>
      <c r="M156" s="43"/>
      <c r="N156" s="43">
        <f t="shared" si="166"/>
        <v>17577.5</v>
      </c>
      <c r="O156" s="43">
        <f t="shared" ref="O156:O178" si="169">H156/1000*70</f>
        <v>1240.3999999999999</v>
      </c>
      <c r="P156" s="42">
        <v>25200</v>
      </c>
      <c r="Q156" s="42">
        <v>20</v>
      </c>
      <c r="R156" s="42">
        <f t="shared" si="168"/>
        <v>351550</v>
      </c>
    </row>
    <row r="157" spans="1:18">
      <c r="A157" s="374"/>
      <c r="B157" s="42" t="s">
        <v>115</v>
      </c>
      <c r="C157" s="42" t="s">
        <v>88</v>
      </c>
      <c r="D157" s="42" t="s">
        <v>16</v>
      </c>
      <c r="E157" s="47" t="s">
        <v>2717</v>
      </c>
      <c r="F157" s="47">
        <v>0</v>
      </c>
      <c r="G157" s="47"/>
      <c r="H157" s="47">
        <v>15600</v>
      </c>
      <c r="I157" s="47">
        <v>260</v>
      </c>
      <c r="J157" s="47">
        <v>0.5</v>
      </c>
      <c r="K157" s="43">
        <f t="shared" si="164"/>
        <v>130</v>
      </c>
      <c r="L157" s="43">
        <f t="shared" si="165"/>
        <v>15470</v>
      </c>
      <c r="M157" s="43"/>
      <c r="N157" s="43">
        <f t="shared" si="166"/>
        <v>15470</v>
      </c>
      <c r="O157" s="43">
        <f t="shared" si="169"/>
        <v>1092</v>
      </c>
      <c r="P157" s="42">
        <v>13000</v>
      </c>
      <c r="Q157" s="42">
        <v>20</v>
      </c>
      <c r="R157" s="42">
        <f t="shared" si="168"/>
        <v>309400</v>
      </c>
    </row>
    <row r="158" spans="1:18">
      <c r="A158" s="21" t="s">
        <v>3643</v>
      </c>
      <c r="B158" s="42" t="s">
        <v>115</v>
      </c>
      <c r="C158" s="42" t="s">
        <v>88</v>
      </c>
      <c r="D158" s="42" t="s">
        <v>16</v>
      </c>
      <c r="E158" s="47" t="s">
        <v>3295</v>
      </c>
      <c r="F158" s="47">
        <v>320</v>
      </c>
      <c r="G158" s="47"/>
      <c r="H158" s="47">
        <v>15410</v>
      </c>
      <c r="I158" s="47">
        <v>260</v>
      </c>
      <c r="J158" s="47">
        <v>0.5</v>
      </c>
      <c r="K158" s="43">
        <f t="shared" si="164"/>
        <v>130</v>
      </c>
      <c r="L158" s="43">
        <f t="shared" si="165"/>
        <v>15280</v>
      </c>
      <c r="M158" s="43"/>
      <c r="N158" s="43">
        <f t="shared" si="166"/>
        <v>15280</v>
      </c>
      <c r="O158" s="43">
        <f t="shared" si="169"/>
        <v>1078.7</v>
      </c>
      <c r="P158" s="42">
        <v>20000</v>
      </c>
      <c r="Q158" s="42">
        <v>20</v>
      </c>
      <c r="R158" s="42">
        <f t="shared" si="168"/>
        <v>305600</v>
      </c>
    </row>
    <row r="159" spans="1:18">
      <c r="A159" s="21" t="s">
        <v>3666</v>
      </c>
      <c r="B159" s="42" t="s">
        <v>115</v>
      </c>
      <c r="C159" s="42" t="s">
        <v>88</v>
      </c>
      <c r="D159" s="42" t="s">
        <v>16</v>
      </c>
      <c r="E159" s="47" t="s">
        <v>3675</v>
      </c>
      <c r="F159" s="47">
        <v>1091</v>
      </c>
      <c r="G159" s="47"/>
      <c r="H159" s="47">
        <v>16220</v>
      </c>
      <c r="I159" s="47">
        <v>270</v>
      </c>
      <c r="J159" s="47">
        <v>0.5</v>
      </c>
      <c r="K159" s="43">
        <f t="shared" si="164"/>
        <v>135</v>
      </c>
      <c r="L159" s="43">
        <f t="shared" si="165"/>
        <v>16085</v>
      </c>
      <c r="M159" s="43"/>
      <c r="N159" s="43">
        <f t="shared" si="166"/>
        <v>16085</v>
      </c>
      <c r="O159" s="43">
        <f t="shared" si="169"/>
        <v>1135.3999999999999</v>
      </c>
      <c r="P159" s="42">
        <v>17000</v>
      </c>
      <c r="Q159" s="42"/>
      <c r="R159" s="42">
        <f t="shared" si="168"/>
        <v>0</v>
      </c>
    </row>
    <row r="160" spans="1:18">
      <c r="A160" s="374" t="s">
        <v>3693</v>
      </c>
      <c r="B160" s="42" t="s">
        <v>115</v>
      </c>
      <c r="C160" s="42" t="s">
        <v>88</v>
      </c>
      <c r="D160" s="42" t="s">
        <v>16</v>
      </c>
      <c r="E160" s="47" t="s">
        <v>2927</v>
      </c>
      <c r="F160" s="47">
        <v>3459</v>
      </c>
      <c r="G160" s="47"/>
      <c r="H160" s="47">
        <v>19900</v>
      </c>
      <c r="I160" s="47">
        <v>300</v>
      </c>
      <c r="J160" s="47">
        <v>0.13</v>
      </c>
      <c r="K160" s="43">
        <f t="shared" si="164"/>
        <v>39</v>
      </c>
      <c r="L160" s="43">
        <f t="shared" si="165"/>
        <v>19861</v>
      </c>
      <c r="M160" s="43"/>
      <c r="N160" s="43">
        <f t="shared" si="166"/>
        <v>19861</v>
      </c>
      <c r="O160" s="43">
        <f t="shared" si="169"/>
        <v>1393</v>
      </c>
      <c r="P160" s="42">
        <v>12000</v>
      </c>
      <c r="Q160" s="42">
        <v>19.75</v>
      </c>
      <c r="R160" s="42">
        <f t="shared" si="168"/>
        <v>392254.75</v>
      </c>
    </row>
    <row r="161" spans="1:19">
      <c r="A161" s="374"/>
      <c r="B161" s="42" t="s">
        <v>115</v>
      </c>
      <c r="C161" s="42" t="s">
        <v>88</v>
      </c>
      <c r="D161" s="42" t="s">
        <v>16</v>
      </c>
      <c r="E161" s="47" t="s">
        <v>3694</v>
      </c>
      <c r="F161" s="47">
        <v>1230</v>
      </c>
      <c r="G161" s="47"/>
      <c r="H161" s="47">
        <v>15590</v>
      </c>
      <c r="I161" s="47">
        <v>280</v>
      </c>
      <c r="J161" s="47">
        <v>0.5</v>
      </c>
      <c r="K161" s="43">
        <f t="shared" si="164"/>
        <v>140</v>
      </c>
      <c r="L161" s="43">
        <f t="shared" si="165"/>
        <v>15450</v>
      </c>
      <c r="M161" s="43"/>
      <c r="N161" s="43">
        <f t="shared" si="166"/>
        <v>15450</v>
      </c>
      <c r="O161" s="43">
        <f t="shared" si="169"/>
        <v>1091.3</v>
      </c>
      <c r="P161" s="42">
        <v>15500</v>
      </c>
      <c r="Q161" s="42">
        <v>19.75</v>
      </c>
      <c r="R161" s="42">
        <f>L161*Q161</f>
        <v>305137.5</v>
      </c>
    </row>
    <row r="162" spans="1:19">
      <c r="A162" s="21" t="s">
        <v>3716</v>
      </c>
      <c r="B162" s="42" t="s">
        <v>115</v>
      </c>
      <c r="C162" s="42" t="s">
        <v>88</v>
      </c>
      <c r="D162" s="42" t="s">
        <v>16</v>
      </c>
      <c r="E162" s="47" t="s">
        <v>3718</v>
      </c>
      <c r="F162" s="47">
        <v>643</v>
      </c>
      <c r="G162" s="47"/>
      <c r="H162" s="47">
        <v>16230</v>
      </c>
      <c r="I162" s="47">
        <v>281</v>
      </c>
      <c r="J162" s="47">
        <v>0.5</v>
      </c>
      <c r="K162" s="43">
        <f t="shared" si="164"/>
        <v>140.5</v>
      </c>
      <c r="L162" s="43">
        <f t="shared" si="165"/>
        <v>16089.5</v>
      </c>
      <c r="M162" s="43"/>
      <c r="N162" s="43">
        <f t="shared" si="166"/>
        <v>16089.5</v>
      </c>
      <c r="O162" s="43">
        <f t="shared" si="169"/>
        <v>1136.1000000000001</v>
      </c>
      <c r="P162" s="42">
        <v>14000</v>
      </c>
      <c r="Q162" s="42"/>
      <c r="R162" s="42">
        <f t="shared" ref="R162:R178" si="170">L162*Q162</f>
        <v>0</v>
      </c>
      <c r="S162" s="42"/>
    </row>
    <row r="163" spans="1:19">
      <c r="A163" s="21" t="s">
        <v>3721</v>
      </c>
      <c r="B163" s="42" t="s">
        <v>115</v>
      </c>
      <c r="C163" s="42" t="s">
        <v>88</v>
      </c>
      <c r="D163" s="42" t="s">
        <v>16</v>
      </c>
      <c r="E163" s="47" t="s">
        <v>2927</v>
      </c>
      <c r="F163" s="47">
        <v>3460</v>
      </c>
      <c r="G163" s="47"/>
      <c r="H163" s="47">
        <v>23150</v>
      </c>
      <c r="I163" s="47">
        <v>320</v>
      </c>
      <c r="J163" s="47">
        <v>0.13</v>
      </c>
      <c r="K163" s="43">
        <f t="shared" si="164"/>
        <v>41.6</v>
      </c>
      <c r="L163" s="43">
        <f t="shared" si="165"/>
        <v>23108.400000000001</v>
      </c>
      <c r="M163" s="43"/>
      <c r="N163" s="43">
        <f t="shared" si="166"/>
        <v>23108.400000000001</v>
      </c>
      <c r="O163" s="43">
        <f t="shared" si="169"/>
        <v>1620.5</v>
      </c>
      <c r="P163" s="42">
        <v>17000</v>
      </c>
      <c r="Q163" s="42">
        <v>19.75</v>
      </c>
      <c r="R163" s="42">
        <f t="shared" si="170"/>
        <v>456390.9</v>
      </c>
    </row>
    <row r="164" spans="1:19">
      <c r="A164" s="374" t="s">
        <v>3760</v>
      </c>
      <c r="B164" s="42" t="s">
        <v>103</v>
      </c>
      <c r="C164" s="42" t="s">
        <v>88</v>
      </c>
      <c r="D164" s="42" t="s">
        <v>16</v>
      </c>
      <c r="E164" s="47" t="s">
        <v>3761</v>
      </c>
      <c r="F164" s="47">
        <v>0</v>
      </c>
      <c r="G164" s="47"/>
      <c r="H164" s="47">
        <v>15650</v>
      </c>
      <c r="I164" s="47">
        <v>314</v>
      </c>
      <c r="J164" s="47">
        <v>0.5</v>
      </c>
      <c r="K164" s="43">
        <f t="shared" si="164"/>
        <v>157</v>
      </c>
      <c r="L164" s="43">
        <f t="shared" si="165"/>
        <v>15493</v>
      </c>
      <c r="M164" s="43"/>
      <c r="N164" s="43">
        <f t="shared" si="166"/>
        <v>15493</v>
      </c>
      <c r="O164" s="43">
        <f t="shared" si="169"/>
        <v>1095.5</v>
      </c>
      <c r="P164" s="42">
        <v>13000</v>
      </c>
      <c r="Q164" s="42">
        <v>19.75</v>
      </c>
      <c r="R164" s="42">
        <f t="shared" si="170"/>
        <v>305986.75</v>
      </c>
    </row>
    <row r="165" spans="1:19">
      <c r="A165" s="374"/>
      <c r="B165" s="42" t="s">
        <v>103</v>
      </c>
      <c r="C165" s="42" t="s">
        <v>88</v>
      </c>
      <c r="D165" s="42" t="s">
        <v>16</v>
      </c>
      <c r="E165" s="47" t="s">
        <v>3762</v>
      </c>
      <c r="F165" s="47">
        <v>1304</v>
      </c>
      <c r="G165" s="47"/>
      <c r="H165" s="47">
        <v>16590</v>
      </c>
      <c r="I165" s="47">
        <v>260</v>
      </c>
      <c r="J165" s="47">
        <v>0.5</v>
      </c>
      <c r="K165" s="43">
        <f t="shared" si="164"/>
        <v>130</v>
      </c>
      <c r="L165" s="43">
        <f t="shared" si="165"/>
        <v>16460</v>
      </c>
      <c r="M165" s="43"/>
      <c r="N165" s="43">
        <f t="shared" si="166"/>
        <v>16460</v>
      </c>
      <c r="O165" s="43">
        <f t="shared" si="169"/>
        <v>1161.3</v>
      </c>
      <c r="P165" s="42">
        <v>15000</v>
      </c>
      <c r="Q165" s="42">
        <v>19.75</v>
      </c>
      <c r="R165" s="42">
        <f t="shared" si="170"/>
        <v>325085</v>
      </c>
    </row>
    <row r="166" spans="1:19">
      <c r="A166" s="21" t="s">
        <v>3770</v>
      </c>
      <c r="B166" s="42" t="s">
        <v>103</v>
      </c>
      <c r="C166" s="42" t="s">
        <v>88</v>
      </c>
      <c r="D166" s="42" t="s">
        <v>16</v>
      </c>
      <c r="E166" s="47" t="s">
        <v>3505</v>
      </c>
      <c r="F166" s="47">
        <v>9076</v>
      </c>
      <c r="G166" s="47"/>
      <c r="H166" s="47">
        <v>15980</v>
      </c>
      <c r="I166" s="47">
        <v>290</v>
      </c>
      <c r="J166" s="47">
        <v>0.5</v>
      </c>
      <c r="K166" s="43">
        <f t="shared" si="164"/>
        <v>145</v>
      </c>
      <c r="L166" s="43">
        <f t="shared" si="165"/>
        <v>15835</v>
      </c>
      <c r="M166" s="43"/>
      <c r="N166" s="43">
        <f t="shared" si="166"/>
        <v>15835</v>
      </c>
      <c r="O166" s="43">
        <f t="shared" si="169"/>
        <v>1118.6000000000001</v>
      </c>
      <c r="P166" s="42">
        <v>12000</v>
      </c>
      <c r="Q166" s="42">
        <v>19.75</v>
      </c>
      <c r="R166" s="42">
        <f t="shared" si="170"/>
        <v>312741.25</v>
      </c>
    </row>
    <row r="167" spans="1:19">
      <c r="A167" s="21" t="s">
        <v>3775</v>
      </c>
      <c r="B167" s="42" t="s">
        <v>103</v>
      </c>
      <c r="C167" s="42" t="s">
        <v>88</v>
      </c>
      <c r="D167" s="42" t="s">
        <v>16</v>
      </c>
      <c r="E167" s="47" t="s">
        <v>2717</v>
      </c>
      <c r="F167" s="47">
        <v>0</v>
      </c>
      <c r="G167" s="47"/>
      <c r="H167" s="47">
        <v>15650</v>
      </c>
      <c r="I167" s="47">
        <v>260</v>
      </c>
      <c r="J167" s="47">
        <v>0.5</v>
      </c>
      <c r="K167" s="43">
        <f t="shared" si="164"/>
        <v>130</v>
      </c>
      <c r="L167" s="43">
        <f t="shared" si="165"/>
        <v>15520</v>
      </c>
      <c r="M167" s="43"/>
      <c r="N167" s="43">
        <f t="shared" si="166"/>
        <v>15520</v>
      </c>
      <c r="O167" s="43">
        <f t="shared" si="169"/>
        <v>1095.5</v>
      </c>
      <c r="P167" s="42">
        <v>13000</v>
      </c>
      <c r="Q167" s="42">
        <v>20.149999999999999</v>
      </c>
      <c r="R167" s="42">
        <f t="shared" si="170"/>
        <v>312728</v>
      </c>
    </row>
    <row r="168" spans="1:19">
      <c r="A168" s="374" t="s">
        <v>3787</v>
      </c>
      <c r="B168" s="42" t="s">
        <v>115</v>
      </c>
      <c r="C168" s="42" t="s">
        <v>88</v>
      </c>
      <c r="D168" s="42" t="s">
        <v>16</v>
      </c>
      <c r="E168" s="47" t="s">
        <v>2717</v>
      </c>
      <c r="F168" s="47">
        <v>0</v>
      </c>
      <c r="G168" s="47"/>
      <c r="H168" s="47">
        <v>15630</v>
      </c>
      <c r="I168" s="47">
        <v>314</v>
      </c>
      <c r="J168" s="47">
        <v>0.5</v>
      </c>
      <c r="K168" s="43">
        <f t="shared" si="164"/>
        <v>157</v>
      </c>
      <c r="L168" s="43">
        <f t="shared" si="165"/>
        <v>15473</v>
      </c>
      <c r="M168" s="43"/>
      <c r="N168" s="43">
        <f t="shared" si="166"/>
        <v>15473</v>
      </c>
      <c r="O168" s="43">
        <f t="shared" si="169"/>
        <v>1094.1000000000001</v>
      </c>
      <c r="P168" s="42">
        <v>12500</v>
      </c>
      <c r="Q168" s="42">
        <v>20.149999999999999</v>
      </c>
      <c r="R168" s="42">
        <f t="shared" si="170"/>
        <v>311780.94999999995</v>
      </c>
    </row>
    <row r="169" spans="1:19">
      <c r="A169" s="374"/>
      <c r="B169" s="42" t="s">
        <v>115</v>
      </c>
      <c r="C169" s="42" t="s">
        <v>88</v>
      </c>
      <c r="D169" s="42" t="s">
        <v>16</v>
      </c>
      <c r="E169" s="47" t="s">
        <v>3788</v>
      </c>
      <c r="F169" s="47">
        <v>0</v>
      </c>
      <c r="G169" s="47"/>
      <c r="H169" s="47">
        <v>15630</v>
      </c>
      <c r="I169" s="47">
        <v>314</v>
      </c>
      <c r="J169" s="47">
        <v>0.5</v>
      </c>
      <c r="K169" s="43">
        <f t="shared" si="164"/>
        <v>157</v>
      </c>
      <c r="L169" s="43">
        <f t="shared" si="165"/>
        <v>15473</v>
      </c>
      <c r="M169" s="43"/>
      <c r="N169" s="43">
        <f t="shared" si="166"/>
        <v>15473</v>
      </c>
      <c r="O169" s="43">
        <f t="shared" si="169"/>
        <v>1094.1000000000001</v>
      </c>
      <c r="P169" s="42">
        <v>12500</v>
      </c>
      <c r="Q169" s="42">
        <v>20.149999999999999</v>
      </c>
      <c r="R169" s="42">
        <f t="shared" si="170"/>
        <v>311780.94999999995</v>
      </c>
    </row>
    <row r="170" spans="1:19">
      <c r="A170" s="374"/>
      <c r="B170" s="42" t="s">
        <v>115</v>
      </c>
      <c r="C170" s="42" t="s">
        <v>88</v>
      </c>
      <c r="D170" s="42" t="s">
        <v>16</v>
      </c>
      <c r="E170" s="47" t="s">
        <v>3755</v>
      </c>
      <c r="F170" s="47">
        <v>9077</v>
      </c>
      <c r="G170" s="47"/>
      <c r="H170" s="47">
        <v>16020</v>
      </c>
      <c r="I170" s="47">
        <v>292</v>
      </c>
      <c r="J170" s="47">
        <v>0.5</v>
      </c>
      <c r="K170" s="43">
        <f t="shared" si="164"/>
        <v>146</v>
      </c>
      <c r="L170" s="43">
        <f t="shared" si="165"/>
        <v>15874</v>
      </c>
      <c r="M170" s="43"/>
      <c r="N170" s="43">
        <f t="shared" si="166"/>
        <v>15874</v>
      </c>
      <c r="O170" s="43">
        <f t="shared" si="169"/>
        <v>1121.3999999999999</v>
      </c>
      <c r="P170" s="42">
        <v>13000</v>
      </c>
      <c r="Q170" s="42">
        <v>20.149999999999999</v>
      </c>
      <c r="R170" s="42">
        <f t="shared" si="170"/>
        <v>319861.09999999998</v>
      </c>
    </row>
    <row r="171" spans="1:19">
      <c r="B171" s="42" t="s">
        <v>115</v>
      </c>
      <c r="C171" s="42" t="s">
        <v>88</v>
      </c>
      <c r="D171" s="42" t="s">
        <v>16</v>
      </c>
      <c r="E171" s="47" t="s">
        <v>3791</v>
      </c>
      <c r="F171" s="47">
        <v>3461</v>
      </c>
      <c r="G171" s="47"/>
      <c r="H171" s="47">
        <v>16970</v>
      </c>
      <c r="I171" s="47">
        <v>242</v>
      </c>
      <c r="J171" s="47">
        <v>0.13</v>
      </c>
      <c r="K171" s="43">
        <f t="shared" si="164"/>
        <v>31.46</v>
      </c>
      <c r="L171" s="43">
        <f t="shared" si="165"/>
        <v>16938.54</v>
      </c>
      <c r="M171" s="43"/>
      <c r="N171" s="43">
        <f t="shared" si="166"/>
        <v>16938.54</v>
      </c>
      <c r="O171" s="43">
        <f t="shared" si="169"/>
        <v>1187.8999999999999</v>
      </c>
      <c r="P171" s="42">
        <v>10000</v>
      </c>
      <c r="Q171" s="42">
        <v>20.149999999999999</v>
      </c>
      <c r="R171" s="42">
        <f t="shared" si="170"/>
        <v>341311.58100000001</v>
      </c>
    </row>
    <row r="172" spans="1:19">
      <c r="A172" s="374" t="s">
        <v>3908</v>
      </c>
      <c r="B172" s="328" t="s">
        <v>103</v>
      </c>
      <c r="C172" s="328" t="s">
        <v>88</v>
      </c>
      <c r="D172" s="42" t="s">
        <v>16</v>
      </c>
      <c r="E172" s="328" t="s">
        <v>3909</v>
      </c>
      <c r="F172" s="328">
        <v>2158</v>
      </c>
      <c r="G172" s="328"/>
      <c r="H172" s="328">
        <v>19940</v>
      </c>
      <c r="I172" s="328">
        <v>400</v>
      </c>
      <c r="J172" s="328">
        <v>0.13</v>
      </c>
      <c r="K172" s="43">
        <f t="shared" si="164"/>
        <v>52</v>
      </c>
      <c r="L172" s="43">
        <f t="shared" si="165"/>
        <v>19888</v>
      </c>
      <c r="M172" s="43"/>
      <c r="N172" s="43">
        <f t="shared" si="166"/>
        <v>19888</v>
      </c>
      <c r="O172" s="43">
        <f t="shared" si="169"/>
        <v>1395.8000000000002</v>
      </c>
      <c r="P172" s="42">
        <v>10000</v>
      </c>
      <c r="Q172" s="42"/>
      <c r="R172" s="42">
        <f t="shared" si="170"/>
        <v>0</v>
      </c>
    </row>
    <row r="173" spans="1:19">
      <c r="A173" s="374"/>
      <c r="B173" s="328" t="s">
        <v>103</v>
      </c>
      <c r="C173" s="328" t="s">
        <v>88</v>
      </c>
      <c r="D173" s="42" t="s">
        <v>16</v>
      </c>
      <c r="E173" s="328" t="s">
        <v>3910</v>
      </c>
      <c r="F173" s="328">
        <v>658</v>
      </c>
      <c r="G173" s="328"/>
      <c r="H173" s="328">
        <v>16230</v>
      </c>
      <c r="I173" s="328">
        <v>300</v>
      </c>
      <c r="J173" s="328">
        <v>0.5</v>
      </c>
      <c r="K173" s="43">
        <f t="shared" si="164"/>
        <v>150</v>
      </c>
      <c r="L173" s="43">
        <f t="shared" si="165"/>
        <v>16080</v>
      </c>
      <c r="M173" s="43"/>
      <c r="N173" s="43">
        <f t="shared" si="166"/>
        <v>16080</v>
      </c>
      <c r="O173" s="43">
        <f t="shared" si="169"/>
        <v>1136.1000000000001</v>
      </c>
      <c r="P173" s="42">
        <v>14300</v>
      </c>
      <c r="Q173" s="42"/>
      <c r="R173" s="42">
        <f t="shared" si="170"/>
        <v>0</v>
      </c>
    </row>
    <row r="174" spans="1:19">
      <c r="A174" s="374" t="s">
        <v>3926</v>
      </c>
      <c r="B174" s="334" t="s">
        <v>103</v>
      </c>
      <c r="C174" s="334" t="s">
        <v>88</v>
      </c>
      <c r="D174" s="42" t="s">
        <v>16</v>
      </c>
      <c r="E174" s="334" t="s">
        <v>3947</v>
      </c>
      <c r="F174" s="334">
        <v>0</v>
      </c>
      <c r="G174" s="334"/>
      <c r="H174" s="334">
        <v>16250</v>
      </c>
      <c r="I174" s="334">
        <f>H174/50</f>
        <v>325</v>
      </c>
      <c r="J174" s="334">
        <v>0.5</v>
      </c>
      <c r="K174" s="43">
        <f t="shared" si="164"/>
        <v>162.5</v>
      </c>
      <c r="L174" s="43">
        <f t="shared" si="165"/>
        <v>16087.5</v>
      </c>
      <c r="M174" s="43"/>
      <c r="N174" s="43">
        <f t="shared" si="166"/>
        <v>16087.5</v>
      </c>
      <c r="O174" s="43">
        <f t="shared" si="169"/>
        <v>1137.5</v>
      </c>
      <c r="P174" s="42">
        <v>14000</v>
      </c>
      <c r="Q174" s="42"/>
      <c r="R174" s="42">
        <f t="shared" si="170"/>
        <v>0</v>
      </c>
    </row>
    <row r="175" spans="1:19">
      <c r="A175" s="374"/>
      <c r="B175" s="334" t="s">
        <v>103</v>
      </c>
      <c r="C175" s="334" t="s">
        <v>88</v>
      </c>
      <c r="D175" s="42" t="s">
        <v>16</v>
      </c>
      <c r="E175" s="334" t="s">
        <v>3948</v>
      </c>
      <c r="F175" s="334">
        <v>659</v>
      </c>
      <c r="G175" s="334"/>
      <c r="H175" s="334">
        <v>15280</v>
      </c>
      <c r="I175" s="334">
        <v>280</v>
      </c>
      <c r="J175" s="334">
        <v>0.5</v>
      </c>
      <c r="K175" s="43">
        <f t="shared" si="164"/>
        <v>140</v>
      </c>
      <c r="L175" s="43">
        <f t="shared" si="165"/>
        <v>15140</v>
      </c>
      <c r="M175" s="43"/>
      <c r="N175" s="43">
        <f t="shared" si="166"/>
        <v>15140</v>
      </c>
      <c r="O175" s="43">
        <f t="shared" si="169"/>
        <v>1069.5999999999999</v>
      </c>
      <c r="P175" s="42">
        <v>14200</v>
      </c>
      <c r="Q175" s="42"/>
      <c r="R175" s="42">
        <f t="shared" si="170"/>
        <v>0</v>
      </c>
    </row>
    <row r="176" spans="1:19">
      <c r="A176" s="374" t="s">
        <v>4023</v>
      </c>
      <c r="B176" s="351" t="s">
        <v>103</v>
      </c>
      <c r="C176" s="351" t="s">
        <v>88</v>
      </c>
      <c r="D176" s="42" t="s">
        <v>16</v>
      </c>
      <c r="E176" s="351" t="s">
        <v>4024</v>
      </c>
      <c r="F176" s="351">
        <v>94</v>
      </c>
      <c r="G176" s="351"/>
      <c r="H176" s="351">
        <v>19940</v>
      </c>
      <c r="I176" s="351">
        <v>400</v>
      </c>
      <c r="J176" s="351">
        <v>0.13</v>
      </c>
      <c r="K176" s="43">
        <f t="shared" si="164"/>
        <v>52</v>
      </c>
      <c r="L176" s="43">
        <f t="shared" si="165"/>
        <v>19888</v>
      </c>
      <c r="M176" s="43"/>
      <c r="N176" s="43">
        <f t="shared" si="166"/>
        <v>19888</v>
      </c>
      <c r="O176" s="43">
        <f t="shared" si="169"/>
        <v>1395.8000000000002</v>
      </c>
      <c r="P176" s="42">
        <v>10500</v>
      </c>
      <c r="Q176" s="42"/>
      <c r="R176" s="42">
        <f t="shared" si="170"/>
        <v>0</v>
      </c>
    </row>
    <row r="177" spans="1:19">
      <c r="A177" s="374"/>
      <c r="B177" s="351" t="s">
        <v>103</v>
      </c>
      <c r="C177" s="351" t="s">
        <v>88</v>
      </c>
      <c r="D177" s="42" t="s">
        <v>16</v>
      </c>
      <c r="E177" s="351" t="s">
        <v>2927</v>
      </c>
      <c r="F177" s="351">
        <v>255</v>
      </c>
      <c r="G177" s="351"/>
      <c r="H177" s="351">
        <v>19900</v>
      </c>
      <c r="I177" s="351">
        <v>400</v>
      </c>
      <c r="J177" s="351">
        <v>0.13</v>
      </c>
      <c r="K177" s="43">
        <f t="shared" si="164"/>
        <v>52</v>
      </c>
      <c r="L177" s="43">
        <f t="shared" si="165"/>
        <v>19848</v>
      </c>
      <c r="M177" s="43"/>
      <c r="N177" s="43">
        <f t="shared" si="166"/>
        <v>19848</v>
      </c>
      <c r="O177" s="43">
        <f t="shared" si="169"/>
        <v>1393</v>
      </c>
      <c r="P177" s="42">
        <v>25000</v>
      </c>
      <c r="Q177" s="42"/>
      <c r="R177" s="42">
        <f t="shared" si="170"/>
        <v>0</v>
      </c>
    </row>
    <row r="178" spans="1:19">
      <c r="A178" s="1" t="s">
        <v>4034</v>
      </c>
      <c r="B178" s="356" t="s">
        <v>103</v>
      </c>
      <c r="C178" s="356" t="s">
        <v>88</v>
      </c>
      <c r="D178" s="42" t="s">
        <v>16</v>
      </c>
      <c r="E178" s="356" t="s">
        <v>1807</v>
      </c>
      <c r="F178" s="356">
        <v>665</v>
      </c>
      <c r="G178" s="356"/>
      <c r="H178" s="356">
        <v>14600</v>
      </c>
      <c r="I178" s="356">
        <v>270</v>
      </c>
      <c r="J178" s="356">
        <v>0.5</v>
      </c>
      <c r="K178" s="43">
        <f t="shared" si="164"/>
        <v>135</v>
      </c>
      <c r="L178" s="43">
        <f t="shared" si="165"/>
        <v>14465</v>
      </c>
      <c r="M178" s="43"/>
      <c r="N178" s="43">
        <f t="shared" si="166"/>
        <v>14465</v>
      </c>
      <c r="O178" s="43">
        <f t="shared" si="169"/>
        <v>1022</v>
      </c>
      <c r="P178" s="42">
        <v>16000</v>
      </c>
      <c r="Q178" s="42"/>
      <c r="R178" s="42">
        <f t="shared" si="170"/>
        <v>0</v>
      </c>
      <c r="S178" s="42"/>
    </row>
  </sheetData>
  <mergeCells count="24">
    <mergeCell ref="A66:A68"/>
    <mergeCell ref="A115:A117"/>
    <mergeCell ref="A83:A85"/>
    <mergeCell ref="A72:A74"/>
    <mergeCell ref="A70:A71"/>
    <mergeCell ref="A6:A7"/>
    <mergeCell ref="A15:A16"/>
    <mergeCell ref="A46:A47"/>
    <mergeCell ref="A48:A50"/>
    <mergeCell ref="A53:A55"/>
    <mergeCell ref="A51:A52"/>
    <mergeCell ref="A176:A177"/>
    <mergeCell ref="A174:A175"/>
    <mergeCell ref="A120:A121"/>
    <mergeCell ref="A156:A157"/>
    <mergeCell ref="A146:A149"/>
    <mergeCell ref="A139:A140"/>
    <mergeCell ref="A134:A135"/>
    <mergeCell ref="A136:A137"/>
    <mergeCell ref="A172:A173"/>
    <mergeCell ref="A168:A170"/>
    <mergeCell ref="A164:A165"/>
    <mergeCell ref="A160:A161"/>
    <mergeCell ref="A123:A124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5:U19"/>
  <sheetViews>
    <sheetView workbookViewId="0">
      <selection activeCell="B11" sqref="B11"/>
    </sheetView>
  </sheetViews>
  <sheetFormatPr defaultRowHeight="14.4"/>
  <cols>
    <col min="1" max="1" width="7.88671875" style="1" customWidth="1"/>
    <col min="2" max="2" width="16.5546875" style="1" customWidth="1"/>
    <col min="3" max="3" width="7.77734375" style="1" customWidth="1"/>
    <col min="4" max="4" width="4.77734375" style="1" customWidth="1"/>
    <col min="5" max="5" width="9.88671875" style="1" customWidth="1"/>
    <col min="6" max="6" width="7.6640625" style="1" customWidth="1"/>
    <col min="7" max="7" width="6.6640625" style="1" customWidth="1"/>
    <col min="8" max="8" width="7.44140625" style="1" customWidth="1"/>
    <col min="9" max="9" width="5.88671875" style="1" customWidth="1"/>
    <col min="10" max="10" width="6" style="1" customWidth="1"/>
    <col min="11" max="11" width="8.44140625" style="1" customWidth="1"/>
    <col min="12" max="12" width="6.5546875" style="1" customWidth="1"/>
    <col min="13" max="13" width="7.33203125" style="1" customWidth="1"/>
    <col min="14" max="16384" width="8.88671875" style="1"/>
  </cols>
  <sheetData>
    <row r="5" spans="1:21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3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3" t="s">
        <v>36</v>
      </c>
      <c r="N5" s="3" t="s">
        <v>12</v>
      </c>
      <c r="O5" s="3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125</v>
      </c>
    </row>
    <row r="6" spans="1:21">
      <c r="A6" s="10"/>
      <c r="B6" s="12"/>
      <c r="C6" s="2"/>
      <c r="D6" s="2"/>
      <c r="E6" s="2"/>
      <c r="F6" s="2"/>
      <c r="G6" s="2"/>
      <c r="H6" s="2"/>
      <c r="I6" s="2"/>
      <c r="J6" s="2"/>
      <c r="K6" s="2"/>
      <c r="L6" s="5"/>
      <c r="M6" s="5"/>
      <c r="N6" s="2"/>
      <c r="U6" s="17"/>
    </row>
    <row r="7" spans="1:21">
      <c r="A7" s="11" t="s">
        <v>299</v>
      </c>
      <c r="B7" s="2" t="s">
        <v>300</v>
      </c>
      <c r="C7" s="2" t="s">
        <v>88</v>
      </c>
      <c r="D7" s="2" t="s">
        <v>16</v>
      </c>
      <c r="E7" s="2" t="s">
        <v>301</v>
      </c>
      <c r="F7" s="2">
        <v>3416</v>
      </c>
      <c r="G7" s="2"/>
      <c r="H7" s="2">
        <v>20400</v>
      </c>
      <c r="I7" s="2">
        <v>408</v>
      </c>
      <c r="J7" s="2">
        <v>0.5</v>
      </c>
      <c r="K7" s="5">
        <f t="shared" ref="K7" si="0">I7*J7</f>
        <v>204</v>
      </c>
      <c r="L7" s="19">
        <f t="shared" ref="L7" si="1">H7-K7</f>
        <v>20196</v>
      </c>
      <c r="M7" s="5">
        <f t="shared" ref="M7" si="2">H7/1000*70</f>
        <v>1428</v>
      </c>
      <c r="N7" s="2">
        <v>0</v>
      </c>
      <c r="O7" s="2"/>
      <c r="P7" s="2">
        <f t="shared" ref="P7" si="3">L7*O7</f>
        <v>0</v>
      </c>
    </row>
    <row r="8" spans="1:21">
      <c r="A8" s="6"/>
    </row>
    <row r="9" spans="1:21">
      <c r="A9" s="6" t="s">
        <v>380</v>
      </c>
      <c r="B9" s="42" t="s">
        <v>381</v>
      </c>
      <c r="C9" s="42" t="s">
        <v>88</v>
      </c>
      <c r="D9" s="42" t="s">
        <v>16</v>
      </c>
      <c r="E9" s="42" t="s">
        <v>382</v>
      </c>
      <c r="F9" s="42">
        <v>8</v>
      </c>
      <c r="G9" s="42"/>
      <c r="H9" s="42">
        <v>14300</v>
      </c>
      <c r="I9" s="42">
        <v>263</v>
      </c>
      <c r="J9" s="42">
        <v>0.5</v>
      </c>
      <c r="K9" s="42">
        <f t="shared" ref="K9" si="4">I9*J9</f>
        <v>131.5</v>
      </c>
      <c r="L9" s="43">
        <f t="shared" ref="L9" si="5">H9-K9</f>
        <v>14168.5</v>
      </c>
      <c r="M9" s="43">
        <f t="shared" ref="M9" si="6">H9/1000*70</f>
        <v>1001</v>
      </c>
      <c r="N9" s="42">
        <v>0</v>
      </c>
      <c r="O9" s="42">
        <v>19.5</v>
      </c>
      <c r="P9" s="42">
        <f t="shared" ref="P9" si="7">L9*O9</f>
        <v>276285.75</v>
      </c>
      <c r="Q9" s="42"/>
    </row>
    <row r="10" spans="1:21">
      <c r="A10" s="6"/>
      <c r="B10" s="12"/>
      <c r="C10" s="2"/>
      <c r="D10" s="2"/>
      <c r="E10" s="2"/>
      <c r="F10" s="2"/>
      <c r="G10" s="2"/>
      <c r="H10" s="2"/>
      <c r="I10" s="2"/>
      <c r="J10" s="2"/>
      <c r="K10" s="2"/>
      <c r="L10" s="5"/>
      <c r="M10" s="5"/>
      <c r="N10" s="2"/>
    </row>
    <row r="11" spans="1:21">
      <c r="A11" s="6"/>
      <c r="B11" s="12"/>
      <c r="C11" s="2"/>
      <c r="D11" s="2"/>
      <c r="E11" s="2"/>
      <c r="F11" s="2"/>
      <c r="G11" s="2"/>
      <c r="H11" s="2"/>
      <c r="I11" s="2"/>
      <c r="J11" s="2"/>
      <c r="K11" s="2"/>
      <c r="L11" s="5"/>
      <c r="M11" s="5"/>
      <c r="N11" s="2"/>
    </row>
    <row r="12" spans="1:21">
      <c r="A12" s="6"/>
      <c r="B12" s="12"/>
      <c r="C12" s="2"/>
      <c r="D12" s="2"/>
      <c r="E12" s="2"/>
      <c r="F12" s="2"/>
      <c r="G12" s="2"/>
      <c r="H12" s="2"/>
      <c r="I12" s="2"/>
      <c r="J12" s="2"/>
      <c r="K12" s="5"/>
      <c r="L12" s="19"/>
      <c r="M12" s="5"/>
      <c r="N12" s="2"/>
    </row>
    <row r="13" spans="1:21">
      <c r="A13" s="13"/>
      <c r="B13" s="12"/>
      <c r="C13" s="2"/>
      <c r="D13" s="2"/>
      <c r="E13" s="2"/>
      <c r="F13" s="20"/>
      <c r="G13" s="20"/>
      <c r="H13" s="20"/>
      <c r="I13" s="20"/>
      <c r="J13" s="20"/>
      <c r="K13" s="5"/>
      <c r="L13" s="19"/>
      <c r="M13" s="5"/>
      <c r="N13" s="20"/>
    </row>
    <row r="14" spans="1:21">
      <c r="A14" s="27"/>
      <c r="B14" s="2"/>
      <c r="C14" s="2"/>
      <c r="D14" s="2"/>
      <c r="E14" s="2"/>
      <c r="F14" s="2"/>
      <c r="G14" s="2"/>
      <c r="H14" s="2"/>
      <c r="I14" s="2"/>
      <c r="J14" s="2"/>
      <c r="K14" s="5"/>
      <c r="L14" s="19"/>
      <c r="M14" s="5"/>
      <c r="N14" s="40"/>
    </row>
    <row r="15" spans="1:21">
      <c r="A15" s="375"/>
      <c r="B15" s="2"/>
      <c r="C15" s="2"/>
      <c r="D15" s="2"/>
      <c r="E15" s="2"/>
      <c r="F15" s="2"/>
      <c r="G15" s="2"/>
      <c r="H15" s="2"/>
      <c r="I15" s="2"/>
      <c r="J15" s="2"/>
      <c r="K15" s="5"/>
      <c r="L15" s="19"/>
      <c r="M15" s="5"/>
      <c r="N15" s="40"/>
    </row>
    <row r="16" spans="1:21">
      <c r="A16" s="375"/>
      <c r="B16" s="2"/>
      <c r="C16" s="2"/>
      <c r="D16" s="2"/>
      <c r="E16" s="2"/>
      <c r="F16" s="2"/>
      <c r="G16" s="2"/>
      <c r="H16" s="2"/>
      <c r="I16" s="2"/>
      <c r="J16" s="2"/>
      <c r="K16" s="5"/>
      <c r="L16" s="19"/>
      <c r="M16" s="5"/>
      <c r="N16" s="40"/>
    </row>
    <row r="17" spans="1:16">
      <c r="A17" s="21"/>
      <c r="B17" s="2"/>
      <c r="C17" s="2"/>
      <c r="D17" s="2"/>
      <c r="E17" s="2"/>
      <c r="F17" s="2"/>
      <c r="G17" s="2"/>
      <c r="H17" s="2"/>
      <c r="I17" s="2"/>
      <c r="J17" s="2"/>
      <c r="K17" s="5"/>
      <c r="L17" s="19"/>
      <c r="M17" s="5"/>
      <c r="N17" s="2"/>
      <c r="O17" s="2"/>
      <c r="P17" s="2"/>
    </row>
    <row r="18" spans="1:16">
      <c r="A18" s="21"/>
      <c r="B18" s="2"/>
      <c r="C18" s="2"/>
      <c r="D18" s="2"/>
      <c r="E18" s="2"/>
      <c r="F18" s="2"/>
      <c r="G18" s="2"/>
      <c r="H18" s="2"/>
      <c r="I18" s="2"/>
      <c r="J18" s="2"/>
      <c r="K18" s="5"/>
      <c r="L18" s="19"/>
      <c r="M18" s="5"/>
      <c r="N18" s="2"/>
      <c r="O18" s="2"/>
      <c r="P18" s="2"/>
    </row>
    <row r="19" spans="1:16">
      <c r="A19" s="21"/>
      <c r="B19" s="2"/>
      <c r="C19" s="2"/>
      <c r="D19" s="2"/>
      <c r="E19" s="2"/>
      <c r="F19" s="2"/>
      <c r="G19" s="2"/>
      <c r="H19" s="2"/>
      <c r="I19" s="2"/>
      <c r="J19" s="2"/>
      <c r="K19" s="5"/>
      <c r="L19" s="19"/>
      <c r="M19" s="5"/>
      <c r="N19" s="2"/>
      <c r="O19" s="2"/>
      <c r="P19" s="2"/>
    </row>
  </sheetData>
  <mergeCells count="1">
    <mergeCell ref="A15:A16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5:U19"/>
  <sheetViews>
    <sheetView workbookViewId="0">
      <selection activeCell="B9" sqref="B9"/>
    </sheetView>
  </sheetViews>
  <sheetFormatPr defaultRowHeight="14.4"/>
  <cols>
    <col min="1" max="1" width="7.88671875" style="1" customWidth="1"/>
    <col min="2" max="2" width="16.5546875" style="1" customWidth="1"/>
    <col min="3" max="3" width="7.77734375" style="1" customWidth="1"/>
    <col min="4" max="4" width="4.77734375" style="1" customWidth="1"/>
    <col min="5" max="5" width="9.88671875" style="1" customWidth="1"/>
    <col min="6" max="6" width="7.6640625" style="1" customWidth="1"/>
    <col min="7" max="7" width="6.6640625" style="1" customWidth="1"/>
    <col min="8" max="8" width="7.44140625" style="1" customWidth="1"/>
    <col min="9" max="9" width="5.88671875" style="1" customWidth="1"/>
    <col min="10" max="10" width="6" style="1" customWidth="1"/>
    <col min="11" max="11" width="8.44140625" style="1" customWidth="1"/>
    <col min="12" max="12" width="6.5546875" style="1" customWidth="1"/>
    <col min="13" max="13" width="7.33203125" style="1" customWidth="1"/>
    <col min="14" max="16384" width="8.88671875" style="1"/>
  </cols>
  <sheetData>
    <row r="5" spans="1:21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3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3" t="s">
        <v>36</v>
      </c>
      <c r="N5" s="3" t="s">
        <v>12</v>
      </c>
      <c r="O5" s="3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125</v>
      </c>
    </row>
    <row r="6" spans="1:21">
      <c r="A6" s="10"/>
      <c r="B6" s="12"/>
      <c r="C6" s="2"/>
      <c r="D6" s="2"/>
      <c r="E6" s="2"/>
      <c r="F6" s="2"/>
      <c r="G6" s="2"/>
      <c r="H6" s="2"/>
      <c r="I6" s="2"/>
      <c r="J6" s="2"/>
      <c r="K6" s="2"/>
      <c r="L6" s="5"/>
      <c r="M6" s="5"/>
      <c r="N6" s="2"/>
      <c r="U6" s="17"/>
    </row>
    <row r="7" spans="1:21">
      <c r="A7" s="11" t="s">
        <v>307</v>
      </c>
      <c r="B7" s="42" t="s">
        <v>311</v>
      </c>
      <c r="C7" s="42" t="s">
        <v>88</v>
      </c>
      <c r="D7" s="42" t="s">
        <v>16</v>
      </c>
      <c r="E7" s="42" t="s">
        <v>312</v>
      </c>
      <c r="F7" s="42"/>
      <c r="G7" s="42"/>
      <c r="H7" s="42">
        <v>5000</v>
      </c>
      <c r="I7" s="42">
        <v>100</v>
      </c>
      <c r="J7" s="42">
        <v>0.5</v>
      </c>
      <c r="K7" s="42">
        <f t="shared" ref="K7" si="0">I7*J7</f>
        <v>50</v>
      </c>
      <c r="L7" s="43">
        <f t="shared" ref="L7" si="1">H7-K7</f>
        <v>4950</v>
      </c>
      <c r="M7" s="43">
        <f t="shared" ref="M7" si="2">H7/1000*70</f>
        <v>350</v>
      </c>
      <c r="N7" s="42" t="s">
        <v>308</v>
      </c>
      <c r="O7" s="42"/>
      <c r="P7" s="42"/>
    </row>
    <row r="8" spans="1:21">
      <c r="A8" s="6"/>
    </row>
    <row r="9" spans="1:21">
      <c r="A9" s="6"/>
    </row>
    <row r="10" spans="1:21">
      <c r="A10" s="6"/>
      <c r="B10" s="12"/>
      <c r="C10" s="2"/>
      <c r="D10" s="2"/>
      <c r="E10" s="2"/>
      <c r="F10" s="2"/>
      <c r="G10" s="2"/>
      <c r="H10" s="2"/>
      <c r="I10" s="2"/>
      <c r="J10" s="2"/>
      <c r="K10" s="2"/>
      <c r="L10" s="5"/>
      <c r="M10" s="5"/>
      <c r="N10" s="2"/>
    </row>
    <row r="11" spans="1:21">
      <c r="A11" s="6"/>
      <c r="B11" s="12"/>
      <c r="C11" s="2"/>
      <c r="D11" s="2"/>
      <c r="E11" s="2"/>
      <c r="F11" s="2"/>
      <c r="G11" s="2"/>
      <c r="H11" s="2"/>
      <c r="I11" s="2"/>
      <c r="J11" s="2"/>
      <c r="K11" s="2"/>
      <c r="L11" s="5"/>
      <c r="M11" s="5"/>
      <c r="N11" s="2"/>
    </row>
    <row r="12" spans="1:21">
      <c r="A12" s="6"/>
      <c r="B12" s="12"/>
      <c r="C12" s="2"/>
      <c r="D12" s="2"/>
      <c r="E12" s="2"/>
      <c r="F12" s="2"/>
      <c r="G12" s="2"/>
      <c r="H12" s="2"/>
      <c r="I12" s="2"/>
      <c r="J12" s="2"/>
      <c r="K12" s="5"/>
      <c r="L12" s="19"/>
      <c r="M12" s="5"/>
      <c r="N12" s="2"/>
    </row>
    <row r="13" spans="1:21">
      <c r="A13" s="13"/>
      <c r="B13" s="12"/>
      <c r="C13" s="2"/>
      <c r="D13" s="2"/>
      <c r="E13" s="2"/>
      <c r="F13" s="20"/>
      <c r="G13" s="20"/>
      <c r="H13" s="20"/>
      <c r="I13" s="20"/>
      <c r="J13" s="20"/>
      <c r="K13" s="5"/>
      <c r="L13" s="19"/>
      <c r="M13" s="5"/>
      <c r="N13" s="20"/>
    </row>
    <row r="14" spans="1:21">
      <c r="A14" s="27"/>
      <c r="B14" s="2"/>
      <c r="C14" s="2"/>
      <c r="D14" s="2"/>
      <c r="E14" s="2"/>
      <c r="F14" s="2"/>
      <c r="G14" s="2"/>
      <c r="H14" s="2"/>
      <c r="I14" s="2"/>
      <c r="J14" s="2"/>
      <c r="K14" s="5"/>
      <c r="L14" s="19"/>
      <c r="M14" s="5"/>
      <c r="N14" s="41"/>
    </row>
    <row r="15" spans="1:21">
      <c r="A15" s="375"/>
      <c r="B15" s="2"/>
      <c r="C15" s="2"/>
      <c r="D15" s="2"/>
      <c r="E15" s="2"/>
      <c r="F15" s="2"/>
      <c r="G15" s="2"/>
      <c r="H15" s="2"/>
      <c r="I15" s="2"/>
      <c r="J15" s="2"/>
      <c r="K15" s="5"/>
      <c r="L15" s="19"/>
      <c r="M15" s="5"/>
      <c r="N15" s="41"/>
    </row>
    <row r="16" spans="1:21">
      <c r="A16" s="375"/>
      <c r="B16" s="2"/>
      <c r="C16" s="2"/>
      <c r="D16" s="2"/>
      <c r="E16" s="2"/>
      <c r="F16" s="2"/>
      <c r="G16" s="2"/>
      <c r="H16" s="2"/>
      <c r="I16" s="2"/>
      <c r="J16" s="2"/>
      <c r="K16" s="5"/>
      <c r="L16" s="19"/>
      <c r="M16" s="5"/>
      <c r="N16" s="41"/>
    </row>
    <row r="17" spans="1:16">
      <c r="A17" s="21"/>
      <c r="B17" s="2"/>
      <c r="C17" s="2"/>
      <c r="D17" s="2"/>
      <c r="E17" s="2"/>
      <c r="F17" s="2"/>
      <c r="G17" s="2"/>
      <c r="H17" s="2"/>
      <c r="I17" s="2"/>
      <c r="J17" s="2"/>
      <c r="K17" s="5"/>
      <c r="L17" s="19"/>
      <c r="M17" s="5"/>
      <c r="N17" s="2"/>
      <c r="O17" s="2"/>
      <c r="P17" s="2"/>
    </row>
    <row r="18" spans="1:16">
      <c r="A18" s="21"/>
      <c r="B18" s="2"/>
      <c r="C18" s="2"/>
      <c r="D18" s="2"/>
      <c r="E18" s="2"/>
      <c r="F18" s="2"/>
      <c r="G18" s="2"/>
      <c r="H18" s="2"/>
      <c r="I18" s="2"/>
      <c r="J18" s="2"/>
      <c r="K18" s="5"/>
      <c r="L18" s="19"/>
      <c r="M18" s="5"/>
      <c r="N18" s="2"/>
      <c r="O18" s="2"/>
      <c r="P18" s="2"/>
    </row>
    <row r="19" spans="1:16">
      <c r="A19" s="21"/>
      <c r="B19" s="2"/>
      <c r="C19" s="2"/>
      <c r="D19" s="2"/>
      <c r="E19" s="2"/>
      <c r="F19" s="2"/>
      <c r="G19" s="2"/>
      <c r="H19" s="2"/>
      <c r="I19" s="2"/>
      <c r="J19" s="2"/>
      <c r="K19" s="5"/>
      <c r="L19" s="19"/>
      <c r="M19" s="5"/>
      <c r="N19" s="2"/>
      <c r="O19" s="2"/>
      <c r="P19" s="2"/>
    </row>
  </sheetData>
  <mergeCells count="1">
    <mergeCell ref="A15:A16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5:U19"/>
  <sheetViews>
    <sheetView workbookViewId="0">
      <selection activeCell="B9" sqref="B9"/>
    </sheetView>
  </sheetViews>
  <sheetFormatPr defaultRowHeight="14.4"/>
  <cols>
    <col min="1" max="1" width="7.88671875" style="1" customWidth="1"/>
    <col min="2" max="2" width="16.5546875" style="1" customWidth="1"/>
    <col min="3" max="3" width="7.77734375" style="1" customWidth="1"/>
    <col min="4" max="4" width="4.77734375" style="1" customWidth="1"/>
    <col min="5" max="5" width="9.88671875" style="1" customWidth="1"/>
    <col min="6" max="6" width="7.6640625" style="1" customWidth="1"/>
    <col min="7" max="7" width="6.6640625" style="1" customWidth="1"/>
    <col min="8" max="8" width="7.44140625" style="1" customWidth="1"/>
    <col min="9" max="9" width="5.88671875" style="1" customWidth="1"/>
    <col min="10" max="10" width="6" style="1" customWidth="1"/>
    <col min="11" max="11" width="8.44140625" style="1" customWidth="1"/>
    <col min="12" max="12" width="6.5546875" style="1" customWidth="1"/>
    <col min="13" max="13" width="7.33203125" style="1" customWidth="1"/>
    <col min="14" max="16384" width="8.88671875" style="1"/>
  </cols>
  <sheetData>
    <row r="5" spans="1:21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3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3" t="s">
        <v>36</v>
      </c>
      <c r="N5" s="3" t="s">
        <v>12</v>
      </c>
      <c r="O5" s="3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125</v>
      </c>
    </row>
    <row r="6" spans="1:21">
      <c r="A6" s="10"/>
      <c r="B6" s="12"/>
      <c r="C6" s="2"/>
      <c r="D6" s="2"/>
      <c r="E6" s="2"/>
      <c r="F6" s="2"/>
      <c r="G6" s="2"/>
      <c r="H6" s="2"/>
      <c r="I6" s="2"/>
      <c r="J6" s="2"/>
      <c r="K6" s="2"/>
      <c r="L6" s="5"/>
      <c r="M6" s="5"/>
      <c r="N6" s="2"/>
      <c r="U6" s="17"/>
    </row>
    <row r="7" spans="1:21">
      <c r="A7" s="11" t="s">
        <v>313</v>
      </c>
      <c r="B7" s="42" t="s">
        <v>314</v>
      </c>
      <c r="C7" s="42" t="s">
        <v>88</v>
      </c>
      <c r="D7" s="42" t="s">
        <v>16</v>
      </c>
      <c r="E7" s="42" t="s">
        <v>106</v>
      </c>
      <c r="F7" s="42">
        <v>11</v>
      </c>
      <c r="G7" s="42"/>
      <c r="H7" s="42">
        <v>15495</v>
      </c>
      <c r="I7" s="42">
        <v>260</v>
      </c>
      <c r="J7" s="42">
        <v>0.5</v>
      </c>
      <c r="K7" s="42">
        <f t="shared" ref="K7" si="0">I7*J7</f>
        <v>130</v>
      </c>
      <c r="L7" s="43">
        <f t="shared" ref="L7" si="1">H7-K7</f>
        <v>15365</v>
      </c>
      <c r="M7" s="43">
        <f t="shared" ref="M7" si="2">H7/1000*70</f>
        <v>1084.6499999999999</v>
      </c>
      <c r="N7" s="42">
        <v>30000</v>
      </c>
      <c r="O7" s="42"/>
      <c r="P7" s="42">
        <f t="shared" ref="P7" si="3">L7*O7</f>
        <v>0</v>
      </c>
    </row>
    <row r="8" spans="1:21">
      <c r="A8" s="6"/>
    </row>
    <row r="9" spans="1:21">
      <c r="A9" s="6"/>
    </row>
    <row r="10" spans="1:21">
      <c r="A10" s="6"/>
      <c r="B10" s="12"/>
      <c r="C10" s="2"/>
      <c r="D10" s="2"/>
      <c r="E10" s="2"/>
      <c r="F10" s="2"/>
      <c r="G10" s="2"/>
      <c r="H10" s="2"/>
      <c r="I10" s="2"/>
      <c r="J10" s="2"/>
      <c r="K10" s="2"/>
      <c r="L10" s="5"/>
      <c r="M10" s="5"/>
      <c r="N10" s="2"/>
    </row>
    <row r="11" spans="1:21">
      <c r="A11" s="6"/>
      <c r="B11" s="12"/>
      <c r="C11" s="2"/>
      <c r="D11" s="2"/>
      <c r="E11" s="2"/>
      <c r="F11" s="2"/>
      <c r="G11" s="2"/>
      <c r="H11" s="2"/>
      <c r="I11" s="2"/>
      <c r="J11" s="2"/>
      <c r="K11" s="2"/>
      <c r="L11" s="5"/>
      <c r="M11" s="5"/>
      <c r="N11" s="2"/>
    </row>
    <row r="12" spans="1:21">
      <c r="A12" s="6"/>
      <c r="B12" s="12"/>
      <c r="C12" s="2"/>
      <c r="D12" s="2"/>
      <c r="E12" s="2"/>
      <c r="F12" s="2"/>
      <c r="G12" s="2"/>
      <c r="H12" s="2"/>
      <c r="I12" s="2"/>
      <c r="J12" s="2"/>
      <c r="K12" s="5"/>
      <c r="L12" s="19"/>
      <c r="M12" s="5"/>
      <c r="N12" s="2"/>
    </row>
    <row r="13" spans="1:21">
      <c r="A13" s="13"/>
      <c r="B13" s="12"/>
      <c r="C13" s="2"/>
      <c r="D13" s="2"/>
      <c r="E13" s="2"/>
      <c r="F13" s="20"/>
      <c r="G13" s="20"/>
      <c r="H13" s="20"/>
      <c r="I13" s="20"/>
      <c r="J13" s="20"/>
      <c r="K13" s="5"/>
      <c r="L13" s="19"/>
      <c r="M13" s="5"/>
      <c r="N13" s="20"/>
    </row>
    <row r="14" spans="1:21">
      <c r="A14" s="27"/>
      <c r="B14" s="2"/>
      <c r="C14" s="2"/>
      <c r="D14" s="2"/>
      <c r="E14" s="2"/>
      <c r="F14" s="2"/>
      <c r="G14" s="2"/>
      <c r="H14" s="2"/>
      <c r="I14" s="2"/>
      <c r="J14" s="2"/>
      <c r="K14" s="5"/>
      <c r="L14" s="19"/>
      <c r="M14" s="5"/>
      <c r="N14" s="49"/>
    </row>
    <row r="15" spans="1:21">
      <c r="A15" s="375"/>
      <c r="B15" s="2"/>
      <c r="C15" s="2"/>
      <c r="D15" s="2"/>
      <c r="E15" s="2"/>
      <c r="F15" s="2"/>
      <c r="G15" s="2"/>
      <c r="H15" s="2"/>
      <c r="I15" s="2"/>
      <c r="J15" s="2"/>
      <c r="K15" s="5"/>
      <c r="L15" s="19"/>
      <c r="M15" s="5"/>
      <c r="N15" s="49"/>
    </row>
    <row r="16" spans="1:21">
      <c r="A16" s="375"/>
      <c r="B16" s="2"/>
      <c r="C16" s="2"/>
      <c r="D16" s="2"/>
      <c r="E16" s="2"/>
      <c r="F16" s="2"/>
      <c r="G16" s="2"/>
      <c r="H16" s="2"/>
      <c r="I16" s="2"/>
      <c r="J16" s="2"/>
      <c r="K16" s="5"/>
      <c r="L16" s="19"/>
      <c r="M16" s="5"/>
      <c r="N16" s="49"/>
    </row>
    <row r="17" spans="1:16">
      <c r="A17" s="21"/>
      <c r="B17" s="2"/>
      <c r="C17" s="2"/>
      <c r="D17" s="2"/>
      <c r="E17" s="2"/>
      <c r="F17" s="2"/>
      <c r="G17" s="2"/>
      <c r="H17" s="2"/>
      <c r="I17" s="2"/>
      <c r="J17" s="2"/>
      <c r="K17" s="5"/>
      <c r="L17" s="19"/>
      <c r="M17" s="5"/>
      <c r="N17" s="2"/>
      <c r="O17" s="2"/>
      <c r="P17" s="2"/>
    </row>
    <row r="18" spans="1:16">
      <c r="A18" s="21"/>
      <c r="B18" s="2"/>
      <c r="C18" s="2"/>
      <c r="D18" s="2"/>
      <c r="E18" s="2"/>
      <c r="F18" s="2"/>
      <c r="G18" s="2"/>
      <c r="H18" s="2"/>
      <c r="I18" s="2"/>
      <c r="J18" s="2"/>
      <c r="K18" s="5"/>
      <c r="L18" s="19"/>
      <c r="M18" s="5"/>
      <c r="N18" s="2"/>
      <c r="O18" s="2"/>
      <c r="P18" s="2"/>
    </row>
    <row r="19" spans="1:16">
      <c r="A19" s="21"/>
      <c r="B19" s="2"/>
      <c r="C19" s="2"/>
      <c r="D19" s="2"/>
      <c r="E19" s="2"/>
      <c r="F19" s="2"/>
      <c r="G19" s="2"/>
      <c r="H19" s="2"/>
      <c r="I19" s="2"/>
      <c r="J19" s="2"/>
      <c r="K19" s="5"/>
      <c r="L19" s="19"/>
      <c r="M19" s="5"/>
      <c r="N19" s="2"/>
      <c r="O19" s="2"/>
      <c r="P19" s="2"/>
    </row>
  </sheetData>
  <mergeCells count="1">
    <mergeCell ref="A15:A16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5:U19"/>
  <sheetViews>
    <sheetView workbookViewId="0">
      <selection activeCell="B10" sqref="B10"/>
    </sheetView>
  </sheetViews>
  <sheetFormatPr defaultRowHeight="14.4"/>
  <cols>
    <col min="1" max="1" width="7.88671875" style="1" customWidth="1"/>
    <col min="2" max="2" width="16.5546875" style="1" customWidth="1"/>
    <col min="3" max="3" width="7.77734375" style="1" customWidth="1"/>
    <col min="4" max="4" width="4.77734375" style="1" customWidth="1"/>
    <col min="5" max="5" width="9.88671875" style="1" customWidth="1"/>
    <col min="6" max="6" width="7.6640625" style="1" customWidth="1"/>
    <col min="7" max="7" width="6.6640625" style="1" customWidth="1"/>
    <col min="8" max="8" width="7.44140625" style="1" customWidth="1"/>
    <col min="9" max="9" width="5.88671875" style="1" customWidth="1"/>
    <col min="10" max="10" width="6" style="1" customWidth="1"/>
    <col min="11" max="11" width="8.44140625" style="1" customWidth="1"/>
    <col min="12" max="12" width="6.5546875" style="1" customWidth="1"/>
    <col min="13" max="13" width="7.33203125" style="1" customWidth="1"/>
    <col min="14" max="16384" width="8.88671875" style="1"/>
  </cols>
  <sheetData>
    <row r="5" spans="1:21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3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3" t="s">
        <v>36</v>
      </c>
      <c r="N5" s="3" t="s">
        <v>12</v>
      </c>
      <c r="O5" s="3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125</v>
      </c>
    </row>
    <row r="6" spans="1:21">
      <c r="A6" s="10"/>
      <c r="B6" s="12"/>
      <c r="C6" s="2"/>
      <c r="D6" s="2"/>
      <c r="E6" s="2"/>
      <c r="F6" s="2"/>
      <c r="G6" s="2"/>
      <c r="H6" s="2"/>
      <c r="I6" s="2"/>
      <c r="J6" s="2"/>
      <c r="K6" s="2"/>
      <c r="L6" s="5"/>
      <c r="M6" s="5"/>
      <c r="N6" s="2"/>
      <c r="U6" s="17"/>
    </row>
    <row r="7" spans="1:21">
      <c r="A7" s="11" t="s">
        <v>367</v>
      </c>
      <c r="B7" s="42" t="s">
        <v>368</v>
      </c>
      <c r="C7" s="42" t="s">
        <v>88</v>
      </c>
      <c r="D7" s="42" t="s">
        <v>16</v>
      </c>
      <c r="E7" s="42" t="s">
        <v>369</v>
      </c>
      <c r="F7" s="42"/>
      <c r="G7" s="42"/>
      <c r="H7" s="42">
        <v>20180</v>
      </c>
      <c r="I7" s="42">
        <v>371</v>
      </c>
      <c r="J7" s="42">
        <v>0.5</v>
      </c>
      <c r="K7" s="42">
        <f t="shared" ref="K7:K9" si="0">I7*J7</f>
        <v>185.5</v>
      </c>
      <c r="L7" s="43">
        <f t="shared" ref="L7:L9" si="1">H7-K7</f>
        <v>19994.5</v>
      </c>
      <c r="M7" s="43">
        <f t="shared" ref="M7:M9" si="2">H7/1000*70</f>
        <v>1412.6</v>
      </c>
      <c r="N7" s="42">
        <v>0</v>
      </c>
      <c r="O7" s="42">
        <v>19.8</v>
      </c>
      <c r="P7" s="42">
        <f t="shared" ref="P7:P8" si="3">L7*O7</f>
        <v>395891.10000000003</v>
      </c>
    </row>
    <row r="8" spans="1:21">
      <c r="A8" s="6" t="s">
        <v>404</v>
      </c>
      <c r="B8" s="42" t="s">
        <v>368</v>
      </c>
      <c r="C8" s="42" t="s">
        <v>88</v>
      </c>
      <c r="D8" s="42" t="s">
        <v>16</v>
      </c>
      <c r="E8" s="42" t="s">
        <v>405</v>
      </c>
      <c r="F8" s="42">
        <v>1</v>
      </c>
      <c r="G8" s="42"/>
      <c r="H8" s="42">
        <v>17890</v>
      </c>
      <c r="I8" s="42">
        <v>296</v>
      </c>
      <c r="J8" s="42">
        <v>0.5</v>
      </c>
      <c r="K8" s="43">
        <f t="shared" si="0"/>
        <v>148</v>
      </c>
      <c r="L8" s="43">
        <f t="shared" si="1"/>
        <v>17742</v>
      </c>
      <c r="M8" s="43">
        <f t="shared" si="2"/>
        <v>1252.3</v>
      </c>
      <c r="N8" s="42">
        <v>15000</v>
      </c>
      <c r="O8" s="42">
        <v>19.8</v>
      </c>
      <c r="P8" s="42">
        <f t="shared" si="3"/>
        <v>351291.60000000003</v>
      </c>
    </row>
    <row r="9" spans="1:21">
      <c r="A9" s="6" t="s">
        <v>422</v>
      </c>
      <c r="B9" s="42" t="s">
        <v>368</v>
      </c>
      <c r="C9" s="42" t="s">
        <v>88</v>
      </c>
      <c r="D9" s="42" t="s">
        <v>16</v>
      </c>
      <c r="E9" s="42" t="s">
        <v>405</v>
      </c>
      <c r="F9" s="42">
        <v>1</v>
      </c>
      <c r="G9" s="42"/>
      <c r="H9" s="42">
        <v>18200</v>
      </c>
      <c r="I9" s="42">
        <v>305</v>
      </c>
      <c r="J9" s="42">
        <v>0.5</v>
      </c>
      <c r="K9" s="42">
        <f t="shared" si="0"/>
        <v>152.5</v>
      </c>
      <c r="L9" s="43">
        <f t="shared" si="1"/>
        <v>18047.5</v>
      </c>
      <c r="M9" s="43">
        <f t="shared" si="2"/>
        <v>1274</v>
      </c>
      <c r="N9" s="42">
        <v>16000</v>
      </c>
      <c r="O9" s="42"/>
    </row>
    <row r="10" spans="1:21">
      <c r="A10" s="6"/>
      <c r="B10" s="12"/>
      <c r="C10" s="2"/>
      <c r="D10" s="2"/>
      <c r="E10" s="2"/>
      <c r="F10" s="2"/>
      <c r="G10" s="2"/>
      <c r="H10" s="2"/>
      <c r="I10" s="2"/>
      <c r="J10" s="2"/>
      <c r="K10" s="2"/>
      <c r="L10" s="5"/>
      <c r="M10" s="5"/>
      <c r="N10" s="2"/>
    </row>
    <row r="11" spans="1:21">
      <c r="A11" s="6"/>
      <c r="B11" s="12"/>
      <c r="C11" s="2"/>
      <c r="D11" s="2"/>
      <c r="E11" s="2"/>
      <c r="F11" s="2"/>
      <c r="G11" s="2"/>
      <c r="H11" s="2"/>
      <c r="I11" s="2"/>
      <c r="J11" s="2"/>
      <c r="K11" s="2"/>
      <c r="L11" s="5"/>
      <c r="M11" s="5"/>
      <c r="N11" s="2"/>
    </row>
    <row r="12" spans="1:21">
      <c r="A12" s="6"/>
      <c r="B12" s="12"/>
      <c r="C12" s="2"/>
      <c r="D12" s="2"/>
      <c r="E12" s="2"/>
      <c r="F12" s="2"/>
      <c r="G12" s="2"/>
      <c r="H12" s="2"/>
      <c r="I12" s="2"/>
      <c r="J12" s="2"/>
      <c r="K12" s="5"/>
      <c r="L12" s="19"/>
      <c r="M12" s="5"/>
      <c r="N12" s="2"/>
    </row>
    <row r="13" spans="1:21">
      <c r="A13" s="13"/>
      <c r="B13" s="12"/>
      <c r="C13" s="2"/>
      <c r="D13" s="2"/>
      <c r="E13" s="2"/>
      <c r="F13" s="20"/>
      <c r="G13" s="20"/>
      <c r="H13" s="20"/>
      <c r="I13" s="20"/>
      <c r="J13" s="20"/>
      <c r="K13" s="5"/>
      <c r="L13" s="19"/>
      <c r="M13" s="5"/>
      <c r="N13" s="20"/>
    </row>
    <row r="14" spans="1:21">
      <c r="A14" s="27"/>
      <c r="B14" s="2"/>
      <c r="C14" s="2"/>
      <c r="D14" s="2"/>
      <c r="E14" s="2"/>
      <c r="F14" s="2"/>
      <c r="G14" s="2"/>
      <c r="H14" s="2"/>
      <c r="I14" s="2"/>
      <c r="J14" s="2"/>
      <c r="K14" s="5"/>
      <c r="L14" s="19"/>
      <c r="M14" s="5"/>
      <c r="N14" s="54"/>
    </row>
    <row r="15" spans="1:21">
      <c r="A15" s="375"/>
      <c r="B15" s="2"/>
      <c r="C15" s="2"/>
      <c r="D15" s="2"/>
      <c r="E15" s="2"/>
      <c r="F15" s="2"/>
      <c r="G15" s="2"/>
      <c r="H15" s="2"/>
      <c r="I15" s="2"/>
      <c r="J15" s="2"/>
      <c r="K15" s="5"/>
      <c r="L15" s="19"/>
      <c r="M15" s="5"/>
      <c r="N15" s="54"/>
    </row>
    <row r="16" spans="1:21">
      <c r="A16" s="375"/>
      <c r="B16" s="2"/>
      <c r="C16" s="2"/>
      <c r="D16" s="2"/>
      <c r="E16" s="2"/>
      <c r="F16" s="2"/>
      <c r="G16" s="2"/>
      <c r="H16" s="2"/>
      <c r="I16" s="2"/>
      <c r="J16" s="2"/>
      <c r="K16" s="5"/>
      <c r="L16" s="19"/>
      <c r="M16" s="5"/>
      <c r="N16" s="54"/>
    </row>
    <row r="17" spans="1:16">
      <c r="A17" s="21"/>
      <c r="B17" s="2"/>
      <c r="C17" s="2"/>
      <c r="D17" s="2"/>
      <c r="E17" s="2"/>
      <c r="F17" s="2"/>
      <c r="G17" s="2"/>
      <c r="H17" s="2"/>
      <c r="I17" s="2"/>
      <c r="J17" s="2"/>
      <c r="K17" s="5"/>
      <c r="L17" s="19"/>
      <c r="M17" s="5"/>
      <c r="N17" s="2"/>
      <c r="O17" s="2"/>
      <c r="P17" s="2"/>
    </row>
    <row r="18" spans="1:16">
      <c r="A18" s="21"/>
      <c r="B18" s="2"/>
      <c r="C18" s="2"/>
      <c r="D18" s="2"/>
      <c r="E18" s="2"/>
      <c r="F18" s="2"/>
      <c r="G18" s="2"/>
      <c r="H18" s="2"/>
      <c r="I18" s="2"/>
      <c r="J18" s="2"/>
      <c r="K18" s="5"/>
      <c r="L18" s="19"/>
      <c r="M18" s="5"/>
      <c r="N18" s="2"/>
      <c r="O18" s="2"/>
      <c r="P18" s="2"/>
    </row>
    <row r="19" spans="1:16">
      <c r="A19" s="21"/>
      <c r="B19" s="2"/>
      <c r="C19" s="2"/>
      <c r="D19" s="2"/>
      <c r="E19" s="2"/>
      <c r="F19" s="2"/>
      <c r="G19" s="2"/>
      <c r="H19" s="2"/>
      <c r="I19" s="2"/>
      <c r="J19" s="2"/>
      <c r="K19" s="5"/>
      <c r="L19" s="19"/>
      <c r="M19" s="5"/>
      <c r="N19" s="2"/>
      <c r="O19" s="2"/>
      <c r="P19" s="2"/>
    </row>
  </sheetData>
  <mergeCells count="1">
    <mergeCell ref="A15:A16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5:U23"/>
  <sheetViews>
    <sheetView workbookViewId="0">
      <selection activeCell="M17" sqref="M17"/>
    </sheetView>
  </sheetViews>
  <sheetFormatPr defaultRowHeight="14.4"/>
  <cols>
    <col min="1" max="1" width="7.88671875" style="1" customWidth="1"/>
    <col min="2" max="2" width="16.5546875" style="1" customWidth="1"/>
    <col min="3" max="3" width="7.77734375" style="1" customWidth="1"/>
    <col min="4" max="4" width="4.77734375" style="1" customWidth="1"/>
    <col min="5" max="5" width="9.88671875" style="1" customWidth="1"/>
    <col min="6" max="6" width="7.6640625" style="1" customWidth="1"/>
    <col min="7" max="7" width="6.6640625" style="1" customWidth="1"/>
    <col min="8" max="8" width="7.44140625" style="1" customWidth="1"/>
    <col min="9" max="9" width="5.88671875" style="1" customWidth="1"/>
    <col min="10" max="10" width="6" style="1" customWidth="1"/>
    <col min="11" max="11" width="8.44140625" style="1" customWidth="1"/>
    <col min="12" max="12" width="6.5546875" style="1" customWidth="1"/>
    <col min="13" max="13" width="7.33203125" style="1" customWidth="1"/>
    <col min="14" max="16384" width="8.88671875" style="1"/>
  </cols>
  <sheetData>
    <row r="5" spans="1:21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3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3" t="s">
        <v>36</v>
      </c>
      <c r="N5" s="3" t="s">
        <v>12</v>
      </c>
      <c r="O5" s="3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125</v>
      </c>
    </row>
    <row r="6" spans="1:21">
      <c r="A6" s="10"/>
      <c r="B6" s="12"/>
      <c r="C6" s="2"/>
      <c r="D6" s="2"/>
      <c r="E6" s="2"/>
      <c r="F6" s="2"/>
      <c r="G6" s="2"/>
      <c r="H6" s="2"/>
      <c r="I6" s="2"/>
      <c r="J6" s="2"/>
      <c r="K6" s="2"/>
      <c r="L6" s="5"/>
      <c r="M6" s="5"/>
      <c r="N6" s="2"/>
      <c r="U6" s="17"/>
    </row>
    <row r="7" spans="1:21">
      <c r="A7" s="378" t="s">
        <v>625</v>
      </c>
      <c r="B7" s="42" t="s">
        <v>626</v>
      </c>
      <c r="C7" s="42" t="s">
        <v>88</v>
      </c>
      <c r="D7" s="42" t="s">
        <v>16</v>
      </c>
      <c r="E7" s="42" t="s">
        <v>627</v>
      </c>
      <c r="F7" s="42">
        <v>1083</v>
      </c>
      <c r="G7" s="42"/>
      <c r="H7" s="42">
        <v>15410</v>
      </c>
      <c r="I7" s="42">
        <v>280</v>
      </c>
      <c r="J7" s="42">
        <v>0.5</v>
      </c>
      <c r="K7" s="42">
        <f t="shared" ref="K7:K11" si="0">I7*J7</f>
        <v>140</v>
      </c>
      <c r="L7" s="43">
        <f t="shared" ref="L7:L14" si="1">H7-K7</f>
        <v>15270</v>
      </c>
      <c r="M7" s="43">
        <f t="shared" ref="M7:M11" si="2">H7/1000*70</f>
        <v>1078.7</v>
      </c>
      <c r="N7" s="42">
        <v>0</v>
      </c>
      <c r="O7" s="42"/>
      <c r="P7" s="42"/>
      <c r="Q7" s="1" t="s">
        <v>609</v>
      </c>
      <c r="R7" s="1">
        <v>200</v>
      </c>
      <c r="S7" s="1">
        <v>100000</v>
      </c>
    </row>
    <row r="8" spans="1:21">
      <c r="A8" s="378"/>
      <c r="B8" s="42" t="s">
        <v>626</v>
      </c>
      <c r="C8" s="42" t="s">
        <v>88</v>
      </c>
      <c r="D8" s="42" t="s">
        <v>16</v>
      </c>
      <c r="E8" s="42" t="s">
        <v>628</v>
      </c>
      <c r="F8" s="42">
        <v>5344</v>
      </c>
      <c r="G8" s="42"/>
      <c r="H8" s="42">
        <v>15480</v>
      </c>
      <c r="I8" s="42">
        <v>260</v>
      </c>
      <c r="J8" s="42">
        <v>0.5</v>
      </c>
      <c r="K8" s="43">
        <f t="shared" si="0"/>
        <v>130</v>
      </c>
      <c r="L8" s="43">
        <f t="shared" si="1"/>
        <v>15350</v>
      </c>
      <c r="M8" s="43">
        <f t="shared" si="2"/>
        <v>1083.6000000000001</v>
      </c>
      <c r="N8" s="42">
        <v>0</v>
      </c>
      <c r="O8" s="42"/>
      <c r="P8" s="42"/>
    </row>
    <row r="9" spans="1:21">
      <c r="A9" s="379"/>
      <c r="B9" s="42" t="s">
        <v>626</v>
      </c>
      <c r="C9" s="42" t="s">
        <v>88</v>
      </c>
      <c r="D9" s="42" t="s">
        <v>16</v>
      </c>
      <c r="E9" s="42" t="s">
        <v>629</v>
      </c>
      <c r="F9" s="42">
        <v>5346</v>
      </c>
      <c r="G9" s="42"/>
      <c r="H9" s="42">
        <v>15570</v>
      </c>
      <c r="I9" s="42">
        <v>260</v>
      </c>
      <c r="J9" s="42">
        <v>0.5</v>
      </c>
      <c r="K9" s="42">
        <f t="shared" si="0"/>
        <v>130</v>
      </c>
      <c r="L9" s="43">
        <f t="shared" si="1"/>
        <v>15440</v>
      </c>
      <c r="M9" s="43">
        <f t="shared" si="2"/>
        <v>1089.9000000000001</v>
      </c>
      <c r="N9" s="42">
        <v>0</v>
      </c>
      <c r="O9" s="42"/>
    </row>
    <row r="10" spans="1:21">
      <c r="A10" s="6" t="s">
        <v>641</v>
      </c>
      <c r="B10" s="42" t="s">
        <v>626</v>
      </c>
      <c r="C10" s="42" t="s">
        <v>88</v>
      </c>
      <c r="D10" s="42" t="s">
        <v>16</v>
      </c>
      <c r="E10" s="42" t="s">
        <v>642</v>
      </c>
      <c r="F10" s="42">
        <v>5347</v>
      </c>
      <c r="G10" s="42"/>
      <c r="H10" s="42">
        <v>15690</v>
      </c>
      <c r="I10" s="42">
        <v>289</v>
      </c>
      <c r="J10" s="42">
        <v>0.5</v>
      </c>
      <c r="K10" s="42">
        <f t="shared" si="0"/>
        <v>144.5</v>
      </c>
      <c r="L10" s="43">
        <f t="shared" si="1"/>
        <v>15545.5</v>
      </c>
      <c r="M10" s="43">
        <f t="shared" si="2"/>
        <v>1098.3</v>
      </c>
      <c r="N10" s="42">
        <v>0</v>
      </c>
    </row>
    <row r="11" spans="1:21">
      <c r="A11" s="6" t="s">
        <v>650</v>
      </c>
      <c r="B11" s="42" t="s">
        <v>626</v>
      </c>
      <c r="C11" s="42" t="s">
        <v>88</v>
      </c>
      <c r="D11" s="42" t="s">
        <v>16</v>
      </c>
      <c r="E11" s="42" t="s">
        <v>652</v>
      </c>
      <c r="F11" s="42">
        <v>4429</v>
      </c>
      <c r="G11" s="42"/>
      <c r="H11" s="42">
        <v>15500</v>
      </c>
      <c r="I11" s="42">
        <v>282</v>
      </c>
      <c r="J11" s="42">
        <v>0.5</v>
      </c>
      <c r="K11" s="43">
        <f t="shared" si="0"/>
        <v>141</v>
      </c>
      <c r="L11" s="43">
        <f t="shared" si="1"/>
        <v>15359</v>
      </c>
      <c r="M11" s="43">
        <f t="shared" si="2"/>
        <v>1085</v>
      </c>
      <c r="N11" s="2"/>
    </row>
    <row r="12" spans="1:21">
      <c r="A12" s="6"/>
      <c r="B12" s="42"/>
      <c r="C12" s="42"/>
      <c r="D12" s="42"/>
      <c r="E12" s="42"/>
      <c r="F12" s="42"/>
      <c r="G12" s="42"/>
      <c r="H12" s="42"/>
      <c r="I12" s="42"/>
      <c r="J12" s="42"/>
      <c r="K12" s="43"/>
      <c r="L12" s="43">
        <f>SUM(L7:L11)</f>
        <v>76964.5</v>
      </c>
      <c r="M12" s="43"/>
      <c r="N12" s="2"/>
    </row>
    <row r="13" spans="1:21">
      <c r="A13" s="6"/>
      <c r="B13" s="42"/>
      <c r="C13" s="42"/>
      <c r="D13" s="42"/>
      <c r="E13" s="42"/>
      <c r="F13" s="42"/>
      <c r="G13" s="42"/>
      <c r="H13" s="42"/>
      <c r="I13" s="42"/>
      <c r="J13" s="42"/>
      <c r="K13" s="43"/>
      <c r="L13" s="43"/>
      <c r="M13" s="43"/>
      <c r="N13" s="2"/>
    </row>
    <row r="14" spans="1:21">
      <c r="A14" s="6" t="s">
        <v>722</v>
      </c>
      <c r="B14" s="42" t="s">
        <v>626</v>
      </c>
      <c r="C14" s="42" t="s">
        <v>88</v>
      </c>
      <c r="D14" s="42" t="s">
        <v>16</v>
      </c>
      <c r="E14" s="42" t="s">
        <v>727</v>
      </c>
      <c r="F14" s="42">
        <v>4442</v>
      </c>
      <c r="G14" s="42"/>
      <c r="H14" s="42">
        <v>29720</v>
      </c>
      <c r="I14" s="42">
        <v>435</v>
      </c>
      <c r="J14" s="42">
        <v>0.13</v>
      </c>
      <c r="K14" s="42">
        <v>57</v>
      </c>
      <c r="L14" s="43">
        <f t="shared" si="1"/>
        <v>29663</v>
      </c>
      <c r="M14" s="43"/>
      <c r="N14" s="43">
        <f t="shared" ref="N14" si="3">L14-M14</f>
        <v>29663</v>
      </c>
      <c r="O14" s="43">
        <f t="shared" ref="O14" si="4">H14/1000*70</f>
        <v>2080.4</v>
      </c>
      <c r="P14" s="42">
        <v>0</v>
      </c>
      <c r="Q14" s="42"/>
      <c r="R14" s="42">
        <f t="shared" ref="R14" si="5">L14*Q14</f>
        <v>0</v>
      </c>
    </row>
    <row r="15" spans="1:21">
      <c r="A15" s="13"/>
      <c r="B15" s="12"/>
      <c r="C15" s="2"/>
      <c r="D15" s="2"/>
      <c r="E15" s="2"/>
      <c r="F15" s="20"/>
      <c r="G15" s="20"/>
      <c r="H15" s="20"/>
      <c r="I15" s="20"/>
      <c r="J15" s="20"/>
      <c r="K15" s="5"/>
      <c r="L15" s="19"/>
      <c r="M15" s="5"/>
      <c r="N15" s="20"/>
    </row>
    <row r="16" spans="1:21">
      <c r="A16" s="27"/>
      <c r="B16" s="2"/>
      <c r="C16" s="2"/>
      <c r="D16" s="2"/>
      <c r="E16" s="2"/>
      <c r="F16" s="2"/>
      <c r="G16" s="2"/>
      <c r="H16" s="2"/>
      <c r="I16" s="2"/>
      <c r="J16" s="2"/>
      <c r="K16" s="5"/>
      <c r="L16" s="19">
        <f>SUM(L12:L15)</f>
        <v>106627.5</v>
      </c>
      <c r="M16" s="5"/>
      <c r="N16" s="91"/>
    </row>
    <row r="17" spans="1:16">
      <c r="A17" s="375"/>
      <c r="B17" s="2"/>
      <c r="C17" s="2"/>
      <c r="D17" s="2"/>
      <c r="E17" s="2"/>
      <c r="F17" s="2"/>
      <c r="G17" s="2"/>
      <c r="H17" s="2"/>
      <c r="I17" s="2"/>
      <c r="J17" s="2"/>
      <c r="K17" s="5"/>
      <c r="L17" s="19"/>
      <c r="M17" s="5"/>
      <c r="N17" s="91"/>
    </row>
    <row r="18" spans="1:16">
      <c r="A18" s="375"/>
      <c r="B18" s="2"/>
      <c r="C18" s="2"/>
      <c r="D18" s="2"/>
      <c r="E18" s="2"/>
      <c r="F18" s="2"/>
      <c r="G18" s="2"/>
      <c r="H18" s="2"/>
      <c r="I18" s="2"/>
      <c r="J18" s="2"/>
      <c r="K18" s="5"/>
      <c r="L18" s="19"/>
      <c r="M18" s="5"/>
      <c r="N18" s="91"/>
    </row>
    <row r="19" spans="1:16">
      <c r="A19" s="21"/>
      <c r="B19" s="2"/>
      <c r="C19" s="2"/>
      <c r="D19" s="2"/>
      <c r="E19" s="2"/>
      <c r="F19" s="2"/>
      <c r="G19" s="2"/>
      <c r="H19" s="2"/>
      <c r="I19" s="2"/>
      <c r="J19" s="2"/>
      <c r="K19" s="5"/>
      <c r="L19" s="19"/>
      <c r="M19" s="5"/>
      <c r="N19" s="2"/>
      <c r="O19" s="2"/>
      <c r="P19" s="2"/>
    </row>
    <row r="20" spans="1:16">
      <c r="A20" s="21"/>
      <c r="B20" s="2"/>
      <c r="C20" s="2"/>
      <c r="D20" s="2"/>
      <c r="E20" s="2"/>
      <c r="F20" s="2"/>
      <c r="G20" s="2"/>
      <c r="H20" s="2"/>
      <c r="I20" s="2"/>
      <c r="J20" s="2"/>
      <c r="K20" s="5"/>
      <c r="L20" s="19"/>
      <c r="M20" s="5"/>
      <c r="N20" s="2"/>
      <c r="O20" s="2"/>
      <c r="P20" s="2"/>
    </row>
    <row r="21" spans="1:16">
      <c r="A21" s="21"/>
      <c r="B21" s="2"/>
      <c r="C21" s="2"/>
      <c r="D21" s="2"/>
      <c r="E21" s="2"/>
      <c r="F21" s="2"/>
      <c r="G21" s="2"/>
      <c r="H21" s="2"/>
      <c r="I21" s="2"/>
      <c r="J21" s="2"/>
      <c r="K21" s="5"/>
      <c r="L21" s="19"/>
      <c r="M21" s="5"/>
      <c r="N21" s="2"/>
      <c r="O21" s="2"/>
      <c r="P21" s="2"/>
    </row>
    <row r="23" spans="1:16">
      <c r="L23" s="16"/>
    </row>
  </sheetData>
  <mergeCells count="2">
    <mergeCell ref="A17:A18"/>
    <mergeCell ref="A7:A9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5:U23"/>
  <sheetViews>
    <sheetView topLeftCell="B1" workbookViewId="0">
      <selection activeCell="P12" sqref="P12"/>
    </sheetView>
  </sheetViews>
  <sheetFormatPr defaultRowHeight="14.4"/>
  <cols>
    <col min="1" max="1" width="7.88671875" style="1" customWidth="1"/>
    <col min="2" max="2" width="16.5546875" style="1" customWidth="1"/>
    <col min="3" max="3" width="7.77734375" style="1" customWidth="1"/>
    <col min="4" max="4" width="4.77734375" style="1" customWidth="1"/>
    <col min="5" max="5" width="9.88671875" style="1" customWidth="1"/>
    <col min="6" max="6" width="7.6640625" style="1" customWidth="1"/>
    <col min="7" max="7" width="6.6640625" style="1" customWidth="1"/>
    <col min="8" max="8" width="7.44140625" style="1" customWidth="1"/>
    <col min="9" max="9" width="5.88671875" style="1" customWidth="1"/>
    <col min="10" max="10" width="6" style="1" customWidth="1"/>
    <col min="11" max="11" width="8.44140625" style="1" customWidth="1"/>
    <col min="12" max="12" width="6.5546875" style="1" customWidth="1"/>
    <col min="13" max="13" width="7.33203125" style="1" customWidth="1"/>
    <col min="14" max="16384" width="8.88671875" style="1"/>
  </cols>
  <sheetData>
    <row r="5" spans="1:21" ht="20.399999999999999">
      <c r="A5" s="58" t="s">
        <v>3</v>
      </c>
      <c r="B5" s="58" t="s">
        <v>4</v>
      </c>
      <c r="C5" s="58" t="s">
        <v>5</v>
      </c>
      <c r="D5" s="58" t="s">
        <v>6</v>
      </c>
      <c r="E5" s="58" t="s">
        <v>37</v>
      </c>
      <c r="F5" s="58" t="s">
        <v>7</v>
      </c>
      <c r="G5" s="58" t="s">
        <v>8</v>
      </c>
      <c r="H5" s="58" t="s">
        <v>9</v>
      </c>
      <c r="I5" s="58" t="s">
        <v>10</v>
      </c>
      <c r="J5" s="59" t="s">
        <v>18</v>
      </c>
      <c r="K5" s="59" t="s">
        <v>17</v>
      </c>
      <c r="L5" s="58" t="s">
        <v>11</v>
      </c>
      <c r="M5" s="58" t="s">
        <v>36</v>
      </c>
      <c r="N5" s="58" t="s">
        <v>12</v>
      </c>
      <c r="O5" s="58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125</v>
      </c>
    </row>
    <row r="6" spans="1:21">
      <c r="A6" s="63"/>
      <c r="B6" s="60"/>
      <c r="C6" s="60"/>
      <c r="D6" s="60"/>
      <c r="E6" s="60"/>
      <c r="F6" s="60"/>
      <c r="G6" s="60"/>
      <c r="H6" s="60"/>
      <c r="I6" s="60"/>
      <c r="J6" s="60"/>
      <c r="K6" s="60"/>
      <c r="L6" s="61"/>
      <c r="M6" s="61"/>
      <c r="N6" s="60"/>
      <c r="O6" s="62"/>
      <c r="P6" s="62" t="s">
        <v>935</v>
      </c>
      <c r="Q6" s="62" t="s">
        <v>900</v>
      </c>
      <c r="R6" s="62">
        <v>254</v>
      </c>
      <c r="S6" s="62">
        <v>100000</v>
      </c>
      <c r="T6" s="62"/>
      <c r="U6" s="17">
        <v>18.600000000000001</v>
      </c>
    </row>
    <row r="7" spans="1:21">
      <c r="A7" s="63"/>
      <c r="B7" s="67"/>
      <c r="C7" s="67"/>
      <c r="D7" s="67"/>
      <c r="E7" s="67"/>
      <c r="F7" s="67"/>
      <c r="G7" s="67"/>
      <c r="H7" s="67"/>
      <c r="I7" s="67"/>
      <c r="J7" s="67"/>
      <c r="K7" s="67"/>
      <c r="L7" s="68"/>
      <c r="M7" s="68"/>
      <c r="N7" s="67"/>
      <c r="O7" s="67"/>
      <c r="P7" s="67"/>
      <c r="Q7" s="62"/>
      <c r="R7" s="62"/>
      <c r="S7" s="62"/>
      <c r="T7" s="62"/>
    </row>
    <row r="8" spans="1:21">
      <c r="A8" s="63"/>
      <c r="B8" s="67"/>
      <c r="C8" s="67"/>
      <c r="D8" s="67"/>
      <c r="E8" s="67"/>
      <c r="F8" s="67"/>
      <c r="G8" s="67"/>
      <c r="H8" s="67"/>
      <c r="I8" s="67"/>
      <c r="J8" s="67"/>
      <c r="K8" s="68"/>
      <c r="L8" s="68"/>
      <c r="M8" s="68"/>
      <c r="N8" s="67"/>
      <c r="O8" s="67"/>
      <c r="P8" s="67"/>
      <c r="Q8" s="62"/>
      <c r="R8" s="62"/>
      <c r="S8" s="62"/>
      <c r="T8" s="62"/>
    </row>
    <row r="9" spans="1:21">
      <c r="A9" s="63"/>
      <c r="B9" s="67"/>
      <c r="C9" s="67"/>
      <c r="D9" s="67"/>
      <c r="E9" s="67"/>
      <c r="F9" s="67"/>
      <c r="G9" s="67"/>
      <c r="H9" s="67"/>
      <c r="I9" s="67"/>
      <c r="J9" s="67"/>
      <c r="K9" s="67"/>
      <c r="L9" s="68"/>
      <c r="M9" s="68"/>
      <c r="N9" s="67"/>
      <c r="O9" s="67"/>
      <c r="P9" s="62"/>
      <c r="Q9" s="62"/>
      <c r="R9" s="62"/>
      <c r="S9" s="62"/>
      <c r="T9" s="62"/>
    </row>
    <row r="10" spans="1:21">
      <c r="A10" s="62"/>
      <c r="B10" s="67"/>
      <c r="C10" s="67"/>
      <c r="D10" s="67"/>
      <c r="E10" s="67"/>
      <c r="F10" s="67"/>
      <c r="G10" s="67"/>
      <c r="H10" s="67"/>
      <c r="I10" s="67"/>
      <c r="J10" s="67"/>
      <c r="K10" s="67"/>
      <c r="L10" s="68"/>
      <c r="M10" s="68"/>
      <c r="N10" s="67"/>
      <c r="O10" s="62"/>
      <c r="P10" s="62"/>
      <c r="Q10" s="62"/>
      <c r="R10" s="62"/>
      <c r="S10" s="62"/>
      <c r="T10" s="62"/>
    </row>
    <row r="11" spans="1:21">
      <c r="A11" s="62"/>
      <c r="B11" s="67"/>
      <c r="C11" s="67"/>
      <c r="D11" s="67"/>
      <c r="E11" s="67"/>
      <c r="F11" s="67"/>
      <c r="G11" s="67"/>
      <c r="H11" s="67"/>
      <c r="I11" s="67"/>
      <c r="J11" s="67"/>
      <c r="K11" s="68"/>
      <c r="L11" s="68"/>
      <c r="M11" s="68"/>
      <c r="N11" s="60"/>
      <c r="O11" s="62"/>
      <c r="P11" s="62"/>
      <c r="Q11" s="62"/>
      <c r="R11" s="62"/>
      <c r="S11" s="62"/>
      <c r="T11" s="62"/>
    </row>
    <row r="12" spans="1:21">
      <c r="A12" s="62"/>
      <c r="B12" s="67"/>
      <c r="C12" s="67"/>
      <c r="D12" s="67"/>
      <c r="E12" s="67"/>
      <c r="F12" s="67"/>
      <c r="G12" s="67"/>
      <c r="H12" s="67"/>
      <c r="I12" s="67"/>
      <c r="J12" s="67"/>
      <c r="K12" s="68"/>
      <c r="L12" s="68"/>
      <c r="M12" s="68"/>
      <c r="N12" s="60"/>
      <c r="O12" s="62"/>
      <c r="P12" s="42"/>
      <c r="Q12" s="62"/>
      <c r="R12" s="62"/>
      <c r="S12" s="62"/>
      <c r="T12" s="62"/>
    </row>
    <row r="13" spans="1:21">
      <c r="A13" s="62"/>
      <c r="B13" s="67"/>
      <c r="C13" s="67"/>
      <c r="D13" s="67"/>
      <c r="E13" s="67"/>
      <c r="F13" s="67"/>
      <c r="G13" s="67"/>
      <c r="H13" s="67"/>
      <c r="I13" s="67"/>
      <c r="J13" s="67"/>
      <c r="K13" s="68"/>
      <c r="L13" s="68"/>
      <c r="M13" s="68"/>
      <c r="N13" s="60"/>
      <c r="O13" s="62"/>
      <c r="P13" s="62"/>
      <c r="Q13" s="62"/>
      <c r="R13" s="62"/>
      <c r="S13" s="62"/>
      <c r="T13" s="62"/>
    </row>
    <row r="14" spans="1:21">
      <c r="A14" s="62"/>
      <c r="B14" s="67"/>
      <c r="C14" s="67"/>
      <c r="D14" s="67"/>
      <c r="E14" s="67"/>
      <c r="F14" s="67"/>
      <c r="G14" s="67"/>
      <c r="H14" s="67"/>
      <c r="I14" s="67"/>
      <c r="J14" s="67"/>
      <c r="K14" s="67"/>
      <c r="L14" s="68"/>
      <c r="M14" s="68"/>
      <c r="N14" s="68"/>
      <c r="O14" s="68"/>
      <c r="P14" s="67"/>
      <c r="Q14" s="67"/>
      <c r="R14" s="67"/>
      <c r="S14" s="62"/>
      <c r="T14" s="62"/>
    </row>
    <row r="15" spans="1:21">
      <c r="A15" s="21"/>
      <c r="B15" s="60"/>
      <c r="C15" s="60"/>
      <c r="D15" s="60"/>
      <c r="E15" s="60"/>
      <c r="F15" s="114"/>
      <c r="G15" s="114"/>
      <c r="H15" s="114"/>
      <c r="I15" s="114"/>
      <c r="J15" s="114"/>
      <c r="K15" s="61"/>
      <c r="L15" s="65"/>
      <c r="M15" s="61"/>
      <c r="N15" s="114"/>
      <c r="O15" s="62"/>
      <c r="P15" s="62"/>
      <c r="Q15" s="62"/>
      <c r="R15" s="62"/>
      <c r="S15" s="62"/>
      <c r="T15" s="62"/>
    </row>
    <row r="16" spans="1:21">
      <c r="A16" s="21"/>
      <c r="B16" s="60"/>
      <c r="C16" s="60"/>
      <c r="D16" s="60"/>
      <c r="E16" s="60"/>
      <c r="F16" s="60"/>
      <c r="G16" s="60"/>
      <c r="H16" s="60"/>
      <c r="I16" s="60"/>
      <c r="J16" s="60"/>
      <c r="K16" s="61"/>
      <c r="L16" s="65"/>
      <c r="M16" s="61"/>
      <c r="N16" s="113"/>
      <c r="O16" s="62"/>
      <c r="P16" s="62"/>
      <c r="Q16" s="62"/>
      <c r="R16" s="62"/>
      <c r="S16" s="62"/>
      <c r="T16" s="62"/>
    </row>
    <row r="17" spans="1:20">
      <c r="A17" s="380"/>
      <c r="B17" s="60"/>
      <c r="C17" s="60"/>
      <c r="D17" s="60"/>
      <c r="E17" s="60"/>
      <c r="F17" s="60"/>
      <c r="G17" s="60"/>
      <c r="H17" s="60"/>
      <c r="I17" s="60"/>
      <c r="J17" s="60"/>
      <c r="K17" s="61"/>
      <c r="L17" s="65"/>
      <c r="M17" s="61"/>
      <c r="N17" s="113"/>
      <c r="O17" s="62"/>
      <c r="P17" s="62"/>
      <c r="Q17" s="62"/>
      <c r="R17" s="62"/>
      <c r="S17" s="62"/>
      <c r="T17" s="62"/>
    </row>
    <row r="18" spans="1:20">
      <c r="A18" s="380"/>
      <c r="B18" s="60"/>
      <c r="C18" s="60"/>
      <c r="D18" s="60"/>
      <c r="E18" s="60"/>
      <c r="F18" s="60"/>
      <c r="G18" s="60"/>
      <c r="H18" s="60"/>
      <c r="I18" s="60"/>
      <c r="J18" s="60"/>
      <c r="K18" s="61"/>
      <c r="L18" s="65"/>
      <c r="M18" s="61"/>
      <c r="N18" s="113"/>
      <c r="O18" s="62"/>
      <c r="P18" s="62"/>
      <c r="Q18" s="62"/>
      <c r="R18" s="62"/>
      <c r="S18" s="62"/>
      <c r="T18" s="62"/>
    </row>
    <row r="19" spans="1:20">
      <c r="A19" s="21"/>
      <c r="B19" s="60"/>
      <c r="C19" s="60"/>
      <c r="D19" s="60"/>
      <c r="E19" s="60"/>
      <c r="F19" s="60"/>
      <c r="G19" s="60"/>
      <c r="H19" s="60"/>
      <c r="I19" s="60"/>
      <c r="J19" s="60"/>
      <c r="K19" s="61"/>
      <c r="L19" s="65"/>
      <c r="M19" s="61"/>
      <c r="N19" s="60"/>
      <c r="O19" s="60"/>
      <c r="P19" s="60"/>
      <c r="Q19" s="62"/>
      <c r="R19" s="62"/>
      <c r="S19" s="62"/>
      <c r="T19" s="62"/>
    </row>
    <row r="20" spans="1:20">
      <c r="A20" s="21"/>
      <c r="B20" s="60"/>
      <c r="C20" s="60"/>
      <c r="D20" s="60"/>
      <c r="E20" s="60"/>
      <c r="F20" s="60"/>
      <c r="G20" s="60"/>
      <c r="H20" s="60"/>
      <c r="I20" s="60"/>
      <c r="J20" s="60"/>
      <c r="K20" s="61"/>
      <c r="L20" s="65"/>
      <c r="M20" s="61"/>
      <c r="N20" s="60"/>
      <c r="O20" s="60"/>
      <c r="P20" s="60"/>
      <c r="Q20" s="62"/>
      <c r="R20" s="62"/>
      <c r="S20" s="62"/>
      <c r="T20" s="62"/>
    </row>
    <row r="21" spans="1:20">
      <c r="A21" s="21"/>
      <c r="B21" s="60"/>
      <c r="C21" s="60"/>
      <c r="D21" s="60"/>
      <c r="E21" s="60"/>
      <c r="F21" s="60"/>
      <c r="G21" s="60"/>
      <c r="H21" s="60"/>
      <c r="I21" s="60"/>
      <c r="J21" s="60"/>
      <c r="K21" s="61"/>
      <c r="L21" s="65"/>
      <c r="M21" s="61"/>
      <c r="N21" s="60"/>
      <c r="O21" s="60"/>
      <c r="P21" s="60"/>
      <c r="Q21" s="62"/>
      <c r="R21" s="62"/>
      <c r="S21" s="62"/>
      <c r="T21" s="62"/>
    </row>
    <row r="23" spans="1:20">
      <c r="L23" s="16"/>
    </row>
  </sheetData>
  <mergeCells count="1">
    <mergeCell ref="A17:A18"/>
  </mergeCells>
  <pageMargins left="0.7" right="0.7" top="0.75" bottom="0.75" header="0.3" footer="0.3"/>
  <pageSetup paperSize="9"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5:U178"/>
  <sheetViews>
    <sheetView topLeftCell="A157" workbookViewId="0">
      <selection activeCell="A179" sqref="A179"/>
    </sheetView>
  </sheetViews>
  <sheetFormatPr defaultRowHeight="14.4"/>
  <cols>
    <col min="1" max="1" width="7.88671875" style="1" customWidth="1"/>
    <col min="2" max="2" width="21.6640625" style="1" customWidth="1"/>
    <col min="3" max="3" width="7.77734375" style="1" customWidth="1"/>
    <col min="4" max="4" width="4.77734375" style="1" customWidth="1"/>
    <col min="5" max="5" width="9.88671875" style="1" customWidth="1"/>
    <col min="6" max="6" width="7.6640625" style="1" customWidth="1"/>
    <col min="7" max="7" width="6.6640625" style="1" customWidth="1"/>
    <col min="8" max="8" width="7.44140625" style="1" customWidth="1"/>
    <col min="9" max="9" width="5.88671875" style="1" customWidth="1"/>
    <col min="10" max="10" width="6" style="1" customWidth="1"/>
    <col min="11" max="11" width="8.44140625" style="1" customWidth="1"/>
    <col min="12" max="12" width="8.21875" style="1" customWidth="1"/>
    <col min="13" max="13" width="7.33203125" style="1" customWidth="1"/>
    <col min="14" max="16384" width="8.88671875" style="1"/>
  </cols>
  <sheetData>
    <row r="5" spans="1:21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3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3" t="s">
        <v>36</v>
      </c>
      <c r="N5" s="3" t="s">
        <v>12</v>
      </c>
      <c r="O5" s="3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125</v>
      </c>
    </row>
    <row r="6" spans="1:21">
      <c r="A6" s="10"/>
      <c r="B6" s="12"/>
      <c r="C6" s="2"/>
      <c r="D6" s="2"/>
      <c r="E6" s="2"/>
      <c r="F6" s="2"/>
      <c r="G6" s="2"/>
      <c r="H6" s="2"/>
      <c r="I6" s="2"/>
      <c r="J6" s="2"/>
      <c r="K6" s="2"/>
      <c r="L6" s="5"/>
      <c r="M6" s="5"/>
      <c r="N6" s="2"/>
      <c r="U6" s="17"/>
    </row>
    <row r="7" spans="1:21">
      <c r="A7" s="96" t="s">
        <v>680</v>
      </c>
      <c r="B7" s="42" t="s">
        <v>681</v>
      </c>
      <c r="C7" s="42" t="s">
        <v>88</v>
      </c>
      <c r="D7" s="42" t="s">
        <v>16</v>
      </c>
      <c r="E7" s="42" t="s">
        <v>682</v>
      </c>
      <c r="F7" s="42">
        <v>4223</v>
      </c>
      <c r="G7" s="42"/>
      <c r="H7" s="42">
        <v>14990</v>
      </c>
      <c r="I7" s="42">
        <v>270</v>
      </c>
      <c r="J7" s="42">
        <v>0.13</v>
      </c>
      <c r="K7" s="42">
        <f t="shared" ref="K7:K9" si="0">I7*J7</f>
        <v>35.1</v>
      </c>
      <c r="L7" s="43">
        <f t="shared" ref="L7:L9" si="1">H7-K7</f>
        <v>14954.9</v>
      </c>
      <c r="M7" s="43"/>
      <c r="N7" s="43">
        <f t="shared" ref="N7:N9" si="2">L7-M7</f>
        <v>14954.9</v>
      </c>
      <c r="O7" s="43">
        <f t="shared" ref="O7:O9" si="3">H7/1000*70</f>
        <v>1049.3</v>
      </c>
      <c r="P7" s="42">
        <v>0</v>
      </c>
      <c r="Q7" s="42"/>
      <c r="R7" s="42">
        <f t="shared" ref="R7" si="4">L7*Q7</f>
        <v>0</v>
      </c>
    </row>
    <row r="8" spans="1:21">
      <c r="A8" s="96" t="s">
        <v>683</v>
      </c>
      <c r="B8" s="42" t="s">
        <v>681</v>
      </c>
      <c r="C8" s="42" t="s">
        <v>88</v>
      </c>
      <c r="D8" s="42" t="s">
        <v>16</v>
      </c>
      <c r="E8" s="42" t="s">
        <v>687</v>
      </c>
      <c r="F8" s="42">
        <v>3280</v>
      </c>
      <c r="G8" s="42"/>
      <c r="H8" s="42">
        <v>19990</v>
      </c>
      <c r="I8" s="42">
        <v>400</v>
      </c>
      <c r="J8" s="42">
        <v>0.13</v>
      </c>
      <c r="K8" s="42">
        <f t="shared" si="0"/>
        <v>52</v>
      </c>
      <c r="L8" s="43">
        <f t="shared" si="1"/>
        <v>19938</v>
      </c>
      <c r="M8" s="43">
        <v>0</v>
      </c>
      <c r="N8" s="43">
        <f t="shared" si="2"/>
        <v>19938</v>
      </c>
      <c r="O8" s="43">
        <f t="shared" si="3"/>
        <v>1399.3</v>
      </c>
      <c r="P8" s="42">
        <v>0</v>
      </c>
    </row>
    <row r="9" spans="1:21">
      <c r="A9" s="11" t="s">
        <v>690</v>
      </c>
      <c r="B9" s="42" t="s">
        <v>681</v>
      </c>
      <c r="C9" s="42" t="s">
        <v>88</v>
      </c>
      <c r="D9" s="42" t="s">
        <v>16</v>
      </c>
      <c r="E9" s="42" t="s">
        <v>693</v>
      </c>
      <c r="F9" s="42">
        <v>3257</v>
      </c>
      <c r="G9" s="42"/>
      <c r="H9" s="42">
        <v>19980</v>
      </c>
      <c r="I9" s="42">
        <v>400</v>
      </c>
      <c r="J9" s="42">
        <v>0.13</v>
      </c>
      <c r="K9" s="42">
        <f t="shared" si="0"/>
        <v>52</v>
      </c>
      <c r="L9" s="43">
        <f t="shared" si="1"/>
        <v>19928</v>
      </c>
      <c r="M9" s="43"/>
      <c r="N9" s="43">
        <f t="shared" si="2"/>
        <v>19928</v>
      </c>
      <c r="O9" s="43">
        <f t="shared" si="3"/>
        <v>1398.6000000000001</v>
      </c>
      <c r="P9" s="42">
        <v>0</v>
      </c>
    </row>
    <row r="10" spans="1:21">
      <c r="A10" s="381" t="s">
        <v>695</v>
      </c>
      <c r="B10" s="42" t="s">
        <v>681</v>
      </c>
      <c r="C10" s="42" t="s">
        <v>88</v>
      </c>
      <c r="D10" s="42" t="s">
        <v>16</v>
      </c>
      <c r="E10" s="42" t="s">
        <v>699</v>
      </c>
      <c r="F10" s="42">
        <v>3305</v>
      </c>
      <c r="G10" s="42"/>
      <c r="H10" s="42">
        <v>19980</v>
      </c>
      <c r="I10" s="42">
        <v>400</v>
      </c>
      <c r="J10" s="42">
        <v>0.13</v>
      </c>
      <c r="K10" s="42">
        <v>200</v>
      </c>
      <c r="L10" s="43">
        <v>19780</v>
      </c>
      <c r="M10" s="43"/>
      <c r="N10" s="43">
        <v>19780</v>
      </c>
      <c r="O10" s="43">
        <v>1398.6000000000001</v>
      </c>
      <c r="P10" s="42">
        <v>0</v>
      </c>
    </row>
    <row r="11" spans="1:21">
      <c r="A11" s="379"/>
      <c r="B11" s="42" t="s">
        <v>681</v>
      </c>
      <c r="C11" s="42" t="s">
        <v>88</v>
      </c>
      <c r="D11" s="42" t="s">
        <v>16</v>
      </c>
      <c r="E11" s="42" t="s">
        <v>701</v>
      </c>
      <c r="F11" s="42">
        <v>1036</v>
      </c>
      <c r="G11" s="42"/>
      <c r="H11" s="42">
        <v>15000</v>
      </c>
      <c r="I11" s="42">
        <v>300</v>
      </c>
      <c r="J11" s="42">
        <v>0.13</v>
      </c>
      <c r="K11" s="42">
        <v>150</v>
      </c>
      <c r="L11" s="43">
        <v>14850</v>
      </c>
      <c r="M11" s="43"/>
      <c r="N11" s="43">
        <v>14850</v>
      </c>
      <c r="O11" s="43">
        <v>1050</v>
      </c>
      <c r="P11" s="42">
        <v>0</v>
      </c>
    </row>
    <row r="12" spans="1:21">
      <c r="A12" s="6" t="s">
        <v>704</v>
      </c>
      <c r="B12" s="42" t="s">
        <v>681</v>
      </c>
      <c r="C12" s="42" t="s">
        <v>88</v>
      </c>
      <c r="D12" s="42" t="s">
        <v>16</v>
      </c>
      <c r="E12" s="42" t="s">
        <v>707</v>
      </c>
      <c r="F12" s="42">
        <v>3322</v>
      </c>
      <c r="G12" s="42"/>
      <c r="H12" s="42">
        <v>14960</v>
      </c>
      <c r="I12" s="42">
        <v>300</v>
      </c>
      <c r="J12" s="42">
        <v>0.13</v>
      </c>
      <c r="K12" s="42">
        <f t="shared" ref="K12:K15" si="5">I12*J12</f>
        <v>39</v>
      </c>
      <c r="L12" s="43">
        <f t="shared" ref="L12:L15" si="6">H12-K12</f>
        <v>14921</v>
      </c>
      <c r="M12" s="43"/>
      <c r="N12" s="43">
        <f t="shared" ref="N12:N15" si="7">L12-M12</f>
        <v>14921</v>
      </c>
      <c r="O12" s="43">
        <f t="shared" ref="O12:O15" si="8">H12/1000*70</f>
        <v>1047.2</v>
      </c>
      <c r="P12" s="42">
        <v>0</v>
      </c>
      <c r="Q12" s="42"/>
    </row>
    <row r="13" spans="1:21">
      <c r="A13" s="6"/>
      <c r="B13" s="42"/>
      <c r="C13" s="42"/>
      <c r="D13" s="42"/>
      <c r="E13" s="42"/>
      <c r="F13" s="42"/>
      <c r="G13" s="42"/>
      <c r="H13" s="42"/>
      <c r="I13" s="42"/>
      <c r="J13" s="42"/>
      <c r="K13" s="42"/>
      <c r="L13" s="43">
        <f>SUM(L7:L12)</f>
        <v>104371.9</v>
      </c>
      <c r="M13" s="43"/>
      <c r="N13" s="43"/>
      <c r="O13" s="43"/>
      <c r="P13" s="42"/>
      <c r="Q13" s="67"/>
    </row>
    <row r="14" spans="1:21">
      <c r="A14" s="6"/>
      <c r="B14" s="42"/>
      <c r="C14" s="42"/>
      <c r="D14" s="42"/>
      <c r="E14" s="42"/>
      <c r="F14" s="42"/>
      <c r="G14" s="42"/>
      <c r="H14" s="42"/>
      <c r="I14" s="42"/>
      <c r="J14" s="42"/>
      <c r="K14" s="42"/>
      <c r="L14" s="43"/>
      <c r="M14" s="43"/>
      <c r="N14" s="43"/>
      <c r="O14" s="43"/>
      <c r="P14" s="42"/>
      <c r="Q14" s="67"/>
    </row>
    <row r="15" spans="1:21">
      <c r="A15" s="13" t="s">
        <v>753</v>
      </c>
      <c r="B15" s="42" t="s">
        <v>681</v>
      </c>
      <c r="C15" s="42" t="s">
        <v>88</v>
      </c>
      <c r="D15" s="42" t="s">
        <v>16</v>
      </c>
      <c r="E15" s="92" t="s">
        <v>756</v>
      </c>
      <c r="F15" s="42">
        <v>14762</v>
      </c>
      <c r="G15" s="42"/>
      <c r="H15" s="42">
        <v>20000</v>
      </c>
      <c r="I15" s="42">
        <v>400</v>
      </c>
      <c r="J15" s="42">
        <v>0.13</v>
      </c>
      <c r="K15" s="42">
        <f t="shared" si="5"/>
        <v>52</v>
      </c>
      <c r="L15" s="43">
        <f t="shared" si="6"/>
        <v>19948</v>
      </c>
      <c r="M15" s="43"/>
      <c r="N15" s="43">
        <f t="shared" si="7"/>
        <v>19948</v>
      </c>
      <c r="O15" s="43">
        <f t="shared" si="8"/>
        <v>1400</v>
      </c>
      <c r="P15" s="42">
        <v>0</v>
      </c>
    </row>
    <row r="16" spans="1:21">
      <c r="A16" s="27"/>
      <c r="B16" s="2"/>
      <c r="C16" s="2"/>
      <c r="D16" s="2"/>
      <c r="E16" s="2"/>
      <c r="F16" s="2"/>
      <c r="G16" s="2"/>
      <c r="H16" s="2"/>
      <c r="I16" s="2"/>
      <c r="J16" s="42"/>
      <c r="K16" s="5"/>
      <c r="L16" s="19"/>
      <c r="M16" s="5"/>
      <c r="N16" s="94"/>
    </row>
    <row r="17" spans="1:18">
      <c r="A17" s="375" t="s">
        <v>757</v>
      </c>
      <c r="B17" s="42" t="s">
        <v>681</v>
      </c>
      <c r="C17" s="42" t="s">
        <v>88</v>
      </c>
      <c r="D17" s="42" t="s">
        <v>16</v>
      </c>
      <c r="E17" s="92" t="s">
        <v>758</v>
      </c>
      <c r="F17" s="42">
        <v>14828</v>
      </c>
      <c r="G17" s="42"/>
      <c r="H17" s="42">
        <v>15000</v>
      </c>
      <c r="I17" s="42">
        <v>300</v>
      </c>
      <c r="J17" s="42">
        <v>0.13</v>
      </c>
      <c r="K17" s="43">
        <f t="shared" ref="K17:K48" si="9">I17*J17</f>
        <v>39</v>
      </c>
      <c r="L17" s="43">
        <f t="shared" ref="L17:L48" si="10">H17-K17</f>
        <v>14961</v>
      </c>
      <c r="M17" s="43"/>
      <c r="N17" s="43">
        <f t="shared" ref="N17:N48" si="11">L17-M17</f>
        <v>14961</v>
      </c>
      <c r="O17" s="43">
        <f t="shared" ref="O17:O48" si="12">H17/1000*70</f>
        <v>1050</v>
      </c>
      <c r="P17" s="42">
        <v>0</v>
      </c>
    </row>
    <row r="18" spans="1:18">
      <c r="A18" s="375"/>
      <c r="B18" s="42" t="s">
        <v>681</v>
      </c>
      <c r="C18" s="42" t="s">
        <v>88</v>
      </c>
      <c r="D18" s="42" t="s">
        <v>16</v>
      </c>
      <c r="E18" s="92" t="s">
        <v>759</v>
      </c>
      <c r="F18" s="42">
        <v>14781</v>
      </c>
      <c r="G18" s="42"/>
      <c r="H18" s="42">
        <v>20000</v>
      </c>
      <c r="I18" s="42">
        <v>400</v>
      </c>
      <c r="J18" s="42">
        <v>0.13</v>
      </c>
      <c r="K18" s="42">
        <f t="shared" si="9"/>
        <v>52</v>
      </c>
      <c r="L18" s="43">
        <f t="shared" si="10"/>
        <v>19948</v>
      </c>
      <c r="M18" s="43"/>
      <c r="N18" s="43">
        <f t="shared" si="11"/>
        <v>19948</v>
      </c>
      <c r="O18" s="43">
        <f t="shared" si="12"/>
        <v>1400</v>
      </c>
      <c r="P18" s="42">
        <v>0</v>
      </c>
    </row>
    <row r="19" spans="1:18">
      <c r="A19" s="382" t="s">
        <v>760</v>
      </c>
      <c r="B19" s="42" t="s">
        <v>681</v>
      </c>
      <c r="C19" s="42" t="s">
        <v>88</v>
      </c>
      <c r="D19" s="42" t="s">
        <v>16</v>
      </c>
      <c r="E19" s="42" t="s">
        <v>763</v>
      </c>
      <c r="F19" s="42">
        <v>14790</v>
      </c>
      <c r="G19" s="42"/>
      <c r="H19" s="42">
        <v>14970</v>
      </c>
      <c r="I19" s="42">
        <v>300</v>
      </c>
      <c r="J19" s="42">
        <v>0.13</v>
      </c>
      <c r="K19" s="43">
        <f t="shared" si="9"/>
        <v>39</v>
      </c>
      <c r="L19" s="43">
        <f t="shared" si="10"/>
        <v>14931</v>
      </c>
      <c r="M19" s="43"/>
      <c r="N19" s="43">
        <f t="shared" si="11"/>
        <v>14931</v>
      </c>
      <c r="O19" s="43">
        <f t="shared" si="12"/>
        <v>1047.9000000000001</v>
      </c>
      <c r="P19" s="42">
        <v>0</v>
      </c>
      <c r="Q19" s="42"/>
      <c r="R19" s="42">
        <f t="shared" ref="R19:R20" si="13">L19*Q19</f>
        <v>0</v>
      </c>
    </row>
    <row r="20" spans="1:18">
      <c r="A20" s="377"/>
      <c r="B20" s="42" t="s">
        <v>681</v>
      </c>
      <c r="C20" s="42" t="s">
        <v>88</v>
      </c>
      <c r="D20" s="42" t="s">
        <v>16</v>
      </c>
      <c r="E20" s="42" t="s">
        <v>764</v>
      </c>
      <c r="F20" s="42">
        <v>14791</v>
      </c>
      <c r="G20" s="42"/>
      <c r="H20" s="42">
        <v>14950</v>
      </c>
      <c r="I20" s="42">
        <v>300</v>
      </c>
      <c r="J20" s="42">
        <v>0.13</v>
      </c>
      <c r="K20" s="42">
        <f t="shared" si="9"/>
        <v>39</v>
      </c>
      <c r="L20" s="43">
        <f t="shared" si="10"/>
        <v>14911</v>
      </c>
      <c r="M20" s="43"/>
      <c r="N20" s="43">
        <f t="shared" si="11"/>
        <v>14911</v>
      </c>
      <c r="O20" s="43">
        <f t="shared" si="12"/>
        <v>1046.5</v>
      </c>
      <c r="P20" s="42">
        <v>0</v>
      </c>
      <c r="Q20" s="42"/>
      <c r="R20" s="42">
        <f t="shared" si="13"/>
        <v>0</v>
      </c>
    </row>
    <row r="21" spans="1:18">
      <c r="A21" s="21" t="s">
        <v>765</v>
      </c>
      <c r="B21" s="42" t="s">
        <v>681</v>
      </c>
      <c r="C21" s="42" t="s">
        <v>88</v>
      </c>
      <c r="D21" s="42" t="s">
        <v>16</v>
      </c>
      <c r="E21" s="42" t="s">
        <v>766</v>
      </c>
      <c r="F21" s="42">
        <v>14856</v>
      </c>
      <c r="G21" s="42"/>
      <c r="H21" s="42">
        <v>19930</v>
      </c>
      <c r="I21" s="42">
        <v>400</v>
      </c>
      <c r="J21" s="42">
        <v>0.13</v>
      </c>
      <c r="K21" s="42">
        <f t="shared" si="9"/>
        <v>52</v>
      </c>
      <c r="L21" s="43">
        <f t="shared" si="10"/>
        <v>19878</v>
      </c>
      <c r="M21" s="43"/>
      <c r="N21" s="43">
        <f t="shared" si="11"/>
        <v>19878</v>
      </c>
      <c r="O21" s="43">
        <f t="shared" si="12"/>
        <v>1395.1</v>
      </c>
      <c r="P21" s="42">
        <v>0</v>
      </c>
      <c r="Q21" s="42"/>
    </row>
    <row r="22" spans="1:18">
      <c r="A22" s="1" t="s">
        <v>767</v>
      </c>
      <c r="B22" s="42" t="s">
        <v>681</v>
      </c>
      <c r="C22" s="42" t="s">
        <v>88</v>
      </c>
      <c r="D22" s="42" t="s">
        <v>16</v>
      </c>
      <c r="E22" s="42" t="s">
        <v>768</v>
      </c>
      <c r="F22" s="42">
        <v>12854</v>
      </c>
      <c r="G22" s="42"/>
      <c r="H22" s="42">
        <v>19970</v>
      </c>
      <c r="I22" s="42">
        <v>400</v>
      </c>
      <c r="J22" s="42">
        <v>0.13</v>
      </c>
      <c r="K22" s="43">
        <f t="shared" si="9"/>
        <v>52</v>
      </c>
      <c r="L22" s="43">
        <f t="shared" si="10"/>
        <v>19918</v>
      </c>
      <c r="M22" s="43"/>
      <c r="N22" s="43">
        <f t="shared" si="11"/>
        <v>19918</v>
      </c>
      <c r="O22" s="43">
        <f t="shared" si="12"/>
        <v>1397.8999999999999</v>
      </c>
      <c r="P22" s="42">
        <v>0</v>
      </c>
      <c r="Q22" s="42"/>
    </row>
    <row r="23" spans="1:18">
      <c r="A23" s="374" t="s">
        <v>770</v>
      </c>
      <c r="B23" s="42" t="s">
        <v>681</v>
      </c>
      <c r="C23" s="42" t="s">
        <v>88</v>
      </c>
      <c r="D23" s="42" t="s">
        <v>16</v>
      </c>
      <c r="E23" s="42" t="s">
        <v>772</v>
      </c>
      <c r="F23" s="42">
        <v>2678</v>
      </c>
      <c r="G23" s="42"/>
      <c r="H23" s="42">
        <v>19940</v>
      </c>
      <c r="I23" s="42">
        <v>400</v>
      </c>
      <c r="J23" s="42">
        <v>0.13</v>
      </c>
      <c r="K23" s="43">
        <f t="shared" si="9"/>
        <v>52</v>
      </c>
      <c r="L23" s="43">
        <f t="shared" si="10"/>
        <v>19888</v>
      </c>
      <c r="M23" s="43"/>
      <c r="N23" s="43">
        <f t="shared" si="11"/>
        <v>19888</v>
      </c>
      <c r="O23" s="43">
        <f t="shared" si="12"/>
        <v>1395.8000000000002</v>
      </c>
      <c r="P23" s="42">
        <v>0</v>
      </c>
    </row>
    <row r="24" spans="1:18">
      <c r="A24" s="374"/>
      <c r="B24" s="42" t="s">
        <v>681</v>
      </c>
      <c r="C24" s="42" t="s">
        <v>88</v>
      </c>
      <c r="D24" s="42" t="s">
        <v>16</v>
      </c>
      <c r="E24" s="42" t="s">
        <v>773</v>
      </c>
      <c r="F24" s="42">
        <v>15000</v>
      </c>
      <c r="G24" s="42"/>
      <c r="H24" s="42">
        <v>19970</v>
      </c>
      <c r="I24" s="42">
        <v>400</v>
      </c>
      <c r="J24" s="42">
        <v>0.13</v>
      </c>
      <c r="K24" s="42">
        <f t="shared" si="9"/>
        <v>52</v>
      </c>
      <c r="L24" s="43">
        <f t="shared" si="10"/>
        <v>19918</v>
      </c>
      <c r="M24" s="43"/>
      <c r="N24" s="43">
        <f t="shared" si="11"/>
        <v>19918</v>
      </c>
      <c r="O24" s="43">
        <f t="shared" si="12"/>
        <v>1397.8999999999999</v>
      </c>
      <c r="P24" s="42">
        <v>0</v>
      </c>
    </row>
    <row r="25" spans="1:18">
      <c r="A25" s="374"/>
      <c r="B25" s="42" t="s">
        <v>681</v>
      </c>
      <c r="C25" s="42" t="s">
        <v>88</v>
      </c>
      <c r="D25" s="42" t="s">
        <v>16</v>
      </c>
      <c r="E25" s="42" t="s">
        <v>774</v>
      </c>
      <c r="F25" s="42">
        <v>11901</v>
      </c>
      <c r="G25" s="42"/>
      <c r="H25" s="42">
        <v>19980</v>
      </c>
      <c r="I25" s="42">
        <v>400</v>
      </c>
      <c r="J25" s="42">
        <v>0.13</v>
      </c>
      <c r="K25" s="43">
        <f t="shared" si="9"/>
        <v>52</v>
      </c>
      <c r="L25" s="43">
        <f t="shared" si="10"/>
        <v>19928</v>
      </c>
      <c r="M25" s="43"/>
      <c r="N25" s="43">
        <f t="shared" si="11"/>
        <v>19928</v>
      </c>
      <c r="O25" s="43">
        <f t="shared" si="12"/>
        <v>1398.6000000000001</v>
      </c>
      <c r="P25" s="42">
        <v>0</v>
      </c>
    </row>
    <row r="26" spans="1:18">
      <c r="A26" s="374"/>
      <c r="B26" s="42" t="s">
        <v>681</v>
      </c>
      <c r="C26" s="42" t="s">
        <v>88</v>
      </c>
      <c r="D26" s="42" t="s">
        <v>16</v>
      </c>
      <c r="E26" s="42" t="s">
        <v>775</v>
      </c>
      <c r="F26" s="42">
        <v>14975</v>
      </c>
      <c r="G26" s="42"/>
      <c r="H26" s="42">
        <v>20000</v>
      </c>
      <c r="I26" s="42">
        <v>400</v>
      </c>
      <c r="J26" s="42">
        <v>0.13</v>
      </c>
      <c r="K26" s="43">
        <f t="shared" si="9"/>
        <v>52</v>
      </c>
      <c r="L26" s="43">
        <f t="shared" si="10"/>
        <v>19948</v>
      </c>
      <c r="M26" s="43"/>
      <c r="N26" s="43">
        <f t="shared" si="11"/>
        <v>19948</v>
      </c>
      <c r="O26" s="43">
        <f t="shared" si="12"/>
        <v>1400</v>
      </c>
      <c r="P26" s="42">
        <v>0</v>
      </c>
    </row>
    <row r="27" spans="1:18">
      <c r="A27" s="374"/>
      <c r="B27" s="42" t="s">
        <v>681</v>
      </c>
      <c r="C27" s="42" t="s">
        <v>88</v>
      </c>
      <c r="D27" s="42" t="s">
        <v>16</v>
      </c>
      <c r="E27" s="42" t="s">
        <v>776</v>
      </c>
      <c r="F27" s="42">
        <v>14999</v>
      </c>
      <c r="G27" s="42"/>
      <c r="H27" s="42">
        <v>19980</v>
      </c>
      <c r="I27" s="42">
        <v>400</v>
      </c>
      <c r="J27" s="42">
        <v>0.13</v>
      </c>
      <c r="K27" s="42">
        <f t="shared" si="9"/>
        <v>52</v>
      </c>
      <c r="L27" s="43">
        <f t="shared" si="10"/>
        <v>19928</v>
      </c>
      <c r="M27" s="43"/>
      <c r="N27" s="43">
        <f t="shared" si="11"/>
        <v>19928</v>
      </c>
      <c r="O27" s="43">
        <f t="shared" si="12"/>
        <v>1398.6000000000001</v>
      </c>
      <c r="P27" s="42">
        <v>0</v>
      </c>
    </row>
    <row r="28" spans="1:18">
      <c r="A28" s="374"/>
      <c r="B28" s="42" t="s">
        <v>681</v>
      </c>
      <c r="C28" s="42" t="s">
        <v>88</v>
      </c>
      <c r="D28" s="42" t="s">
        <v>16</v>
      </c>
      <c r="E28" s="42" t="s">
        <v>777</v>
      </c>
      <c r="F28" s="42">
        <v>7734</v>
      </c>
      <c r="G28" s="42"/>
      <c r="H28" s="42">
        <v>19950</v>
      </c>
      <c r="I28" s="42">
        <v>400</v>
      </c>
      <c r="J28" s="42">
        <v>0.13</v>
      </c>
      <c r="K28" s="42">
        <f t="shared" si="9"/>
        <v>52</v>
      </c>
      <c r="L28" s="43">
        <f t="shared" si="10"/>
        <v>19898</v>
      </c>
      <c r="M28" s="43"/>
      <c r="N28" s="43">
        <f t="shared" si="11"/>
        <v>19898</v>
      </c>
      <c r="O28" s="43">
        <f t="shared" si="12"/>
        <v>1396.5</v>
      </c>
      <c r="P28" s="42">
        <v>0</v>
      </c>
    </row>
    <row r="29" spans="1:18">
      <c r="A29" s="374" t="s">
        <v>779</v>
      </c>
      <c r="B29" s="42" t="s">
        <v>681</v>
      </c>
      <c r="C29" s="42" t="s">
        <v>88</v>
      </c>
      <c r="D29" s="42" t="s">
        <v>16</v>
      </c>
      <c r="E29" s="42" t="s">
        <v>780</v>
      </c>
      <c r="F29" s="42">
        <v>11905</v>
      </c>
      <c r="G29" s="42"/>
      <c r="H29" s="42">
        <v>19930</v>
      </c>
      <c r="I29" s="42">
        <v>400</v>
      </c>
      <c r="J29" s="42">
        <v>0.13</v>
      </c>
      <c r="K29" s="42">
        <f t="shared" si="9"/>
        <v>52</v>
      </c>
      <c r="L29" s="43">
        <f t="shared" si="10"/>
        <v>19878</v>
      </c>
      <c r="M29" s="43"/>
      <c r="N29" s="43">
        <f t="shared" si="11"/>
        <v>19878</v>
      </c>
      <c r="O29" s="43">
        <f t="shared" si="12"/>
        <v>1395.1</v>
      </c>
      <c r="P29" s="42">
        <v>0</v>
      </c>
    </row>
    <row r="30" spans="1:18">
      <c r="A30" s="374"/>
      <c r="B30" s="42" t="s">
        <v>681</v>
      </c>
      <c r="C30" s="42" t="s">
        <v>88</v>
      </c>
      <c r="D30" s="42" t="s">
        <v>16</v>
      </c>
      <c r="E30" s="42" t="s">
        <v>781</v>
      </c>
      <c r="F30" s="42">
        <v>14993</v>
      </c>
      <c r="G30" s="42"/>
      <c r="H30" s="42">
        <v>19980</v>
      </c>
      <c r="I30" s="42">
        <v>400</v>
      </c>
      <c r="J30" s="42">
        <v>0.13</v>
      </c>
      <c r="K30" s="43">
        <f t="shared" si="9"/>
        <v>52</v>
      </c>
      <c r="L30" s="43">
        <f t="shared" si="10"/>
        <v>19928</v>
      </c>
      <c r="M30" s="43"/>
      <c r="N30" s="43">
        <f t="shared" si="11"/>
        <v>19928</v>
      </c>
      <c r="O30" s="43">
        <f t="shared" si="12"/>
        <v>1398.6000000000001</v>
      </c>
      <c r="P30" s="42">
        <v>0</v>
      </c>
    </row>
    <row r="31" spans="1:18">
      <c r="A31" s="374"/>
      <c r="B31" s="42" t="s">
        <v>681</v>
      </c>
      <c r="C31" s="42" t="s">
        <v>88</v>
      </c>
      <c r="D31" s="42" t="s">
        <v>16</v>
      </c>
      <c r="E31" s="42" t="s">
        <v>782</v>
      </c>
      <c r="F31" s="42">
        <v>1801</v>
      </c>
      <c r="G31" s="42"/>
      <c r="H31" s="42">
        <v>20000</v>
      </c>
      <c r="I31" s="42">
        <v>400</v>
      </c>
      <c r="J31" s="42">
        <v>0.13</v>
      </c>
      <c r="K31" s="42">
        <f t="shared" si="9"/>
        <v>52</v>
      </c>
      <c r="L31" s="43">
        <f t="shared" si="10"/>
        <v>19948</v>
      </c>
      <c r="M31" s="43"/>
      <c r="N31" s="43">
        <f t="shared" si="11"/>
        <v>19948</v>
      </c>
      <c r="O31" s="43">
        <f t="shared" si="12"/>
        <v>1400</v>
      </c>
      <c r="P31" s="42">
        <v>0</v>
      </c>
    </row>
    <row r="32" spans="1:18">
      <c r="A32" s="374"/>
      <c r="B32" s="42" t="s">
        <v>681</v>
      </c>
      <c r="C32" s="42" t="s">
        <v>88</v>
      </c>
      <c r="D32" s="42" t="s">
        <v>16</v>
      </c>
      <c r="E32" s="42" t="s">
        <v>759</v>
      </c>
      <c r="F32" s="42">
        <v>2544</v>
      </c>
      <c r="G32" s="42"/>
      <c r="H32" s="42">
        <v>19980</v>
      </c>
      <c r="I32" s="42">
        <v>400</v>
      </c>
      <c r="J32" s="42">
        <v>0.13</v>
      </c>
      <c r="K32" s="43">
        <f t="shared" si="9"/>
        <v>52</v>
      </c>
      <c r="L32" s="43">
        <f t="shared" si="10"/>
        <v>19928</v>
      </c>
      <c r="M32" s="43"/>
      <c r="N32" s="43">
        <f t="shared" si="11"/>
        <v>19928</v>
      </c>
      <c r="O32" s="43">
        <f t="shared" si="12"/>
        <v>1398.6000000000001</v>
      </c>
      <c r="P32" s="42">
        <v>0</v>
      </c>
    </row>
    <row r="33" spans="1:16">
      <c r="A33" s="374"/>
      <c r="B33" s="42" t="s">
        <v>681</v>
      </c>
      <c r="C33" s="42" t="s">
        <v>88</v>
      </c>
      <c r="D33" s="42" t="s">
        <v>16</v>
      </c>
      <c r="E33" s="42" t="s">
        <v>783</v>
      </c>
      <c r="F33" s="42">
        <v>8406</v>
      </c>
      <c r="G33" s="42"/>
      <c r="H33" s="42">
        <v>20520</v>
      </c>
      <c r="I33" s="42">
        <v>303</v>
      </c>
      <c r="J33" s="42">
        <v>0.13</v>
      </c>
      <c r="K33" s="42">
        <f t="shared" si="9"/>
        <v>39.39</v>
      </c>
      <c r="L33" s="43">
        <f t="shared" si="10"/>
        <v>20480.61</v>
      </c>
      <c r="M33" s="43"/>
      <c r="N33" s="43">
        <f t="shared" si="11"/>
        <v>20480.61</v>
      </c>
      <c r="O33" s="43">
        <f t="shared" si="12"/>
        <v>1436.3999999999999</v>
      </c>
      <c r="P33" s="42">
        <v>0</v>
      </c>
    </row>
    <row r="34" spans="1:16">
      <c r="A34" s="374"/>
      <c r="B34" s="42" t="s">
        <v>681</v>
      </c>
      <c r="C34" s="42" t="s">
        <v>88</v>
      </c>
      <c r="D34" s="42" t="s">
        <v>16</v>
      </c>
      <c r="E34" s="42" t="s">
        <v>784</v>
      </c>
      <c r="F34" s="42">
        <v>11942</v>
      </c>
      <c r="G34" s="42"/>
      <c r="H34" s="42">
        <v>14960</v>
      </c>
      <c r="I34" s="42">
        <v>300</v>
      </c>
      <c r="J34" s="42">
        <v>0.13</v>
      </c>
      <c r="K34" s="42">
        <f t="shared" si="9"/>
        <v>39</v>
      </c>
      <c r="L34" s="43">
        <f t="shared" si="10"/>
        <v>14921</v>
      </c>
      <c r="M34" s="43"/>
      <c r="N34" s="43">
        <f t="shared" si="11"/>
        <v>14921</v>
      </c>
      <c r="O34" s="43">
        <f t="shared" si="12"/>
        <v>1047.2</v>
      </c>
      <c r="P34" s="42">
        <v>0</v>
      </c>
    </row>
    <row r="35" spans="1:16">
      <c r="A35" s="374"/>
      <c r="B35" s="42" t="s">
        <v>681</v>
      </c>
      <c r="C35" s="42" t="s">
        <v>88</v>
      </c>
      <c r="D35" s="42" t="s">
        <v>16</v>
      </c>
      <c r="E35" s="42" t="s">
        <v>785</v>
      </c>
      <c r="F35" s="42">
        <v>11925</v>
      </c>
      <c r="G35" s="42"/>
      <c r="H35" s="42">
        <v>20000</v>
      </c>
      <c r="I35" s="42">
        <v>400</v>
      </c>
      <c r="J35" s="42">
        <v>0.13</v>
      </c>
      <c r="K35" s="43">
        <f t="shared" si="9"/>
        <v>52</v>
      </c>
      <c r="L35" s="43">
        <f t="shared" si="10"/>
        <v>19948</v>
      </c>
      <c r="M35" s="43"/>
      <c r="N35" s="43">
        <f t="shared" si="11"/>
        <v>19948</v>
      </c>
      <c r="O35" s="43">
        <f t="shared" si="12"/>
        <v>1400</v>
      </c>
      <c r="P35" s="42">
        <v>0</v>
      </c>
    </row>
    <row r="36" spans="1:16">
      <c r="A36" s="374" t="s">
        <v>788</v>
      </c>
      <c r="B36" s="42" t="s">
        <v>681</v>
      </c>
      <c r="C36" s="42" t="s">
        <v>88</v>
      </c>
      <c r="D36" s="42" t="s">
        <v>16</v>
      </c>
      <c r="E36" s="42" t="s">
        <v>791</v>
      </c>
      <c r="F36" s="42">
        <v>8410</v>
      </c>
      <c r="G36" s="42"/>
      <c r="H36" s="42">
        <v>22650</v>
      </c>
      <c r="I36" s="42">
        <v>331</v>
      </c>
      <c r="J36" s="42">
        <v>0.13</v>
      </c>
      <c r="K36" s="43">
        <f t="shared" si="9"/>
        <v>43.03</v>
      </c>
      <c r="L36" s="43">
        <f t="shared" si="10"/>
        <v>22606.97</v>
      </c>
      <c r="M36" s="43"/>
      <c r="N36" s="43">
        <f t="shared" si="11"/>
        <v>22606.97</v>
      </c>
      <c r="O36" s="43">
        <f t="shared" si="12"/>
        <v>1585.5</v>
      </c>
      <c r="P36" s="42">
        <v>0</v>
      </c>
    </row>
    <row r="37" spans="1:16">
      <c r="A37" s="374"/>
      <c r="B37" s="42" t="s">
        <v>681</v>
      </c>
      <c r="C37" s="42" t="s">
        <v>88</v>
      </c>
      <c r="D37" s="42" t="s">
        <v>16</v>
      </c>
      <c r="E37" s="42" t="s">
        <v>792</v>
      </c>
      <c r="F37" s="42">
        <v>8408</v>
      </c>
      <c r="G37" s="42"/>
      <c r="H37" s="42">
        <v>21560</v>
      </c>
      <c r="I37" s="42">
        <v>320</v>
      </c>
      <c r="J37" s="42">
        <v>0.13</v>
      </c>
      <c r="K37" s="43">
        <f t="shared" si="9"/>
        <v>41.6</v>
      </c>
      <c r="L37" s="43">
        <f t="shared" si="10"/>
        <v>21518.400000000001</v>
      </c>
      <c r="M37" s="43"/>
      <c r="N37" s="43">
        <f t="shared" si="11"/>
        <v>21518.400000000001</v>
      </c>
      <c r="O37" s="43">
        <f t="shared" si="12"/>
        <v>1509.1999999999998</v>
      </c>
      <c r="P37" s="42">
        <v>0</v>
      </c>
    </row>
    <row r="38" spans="1:16">
      <c r="A38" s="374"/>
      <c r="B38" s="42" t="s">
        <v>681</v>
      </c>
      <c r="C38" s="42" t="s">
        <v>88</v>
      </c>
      <c r="D38" s="42" t="s">
        <v>16</v>
      </c>
      <c r="E38" s="42" t="s">
        <v>793</v>
      </c>
      <c r="F38" s="42">
        <v>1826</v>
      </c>
      <c r="G38" s="42"/>
      <c r="H38" s="42">
        <v>19920</v>
      </c>
      <c r="I38" s="42">
        <v>300</v>
      </c>
      <c r="J38" s="42">
        <v>0.13</v>
      </c>
      <c r="K38" s="43">
        <f t="shared" si="9"/>
        <v>39</v>
      </c>
      <c r="L38" s="43">
        <f t="shared" si="10"/>
        <v>19881</v>
      </c>
      <c r="M38" s="43"/>
      <c r="N38" s="43">
        <f t="shared" si="11"/>
        <v>19881</v>
      </c>
      <c r="O38" s="43">
        <f t="shared" si="12"/>
        <v>1394.4</v>
      </c>
      <c r="P38" s="42">
        <v>0</v>
      </c>
    </row>
    <row r="39" spans="1:16">
      <c r="A39" s="374"/>
      <c r="B39" s="42" t="s">
        <v>681</v>
      </c>
      <c r="C39" s="42" t="s">
        <v>88</v>
      </c>
      <c r="D39" s="42" t="s">
        <v>16</v>
      </c>
      <c r="E39" s="42" t="s">
        <v>794</v>
      </c>
      <c r="F39" s="42">
        <v>8413</v>
      </c>
      <c r="G39" s="42"/>
      <c r="H39" s="42">
        <v>24140</v>
      </c>
      <c r="I39" s="42">
        <v>348</v>
      </c>
      <c r="J39" s="42">
        <v>0.13</v>
      </c>
      <c r="K39" s="43">
        <f t="shared" si="9"/>
        <v>45.24</v>
      </c>
      <c r="L39" s="43">
        <f t="shared" si="10"/>
        <v>24094.76</v>
      </c>
      <c r="M39" s="43"/>
      <c r="N39" s="43">
        <f t="shared" si="11"/>
        <v>24094.76</v>
      </c>
      <c r="O39" s="43">
        <f t="shared" si="12"/>
        <v>1689.8</v>
      </c>
      <c r="P39" s="42">
        <v>0</v>
      </c>
    </row>
    <row r="40" spans="1:16">
      <c r="A40" s="374"/>
      <c r="B40" s="42" t="s">
        <v>681</v>
      </c>
      <c r="C40" s="42" t="s">
        <v>88</v>
      </c>
      <c r="D40" s="42" t="s">
        <v>16</v>
      </c>
      <c r="E40" s="42" t="s">
        <v>795</v>
      </c>
      <c r="F40" s="42">
        <v>8412</v>
      </c>
      <c r="G40" s="42"/>
      <c r="H40" s="42">
        <v>20020</v>
      </c>
      <c r="I40" s="42">
        <v>300</v>
      </c>
      <c r="J40" s="42">
        <v>0.13</v>
      </c>
      <c r="K40" s="43">
        <f t="shared" si="9"/>
        <v>39</v>
      </c>
      <c r="L40" s="43">
        <f t="shared" si="10"/>
        <v>19981</v>
      </c>
      <c r="M40" s="43"/>
      <c r="N40" s="43">
        <f t="shared" si="11"/>
        <v>19981</v>
      </c>
      <c r="O40" s="43">
        <f t="shared" si="12"/>
        <v>1401.3999999999999</v>
      </c>
      <c r="P40" s="42">
        <v>0</v>
      </c>
    </row>
    <row r="41" spans="1:16">
      <c r="A41" s="374"/>
      <c r="B41" s="42" t="s">
        <v>681</v>
      </c>
      <c r="C41" s="42" t="s">
        <v>88</v>
      </c>
      <c r="D41" s="42" t="s">
        <v>16</v>
      </c>
      <c r="E41" s="42" t="s">
        <v>796</v>
      </c>
      <c r="F41" s="42">
        <v>11705</v>
      </c>
      <c r="G41" s="42"/>
      <c r="H41" s="42">
        <v>20000</v>
      </c>
      <c r="I41" s="42">
        <v>400</v>
      </c>
      <c r="J41" s="42">
        <v>0.13</v>
      </c>
      <c r="K41" s="43">
        <f t="shared" si="9"/>
        <v>52</v>
      </c>
      <c r="L41" s="43">
        <f t="shared" si="10"/>
        <v>19948</v>
      </c>
      <c r="M41" s="43"/>
      <c r="N41" s="43">
        <f t="shared" si="11"/>
        <v>19948</v>
      </c>
      <c r="O41" s="43">
        <f t="shared" si="12"/>
        <v>1400</v>
      </c>
      <c r="P41" s="42">
        <v>0</v>
      </c>
    </row>
    <row r="42" spans="1:16">
      <c r="A42" s="374"/>
      <c r="B42" s="42" t="s">
        <v>681</v>
      </c>
      <c r="C42" s="42" t="s">
        <v>88</v>
      </c>
      <c r="D42" s="42" t="s">
        <v>16</v>
      </c>
      <c r="E42" s="42" t="s">
        <v>797</v>
      </c>
      <c r="F42" s="42">
        <v>11704</v>
      </c>
      <c r="G42" s="42"/>
      <c r="H42" s="42">
        <v>20000</v>
      </c>
      <c r="I42" s="42">
        <v>400</v>
      </c>
      <c r="J42" s="42">
        <v>0.13</v>
      </c>
      <c r="K42" s="43">
        <f t="shared" si="9"/>
        <v>52</v>
      </c>
      <c r="L42" s="43">
        <f t="shared" si="10"/>
        <v>19948</v>
      </c>
      <c r="M42" s="43"/>
      <c r="N42" s="43">
        <f t="shared" si="11"/>
        <v>19948</v>
      </c>
      <c r="O42" s="43">
        <f t="shared" si="12"/>
        <v>1400</v>
      </c>
      <c r="P42" s="42">
        <v>0</v>
      </c>
    </row>
    <row r="43" spans="1:16">
      <c r="A43" s="374"/>
      <c r="B43" s="42" t="s">
        <v>681</v>
      </c>
      <c r="C43" s="42" t="s">
        <v>88</v>
      </c>
      <c r="D43" s="42" t="s">
        <v>16</v>
      </c>
      <c r="E43" s="42" t="s">
        <v>798</v>
      </c>
      <c r="F43" s="42">
        <v>8407</v>
      </c>
      <c r="G43" s="42"/>
      <c r="H43" s="42">
        <v>21075</v>
      </c>
      <c r="I43" s="42">
        <v>300</v>
      </c>
      <c r="J43" s="42">
        <v>0.13</v>
      </c>
      <c r="K43" s="43">
        <f t="shared" si="9"/>
        <v>39</v>
      </c>
      <c r="L43" s="43">
        <f t="shared" si="10"/>
        <v>21036</v>
      </c>
      <c r="M43" s="43"/>
      <c r="N43" s="43">
        <f t="shared" si="11"/>
        <v>21036</v>
      </c>
      <c r="O43" s="43">
        <f t="shared" si="12"/>
        <v>1475.25</v>
      </c>
      <c r="P43" s="42">
        <v>0</v>
      </c>
    </row>
    <row r="44" spans="1:16">
      <c r="A44" s="374" t="s">
        <v>811</v>
      </c>
      <c r="B44" s="42" t="s">
        <v>681</v>
      </c>
      <c r="C44" s="42" t="s">
        <v>88</v>
      </c>
      <c r="D44" s="42" t="s">
        <v>16</v>
      </c>
      <c r="E44" s="42" t="s">
        <v>812</v>
      </c>
      <c r="F44" s="42">
        <v>8423</v>
      </c>
      <c r="G44" s="42"/>
      <c r="H44" s="42">
        <v>23880</v>
      </c>
      <c r="I44" s="42">
        <v>338</v>
      </c>
      <c r="J44" s="42">
        <v>0.13</v>
      </c>
      <c r="K44" s="43">
        <f t="shared" si="9"/>
        <v>43.940000000000005</v>
      </c>
      <c r="L44" s="43">
        <f t="shared" si="10"/>
        <v>23836.06</v>
      </c>
      <c r="M44" s="43"/>
      <c r="N44" s="43">
        <f t="shared" si="11"/>
        <v>23836.06</v>
      </c>
      <c r="O44" s="43">
        <f t="shared" si="12"/>
        <v>1671.6</v>
      </c>
      <c r="P44" s="42">
        <v>0</v>
      </c>
    </row>
    <row r="45" spans="1:16">
      <c r="A45" s="374"/>
      <c r="B45" s="42" t="s">
        <v>681</v>
      </c>
      <c r="C45" s="42" t="s">
        <v>88</v>
      </c>
      <c r="D45" s="42" t="s">
        <v>16</v>
      </c>
      <c r="E45" s="42" t="s">
        <v>813</v>
      </c>
      <c r="F45" s="47">
        <v>8361</v>
      </c>
      <c r="G45" s="47"/>
      <c r="H45" s="47">
        <v>26100</v>
      </c>
      <c r="I45" s="47">
        <v>365</v>
      </c>
      <c r="J45" s="47">
        <v>0.13</v>
      </c>
      <c r="K45" s="43">
        <f t="shared" si="9"/>
        <v>47.45</v>
      </c>
      <c r="L45" s="43">
        <f t="shared" si="10"/>
        <v>26052.55</v>
      </c>
      <c r="M45" s="43"/>
      <c r="N45" s="43">
        <f t="shared" si="11"/>
        <v>26052.55</v>
      </c>
      <c r="O45" s="43">
        <f t="shared" si="12"/>
        <v>1827</v>
      </c>
      <c r="P45" s="46">
        <v>0</v>
      </c>
    </row>
    <row r="46" spans="1:16">
      <c r="A46" s="374"/>
      <c r="B46" s="42" t="s">
        <v>681</v>
      </c>
      <c r="C46" s="42" t="s">
        <v>88</v>
      </c>
      <c r="D46" s="42" t="s">
        <v>16</v>
      </c>
      <c r="E46" s="42" t="s">
        <v>814</v>
      </c>
      <c r="F46" s="42">
        <v>8363</v>
      </c>
      <c r="G46" s="42"/>
      <c r="H46" s="42">
        <v>29540</v>
      </c>
      <c r="I46" s="42">
        <v>422</v>
      </c>
      <c r="J46" s="42">
        <v>0.13</v>
      </c>
      <c r="K46" s="43">
        <f t="shared" si="9"/>
        <v>54.86</v>
      </c>
      <c r="L46" s="43">
        <f t="shared" si="10"/>
        <v>29485.14</v>
      </c>
      <c r="M46" s="43"/>
      <c r="N46" s="43">
        <f t="shared" si="11"/>
        <v>29485.14</v>
      </c>
      <c r="O46" s="43">
        <f t="shared" si="12"/>
        <v>2067.7999999999997</v>
      </c>
      <c r="P46" s="42">
        <v>0</v>
      </c>
    </row>
    <row r="47" spans="1:16">
      <c r="A47" s="374" t="s">
        <v>819</v>
      </c>
      <c r="B47" s="42" t="s">
        <v>681</v>
      </c>
      <c r="C47" s="42" t="s">
        <v>88</v>
      </c>
      <c r="D47" s="42" t="s">
        <v>16</v>
      </c>
      <c r="E47" s="42" t="s">
        <v>821</v>
      </c>
      <c r="F47" s="42">
        <v>8438</v>
      </c>
      <c r="G47" s="42"/>
      <c r="H47" s="42">
        <v>20335</v>
      </c>
      <c r="I47" s="42">
        <v>289</v>
      </c>
      <c r="J47" s="42">
        <v>0.13</v>
      </c>
      <c r="K47" s="43">
        <f t="shared" si="9"/>
        <v>37.57</v>
      </c>
      <c r="L47" s="43">
        <f t="shared" si="10"/>
        <v>20297.43</v>
      </c>
      <c r="M47" s="43"/>
      <c r="N47" s="43">
        <f t="shared" si="11"/>
        <v>20297.43</v>
      </c>
      <c r="O47" s="43">
        <f t="shared" si="12"/>
        <v>1423.45</v>
      </c>
      <c r="P47" s="42">
        <v>0</v>
      </c>
    </row>
    <row r="48" spans="1:16">
      <c r="A48" s="374"/>
      <c r="B48" s="42" t="s">
        <v>681</v>
      </c>
      <c r="C48" s="42" t="s">
        <v>88</v>
      </c>
      <c r="D48" s="42" t="s">
        <v>16</v>
      </c>
      <c r="E48" s="42" t="s">
        <v>822</v>
      </c>
      <c r="F48" s="42">
        <v>8434</v>
      </c>
      <c r="G48" s="42"/>
      <c r="H48" s="42">
        <v>23240</v>
      </c>
      <c r="I48" s="42">
        <v>330</v>
      </c>
      <c r="J48" s="42">
        <v>0.13</v>
      </c>
      <c r="K48" s="43">
        <f t="shared" si="9"/>
        <v>42.9</v>
      </c>
      <c r="L48" s="43">
        <f t="shared" si="10"/>
        <v>23197.1</v>
      </c>
      <c r="M48" s="43"/>
      <c r="N48" s="43">
        <f t="shared" si="11"/>
        <v>23197.1</v>
      </c>
      <c r="O48" s="43">
        <f t="shared" si="12"/>
        <v>1626.8</v>
      </c>
      <c r="P48" s="42">
        <v>0</v>
      </c>
    </row>
    <row r="49" spans="1:18">
      <c r="A49" s="374"/>
      <c r="B49" s="42" t="s">
        <v>681</v>
      </c>
      <c r="C49" s="42" t="s">
        <v>88</v>
      </c>
      <c r="D49" s="42" t="s">
        <v>16</v>
      </c>
      <c r="E49" s="42" t="s">
        <v>772</v>
      </c>
      <c r="F49" s="42">
        <v>8432</v>
      </c>
      <c r="G49" s="42"/>
      <c r="H49" s="42">
        <v>28590</v>
      </c>
      <c r="I49" s="42">
        <v>408</v>
      </c>
      <c r="J49" s="42">
        <v>0.13</v>
      </c>
      <c r="K49" s="43">
        <f t="shared" ref="K49:K66" si="14">I49*J49</f>
        <v>53.04</v>
      </c>
      <c r="L49" s="43">
        <f t="shared" ref="L49:L80" si="15">H49-K49</f>
        <v>28536.959999999999</v>
      </c>
      <c r="M49" s="43"/>
      <c r="N49" s="43">
        <f t="shared" ref="N49:N80" si="16">L49-M49</f>
        <v>28536.959999999999</v>
      </c>
      <c r="O49" s="43">
        <f t="shared" ref="O49:O80" si="17">H49/1000*70</f>
        <v>2001.3</v>
      </c>
      <c r="P49" s="42">
        <v>0</v>
      </c>
    </row>
    <row r="50" spans="1:18">
      <c r="A50" s="374"/>
      <c r="B50" s="42" t="s">
        <v>681</v>
      </c>
      <c r="C50" s="42" t="s">
        <v>88</v>
      </c>
      <c r="D50" s="42" t="s">
        <v>16</v>
      </c>
      <c r="E50" s="42" t="s">
        <v>823</v>
      </c>
      <c r="F50" s="42">
        <v>8431</v>
      </c>
      <c r="G50" s="42"/>
      <c r="H50" s="42">
        <v>17230</v>
      </c>
      <c r="I50" s="42">
        <v>247</v>
      </c>
      <c r="J50" s="42">
        <v>0.13</v>
      </c>
      <c r="K50" s="43">
        <f t="shared" si="14"/>
        <v>32.11</v>
      </c>
      <c r="L50" s="43">
        <f t="shared" si="15"/>
        <v>17197.89</v>
      </c>
      <c r="M50" s="43"/>
      <c r="N50" s="43">
        <f t="shared" si="16"/>
        <v>17197.89</v>
      </c>
      <c r="O50" s="43">
        <f t="shared" si="17"/>
        <v>1206.1000000000001</v>
      </c>
      <c r="P50" s="42">
        <v>0</v>
      </c>
    </row>
    <row r="51" spans="1:18">
      <c r="A51" s="374"/>
      <c r="B51" s="42" t="s">
        <v>681</v>
      </c>
      <c r="C51" s="42" t="s">
        <v>88</v>
      </c>
      <c r="D51" s="42" t="s">
        <v>16</v>
      </c>
      <c r="E51" s="42" t="s">
        <v>824</v>
      </c>
      <c r="F51" s="42">
        <v>8439</v>
      </c>
      <c r="G51" s="42"/>
      <c r="H51" s="42">
        <v>21910</v>
      </c>
      <c r="I51" s="42">
        <v>312</v>
      </c>
      <c r="J51" s="42">
        <v>0.13</v>
      </c>
      <c r="K51" s="43">
        <f t="shared" si="14"/>
        <v>40.56</v>
      </c>
      <c r="L51" s="43">
        <f t="shared" si="15"/>
        <v>21869.439999999999</v>
      </c>
      <c r="M51" s="43"/>
      <c r="N51" s="43">
        <f t="shared" si="16"/>
        <v>21869.439999999999</v>
      </c>
      <c r="O51" s="43">
        <f t="shared" si="17"/>
        <v>1533.7</v>
      </c>
      <c r="P51" s="42">
        <v>0</v>
      </c>
    </row>
    <row r="52" spans="1:18">
      <c r="A52" s="374"/>
      <c r="B52" s="42" t="s">
        <v>681</v>
      </c>
      <c r="C52" s="42" t="s">
        <v>88</v>
      </c>
      <c r="D52" s="42" t="s">
        <v>16</v>
      </c>
      <c r="E52" s="42" t="s">
        <v>825</v>
      </c>
      <c r="F52" s="42">
        <v>8433</v>
      </c>
      <c r="G52" s="42"/>
      <c r="H52" s="42">
        <v>26730</v>
      </c>
      <c r="I52" s="42">
        <v>385</v>
      </c>
      <c r="J52" s="42">
        <v>0.13</v>
      </c>
      <c r="K52" s="43">
        <f t="shared" si="14"/>
        <v>50.050000000000004</v>
      </c>
      <c r="L52" s="43">
        <f t="shared" si="15"/>
        <v>26679.95</v>
      </c>
      <c r="M52" s="43"/>
      <c r="N52" s="43">
        <f t="shared" si="16"/>
        <v>26679.95</v>
      </c>
      <c r="O52" s="43">
        <f t="shared" si="17"/>
        <v>1871.1000000000001</v>
      </c>
      <c r="P52" s="48">
        <v>0</v>
      </c>
    </row>
    <row r="53" spans="1:18">
      <c r="A53" s="374"/>
      <c r="B53" s="42" t="s">
        <v>681</v>
      </c>
      <c r="C53" s="42" t="s">
        <v>88</v>
      </c>
      <c r="D53" s="42" t="s">
        <v>16</v>
      </c>
      <c r="E53" s="42" t="s">
        <v>826</v>
      </c>
      <c r="F53" s="42">
        <v>8430</v>
      </c>
      <c r="G53" s="42"/>
      <c r="H53" s="42">
        <v>22450</v>
      </c>
      <c r="I53" s="42">
        <v>319</v>
      </c>
      <c r="J53" s="42">
        <v>0.13</v>
      </c>
      <c r="K53" s="43">
        <f t="shared" si="14"/>
        <v>41.47</v>
      </c>
      <c r="L53" s="43">
        <f t="shared" si="15"/>
        <v>22408.53</v>
      </c>
      <c r="M53" s="43"/>
      <c r="N53" s="43">
        <f t="shared" si="16"/>
        <v>22408.53</v>
      </c>
      <c r="O53" s="43">
        <f t="shared" si="17"/>
        <v>1571.5</v>
      </c>
      <c r="P53" s="48">
        <v>0</v>
      </c>
    </row>
    <row r="54" spans="1:18">
      <c r="A54" s="374"/>
      <c r="B54" s="42" t="s">
        <v>681</v>
      </c>
      <c r="C54" s="42" t="s">
        <v>88</v>
      </c>
      <c r="D54" s="42" t="s">
        <v>16</v>
      </c>
      <c r="E54" s="42" t="s">
        <v>827</v>
      </c>
      <c r="F54" s="42">
        <v>8437</v>
      </c>
      <c r="G54" s="42"/>
      <c r="H54" s="42">
        <v>21040</v>
      </c>
      <c r="I54" s="42">
        <v>300</v>
      </c>
      <c r="J54" s="42">
        <v>0.13</v>
      </c>
      <c r="K54" s="43">
        <f t="shared" si="14"/>
        <v>39</v>
      </c>
      <c r="L54" s="43">
        <f t="shared" si="15"/>
        <v>21001</v>
      </c>
      <c r="M54" s="43"/>
      <c r="N54" s="43">
        <f t="shared" si="16"/>
        <v>21001</v>
      </c>
      <c r="O54" s="43">
        <f t="shared" si="17"/>
        <v>1472.8</v>
      </c>
      <c r="P54" s="48">
        <v>0</v>
      </c>
    </row>
    <row r="55" spans="1:18">
      <c r="A55" s="374"/>
      <c r="B55" s="42" t="s">
        <v>681</v>
      </c>
      <c r="C55" s="42" t="s">
        <v>88</v>
      </c>
      <c r="D55" s="42" t="s">
        <v>16</v>
      </c>
      <c r="E55" s="42" t="s">
        <v>828</v>
      </c>
      <c r="F55" s="42">
        <v>8435</v>
      </c>
      <c r="G55" s="42"/>
      <c r="H55" s="42">
        <v>23710</v>
      </c>
      <c r="I55" s="42">
        <v>338</v>
      </c>
      <c r="J55" s="42">
        <v>0.13</v>
      </c>
      <c r="K55" s="43">
        <f t="shared" si="14"/>
        <v>43.940000000000005</v>
      </c>
      <c r="L55" s="43">
        <f t="shared" si="15"/>
        <v>23666.06</v>
      </c>
      <c r="M55" s="43"/>
      <c r="N55" s="43">
        <f t="shared" si="16"/>
        <v>23666.06</v>
      </c>
      <c r="O55" s="43">
        <f t="shared" si="17"/>
        <v>1659.7</v>
      </c>
      <c r="P55" s="48">
        <v>0</v>
      </c>
    </row>
    <row r="56" spans="1:18">
      <c r="A56" s="374"/>
      <c r="B56" s="42" t="s">
        <v>681</v>
      </c>
      <c r="C56" s="42" t="s">
        <v>88</v>
      </c>
      <c r="D56" s="42" t="s">
        <v>16</v>
      </c>
      <c r="E56" s="42" t="s">
        <v>829</v>
      </c>
      <c r="F56" s="42">
        <v>8440</v>
      </c>
      <c r="G56" s="42"/>
      <c r="H56" s="42">
        <v>20160</v>
      </c>
      <c r="I56" s="42">
        <v>288</v>
      </c>
      <c r="J56" s="42">
        <v>0.13</v>
      </c>
      <c r="K56" s="43">
        <f t="shared" si="14"/>
        <v>37.44</v>
      </c>
      <c r="L56" s="43">
        <f t="shared" si="15"/>
        <v>20122.560000000001</v>
      </c>
      <c r="M56" s="43"/>
      <c r="N56" s="43">
        <f t="shared" si="16"/>
        <v>20122.560000000001</v>
      </c>
      <c r="O56" s="43">
        <f t="shared" si="17"/>
        <v>1411.2</v>
      </c>
      <c r="P56" s="48">
        <v>0</v>
      </c>
    </row>
    <row r="57" spans="1:18">
      <c r="A57" s="374"/>
      <c r="B57" s="42" t="s">
        <v>681</v>
      </c>
      <c r="C57" s="42" t="s">
        <v>88</v>
      </c>
      <c r="D57" s="42" t="s">
        <v>16</v>
      </c>
      <c r="E57" s="42" t="s">
        <v>830</v>
      </c>
      <c r="F57" s="42">
        <v>8429</v>
      </c>
      <c r="G57" s="42"/>
      <c r="H57" s="42">
        <v>21390</v>
      </c>
      <c r="I57" s="42">
        <v>302</v>
      </c>
      <c r="J57" s="42">
        <v>0.13</v>
      </c>
      <c r="K57" s="43">
        <f t="shared" si="14"/>
        <v>39.26</v>
      </c>
      <c r="L57" s="43">
        <f t="shared" si="15"/>
        <v>21350.74</v>
      </c>
      <c r="M57" s="43"/>
      <c r="N57" s="43">
        <f t="shared" si="16"/>
        <v>21350.74</v>
      </c>
      <c r="O57" s="43">
        <f t="shared" si="17"/>
        <v>1497.3</v>
      </c>
      <c r="P57" s="48">
        <v>0</v>
      </c>
    </row>
    <row r="58" spans="1:18">
      <c r="A58" s="374" t="s">
        <v>841</v>
      </c>
      <c r="B58" s="42" t="s">
        <v>681</v>
      </c>
      <c r="C58" s="42" t="s">
        <v>88</v>
      </c>
      <c r="D58" s="42" t="s">
        <v>16</v>
      </c>
      <c r="E58" s="42" t="s">
        <v>845</v>
      </c>
      <c r="F58" s="42">
        <v>8253</v>
      </c>
      <c r="G58" s="42"/>
      <c r="H58" s="42">
        <v>20800</v>
      </c>
      <c r="I58" s="42">
        <v>300</v>
      </c>
      <c r="J58" s="42">
        <v>0.13</v>
      </c>
      <c r="K58" s="43">
        <f t="shared" si="14"/>
        <v>39</v>
      </c>
      <c r="L58" s="43">
        <f t="shared" si="15"/>
        <v>20761</v>
      </c>
      <c r="M58" s="43"/>
      <c r="N58" s="43">
        <f t="shared" si="16"/>
        <v>20761</v>
      </c>
      <c r="O58" s="43">
        <f t="shared" si="17"/>
        <v>1456</v>
      </c>
      <c r="P58" s="42">
        <v>0</v>
      </c>
      <c r="Q58" s="42">
        <v>18.899999999999999</v>
      </c>
      <c r="R58" s="42">
        <f t="shared" ref="R58:R89" si="18">L58*Q58</f>
        <v>392382.89999999997</v>
      </c>
    </row>
    <row r="59" spans="1:18">
      <c r="A59" s="374"/>
      <c r="B59" s="42" t="s">
        <v>681</v>
      </c>
      <c r="C59" s="42" t="s">
        <v>88</v>
      </c>
      <c r="D59" s="42" t="s">
        <v>16</v>
      </c>
      <c r="E59" s="42" t="s">
        <v>846</v>
      </c>
      <c r="F59" s="42">
        <v>8258</v>
      </c>
      <c r="G59" s="42"/>
      <c r="H59" s="42">
        <v>23260</v>
      </c>
      <c r="I59" s="42">
        <v>320</v>
      </c>
      <c r="J59" s="42">
        <v>0.13</v>
      </c>
      <c r="K59" s="43">
        <f t="shared" si="14"/>
        <v>41.6</v>
      </c>
      <c r="L59" s="43">
        <f t="shared" si="15"/>
        <v>23218.400000000001</v>
      </c>
      <c r="M59" s="43"/>
      <c r="N59" s="43">
        <f t="shared" si="16"/>
        <v>23218.400000000001</v>
      </c>
      <c r="O59" s="43">
        <f t="shared" si="17"/>
        <v>1628.2</v>
      </c>
      <c r="P59" s="42">
        <v>0</v>
      </c>
      <c r="Q59" s="42">
        <v>18.899999999999999</v>
      </c>
      <c r="R59" s="42">
        <f t="shared" si="18"/>
        <v>438827.76</v>
      </c>
    </row>
    <row r="60" spans="1:18">
      <c r="A60" s="374"/>
      <c r="B60" s="42" t="s">
        <v>681</v>
      </c>
      <c r="C60" s="42" t="s">
        <v>88</v>
      </c>
      <c r="D60" s="42" t="s">
        <v>16</v>
      </c>
      <c r="E60" s="42" t="s">
        <v>653</v>
      </c>
      <c r="F60" s="42">
        <v>8257</v>
      </c>
      <c r="G60" s="42"/>
      <c r="H60" s="42">
        <v>24140</v>
      </c>
      <c r="I60" s="42">
        <v>336</v>
      </c>
      <c r="J60" s="42">
        <v>0.13</v>
      </c>
      <c r="K60" s="43">
        <f t="shared" si="14"/>
        <v>43.68</v>
      </c>
      <c r="L60" s="43">
        <f t="shared" si="15"/>
        <v>24096.32</v>
      </c>
      <c r="M60" s="43"/>
      <c r="N60" s="43">
        <f t="shared" si="16"/>
        <v>24096.32</v>
      </c>
      <c r="O60" s="43">
        <f t="shared" si="17"/>
        <v>1689.8</v>
      </c>
      <c r="P60" s="42">
        <v>0</v>
      </c>
      <c r="Q60" s="42">
        <v>18.899999999999999</v>
      </c>
      <c r="R60" s="42">
        <f t="shared" si="18"/>
        <v>455420.44799999997</v>
      </c>
    </row>
    <row r="61" spans="1:18">
      <c r="A61" s="374"/>
      <c r="B61" s="42" t="s">
        <v>681</v>
      </c>
      <c r="C61" s="42" t="s">
        <v>88</v>
      </c>
      <c r="D61" s="42" t="s">
        <v>16</v>
      </c>
      <c r="E61" s="42" t="s">
        <v>826</v>
      </c>
      <c r="F61" s="42">
        <v>8256</v>
      </c>
      <c r="G61" s="42"/>
      <c r="H61" s="42">
        <v>21800</v>
      </c>
      <c r="I61" s="42">
        <v>325</v>
      </c>
      <c r="J61" s="42">
        <v>0.13</v>
      </c>
      <c r="K61" s="43">
        <f t="shared" si="14"/>
        <v>42.25</v>
      </c>
      <c r="L61" s="43">
        <f t="shared" si="15"/>
        <v>21757.75</v>
      </c>
      <c r="M61" s="43"/>
      <c r="N61" s="43">
        <f t="shared" si="16"/>
        <v>21757.75</v>
      </c>
      <c r="O61" s="43">
        <f t="shared" si="17"/>
        <v>1526</v>
      </c>
      <c r="P61" s="42">
        <v>0</v>
      </c>
      <c r="Q61" s="42">
        <v>18.899999999999999</v>
      </c>
      <c r="R61" s="42">
        <f t="shared" si="18"/>
        <v>411221.47499999998</v>
      </c>
    </row>
    <row r="62" spans="1:18">
      <c r="A62" s="374" t="s">
        <v>849</v>
      </c>
      <c r="B62" s="42" t="s">
        <v>681</v>
      </c>
      <c r="C62" s="42" t="s">
        <v>88</v>
      </c>
      <c r="D62" s="42" t="s">
        <v>16</v>
      </c>
      <c r="E62" s="42" t="s">
        <v>851</v>
      </c>
      <c r="F62" s="42">
        <v>8262</v>
      </c>
      <c r="G62" s="42"/>
      <c r="H62" s="42">
        <v>20980</v>
      </c>
      <c r="I62" s="42">
        <v>307</v>
      </c>
      <c r="J62" s="42">
        <v>0.13</v>
      </c>
      <c r="K62" s="43">
        <f t="shared" si="14"/>
        <v>39.910000000000004</v>
      </c>
      <c r="L62" s="43">
        <f t="shared" si="15"/>
        <v>20940.09</v>
      </c>
      <c r="M62" s="43"/>
      <c r="N62" s="43">
        <f t="shared" si="16"/>
        <v>20940.09</v>
      </c>
      <c r="O62" s="43">
        <f t="shared" si="17"/>
        <v>1468.6000000000001</v>
      </c>
      <c r="P62" s="42">
        <v>0</v>
      </c>
      <c r="Q62" s="42">
        <v>18.899999999999999</v>
      </c>
      <c r="R62" s="42">
        <f t="shared" si="18"/>
        <v>395767.701</v>
      </c>
    </row>
    <row r="63" spans="1:18">
      <c r="A63" s="374"/>
      <c r="B63" s="42" t="s">
        <v>681</v>
      </c>
      <c r="C63" s="42" t="s">
        <v>88</v>
      </c>
      <c r="D63" s="42" t="s">
        <v>16</v>
      </c>
      <c r="E63" s="42" t="s">
        <v>852</v>
      </c>
      <c r="F63" s="42">
        <v>8261</v>
      </c>
      <c r="G63" s="42"/>
      <c r="H63" s="42">
        <v>20870</v>
      </c>
      <c r="I63" s="42">
        <v>301</v>
      </c>
      <c r="J63" s="42">
        <v>0.13</v>
      </c>
      <c r="K63" s="43">
        <f t="shared" si="14"/>
        <v>39.130000000000003</v>
      </c>
      <c r="L63" s="43">
        <f t="shared" si="15"/>
        <v>20830.87</v>
      </c>
      <c r="M63" s="43"/>
      <c r="N63" s="43">
        <f t="shared" si="16"/>
        <v>20830.87</v>
      </c>
      <c r="O63" s="43">
        <f t="shared" si="17"/>
        <v>1460.9</v>
      </c>
      <c r="P63" s="42">
        <v>0</v>
      </c>
      <c r="Q63" s="42">
        <v>18.899999999999999</v>
      </c>
      <c r="R63" s="42">
        <f t="shared" si="18"/>
        <v>393703.44299999997</v>
      </c>
    </row>
    <row r="64" spans="1:18">
      <c r="A64" s="374"/>
      <c r="B64" s="42" t="s">
        <v>681</v>
      </c>
      <c r="C64" s="42" t="s">
        <v>88</v>
      </c>
      <c r="D64" s="42" t="s">
        <v>16</v>
      </c>
      <c r="E64" s="42" t="s">
        <v>853</v>
      </c>
      <c r="F64" s="42">
        <v>11602</v>
      </c>
      <c r="G64" s="42"/>
      <c r="H64" s="42">
        <v>20000</v>
      </c>
      <c r="I64" s="42">
        <v>400</v>
      </c>
      <c r="J64" s="42">
        <v>0.13</v>
      </c>
      <c r="K64" s="43">
        <f t="shared" si="14"/>
        <v>52</v>
      </c>
      <c r="L64" s="43">
        <f t="shared" si="15"/>
        <v>19948</v>
      </c>
      <c r="M64" s="43"/>
      <c r="N64" s="43">
        <f t="shared" si="16"/>
        <v>19948</v>
      </c>
      <c r="O64" s="43">
        <f t="shared" si="17"/>
        <v>1400</v>
      </c>
      <c r="P64" s="42">
        <v>0</v>
      </c>
      <c r="Q64" s="42">
        <v>18.899999999999999</v>
      </c>
      <c r="R64" s="42">
        <f t="shared" si="18"/>
        <v>377017.19999999995</v>
      </c>
    </row>
    <row r="65" spans="1:18">
      <c r="A65" s="374"/>
      <c r="B65" s="42" t="s">
        <v>681</v>
      </c>
      <c r="C65" s="42" t="s">
        <v>88</v>
      </c>
      <c r="D65" s="42" t="s">
        <v>16</v>
      </c>
      <c r="E65" s="42" t="s">
        <v>854</v>
      </c>
      <c r="F65" s="42">
        <v>8260</v>
      </c>
      <c r="G65" s="42"/>
      <c r="H65" s="42">
        <v>21300</v>
      </c>
      <c r="I65" s="42">
        <v>300</v>
      </c>
      <c r="J65" s="42">
        <v>0.13</v>
      </c>
      <c r="K65" s="43">
        <f t="shared" si="14"/>
        <v>39</v>
      </c>
      <c r="L65" s="43">
        <f t="shared" si="15"/>
        <v>21261</v>
      </c>
      <c r="M65" s="43"/>
      <c r="N65" s="43">
        <f t="shared" si="16"/>
        <v>21261</v>
      </c>
      <c r="O65" s="43">
        <f t="shared" si="17"/>
        <v>1491</v>
      </c>
      <c r="P65" s="48">
        <v>0</v>
      </c>
      <c r="Q65" s="42">
        <v>18.899999999999999</v>
      </c>
      <c r="R65" s="42">
        <f t="shared" si="18"/>
        <v>401832.89999999997</v>
      </c>
    </row>
    <row r="66" spans="1:18">
      <c r="A66" s="374" t="s">
        <v>855</v>
      </c>
      <c r="B66" s="42" t="s">
        <v>681</v>
      </c>
      <c r="C66" s="42" t="s">
        <v>88</v>
      </c>
      <c r="D66" s="42" t="s">
        <v>16</v>
      </c>
      <c r="E66" s="42" t="s">
        <v>856</v>
      </c>
      <c r="F66" s="42">
        <v>8268</v>
      </c>
      <c r="G66" s="42"/>
      <c r="H66" s="42">
        <v>21400</v>
      </c>
      <c r="I66" s="42">
        <v>300</v>
      </c>
      <c r="J66" s="42">
        <v>0.13</v>
      </c>
      <c r="K66" s="42">
        <f t="shared" si="14"/>
        <v>39</v>
      </c>
      <c r="L66" s="43">
        <f t="shared" si="15"/>
        <v>21361</v>
      </c>
      <c r="M66" s="43"/>
      <c r="N66" s="43">
        <f t="shared" si="16"/>
        <v>21361</v>
      </c>
      <c r="O66" s="43">
        <f t="shared" si="17"/>
        <v>1498</v>
      </c>
      <c r="P66" s="42">
        <v>0</v>
      </c>
      <c r="Q66" s="42">
        <v>18.899999999999999</v>
      </c>
      <c r="R66" s="42">
        <f t="shared" si="18"/>
        <v>403722.89999999997</v>
      </c>
    </row>
    <row r="67" spans="1:18">
      <c r="A67" s="374"/>
      <c r="B67" s="42" t="s">
        <v>681</v>
      </c>
      <c r="C67" s="42" t="s">
        <v>88</v>
      </c>
      <c r="D67" s="42" t="s">
        <v>16</v>
      </c>
      <c r="E67" s="42" t="s">
        <v>857</v>
      </c>
      <c r="F67" s="42">
        <v>8267</v>
      </c>
      <c r="G67" s="42"/>
      <c r="H67" s="42">
        <v>21290</v>
      </c>
      <c r="I67" s="42">
        <v>306</v>
      </c>
      <c r="J67" s="42">
        <v>0.13</v>
      </c>
      <c r="K67" s="42">
        <v>40</v>
      </c>
      <c r="L67" s="43">
        <f t="shared" si="15"/>
        <v>21250</v>
      </c>
      <c r="M67" s="43"/>
      <c r="N67" s="43">
        <f t="shared" si="16"/>
        <v>21250</v>
      </c>
      <c r="O67" s="43">
        <f t="shared" si="17"/>
        <v>1490.3</v>
      </c>
      <c r="P67" s="42">
        <v>0</v>
      </c>
      <c r="Q67" s="42">
        <v>18.899999999999999</v>
      </c>
      <c r="R67" s="42">
        <f t="shared" si="18"/>
        <v>401624.99999999994</v>
      </c>
    </row>
    <row r="68" spans="1:18">
      <c r="A68" s="374"/>
      <c r="B68" s="42" t="s">
        <v>681</v>
      </c>
      <c r="C68" s="42" t="s">
        <v>88</v>
      </c>
      <c r="D68" s="42" t="s">
        <v>16</v>
      </c>
      <c r="E68" s="42" t="s">
        <v>756</v>
      </c>
      <c r="F68" s="42">
        <v>11608</v>
      </c>
      <c r="G68" s="42"/>
      <c r="H68" s="42">
        <v>20000</v>
      </c>
      <c r="I68" s="42">
        <v>400</v>
      </c>
      <c r="J68" s="42">
        <v>0.13</v>
      </c>
      <c r="K68" s="42">
        <f>I68*J68</f>
        <v>52</v>
      </c>
      <c r="L68" s="43">
        <f t="shared" si="15"/>
        <v>19948</v>
      </c>
      <c r="M68" s="43"/>
      <c r="N68" s="43">
        <f t="shared" si="16"/>
        <v>19948</v>
      </c>
      <c r="O68" s="43">
        <f t="shared" si="17"/>
        <v>1400</v>
      </c>
      <c r="P68" s="42">
        <v>0</v>
      </c>
      <c r="Q68" s="42">
        <v>18.899999999999999</v>
      </c>
      <c r="R68" s="42">
        <f t="shared" si="18"/>
        <v>377017.19999999995</v>
      </c>
    </row>
    <row r="69" spans="1:18">
      <c r="A69" s="374"/>
      <c r="B69" s="42" t="s">
        <v>681</v>
      </c>
      <c r="C69" s="42" t="s">
        <v>88</v>
      </c>
      <c r="D69" s="42" t="s">
        <v>16</v>
      </c>
      <c r="E69" s="42" t="s">
        <v>858</v>
      </c>
      <c r="F69" s="42">
        <v>8265</v>
      </c>
      <c r="G69" s="42"/>
      <c r="H69" s="42">
        <v>24560</v>
      </c>
      <c r="I69" s="42">
        <v>341</v>
      </c>
      <c r="J69" s="42">
        <v>0.13</v>
      </c>
      <c r="K69" s="42">
        <f>I69*J69</f>
        <v>44.33</v>
      </c>
      <c r="L69" s="43">
        <f t="shared" si="15"/>
        <v>24515.67</v>
      </c>
      <c r="M69" s="43"/>
      <c r="N69" s="43">
        <f t="shared" si="16"/>
        <v>24515.67</v>
      </c>
      <c r="O69" s="43">
        <f t="shared" si="17"/>
        <v>1719.1999999999998</v>
      </c>
      <c r="P69" s="42">
        <v>0</v>
      </c>
      <c r="Q69" s="42">
        <v>18.899999999999999</v>
      </c>
      <c r="R69" s="42">
        <f t="shared" si="18"/>
        <v>463346.16299999994</v>
      </c>
    </row>
    <row r="70" spans="1:18">
      <c r="A70" s="374"/>
      <c r="B70" s="42" t="s">
        <v>681</v>
      </c>
      <c r="C70" s="42" t="s">
        <v>88</v>
      </c>
      <c r="D70" s="42" t="s">
        <v>16</v>
      </c>
      <c r="E70" s="42" t="s">
        <v>859</v>
      </c>
      <c r="F70" s="42">
        <v>11549</v>
      </c>
      <c r="G70" s="42"/>
      <c r="H70" s="42">
        <v>19980</v>
      </c>
      <c r="I70" s="42">
        <v>400</v>
      </c>
      <c r="J70" s="42">
        <v>0.13</v>
      </c>
      <c r="K70" s="42">
        <f>I70*J70</f>
        <v>52</v>
      </c>
      <c r="L70" s="43">
        <f t="shared" si="15"/>
        <v>19928</v>
      </c>
      <c r="M70" s="43"/>
      <c r="N70" s="43">
        <f t="shared" si="16"/>
        <v>19928</v>
      </c>
      <c r="O70" s="43">
        <f t="shared" si="17"/>
        <v>1398.6000000000001</v>
      </c>
      <c r="P70" s="42">
        <v>0</v>
      </c>
      <c r="Q70" s="42">
        <v>18.899999999999999</v>
      </c>
      <c r="R70" s="42">
        <f t="shared" si="18"/>
        <v>376639.19999999995</v>
      </c>
    </row>
    <row r="71" spans="1:18">
      <c r="A71" s="374"/>
      <c r="B71" s="42" t="s">
        <v>681</v>
      </c>
      <c r="C71" s="42" t="s">
        <v>88</v>
      </c>
      <c r="D71" s="42" t="s">
        <v>16</v>
      </c>
      <c r="E71" s="42" t="s">
        <v>759</v>
      </c>
      <c r="F71" s="42">
        <v>11625</v>
      </c>
      <c r="G71" s="42"/>
      <c r="H71" s="42">
        <v>19940</v>
      </c>
      <c r="I71" s="42">
        <v>400</v>
      </c>
      <c r="J71" s="42">
        <v>0.13</v>
      </c>
      <c r="K71" s="42">
        <f>I71*J71</f>
        <v>52</v>
      </c>
      <c r="L71" s="43">
        <f t="shared" si="15"/>
        <v>19888</v>
      </c>
      <c r="M71" s="43"/>
      <c r="N71" s="43">
        <f t="shared" si="16"/>
        <v>19888</v>
      </c>
      <c r="O71" s="43">
        <f t="shared" si="17"/>
        <v>1395.8000000000002</v>
      </c>
      <c r="P71" s="42">
        <v>0</v>
      </c>
      <c r="Q71" s="42">
        <v>18.899999999999999</v>
      </c>
      <c r="R71" s="42">
        <f t="shared" si="18"/>
        <v>375883.19999999995</v>
      </c>
    </row>
    <row r="72" spans="1:18">
      <c r="A72" s="374"/>
      <c r="B72" s="42" t="s">
        <v>681</v>
      </c>
      <c r="C72" s="42" t="s">
        <v>88</v>
      </c>
      <c r="D72" s="42" t="s">
        <v>16</v>
      </c>
      <c r="E72" s="42" t="s">
        <v>860</v>
      </c>
      <c r="F72" s="42">
        <v>2333</v>
      </c>
      <c r="G72" s="42"/>
      <c r="H72" s="42">
        <v>19940</v>
      </c>
      <c r="I72" s="42">
        <v>252</v>
      </c>
      <c r="J72" s="42">
        <v>0.13</v>
      </c>
      <c r="K72" s="42">
        <v>33</v>
      </c>
      <c r="L72" s="43">
        <f t="shared" si="15"/>
        <v>19907</v>
      </c>
      <c r="M72" s="43"/>
      <c r="N72" s="43">
        <f t="shared" si="16"/>
        <v>19907</v>
      </c>
      <c r="O72" s="43">
        <f t="shared" si="17"/>
        <v>1395.8000000000002</v>
      </c>
      <c r="P72" s="42">
        <v>0</v>
      </c>
      <c r="Q72" s="42">
        <v>18.899999999999999</v>
      </c>
      <c r="R72" s="42">
        <f t="shared" si="18"/>
        <v>376242.3</v>
      </c>
    </row>
    <row r="73" spans="1:18">
      <c r="A73" s="1" t="s">
        <v>863</v>
      </c>
      <c r="B73" s="42" t="s">
        <v>681</v>
      </c>
      <c r="C73" s="42" t="s">
        <v>88</v>
      </c>
      <c r="D73" s="42" t="s">
        <v>16</v>
      </c>
      <c r="E73" s="42" t="s">
        <v>845</v>
      </c>
      <c r="F73" s="42">
        <v>15066</v>
      </c>
      <c r="G73" s="42"/>
      <c r="H73" s="42">
        <v>21520</v>
      </c>
      <c r="I73" s="42">
        <v>310</v>
      </c>
      <c r="J73" s="42">
        <v>0.13</v>
      </c>
      <c r="K73" s="42">
        <f>I73*J73</f>
        <v>40.300000000000004</v>
      </c>
      <c r="L73" s="43">
        <f t="shared" si="15"/>
        <v>21479.7</v>
      </c>
      <c r="M73" s="43"/>
      <c r="N73" s="43">
        <f t="shared" si="16"/>
        <v>21479.7</v>
      </c>
      <c r="O73" s="43">
        <f t="shared" si="17"/>
        <v>1506.3999999999999</v>
      </c>
      <c r="P73" s="42">
        <v>0</v>
      </c>
      <c r="Q73" s="42">
        <v>18.899999999999999</v>
      </c>
      <c r="R73" s="42">
        <f t="shared" si="18"/>
        <v>405966.32999999996</v>
      </c>
    </row>
    <row r="74" spans="1:18">
      <c r="A74" s="374" t="s">
        <v>866</v>
      </c>
      <c r="B74" s="42" t="s">
        <v>681</v>
      </c>
      <c r="C74" s="42" t="s">
        <v>88</v>
      </c>
      <c r="D74" s="42" t="s">
        <v>16</v>
      </c>
      <c r="E74" s="42" t="s">
        <v>868</v>
      </c>
      <c r="F74" s="42">
        <v>11205</v>
      </c>
      <c r="G74" s="42"/>
      <c r="H74" s="42">
        <v>17500</v>
      </c>
      <c r="I74" s="42">
        <v>300</v>
      </c>
      <c r="J74" s="42">
        <v>0.13</v>
      </c>
      <c r="K74" s="42">
        <f>I74*J74</f>
        <v>39</v>
      </c>
      <c r="L74" s="43">
        <f t="shared" si="15"/>
        <v>17461</v>
      </c>
      <c r="M74" s="43"/>
      <c r="N74" s="43">
        <f t="shared" si="16"/>
        <v>17461</v>
      </c>
      <c r="O74" s="43">
        <f t="shared" si="17"/>
        <v>1225</v>
      </c>
      <c r="P74" s="42">
        <v>0</v>
      </c>
      <c r="Q74" s="42">
        <v>18.899999999999999</v>
      </c>
      <c r="R74" s="42">
        <f t="shared" si="18"/>
        <v>330012.89999999997</v>
      </c>
    </row>
    <row r="75" spans="1:18">
      <c r="A75" s="374"/>
      <c r="B75" s="42" t="s">
        <v>681</v>
      </c>
      <c r="C75" s="42" t="s">
        <v>88</v>
      </c>
      <c r="D75" s="42" t="s">
        <v>16</v>
      </c>
      <c r="E75" s="42" t="s">
        <v>869</v>
      </c>
      <c r="F75" s="42">
        <v>11203</v>
      </c>
      <c r="G75" s="42"/>
      <c r="H75" s="42">
        <v>19970</v>
      </c>
      <c r="I75" s="42">
        <v>400</v>
      </c>
      <c r="J75" s="42">
        <v>0.13</v>
      </c>
      <c r="K75" s="42">
        <f>I75*J75</f>
        <v>52</v>
      </c>
      <c r="L75" s="43">
        <f t="shared" si="15"/>
        <v>19918</v>
      </c>
      <c r="M75" s="43"/>
      <c r="N75" s="43">
        <f t="shared" si="16"/>
        <v>19918</v>
      </c>
      <c r="O75" s="43">
        <f t="shared" si="17"/>
        <v>1397.8999999999999</v>
      </c>
      <c r="P75" s="42">
        <v>0</v>
      </c>
      <c r="Q75" s="42">
        <v>18.899999999999999</v>
      </c>
      <c r="R75" s="42">
        <f t="shared" si="18"/>
        <v>376450.19999999995</v>
      </c>
    </row>
    <row r="76" spans="1:18">
      <c r="A76" s="374"/>
      <c r="B76" s="42" t="s">
        <v>681</v>
      </c>
      <c r="C76" s="42" t="s">
        <v>88</v>
      </c>
      <c r="D76" s="42" t="s">
        <v>16</v>
      </c>
      <c r="E76" s="42" t="s">
        <v>870</v>
      </c>
      <c r="F76" s="42">
        <v>15075</v>
      </c>
      <c r="G76" s="42"/>
      <c r="H76" s="42">
        <v>24570</v>
      </c>
      <c r="I76" s="42">
        <v>363</v>
      </c>
      <c r="J76" s="42">
        <v>0.13</v>
      </c>
      <c r="K76" s="42">
        <f>I76*J76</f>
        <v>47.190000000000005</v>
      </c>
      <c r="L76" s="43">
        <f t="shared" si="15"/>
        <v>24522.81</v>
      </c>
      <c r="M76" s="43"/>
      <c r="N76" s="43">
        <f t="shared" si="16"/>
        <v>24522.81</v>
      </c>
      <c r="O76" s="43">
        <f t="shared" si="17"/>
        <v>1719.9</v>
      </c>
      <c r="P76" s="42">
        <v>0</v>
      </c>
      <c r="Q76" s="42">
        <v>18.899999999999999</v>
      </c>
      <c r="R76" s="42">
        <f t="shared" si="18"/>
        <v>463481.109</v>
      </c>
    </row>
    <row r="77" spans="1:18">
      <c r="A77" s="374"/>
      <c r="B77" s="42" t="s">
        <v>681</v>
      </c>
      <c r="C77" s="42" t="s">
        <v>88</v>
      </c>
      <c r="D77" s="42" t="s">
        <v>16</v>
      </c>
      <c r="E77" s="42" t="s">
        <v>871</v>
      </c>
      <c r="F77" s="42">
        <v>15067</v>
      </c>
      <c r="G77" s="42"/>
      <c r="H77" s="42">
        <v>20800</v>
      </c>
      <c r="I77" s="42">
        <v>298</v>
      </c>
      <c r="J77" s="42">
        <v>0.13</v>
      </c>
      <c r="K77" s="42">
        <v>39</v>
      </c>
      <c r="L77" s="43">
        <f t="shared" si="15"/>
        <v>20761</v>
      </c>
      <c r="M77" s="43"/>
      <c r="N77" s="43">
        <f t="shared" si="16"/>
        <v>20761</v>
      </c>
      <c r="O77" s="43">
        <f t="shared" si="17"/>
        <v>1456</v>
      </c>
      <c r="P77" s="42">
        <v>0</v>
      </c>
      <c r="Q77" s="42">
        <v>18.899999999999999</v>
      </c>
      <c r="R77" s="42">
        <f t="shared" si="18"/>
        <v>392382.89999999997</v>
      </c>
    </row>
    <row r="78" spans="1:18">
      <c r="A78" s="374"/>
      <c r="B78" s="42" t="s">
        <v>681</v>
      </c>
      <c r="C78" s="42" t="s">
        <v>88</v>
      </c>
      <c r="D78" s="42" t="s">
        <v>16</v>
      </c>
      <c r="E78" s="42" t="s">
        <v>872</v>
      </c>
      <c r="F78" s="42">
        <v>13052</v>
      </c>
      <c r="G78" s="42"/>
      <c r="H78" s="42">
        <v>17500</v>
      </c>
      <c r="I78" s="42">
        <v>339</v>
      </c>
      <c r="J78" s="42">
        <v>0.13</v>
      </c>
      <c r="K78" s="42">
        <f>I78*J78</f>
        <v>44.07</v>
      </c>
      <c r="L78" s="43">
        <f t="shared" si="15"/>
        <v>17455.93</v>
      </c>
      <c r="M78" s="43"/>
      <c r="N78" s="43">
        <f t="shared" si="16"/>
        <v>17455.93</v>
      </c>
      <c r="O78" s="43">
        <f t="shared" si="17"/>
        <v>1225</v>
      </c>
      <c r="P78" s="42">
        <v>0</v>
      </c>
      <c r="Q78" s="42">
        <v>18.899999999999999</v>
      </c>
      <c r="R78" s="42">
        <f t="shared" si="18"/>
        <v>329917.07699999999</v>
      </c>
    </row>
    <row r="79" spans="1:18">
      <c r="A79" s="374"/>
      <c r="B79" s="42" t="s">
        <v>681</v>
      </c>
      <c r="C79" s="42" t="s">
        <v>88</v>
      </c>
      <c r="D79" s="42" t="s">
        <v>16</v>
      </c>
      <c r="E79" s="42" t="s">
        <v>756</v>
      </c>
      <c r="F79" s="42">
        <v>11207</v>
      </c>
      <c r="G79" s="42"/>
      <c r="H79" s="42">
        <v>20000</v>
      </c>
      <c r="I79" s="42">
        <v>383</v>
      </c>
      <c r="J79" s="42">
        <v>0.13</v>
      </c>
      <c r="K79" s="42">
        <v>50</v>
      </c>
      <c r="L79" s="43">
        <f t="shared" si="15"/>
        <v>19950</v>
      </c>
      <c r="M79" s="43"/>
      <c r="N79" s="43">
        <f t="shared" si="16"/>
        <v>19950</v>
      </c>
      <c r="O79" s="43">
        <f t="shared" si="17"/>
        <v>1400</v>
      </c>
      <c r="P79" s="42">
        <v>0</v>
      </c>
      <c r="Q79" s="42">
        <v>18.899999999999999</v>
      </c>
      <c r="R79" s="42">
        <f t="shared" si="18"/>
        <v>377055</v>
      </c>
    </row>
    <row r="80" spans="1:18">
      <c r="A80" s="374"/>
      <c r="B80" s="42" t="s">
        <v>681</v>
      </c>
      <c r="C80" s="42" t="s">
        <v>88</v>
      </c>
      <c r="D80" s="42" t="s">
        <v>16</v>
      </c>
      <c r="E80" s="42" t="s">
        <v>859</v>
      </c>
      <c r="F80" s="42">
        <v>24249</v>
      </c>
      <c r="G80" s="42"/>
      <c r="H80" s="42">
        <v>20000</v>
      </c>
      <c r="I80" s="42">
        <v>400</v>
      </c>
      <c r="J80" s="42">
        <v>0.13</v>
      </c>
      <c r="K80" s="42">
        <f>I80*J80</f>
        <v>52</v>
      </c>
      <c r="L80" s="43">
        <f t="shared" si="15"/>
        <v>19948</v>
      </c>
      <c r="M80" s="43"/>
      <c r="N80" s="43">
        <f t="shared" si="16"/>
        <v>19948</v>
      </c>
      <c r="O80" s="43">
        <f t="shared" si="17"/>
        <v>1400</v>
      </c>
      <c r="P80" s="42">
        <v>0</v>
      </c>
      <c r="Q80" s="42">
        <v>18.899999999999999</v>
      </c>
      <c r="R80" s="42">
        <f t="shared" si="18"/>
        <v>377017.19999999995</v>
      </c>
    </row>
    <row r="81" spans="1:18">
      <c r="A81" s="374"/>
      <c r="B81" s="42" t="s">
        <v>681</v>
      </c>
      <c r="C81" s="42" t="s">
        <v>88</v>
      </c>
      <c r="D81" s="42" t="s">
        <v>16</v>
      </c>
      <c r="E81" s="42" t="s">
        <v>777</v>
      </c>
      <c r="F81" s="42">
        <v>11595</v>
      </c>
      <c r="G81" s="42"/>
      <c r="H81" s="42">
        <v>20000</v>
      </c>
      <c r="I81" s="42">
        <v>350</v>
      </c>
      <c r="J81" s="42">
        <v>0.13</v>
      </c>
      <c r="K81" s="42">
        <v>46</v>
      </c>
      <c r="L81" s="43">
        <f t="shared" ref="L81:L110" si="19">H81-K81</f>
        <v>19954</v>
      </c>
      <c r="M81" s="43"/>
      <c r="N81" s="43">
        <f t="shared" ref="N81:N110" si="20">L81-M81</f>
        <v>19954</v>
      </c>
      <c r="O81" s="43">
        <f t="shared" ref="O81:O110" si="21">H81/1000*70</f>
        <v>1400</v>
      </c>
      <c r="P81" s="42">
        <v>0</v>
      </c>
      <c r="Q81" s="42">
        <v>18.899999999999999</v>
      </c>
      <c r="R81" s="42">
        <f t="shared" si="18"/>
        <v>377130.6</v>
      </c>
    </row>
    <row r="82" spans="1:18">
      <c r="A82" s="374"/>
      <c r="B82" s="42" t="s">
        <v>681</v>
      </c>
      <c r="C82" s="42" t="s">
        <v>88</v>
      </c>
      <c r="D82" s="42" t="s">
        <v>16</v>
      </c>
      <c r="E82" s="42" t="s">
        <v>873</v>
      </c>
      <c r="F82" s="42">
        <v>15073</v>
      </c>
      <c r="G82" s="42"/>
      <c r="H82" s="42">
        <v>20940</v>
      </c>
      <c r="I82" s="42">
        <v>304</v>
      </c>
      <c r="J82" s="42">
        <v>0.13</v>
      </c>
      <c r="K82" s="42">
        <v>40</v>
      </c>
      <c r="L82" s="43">
        <f t="shared" si="19"/>
        <v>20900</v>
      </c>
      <c r="M82" s="43"/>
      <c r="N82" s="43">
        <f t="shared" si="20"/>
        <v>20900</v>
      </c>
      <c r="O82" s="43">
        <f t="shared" si="21"/>
        <v>1465.8000000000002</v>
      </c>
      <c r="P82" s="42">
        <v>0</v>
      </c>
      <c r="Q82" s="42">
        <v>18.899999999999999</v>
      </c>
      <c r="R82" s="42">
        <f t="shared" si="18"/>
        <v>395009.99999999994</v>
      </c>
    </row>
    <row r="83" spans="1:18">
      <c r="A83" s="1" t="s">
        <v>874</v>
      </c>
      <c r="B83" s="42" t="s">
        <v>681</v>
      </c>
      <c r="C83" s="42" t="s">
        <v>88</v>
      </c>
      <c r="D83" s="42" t="s">
        <v>16</v>
      </c>
      <c r="E83" s="42" t="s">
        <v>858</v>
      </c>
      <c r="F83" s="42">
        <v>11456</v>
      </c>
      <c r="G83" s="42"/>
      <c r="H83" s="42">
        <v>19930</v>
      </c>
      <c r="I83" s="42">
        <v>230</v>
      </c>
      <c r="J83" s="42">
        <v>0.13</v>
      </c>
      <c r="K83" s="42">
        <v>30</v>
      </c>
      <c r="L83" s="43">
        <f t="shared" si="19"/>
        <v>19900</v>
      </c>
      <c r="M83" s="43"/>
      <c r="N83" s="43">
        <f t="shared" si="20"/>
        <v>19900</v>
      </c>
      <c r="O83" s="43">
        <f t="shared" si="21"/>
        <v>1395.1</v>
      </c>
      <c r="P83" s="42">
        <v>0</v>
      </c>
      <c r="Q83" s="42">
        <v>18.899999999999999</v>
      </c>
      <c r="R83" s="42">
        <f t="shared" si="18"/>
        <v>376110</v>
      </c>
    </row>
    <row r="84" spans="1:18">
      <c r="A84" s="374" t="s">
        <v>877</v>
      </c>
      <c r="B84" s="92" t="s">
        <v>681</v>
      </c>
      <c r="C84" s="92" t="s">
        <v>88</v>
      </c>
      <c r="D84" s="42" t="s">
        <v>16</v>
      </c>
      <c r="E84" s="42" t="s">
        <v>768</v>
      </c>
      <c r="F84" s="42">
        <v>12858</v>
      </c>
      <c r="G84" s="42"/>
      <c r="H84" s="42">
        <v>25000</v>
      </c>
      <c r="I84" s="42">
        <v>500</v>
      </c>
      <c r="J84" s="42">
        <v>0.13</v>
      </c>
      <c r="K84" s="42">
        <f>I84*J84</f>
        <v>65</v>
      </c>
      <c r="L84" s="43">
        <f t="shared" si="19"/>
        <v>24935</v>
      </c>
      <c r="M84" s="43"/>
      <c r="N84" s="43">
        <f t="shared" si="20"/>
        <v>24935</v>
      </c>
      <c r="O84" s="43">
        <f t="shared" si="21"/>
        <v>1750</v>
      </c>
      <c r="P84" s="42">
        <v>0</v>
      </c>
      <c r="Q84" s="42">
        <v>18.899999999999999</v>
      </c>
      <c r="R84" s="42">
        <f t="shared" si="18"/>
        <v>471271.49999999994</v>
      </c>
    </row>
    <row r="85" spans="1:18">
      <c r="A85" s="374"/>
      <c r="B85" s="92" t="s">
        <v>681</v>
      </c>
      <c r="C85" s="92" t="s">
        <v>88</v>
      </c>
      <c r="D85" s="42" t="s">
        <v>16</v>
      </c>
      <c r="E85" s="42" t="s">
        <v>878</v>
      </c>
      <c r="F85" s="42">
        <v>15078</v>
      </c>
      <c r="G85" s="42"/>
      <c r="H85" s="42">
        <v>21750</v>
      </c>
      <c r="I85" s="42">
        <v>295</v>
      </c>
      <c r="J85" s="42">
        <v>0.13</v>
      </c>
      <c r="K85" s="42">
        <f>I85*J85</f>
        <v>38.35</v>
      </c>
      <c r="L85" s="43">
        <f t="shared" si="19"/>
        <v>21711.65</v>
      </c>
      <c r="M85" s="43"/>
      <c r="N85" s="43">
        <f t="shared" si="20"/>
        <v>21711.65</v>
      </c>
      <c r="O85" s="43">
        <f t="shared" si="21"/>
        <v>1522.5</v>
      </c>
      <c r="P85" s="42">
        <v>0</v>
      </c>
      <c r="Q85" s="42">
        <v>18.899999999999999</v>
      </c>
      <c r="R85" s="42">
        <f t="shared" si="18"/>
        <v>410350.185</v>
      </c>
    </row>
    <row r="86" spans="1:18">
      <c r="A86" s="374"/>
      <c r="B86" s="92" t="s">
        <v>681</v>
      </c>
      <c r="C86" s="92" t="s">
        <v>88</v>
      </c>
      <c r="D86" s="42" t="s">
        <v>16</v>
      </c>
      <c r="E86" s="42" t="s">
        <v>856</v>
      </c>
      <c r="F86" s="42">
        <v>15080</v>
      </c>
      <c r="G86" s="42"/>
      <c r="H86" s="42">
        <v>22000</v>
      </c>
      <c r="I86" s="42">
        <v>297</v>
      </c>
      <c r="J86" s="42">
        <v>0.13</v>
      </c>
      <c r="K86" s="42">
        <v>39</v>
      </c>
      <c r="L86" s="43">
        <f t="shared" si="19"/>
        <v>21961</v>
      </c>
      <c r="M86" s="43"/>
      <c r="N86" s="43">
        <f t="shared" si="20"/>
        <v>21961</v>
      </c>
      <c r="O86" s="43">
        <f t="shared" si="21"/>
        <v>1540</v>
      </c>
      <c r="P86" s="42">
        <v>0</v>
      </c>
      <c r="Q86" s="42">
        <v>18.899999999999999</v>
      </c>
      <c r="R86" s="42">
        <f t="shared" si="18"/>
        <v>415062.89999999997</v>
      </c>
    </row>
    <row r="87" spans="1:18">
      <c r="A87" s="374"/>
      <c r="B87" s="92" t="s">
        <v>681</v>
      </c>
      <c r="C87" s="92" t="s">
        <v>88</v>
      </c>
      <c r="D87" s="42" t="s">
        <v>16</v>
      </c>
      <c r="E87" s="42" t="s">
        <v>879</v>
      </c>
      <c r="F87" s="42">
        <v>15081</v>
      </c>
      <c r="G87" s="42"/>
      <c r="H87" s="42">
        <v>24550</v>
      </c>
      <c r="I87" s="42">
        <v>334</v>
      </c>
      <c r="J87" s="42">
        <v>0.13</v>
      </c>
      <c r="K87" s="42">
        <f>I87*J87</f>
        <v>43.42</v>
      </c>
      <c r="L87" s="43">
        <f t="shared" si="19"/>
        <v>24506.58</v>
      </c>
      <c r="M87" s="43"/>
      <c r="N87" s="43">
        <f t="shared" si="20"/>
        <v>24506.58</v>
      </c>
      <c r="O87" s="43">
        <f t="shared" si="21"/>
        <v>1718.5</v>
      </c>
      <c r="P87" s="42">
        <v>0</v>
      </c>
      <c r="Q87" s="42">
        <v>18.899999999999999</v>
      </c>
      <c r="R87" s="42">
        <f t="shared" si="18"/>
        <v>463174.36200000002</v>
      </c>
    </row>
    <row r="88" spans="1:18">
      <c r="A88" s="374"/>
      <c r="B88" s="92" t="s">
        <v>681</v>
      </c>
      <c r="C88" s="92" t="s">
        <v>88</v>
      </c>
      <c r="D88" s="42" t="s">
        <v>16</v>
      </c>
      <c r="E88" s="42" t="s">
        <v>825</v>
      </c>
      <c r="F88" s="42">
        <v>12859</v>
      </c>
      <c r="G88" s="42"/>
      <c r="H88" s="42">
        <v>25000</v>
      </c>
      <c r="I88" s="42">
        <v>500</v>
      </c>
      <c r="J88" s="42">
        <v>0.13</v>
      </c>
      <c r="K88" s="42">
        <f>I88*J88</f>
        <v>65</v>
      </c>
      <c r="L88" s="43">
        <f t="shared" si="19"/>
        <v>24935</v>
      </c>
      <c r="M88" s="43"/>
      <c r="N88" s="43">
        <f t="shared" si="20"/>
        <v>24935</v>
      </c>
      <c r="O88" s="43">
        <f t="shared" si="21"/>
        <v>1750</v>
      </c>
      <c r="P88" s="42">
        <v>0</v>
      </c>
      <c r="Q88" s="42">
        <v>18.899999999999999</v>
      </c>
      <c r="R88" s="42">
        <f t="shared" si="18"/>
        <v>471271.49999999994</v>
      </c>
    </row>
    <row r="89" spans="1:18">
      <c r="A89" s="374"/>
      <c r="B89" s="92" t="s">
        <v>681</v>
      </c>
      <c r="C89" s="92" t="s">
        <v>88</v>
      </c>
      <c r="D89" s="42" t="s">
        <v>16</v>
      </c>
      <c r="E89" s="42" t="s">
        <v>759</v>
      </c>
      <c r="F89" s="42">
        <v>8120</v>
      </c>
      <c r="G89" s="42"/>
      <c r="H89" s="42">
        <v>25000</v>
      </c>
      <c r="I89" s="42">
        <v>500</v>
      </c>
      <c r="J89" s="42">
        <v>0.13</v>
      </c>
      <c r="K89" s="42">
        <f>I89*J89</f>
        <v>65</v>
      </c>
      <c r="L89" s="43">
        <f t="shared" si="19"/>
        <v>24935</v>
      </c>
      <c r="M89" s="43"/>
      <c r="N89" s="43">
        <f t="shared" si="20"/>
        <v>24935</v>
      </c>
      <c r="O89" s="43">
        <f t="shared" si="21"/>
        <v>1750</v>
      </c>
      <c r="P89" s="42">
        <v>0</v>
      </c>
      <c r="Q89" s="42">
        <v>18.899999999999999</v>
      </c>
      <c r="R89" s="42">
        <f t="shared" si="18"/>
        <v>471271.49999999994</v>
      </c>
    </row>
    <row r="90" spans="1:18">
      <c r="A90" s="374" t="s">
        <v>884</v>
      </c>
      <c r="B90" s="92" t="s">
        <v>681</v>
      </c>
      <c r="C90" s="92" t="s">
        <v>88</v>
      </c>
      <c r="D90" s="42" t="s">
        <v>16</v>
      </c>
      <c r="E90" s="42" t="s">
        <v>886</v>
      </c>
      <c r="F90" s="42">
        <v>15084</v>
      </c>
      <c r="G90" s="42"/>
      <c r="H90" s="42">
        <v>22210</v>
      </c>
      <c r="I90" s="42">
        <v>307</v>
      </c>
      <c r="J90" s="42">
        <v>0.13</v>
      </c>
      <c r="K90" s="42">
        <v>40</v>
      </c>
      <c r="L90" s="43">
        <f t="shared" si="19"/>
        <v>22170</v>
      </c>
      <c r="M90" s="43"/>
      <c r="N90" s="43">
        <f t="shared" si="20"/>
        <v>22170</v>
      </c>
      <c r="O90" s="43">
        <f t="shared" si="21"/>
        <v>1554.7</v>
      </c>
      <c r="P90" s="42">
        <v>0</v>
      </c>
      <c r="Q90" s="42">
        <v>18.899999999999999</v>
      </c>
      <c r="R90" s="42">
        <f t="shared" ref="R90:R110" si="22">L90*Q90</f>
        <v>419012.99999999994</v>
      </c>
    </row>
    <row r="91" spans="1:18">
      <c r="A91" s="374"/>
      <c r="B91" s="92" t="s">
        <v>681</v>
      </c>
      <c r="C91" s="92" t="s">
        <v>88</v>
      </c>
      <c r="D91" s="42" t="s">
        <v>16</v>
      </c>
      <c r="E91" s="42" t="s">
        <v>887</v>
      </c>
      <c r="F91" s="42">
        <v>15088</v>
      </c>
      <c r="G91" s="42"/>
      <c r="H91" s="42">
        <v>21590</v>
      </c>
      <c r="I91" s="42">
        <v>303</v>
      </c>
      <c r="J91" s="42">
        <v>0.13</v>
      </c>
      <c r="K91" s="42">
        <f>I91*J91</f>
        <v>39.39</v>
      </c>
      <c r="L91" s="43">
        <f t="shared" si="19"/>
        <v>21550.61</v>
      </c>
      <c r="M91" s="43"/>
      <c r="N91" s="43">
        <f t="shared" si="20"/>
        <v>21550.61</v>
      </c>
      <c r="O91" s="43">
        <f t="shared" si="21"/>
        <v>1511.3</v>
      </c>
      <c r="P91" s="42">
        <v>0</v>
      </c>
      <c r="Q91" s="42">
        <v>18.899999999999999</v>
      </c>
      <c r="R91" s="42">
        <f t="shared" si="22"/>
        <v>407306.52899999998</v>
      </c>
    </row>
    <row r="92" spans="1:18">
      <c r="A92" s="374"/>
      <c r="B92" s="92" t="s">
        <v>681</v>
      </c>
      <c r="C92" s="92" t="s">
        <v>88</v>
      </c>
      <c r="D92" s="42" t="s">
        <v>16</v>
      </c>
      <c r="E92" s="42" t="s">
        <v>888</v>
      </c>
      <c r="F92" s="42">
        <v>15087</v>
      </c>
      <c r="G92" s="42"/>
      <c r="H92" s="42">
        <v>22160</v>
      </c>
      <c r="I92" s="42">
        <v>302</v>
      </c>
      <c r="J92" s="42">
        <v>0.13</v>
      </c>
      <c r="K92" s="42">
        <f>I92*J92</f>
        <v>39.26</v>
      </c>
      <c r="L92" s="43">
        <f t="shared" si="19"/>
        <v>22120.74</v>
      </c>
      <c r="M92" s="43"/>
      <c r="N92" s="43">
        <f t="shared" si="20"/>
        <v>22120.74</v>
      </c>
      <c r="O92" s="43">
        <f t="shared" si="21"/>
        <v>1551.2</v>
      </c>
      <c r="P92" s="42">
        <v>0</v>
      </c>
      <c r="Q92" s="42">
        <v>18.899999999999999</v>
      </c>
      <c r="R92" s="42">
        <f t="shared" si="22"/>
        <v>418081.98599999998</v>
      </c>
    </row>
    <row r="93" spans="1:18">
      <c r="A93" s="374"/>
      <c r="B93" s="92" t="s">
        <v>681</v>
      </c>
      <c r="C93" s="92" t="s">
        <v>88</v>
      </c>
      <c r="D93" s="42" t="s">
        <v>16</v>
      </c>
      <c r="E93" s="42" t="s">
        <v>853</v>
      </c>
      <c r="F93" s="42">
        <v>8150</v>
      </c>
      <c r="G93" s="42"/>
      <c r="H93" s="42">
        <v>24990</v>
      </c>
      <c r="I93" s="42">
        <v>500</v>
      </c>
      <c r="J93" s="42">
        <v>0.13</v>
      </c>
      <c r="K93" s="42">
        <f>I93*J93</f>
        <v>65</v>
      </c>
      <c r="L93" s="43">
        <f t="shared" si="19"/>
        <v>24925</v>
      </c>
      <c r="M93" s="43"/>
      <c r="N93" s="43">
        <f t="shared" si="20"/>
        <v>24925</v>
      </c>
      <c r="O93" s="43">
        <f t="shared" si="21"/>
        <v>1749.3</v>
      </c>
      <c r="P93" s="42">
        <v>0</v>
      </c>
      <c r="Q93" s="42">
        <v>18.899999999999999</v>
      </c>
      <c r="R93" s="42">
        <f t="shared" si="22"/>
        <v>471082.49999999994</v>
      </c>
    </row>
    <row r="94" spans="1:18">
      <c r="A94" s="374"/>
      <c r="B94" s="92" t="s">
        <v>681</v>
      </c>
      <c r="C94" s="92" t="s">
        <v>88</v>
      </c>
      <c r="D94" s="42" t="s">
        <v>16</v>
      </c>
      <c r="E94" s="42" t="s">
        <v>812</v>
      </c>
      <c r="F94" s="42">
        <v>15085</v>
      </c>
      <c r="G94" s="42"/>
      <c r="H94" s="42">
        <v>23950</v>
      </c>
      <c r="I94" s="42">
        <v>328</v>
      </c>
      <c r="J94" s="42">
        <v>0.13</v>
      </c>
      <c r="K94" s="42">
        <v>43</v>
      </c>
      <c r="L94" s="43">
        <f t="shared" si="19"/>
        <v>23907</v>
      </c>
      <c r="M94" s="43"/>
      <c r="N94" s="43">
        <f t="shared" si="20"/>
        <v>23907</v>
      </c>
      <c r="O94" s="43">
        <f t="shared" si="21"/>
        <v>1676.5</v>
      </c>
      <c r="P94" s="42">
        <v>0</v>
      </c>
      <c r="Q94" s="42">
        <v>18.899999999999999</v>
      </c>
      <c r="R94" s="42">
        <f t="shared" si="22"/>
        <v>451842.3</v>
      </c>
    </row>
    <row r="95" spans="1:18">
      <c r="A95" s="374" t="s">
        <v>893</v>
      </c>
      <c r="B95" s="92" t="s">
        <v>681</v>
      </c>
      <c r="C95" s="92" t="s">
        <v>88</v>
      </c>
      <c r="D95" s="42" t="s">
        <v>16</v>
      </c>
      <c r="E95" s="42" t="s">
        <v>859</v>
      </c>
      <c r="F95" s="42">
        <v>8077</v>
      </c>
      <c r="G95" s="42"/>
      <c r="H95" s="42">
        <v>25000</v>
      </c>
      <c r="I95" s="42">
        <v>500</v>
      </c>
      <c r="J95" s="42">
        <v>0.13</v>
      </c>
      <c r="K95" s="42">
        <f t="shared" ref="K95:K108" si="23">I95*J95</f>
        <v>65</v>
      </c>
      <c r="L95" s="43">
        <f t="shared" si="19"/>
        <v>24935</v>
      </c>
      <c r="M95" s="43"/>
      <c r="N95" s="43">
        <f t="shared" si="20"/>
        <v>24935</v>
      </c>
      <c r="O95" s="43">
        <f t="shared" si="21"/>
        <v>1750</v>
      </c>
      <c r="P95" s="42">
        <v>0</v>
      </c>
      <c r="Q95" s="42">
        <v>18.899999999999999</v>
      </c>
      <c r="R95" s="42">
        <f t="shared" si="22"/>
        <v>471271.49999999994</v>
      </c>
    </row>
    <row r="96" spans="1:18">
      <c r="A96" s="374"/>
      <c r="B96" s="92" t="s">
        <v>681</v>
      </c>
      <c r="C96" s="92" t="s">
        <v>88</v>
      </c>
      <c r="D96" s="42" t="s">
        <v>16</v>
      </c>
      <c r="E96" s="42" t="s">
        <v>756</v>
      </c>
      <c r="F96" s="42">
        <v>8075</v>
      </c>
      <c r="G96" s="42"/>
      <c r="H96" s="42">
        <v>24980</v>
      </c>
      <c r="I96" s="42">
        <v>500</v>
      </c>
      <c r="J96" s="42">
        <v>0.13</v>
      </c>
      <c r="K96" s="42">
        <f t="shared" si="23"/>
        <v>65</v>
      </c>
      <c r="L96" s="43">
        <f t="shared" si="19"/>
        <v>24915</v>
      </c>
      <c r="M96" s="43"/>
      <c r="N96" s="43">
        <f t="shared" si="20"/>
        <v>24915</v>
      </c>
      <c r="O96" s="43">
        <f t="shared" si="21"/>
        <v>1748.6000000000001</v>
      </c>
      <c r="P96" s="42">
        <v>0</v>
      </c>
      <c r="Q96" s="42">
        <v>18.899999999999999</v>
      </c>
      <c r="R96" s="42">
        <f t="shared" si="22"/>
        <v>470893.49999999994</v>
      </c>
    </row>
    <row r="97" spans="1:18">
      <c r="A97" s="374" t="s">
        <v>900</v>
      </c>
      <c r="B97" s="92" t="s">
        <v>681</v>
      </c>
      <c r="C97" s="92" t="s">
        <v>88</v>
      </c>
      <c r="D97" s="42" t="s">
        <v>16</v>
      </c>
      <c r="E97" s="42" t="s">
        <v>901</v>
      </c>
      <c r="F97" s="42">
        <v>11242</v>
      </c>
      <c r="G97" s="42"/>
      <c r="H97" s="42">
        <v>20000</v>
      </c>
      <c r="I97" s="42">
        <v>340</v>
      </c>
      <c r="J97" s="42">
        <v>0.13</v>
      </c>
      <c r="K97" s="42">
        <f t="shared" si="23"/>
        <v>44.2</v>
      </c>
      <c r="L97" s="43">
        <f t="shared" si="19"/>
        <v>19955.8</v>
      </c>
      <c r="M97" s="43"/>
      <c r="N97" s="43">
        <f t="shared" si="20"/>
        <v>19955.8</v>
      </c>
      <c r="O97" s="43">
        <f t="shared" si="21"/>
        <v>1400</v>
      </c>
      <c r="P97" s="42">
        <v>0</v>
      </c>
      <c r="Q97" s="42">
        <v>18.899999999999999</v>
      </c>
      <c r="R97" s="42">
        <f t="shared" si="22"/>
        <v>377164.61999999994</v>
      </c>
    </row>
    <row r="98" spans="1:18">
      <c r="A98" s="374"/>
      <c r="B98" s="92" t="s">
        <v>681</v>
      </c>
      <c r="C98" s="92" t="s">
        <v>88</v>
      </c>
      <c r="D98" s="42" t="s">
        <v>16</v>
      </c>
      <c r="E98" s="42" t="s">
        <v>773</v>
      </c>
      <c r="F98" s="42">
        <v>11226</v>
      </c>
      <c r="G98" s="42"/>
      <c r="H98" s="42">
        <v>19950</v>
      </c>
      <c r="I98" s="42">
        <v>280</v>
      </c>
      <c r="J98" s="42">
        <v>0.13</v>
      </c>
      <c r="K98" s="42">
        <f t="shared" si="23"/>
        <v>36.4</v>
      </c>
      <c r="L98" s="43">
        <f t="shared" si="19"/>
        <v>19913.599999999999</v>
      </c>
      <c r="M98" s="43"/>
      <c r="N98" s="43">
        <f t="shared" si="20"/>
        <v>19913.599999999999</v>
      </c>
      <c r="O98" s="43">
        <f t="shared" si="21"/>
        <v>1396.5</v>
      </c>
      <c r="P98" s="42">
        <v>0</v>
      </c>
      <c r="Q98" s="42">
        <v>18.899999999999999</v>
      </c>
      <c r="R98" s="42">
        <f t="shared" si="22"/>
        <v>376367.03999999992</v>
      </c>
    </row>
    <row r="99" spans="1:18">
      <c r="A99" s="374"/>
      <c r="B99" s="92" t="s">
        <v>681</v>
      </c>
      <c r="C99" s="92" t="s">
        <v>88</v>
      </c>
      <c r="D99" s="42" t="s">
        <v>16</v>
      </c>
      <c r="E99" s="42" t="s">
        <v>902</v>
      </c>
      <c r="F99" s="42">
        <v>11227</v>
      </c>
      <c r="G99" s="42"/>
      <c r="H99" s="42">
        <v>19920</v>
      </c>
      <c r="I99" s="42">
        <v>280</v>
      </c>
      <c r="J99" s="42">
        <v>0.13</v>
      </c>
      <c r="K99" s="42">
        <f t="shared" si="23"/>
        <v>36.4</v>
      </c>
      <c r="L99" s="43">
        <f t="shared" si="19"/>
        <v>19883.599999999999</v>
      </c>
      <c r="M99" s="43"/>
      <c r="N99" s="43">
        <f t="shared" si="20"/>
        <v>19883.599999999999</v>
      </c>
      <c r="O99" s="43">
        <f t="shared" si="21"/>
        <v>1394.4</v>
      </c>
      <c r="P99" s="42">
        <v>0</v>
      </c>
      <c r="Q99" s="42">
        <v>18.899999999999999</v>
      </c>
      <c r="R99" s="42">
        <f t="shared" si="22"/>
        <v>375800.03999999992</v>
      </c>
    </row>
    <row r="100" spans="1:18">
      <c r="A100" s="374"/>
      <c r="B100" s="92" t="s">
        <v>681</v>
      </c>
      <c r="C100" s="92" t="s">
        <v>88</v>
      </c>
      <c r="D100" s="42" t="s">
        <v>16</v>
      </c>
      <c r="E100" s="42" t="s">
        <v>903</v>
      </c>
      <c r="F100" s="42">
        <v>5024</v>
      </c>
      <c r="G100" s="42"/>
      <c r="H100" s="42">
        <v>20000</v>
      </c>
      <c r="I100" s="42">
        <v>400</v>
      </c>
      <c r="J100" s="42">
        <v>0.13</v>
      </c>
      <c r="K100" s="42">
        <f t="shared" si="23"/>
        <v>52</v>
      </c>
      <c r="L100" s="43">
        <f t="shared" si="19"/>
        <v>19948</v>
      </c>
      <c r="M100" s="43"/>
      <c r="N100" s="43">
        <f t="shared" si="20"/>
        <v>19948</v>
      </c>
      <c r="O100" s="43">
        <f t="shared" si="21"/>
        <v>1400</v>
      </c>
      <c r="P100" s="42">
        <v>0</v>
      </c>
      <c r="Q100" s="42">
        <v>18.899999999999999</v>
      </c>
      <c r="R100" s="42">
        <f t="shared" si="22"/>
        <v>377017.19999999995</v>
      </c>
    </row>
    <row r="101" spans="1:18">
      <c r="A101" s="374"/>
      <c r="B101" s="92" t="s">
        <v>681</v>
      </c>
      <c r="C101" s="92" t="s">
        <v>88</v>
      </c>
      <c r="D101" s="42" t="s">
        <v>16</v>
      </c>
      <c r="E101" s="42" t="s">
        <v>904</v>
      </c>
      <c r="F101" s="42">
        <v>11228</v>
      </c>
      <c r="G101" s="42"/>
      <c r="H101" s="42">
        <v>19950</v>
      </c>
      <c r="I101" s="42">
        <v>280</v>
      </c>
      <c r="J101" s="42">
        <v>0.13</v>
      </c>
      <c r="K101" s="42">
        <f t="shared" si="23"/>
        <v>36.4</v>
      </c>
      <c r="L101" s="43">
        <f t="shared" si="19"/>
        <v>19913.599999999999</v>
      </c>
      <c r="M101" s="43"/>
      <c r="N101" s="43">
        <f t="shared" si="20"/>
        <v>19913.599999999999</v>
      </c>
      <c r="O101" s="43">
        <f t="shared" si="21"/>
        <v>1396.5</v>
      </c>
      <c r="P101" s="42">
        <v>0</v>
      </c>
      <c r="Q101" s="42">
        <v>18.899999999999999</v>
      </c>
      <c r="R101" s="42">
        <f t="shared" si="22"/>
        <v>376367.03999999992</v>
      </c>
    </row>
    <row r="102" spans="1:18">
      <c r="A102" s="374"/>
      <c r="B102" s="92" t="s">
        <v>681</v>
      </c>
      <c r="C102" s="92" t="s">
        <v>88</v>
      </c>
      <c r="D102" s="42" t="s">
        <v>16</v>
      </c>
      <c r="E102" s="42" t="s">
        <v>858</v>
      </c>
      <c r="F102" s="42">
        <v>11241</v>
      </c>
      <c r="G102" s="42"/>
      <c r="H102" s="42">
        <v>19980</v>
      </c>
      <c r="I102" s="42">
        <v>340</v>
      </c>
      <c r="J102" s="42">
        <v>0.13</v>
      </c>
      <c r="K102" s="42">
        <f t="shared" si="23"/>
        <v>44.2</v>
      </c>
      <c r="L102" s="43">
        <f t="shared" si="19"/>
        <v>19935.8</v>
      </c>
      <c r="M102" s="43"/>
      <c r="N102" s="43">
        <f t="shared" si="20"/>
        <v>19935.8</v>
      </c>
      <c r="O102" s="43">
        <f t="shared" si="21"/>
        <v>1398.6000000000001</v>
      </c>
      <c r="P102" s="42">
        <v>0</v>
      </c>
      <c r="Q102" s="42">
        <v>18.899999999999999</v>
      </c>
      <c r="R102" s="42">
        <f t="shared" si="22"/>
        <v>376786.61999999994</v>
      </c>
    </row>
    <row r="103" spans="1:18">
      <c r="A103" s="374" t="s">
        <v>907</v>
      </c>
      <c r="B103" s="92" t="s">
        <v>681</v>
      </c>
      <c r="C103" s="92" t="s">
        <v>88</v>
      </c>
      <c r="D103" s="42" t="s">
        <v>16</v>
      </c>
      <c r="E103" s="42" t="s">
        <v>908</v>
      </c>
      <c r="F103" s="42">
        <v>5030</v>
      </c>
      <c r="G103" s="42"/>
      <c r="H103" s="42">
        <v>19980</v>
      </c>
      <c r="I103" s="42">
        <v>400</v>
      </c>
      <c r="J103" s="42">
        <v>0.13</v>
      </c>
      <c r="K103" s="42">
        <f t="shared" si="23"/>
        <v>52</v>
      </c>
      <c r="L103" s="43">
        <f t="shared" si="19"/>
        <v>19928</v>
      </c>
      <c r="M103" s="43"/>
      <c r="N103" s="43">
        <f t="shared" si="20"/>
        <v>19928</v>
      </c>
      <c r="O103" s="43">
        <f t="shared" si="21"/>
        <v>1398.6000000000001</v>
      </c>
      <c r="P103" s="42">
        <v>0</v>
      </c>
      <c r="Q103" s="42">
        <v>18.899999999999999</v>
      </c>
      <c r="R103" s="42">
        <f t="shared" si="22"/>
        <v>376639.19999999995</v>
      </c>
    </row>
    <row r="104" spans="1:18">
      <c r="A104" s="374"/>
      <c r="B104" s="92" t="s">
        <v>681</v>
      </c>
      <c r="C104" s="92" t="s">
        <v>88</v>
      </c>
      <c r="D104" s="42" t="s">
        <v>16</v>
      </c>
      <c r="E104" s="42" t="s">
        <v>909</v>
      </c>
      <c r="F104" s="42">
        <v>5029</v>
      </c>
      <c r="G104" s="42"/>
      <c r="H104" s="42">
        <v>19930</v>
      </c>
      <c r="I104" s="42">
        <v>400</v>
      </c>
      <c r="J104" s="42">
        <v>0.13</v>
      </c>
      <c r="K104" s="42">
        <f t="shared" si="23"/>
        <v>52</v>
      </c>
      <c r="L104" s="43">
        <f t="shared" si="19"/>
        <v>19878</v>
      </c>
      <c r="M104" s="43"/>
      <c r="N104" s="43">
        <f t="shared" si="20"/>
        <v>19878</v>
      </c>
      <c r="O104" s="43">
        <f t="shared" si="21"/>
        <v>1395.1</v>
      </c>
      <c r="P104" s="42">
        <v>0</v>
      </c>
      <c r="Q104" s="42">
        <v>18.899999999999999</v>
      </c>
      <c r="R104" s="42">
        <f t="shared" si="22"/>
        <v>375694.19999999995</v>
      </c>
    </row>
    <row r="105" spans="1:18">
      <c r="A105" s="374"/>
      <c r="B105" s="92" t="s">
        <v>681</v>
      </c>
      <c r="C105" s="92" t="s">
        <v>88</v>
      </c>
      <c r="D105" s="42" t="s">
        <v>16</v>
      </c>
      <c r="E105" s="42" t="s">
        <v>910</v>
      </c>
      <c r="F105" s="42">
        <v>5027</v>
      </c>
      <c r="G105" s="42"/>
      <c r="H105" s="42">
        <v>20000</v>
      </c>
      <c r="I105" s="42">
        <v>400</v>
      </c>
      <c r="J105" s="42">
        <v>0.13</v>
      </c>
      <c r="K105" s="42">
        <f t="shared" si="23"/>
        <v>52</v>
      </c>
      <c r="L105" s="43">
        <f t="shared" si="19"/>
        <v>19948</v>
      </c>
      <c r="M105" s="43"/>
      <c r="N105" s="43">
        <f t="shared" si="20"/>
        <v>19948</v>
      </c>
      <c r="O105" s="43">
        <f t="shared" si="21"/>
        <v>1400</v>
      </c>
      <c r="P105" s="42">
        <v>0</v>
      </c>
      <c r="Q105" s="42">
        <v>18.899999999999999</v>
      </c>
      <c r="R105" s="42">
        <f t="shared" si="22"/>
        <v>377017.19999999995</v>
      </c>
    </row>
    <row r="106" spans="1:18">
      <c r="A106" s="374"/>
      <c r="B106" s="92" t="s">
        <v>681</v>
      </c>
      <c r="C106" s="92" t="s">
        <v>88</v>
      </c>
      <c r="D106" s="42" t="s">
        <v>16</v>
      </c>
      <c r="E106" s="42" t="s">
        <v>911</v>
      </c>
      <c r="F106" s="42">
        <v>5026</v>
      </c>
      <c r="G106" s="42"/>
      <c r="H106" s="42">
        <v>20000</v>
      </c>
      <c r="I106" s="42">
        <v>400</v>
      </c>
      <c r="J106" s="42">
        <v>0.13</v>
      </c>
      <c r="K106" s="42">
        <f t="shared" si="23"/>
        <v>52</v>
      </c>
      <c r="L106" s="43">
        <f t="shared" si="19"/>
        <v>19948</v>
      </c>
      <c r="M106" s="43"/>
      <c r="N106" s="43">
        <f t="shared" si="20"/>
        <v>19948</v>
      </c>
      <c r="O106" s="43">
        <f t="shared" si="21"/>
        <v>1400</v>
      </c>
      <c r="P106" s="42">
        <v>0</v>
      </c>
      <c r="Q106" s="42">
        <v>18.899999999999999</v>
      </c>
      <c r="R106" s="42">
        <f t="shared" si="22"/>
        <v>377017.19999999995</v>
      </c>
    </row>
    <row r="107" spans="1:18">
      <c r="A107" s="374"/>
      <c r="B107" s="92" t="s">
        <v>681</v>
      </c>
      <c r="C107" s="92" t="s">
        <v>88</v>
      </c>
      <c r="D107" s="42" t="s">
        <v>16</v>
      </c>
      <c r="E107" s="42" t="s">
        <v>912</v>
      </c>
      <c r="F107" s="42">
        <v>5028</v>
      </c>
      <c r="G107" s="42"/>
      <c r="H107" s="42">
        <v>19950</v>
      </c>
      <c r="I107" s="42">
        <v>400</v>
      </c>
      <c r="J107" s="42">
        <v>0.13</v>
      </c>
      <c r="K107" s="42">
        <f t="shared" si="23"/>
        <v>52</v>
      </c>
      <c r="L107" s="43">
        <f t="shared" si="19"/>
        <v>19898</v>
      </c>
      <c r="M107" s="43"/>
      <c r="N107" s="43">
        <f t="shared" si="20"/>
        <v>19898</v>
      </c>
      <c r="O107" s="43">
        <f t="shared" si="21"/>
        <v>1396.5</v>
      </c>
      <c r="P107" s="42">
        <v>0</v>
      </c>
      <c r="Q107" s="42">
        <v>18.899999999999999</v>
      </c>
      <c r="R107" s="42">
        <f t="shared" si="22"/>
        <v>376072.19999999995</v>
      </c>
    </row>
    <row r="108" spans="1:18">
      <c r="A108" s="374"/>
      <c r="B108" s="92" t="s">
        <v>681</v>
      </c>
      <c r="C108" s="92" t="s">
        <v>88</v>
      </c>
      <c r="D108" s="42" t="s">
        <v>16</v>
      </c>
      <c r="E108" s="42" t="s">
        <v>913</v>
      </c>
      <c r="F108" s="42">
        <v>5025</v>
      </c>
      <c r="G108" s="42"/>
      <c r="H108" s="42">
        <v>20000</v>
      </c>
      <c r="I108" s="42">
        <v>400</v>
      </c>
      <c r="J108" s="42">
        <v>0.13</v>
      </c>
      <c r="K108" s="42">
        <f t="shared" si="23"/>
        <v>52</v>
      </c>
      <c r="L108" s="43">
        <f t="shared" si="19"/>
        <v>19948</v>
      </c>
      <c r="M108" s="43"/>
      <c r="N108" s="43">
        <f t="shared" si="20"/>
        <v>19948</v>
      </c>
      <c r="O108" s="43">
        <f t="shared" si="21"/>
        <v>1400</v>
      </c>
      <c r="P108" s="42">
        <v>0</v>
      </c>
      <c r="Q108" s="42">
        <v>18.899999999999999</v>
      </c>
      <c r="R108" s="42">
        <f t="shared" si="22"/>
        <v>377017.19999999995</v>
      </c>
    </row>
    <row r="109" spans="1:18">
      <c r="A109" s="374"/>
      <c r="B109" s="92" t="s">
        <v>681</v>
      </c>
      <c r="C109" s="92" t="s">
        <v>88</v>
      </c>
      <c r="D109" s="42" t="s">
        <v>16</v>
      </c>
      <c r="E109" s="42" t="s">
        <v>914</v>
      </c>
      <c r="F109" s="42">
        <v>11487</v>
      </c>
      <c r="G109" s="42"/>
      <c r="H109" s="42">
        <v>20000</v>
      </c>
      <c r="I109" s="42">
        <v>320</v>
      </c>
      <c r="J109" s="42">
        <v>0.13</v>
      </c>
      <c r="K109" s="42">
        <v>42</v>
      </c>
      <c r="L109" s="43">
        <f t="shared" si="19"/>
        <v>19958</v>
      </c>
      <c r="M109" s="43"/>
      <c r="N109" s="43">
        <f t="shared" si="20"/>
        <v>19958</v>
      </c>
      <c r="O109" s="43">
        <f t="shared" si="21"/>
        <v>1400</v>
      </c>
      <c r="P109" s="42">
        <v>0</v>
      </c>
      <c r="Q109" s="42">
        <v>18.899999999999999</v>
      </c>
      <c r="R109" s="42">
        <f t="shared" si="22"/>
        <v>377206.19999999995</v>
      </c>
    </row>
    <row r="110" spans="1:18">
      <c r="A110" s="1" t="s">
        <v>927</v>
      </c>
      <c r="B110" s="92" t="s">
        <v>681</v>
      </c>
      <c r="C110" s="92" t="s">
        <v>88</v>
      </c>
      <c r="D110" s="42" t="s">
        <v>16</v>
      </c>
      <c r="E110" s="42" t="s">
        <v>928</v>
      </c>
      <c r="F110" s="42">
        <v>12082</v>
      </c>
      <c r="G110" s="42"/>
      <c r="H110" s="42">
        <v>19970</v>
      </c>
      <c r="I110" s="42">
        <v>400</v>
      </c>
      <c r="J110" s="42">
        <v>0.13</v>
      </c>
      <c r="K110" s="42">
        <f>I110*J110</f>
        <v>52</v>
      </c>
      <c r="L110" s="43">
        <f t="shared" si="19"/>
        <v>19918</v>
      </c>
      <c r="M110" s="43"/>
      <c r="N110" s="43">
        <f t="shared" si="20"/>
        <v>19918</v>
      </c>
      <c r="O110" s="43">
        <f t="shared" si="21"/>
        <v>1397.8999999999999</v>
      </c>
      <c r="P110" s="42">
        <v>0</v>
      </c>
      <c r="Q110" s="42">
        <v>18.899999999999999</v>
      </c>
      <c r="R110" s="42">
        <f t="shared" si="22"/>
        <v>376450.19999999995</v>
      </c>
    </row>
    <row r="112" spans="1:18">
      <c r="A112" s="374" t="s">
        <v>1303</v>
      </c>
      <c r="B112" s="42" t="s">
        <v>1304</v>
      </c>
      <c r="C112" s="42" t="s">
        <v>88</v>
      </c>
      <c r="D112" s="42" t="s">
        <v>16</v>
      </c>
      <c r="E112" s="42" t="s">
        <v>1309</v>
      </c>
      <c r="F112" s="42">
        <v>18594</v>
      </c>
      <c r="G112" s="42"/>
      <c r="H112" s="42">
        <v>20000</v>
      </c>
      <c r="I112" s="42">
        <v>400</v>
      </c>
      <c r="J112" s="42">
        <v>0.13</v>
      </c>
      <c r="K112" s="42">
        <f>I112*J112</f>
        <v>52</v>
      </c>
      <c r="L112" s="43">
        <f>H112-K112</f>
        <v>19948</v>
      </c>
      <c r="M112" s="43"/>
      <c r="N112" s="43">
        <f>L112-M112</f>
        <v>19948</v>
      </c>
      <c r="O112" s="43">
        <f>H112/1000*70</f>
        <v>1400</v>
      </c>
      <c r="P112" s="42">
        <v>0</v>
      </c>
      <c r="Q112" s="42">
        <v>22.35</v>
      </c>
      <c r="R112" s="42">
        <f>L112*Q112</f>
        <v>445837.80000000005</v>
      </c>
    </row>
    <row r="113" spans="1:18">
      <c r="A113" s="374"/>
      <c r="B113" s="42" t="s">
        <v>1304</v>
      </c>
      <c r="C113" s="42" t="s">
        <v>88</v>
      </c>
      <c r="D113" s="42" t="s">
        <v>16</v>
      </c>
      <c r="E113" s="42" t="s">
        <v>1310</v>
      </c>
      <c r="F113" s="42">
        <v>18593</v>
      </c>
      <c r="G113" s="42"/>
      <c r="H113" s="42">
        <v>20000</v>
      </c>
      <c r="I113" s="42">
        <v>400</v>
      </c>
      <c r="J113" s="42">
        <v>0.13</v>
      </c>
      <c r="K113" s="42">
        <f>I113*J113</f>
        <v>52</v>
      </c>
      <c r="L113" s="43">
        <f>H113-K113</f>
        <v>19948</v>
      </c>
      <c r="M113" s="43"/>
      <c r="N113" s="43">
        <f>L113-M113</f>
        <v>19948</v>
      </c>
      <c r="O113" s="43">
        <f>H113/1000*70</f>
        <v>1400</v>
      </c>
      <c r="P113" s="42">
        <v>0</v>
      </c>
      <c r="Q113" s="42">
        <v>22.35</v>
      </c>
      <c r="R113" s="42">
        <f>L113*Q113</f>
        <v>445837.80000000005</v>
      </c>
    </row>
    <row r="115" spans="1:18">
      <c r="A115" s="1" t="s">
        <v>1394</v>
      </c>
      <c r="B115" s="42" t="s">
        <v>1395</v>
      </c>
      <c r="C115" s="42" t="s">
        <v>88</v>
      </c>
      <c r="D115" s="42" t="s">
        <v>16</v>
      </c>
      <c r="E115" s="42" t="s">
        <v>1396</v>
      </c>
      <c r="F115" s="42">
        <v>6430</v>
      </c>
      <c r="G115" s="42"/>
      <c r="H115" s="42">
        <v>20690</v>
      </c>
      <c r="I115" s="42">
        <v>350</v>
      </c>
      <c r="J115" s="42">
        <v>0.5</v>
      </c>
      <c r="K115" s="42">
        <f>I115*J115</f>
        <v>175</v>
      </c>
      <c r="L115" s="43">
        <f>H115-K115</f>
        <v>20515</v>
      </c>
      <c r="M115" s="43"/>
      <c r="N115" s="43">
        <f>L115-M115</f>
        <v>20515</v>
      </c>
      <c r="O115" s="43">
        <f>H115/1000*70</f>
        <v>1448.3000000000002</v>
      </c>
      <c r="P115" s="42">
        <v>0</v>
      </c>
      <c r="Q115" s="42">
        <v>22.75</v>
      </c>
      <c r="R115" s="42">
        <f>L115*Q115</f>
        <v>466716.25</v>
      </c>
    </row>
    <row r="116" spans="1:18">
      <c r="A116" s="1" t="s">
        <v>1414</v>
      </c>
      <c r="B116" s="42" t="s">
        <v>1304</v>
      </c>
      <c r="C116" s="42" t="s">
        <v>88</v>
      </c>
      <c r="D116" s="42" t="s">
        <v>16</v>
      </c>
      <c r="E116" s="42" t="s">
        <v>1415</v>
      </c>
      <c r="F116" s="42">
        <v>6417</v>
      </c>
      <c r="G116" s="42"/>
      <c r="H116" s="42">
        <v>20080</v>
      </c>
      <c r="I116" s="42">
        <v>335</v>
      </c>
      <c r="J116" s="42">
        <v>0.5</v>
      </c>
      <c r="K116" s="42">
        <v>168</v>
      </c>
      <c r="L116" s="43">
        <f>H116-K116</f>
        <v>19912</v>
      </c>
      <c r="M116" s="43"/>
      <c r="N116" s="43">
        <f>L116-M116</f>
        <v>19912</v>
      </c>
      <c r="O116" s="43">
        <f>H116/1000*70</f>
        <v>1405.6</v>
      </c>
      <c r="P116" s="42">
        <v>0</v>
      </c>
      <c r="Q116" s="42">
        <v>22.75</v>
      </c>
      <c r="R116" s="42">
        <f>L116*Q116</f>
        <v>452998</v>
      </c>
    </row>
    <row r="119" spans="1:18">
      <c r="A119" s="374" t="s">
        <v>2563</v>
      </c>
      <c r="B119" s="42" t="s">
        <v>1782</v>
      </c>
      <c r="C119" s="42" t="s">
        <v>88</v>
      </c>
      <c r="D119" s="42" t="s">
        <v>16</v>
      </c>
      <c r="E119" s="42" t="s">
        <v>2564</v>
      </c>
      <c r="F119" s="42">
        <v>20186802</v>
      </c>
      <c r="G119" s="42"/>
      <c r="H119" s="42">
        <v>17480</v>
      </c>
      <c r="I119" s="42">
        <v>350</v>
      </c>
      <c r="J119" s="42">
        <v>0.13</v>
      </c>
      <c r="K119" s="43">
        <f t="shared" ref="K119:K128" si="24">I119*J119</f>
        <v>45.5</v>
      </c>
      <c r="L119" s="43">
        <f t="shared" ref="L119:L128" si="25">H119-K119</f>
        <v>17434.5</v>
      </c>
      <c r="M119" s="43"/>
      <c r="N119" s="43">
        <f t="shared" ref="N119:N128" si="26">L119-M119</f>
        <v>17434.5</v>
      </c>
      <c r="O119" s="43">
        <f t="shared" ref="O119:O128" si="27">H119/1000*70</f>
        <v>1223.6000000000001</v>
      </c>
      <c r="P119" s="42">
        <v>9200</v>
      </c>
      <c r="Q119" s="42">
        <v>21</v>
      </c>
      <c r="R119" s="42">
        <f t="shared" ref="R119:R128" si="28">L119*Q119</f>
        <v>366124.5</v>
      </c>
    </row>
    <row r="120" spans="1:18">
      <c r="A120" s="374"/>
      <c r="B120" s="42" t="s">
        <v>1782</v>
      </c>
      <c r="C120" s="42" t="s">
        <v>88</v>
      </c>
      <c r="D120" s="42" t="s">
        <v>16</v>
      </c>
      <c r="E120" s="42" t="s">
        <v>2565</v>
      </c>
      <c r="F120" s="42">
        <v>91893</v>
      </c>
      <c r="G120" s="42"/>
      <c r="H120" s="42">
        <v>17480</v>
      </c>
      <c r="I120" s="42">
        <v>350</v>
      </c>
      <c r="J120" s="42">
        <v>0.13</v>
      </c>
      <c r="K120" s="43">
        <f t="shared" si="24"/>
        <v>45.5</v>
      </c>
      <c r="L120" s="43">
        <f t="shared" si="25"/>
        <v>17434.5</v>
      </c>
      <c r="M120" s="43"/>
      <c r="N120" s="43">
        <f t="shared" si="26"/>
        <v>17434.5</v>
      </c>
      <c r="O120" s="43">
        <f t="shared" si="27"/>
        <v>1223.6000000000001</v>
      </c>
      <c r="P120" s="42">
        <v>9500</v>
      </c>
      <c r="Q120" s="42">
        <v>21</v>
      </c>
      <c r="R120" s="42">
        <f t="shared" si="28"/>
        <v>366124.5</v>
      </c>
    </row>
    <row r="121" spans="1:18">
      <c r="A121" s="374"/>
      <c r="B121" s="42" t="s">
        <v>1782</v>
      </c>
      <c r="C121" s="42" t="s">
        <v>88</v>
      </c>
      <c r="D121" s="42" t="s">
        <v>16</v>
      </c>
      <c r="E121" s="42" t="s">
        <v>2471</v>
      </c>
      <c r="F121" s="42">
        <v>20180191</v>
      </c>
      <c r="G121" s="42"/>
      <c r="H121" s="42">
        <v>20000</v>
      </c>
      <c r="I121" s="42">
        <v>400</v>
      </c>
      <c r="J121" s="42">
        <v>0.13</v>
      </c>
      <c r="K121" s="43">
        <f t="shared" si="24"/>
        <v>52</v>
      </c>
      <c r="L121" s="43">
        <f t="shared" si="25"/>
        <v>19948</v>
      </c>
      <c r="M121" s="43"/>
      <c r="N121" s="43">
        <f t="shared" si="26"/>
        <v>19948</v>
      </c>
      <c r="O121" s="43">
        <f t="shared" si="27"/>
        <v>1400</v>
      </c>
      <c r="P121" s="42">
        <v>10500</v>
      </c>
      <c r="Q121" s="42">
        <v>21</v>
      </c>
      <c r="R121" s="42">
        <f t="shared" si="28"/>
        <v>418908</v>
      </c>
    </row>
    <row r="122" spans="1:18">
      <c r="A122" s="374"/>
      <c r="B122" s="42" t="s">
        <v>1782</v>
      </c>
      <c r="C122" s="42" t="s">
        <v>88</v>
      </c>
      <c r="D122" s="42" t="s">
        <v>16</v>
      </c>
      <c r="E122" s="42" t="s">
        <v>2566</v>
      </c>
      <c r="F122" s="42">
        <v>91892</v>
      </c>
      <c r="G122" s="42"/>
      <c r="H122" s="42">
        <v>17490</v>
      </c>
      <c r="I122" s="42">
        <v>350</v>
      </c>
      <c r="J122" s="42">
        <v>0.13</v>
      </c>
      <c r="K122" s="43">
        <f t="shared" si="24"/>
        <v>45.5</v>
      </c>
      <c r="L122" s="43">
        <f t="shared" si="25"/>
        <v>17444.5</v>
      </c>
      <c r="M122" s="43"/>
      <c r="N122" s="43">
        <f t="shared" si="26"/>
        <v>17444.5</v>
      </c>
      <c r="O122" s="43">
        <f t="shared" si="27"/>
        <v>1224.3</v>
      </c>
      <c r="P122" s="42">
        <v>9500</v>
      </c>
      <c r="Q122" s="42">
        <v>21</v>
      </c>
      <c r="R122" s="42">
        <f t="shared" si="28"/>
        <v>366334.5</v>
      </c>
    </row>
    <row r="123" spans="1:18">
      <c r="A123" s="1" t="s">
        <v>2567</v>
      </c>
      <c r="B123" s="42" t="s">
        <v>1782</v>
      </c>
      <c r="C123" s="42" t="s">
        <v>88</v>
      </c>
      <c r="D123" s="42" t="s">
        <v>16</v>
      </c>
      <c r="E123" s="42" t="s">
        <v>2568</v>
      </c>
      <c r="F123" s="42">
        <v>20185564</v>
      </c>
      <c r="G123" s="42"/>
      <c r="H123" s="42">
        <v>20000</v>
      </c>
      <c r="I123" s="42">
        <v>400</v>
      </c>
      <c r="J123" s="42">
        <v>0.13</v>
      </c>
      <c r="K123" s="43">
        <f t="shared" si="24"/>
        <v>52</v>
      </c>
      <c r="L123" s="43">
        <f t="shared" si="25"/>
        <v>19948</v>
      </c>
      <c r="M123" s="43"/>
      <c r="N123" s="43">
        <f t="shared" si="26"/>
        <v>19948</v>
      </c>
      <c r="O123" s="43">
        <f t="shared" si="27"/>
        <v>1400</v>
      </c>
      <c r="P123" s="42">
        <v>10500</v>
      </c>
      <c r="Q123" s="42">
        <v>21</v>
      </c>
      <c r="R123" s="42">
        <f t="shared" si="28"/>
        <v>418908</v>
      </c>
    </row>
    <row r="124" spans="1:18">
      <c r="A124" s="374" t="s">
        <v>2588</v>
      </c>
      <c r="B124" s="42" t="s">
        <v>1782</v>
      </c>
      <c r="C124" s="42" t="s">
        <v>88</v>
      </c>
      <c r="D124" s="42" t="s">
        <v>16</v>
      </c>
      <c r="E124" s="42" t="s">
        <v>2589</v>
      </c>
      <c r="F124" s="42">
        <v>20186586</v>
      </c>
      <c r="G124" s="42"/>
      <c r="H124" s="42">
        <v>20000</v>
      </c>
      <c r="I124" s="42">
        <v>400</v>
      </c>
      <c r="J124" s="42">
        <v>0.13</v>
      </c>
      <c r="K124" s="43">
        <f t="shared" si="24"/>
        <v>52</v>
      </c>
      <c r="L124" s="43">
        <f t="shared" si="25"/>
        <v>19948</v>
      </c>
      <c r="M124" s="43"/>
      <c r="N124" s="43">
        <f t="shared" si="26"/>
        <v>19948</v>
      </c>
      <c r="O124" s="43">
        <f t="shared" si="27"/>
        <v>1400</v>
      </c>
      <c r="P124" s="42">
        <v>10500</v>
      </c>
      <c r="Q124" s="42">
        <v>21</v>
      </c>
      <c r="R124" s="42">
        <f t="shared" si="28"/>
        <v>418908</v>
      </c>
    </row>
    <row r="125" spans="1:18">
      <c r="A125" s="374"/>
      <c r="B125" s="42" t="s">
        <v>1782</v>
      </c>
      <c r="C125" s="42" t="s">
        <v>88</v>
      </c>
      <c r="D125" s="42" t="s">
        <v>16</v>
      </c>
      <c r="E125" s="42" t="s">
        <v>2590</v>
      </c>
      <c r="F125" s="42">
        <v>20186582</v>
      </c>
      <c r="G125" s="42"/>
      <c r="H125" s="42">
        <v>22500</v>
      </c>
      <c r="I125" s="42">
        <v>450</v>
      </c>
      <c r="J125" s="42">
        <v>0.13</v>
      </c>
      <c r="K125" s="43">
        <f t="shared" si="24"/>
        <v>58.5</v>
      </c>
      <c r="L125" s="43">
        <f t="shared" si="25"/>
        <v>22441.5</v>
      </c>
      <c r="M125" s="43"/>
      <c r="N125" s="43">
        <f t="shared" si="26"/>
        <v>22441.5</v>
      </c>
      <c r="O125" s="43">
        <f t="shared" si="27"/>
        <v>1575</v>
      </c>
      <c r="P125" s="42">
        <v>11500</v>
      </c>
      <c r="Q125" s="42">
        <v>21</v>
      </c>
      <c r="R125" s="42">
        <f t="shared" si="28"/>
        <v>471271.5</v>
      </c>
    </row>
    <row r="126" spans="1:18">
      <c r="A126" s="374"/>
      <c r="B126" s="42" t="s">
        <v>1782</v>
      </c>
      <c r="C126" s="42" t="s">
        <v>88</v>
      </c>
      <c r="D126" s="42" t="s">
        <v>16</v>
      </c>
      <c r="E126" s="42" t="s">
        <v>2574</v>
      </c>
      <c r="F126" s="42">
        <v>20185588</v>
      </c>
      <c r="G126" s="42"/>
      <c r="H126" s="42">
        <v>20000</v>
      </c>
      <c r="I126" s="42">
        <v>400</v>
      </c>
      <c r="J126" s="42">
        <v>0.13</v>
      </c>
      <c r="K126" s="43">
        <f t="shared" si="24"/>
        <v>52</v>
      </c>
      <c r="L126" s="43">
        <f t="shared" si="25"/>
        <v>19948</v>
      </c>
      <c r="M126" s="43"/>
      <c r="N126" s="43">
        <f t="shared" si="26"/>
        <v>19948</v>
      </c>
      <c r="O126" s="43">
        <f t="shared" si="27"/>
        <v>1400</v>
      </c>
      <c r="P126" s="42">
        <v>10500</v>
      </c>
      <c r="Q126" s="42">
        <v>21</v>
      </c>
      <c r="R126" s="42">
        <f t="shared" si="28"/>
        <v>418908</v>
      </c>
    </row>
    <row r="127" spans="1:18">
      <c r="A127" s="374" t="s">
        <v>2593</v>
      </c>
      <c r="B127" s="42" t="s">
        <v>1782</v>
      </c>
      <c r="C127" s="42" t="s">
        <v>88</v>
      </c>
      <c r="D127" s="42" t="s">
        <v>16</v>
      </c>
      <c r="E127" s="42" t="s">
        <v>2595</v>
      </c>
      <c r="F127" s="42">
        <v>20186593</v>
      </c>
      <c r="G127" s="42"/>
      <c r="H127" s="42">
        <v>22500</v>
      </c>
      <c r="I127" s="42">
        <v>450</v>
      </c>
      <c r="J127" s="42">
        <v>0.13</v>
      </c>
      <c r="K127" s="43">
        <f t="shared" si="24"/>
        <v>58.5</v>
      </c>
      <c r="L127" s="43">
        <f t="shared" si="25"/>
        <v>22441.5</v>
      </c>
      <c r="M127" s="43"/>
      <c r="N127" s="43">
        <f t="shared" si="26"/>
        <v>22441.5</v>
      </c>
      <c r="O127" s="43">
        <f t="shared" si="27"/>
        <v>1575</v>
      </c>
      <c r="P127" s="42">
        <v>11500</v>
      </c>
      <c r="Q127" s="42">
        <v>21</v>
      </c>
      <c r="R127" s="42">
        <f t="shared" si="28"/>
        <v>471271.5</v>
      </c>
    </row>
    <row r="128" spans="1:18">
      <c r="A128" s="374"/>
      <c r="B128" s="42" t="s">
        <v>1782</v>
      </c>
      <c r="C128" s="42" t="s">
        <v>88</v>
      </c>
      <c r="D128" s="42" t="s">
        <v>16</v>
      </c>
      <c r="E128" s="42" t="s">
        <v>2596</v>
      </c>
      <c r="F128" s="42">
        <v>20185592</v>
      </c>
      <c r="G128" s="42"/>
      <c r="H128" s="42">
        <v>20000</v>
      </c>
      <c r="I128" s="42">
        <v>400</v>
      </c>
      <c r="J128" s="42">
        <v>0.13</v>
      </c>
      <c r="K128" s="43">
        <f t="shared" si="24"/>
        <v>52</v>
      </c>
      <c r="L128" s="43">
        <f t="shared" si="25"/>
        <v>19948</v>
      </c>
      <c r="M128" s="43"/>
      <c r="N128" s="43">
        <f t="shared" si="26"/>
        <v>19948</v>
      </c>
      <c r="O128" s="43">
        <f t="shared" si="27"/>
        <v>1400</v>
      </c>
      <c r="P128" s="42">
        <v>10500</v>
      </c>
      <c r="Q128" s="42">
        <v>21</v>
      </c>
      <c r="R128" s="42">
        <f t="shared" si="28"/>
        <v>418908</v>
      </c>
    </row>
    <row r="130" spans="1:18">
      <c r="A130" s="1" t="s">
        <v>2690</v>
      </c>
      <c r="B130" s="42" t="s">
        <v>1782</v>
      </c>
      <c r="C130" s="42" t="s">
        <v>88</v>
      </c>
      <c r="D130" s="42" t="s">
        <v>16</v>
      </c>
      <c r="E130" s="42" t="s">
        <v>2691</v>
      </c>
      <c r="F130" s="42">
        <v>20180562</v>
      </c>
      <c r="G130" s="42"/>
      <c r="H130" s="42">
        <v>20355</v>
      </c>
      <c r="I130" s="42">
        <v>350</v>
      </c>
      <c r="J130" s="42">
        <v>0.13</v>
      </c>
      <c r="K130" s="43">
        <f t="shared" ref="K130:K137" si="29">I130*J130</f>
        <v>45.5</v>
      </c>
      <c r="L130" s="43">
        <f t="shared" ref="L130:L137" si="30">H130-K130</f>
        <v>20309.5</v>
      </c>
      <c r="M130" s="43"/>
      <c r="N130" s="43">
        <f t="shared" ref="N130:N137" si="31">L130-M130</f>
        <v>20309.5</v>
      </c>
      <c r="O130" s="43">
        <f t="shared" ref="O130:O137" si="32">H130/1000*70</f>
        <v>1424.8500000000001</v>
      </c>
      <c r="P130" s="42">
        <v>12200</v>
      </c>
      <c r="Q130" s="42">
        <v>21</v>
      </c>
      <c r="R130" s="42">
        <f t="shared" ref="R130:R137" si="33">L130*Q130</f>
        <v>426499.5</v>
      </c>
    </row>
    <row r="131" spans="1:18">
      <c r="A131" s="374" t="s">
        <v>2692</v>
      </c>
      <c r="B131" s="42" t="s">
        <v>1782</v>
      </c>
      <c r="C131" s="42" t="s">
        <v>88</v>
      </c>
      <c r="D131" s="42" t="s">
        <v>16</v>
      </c>
      <c r="E131" s="42" t="s">
        <v>2693</v>
      </c>
      <c r="F131" s="42">
        <v>20180564</v>
      </c>
      <c r="G131" s="42"/>
      <c r="H131" s="42">
        <v>21210</v>
      </c>
      <c r="I131" s="42">
        <v>322</v>
      </c>
      <c r="J131" s="42">
        <v>0.13</v>
      </c>
      <c r="K131" s="43">
        <f t="shared" si="29"/>
        <v>41.86</v>
      </c>
      <c r="L131" s="43">
        <f t="shared" si="30"/>
        <v>21168.14</v>
      </c>
      <c r="M131" s="43"/>
      <c r="N131" s="43">
        <f t="shared" si="31"/>
        <v>21168.14</v>
      </c>
      <c r="O131" s="43">
        <f t="shared" si="32"/>
        <v>1484.7</v>
      </c>
      <c r="P131" s="42">
        <v>14000</v>
      </c>
      <c r="Q131" s="42">
        <v>21</v>
      </c>
      <c r="R131" s="42">
        <f t="shared" si="33"/>
        <v>444530.94</v>
      </c>
    </row>
    <row r="132" spans="1:18">
      <c r="A132" s="374"/>
      <c r="B132" s="42" t="s">
        <v>1782</v>
      </c>
      <c r="C132" s="42" t="s">
        <v>88</v>
      </c>
      <c r="D132" s="42" t="s">
        <v>16</v>
      </c>
      <c r="E132" s="42" t="s">
        <v>759</v>
      </c>
      <c r="F132" s="42">
        <v>20180569</v>
      </c>
      <c r="G132" s="42"/>
      <c r="H132" s="42">
        <v>27590</v>
      </c>
      <c r="I132" s="42">
        <v>462</v>
      </c>
      <c r="J132" s="42">
        <v>0.13</v>
      </c>
      <c r="K132" s="43">
        <f t="shared" si="29"/>
        <v>60.06</v>
      </c>
      <c r="L132" s="43">
        <f t="shared" si="30"/>
        <v>27529.94</v>
      </c>
      <c r="M132" s="43"/>
      <c r="N132" s="43">
        <f t="shared" si="31"/>
        <v>27529.94</v>
      </c>
      <c r="O132" s="43">
        <f t="shared" si="32"/>
        <v>1931.3</v>
      </c>
      <c r="P132" s="42">
        <v>18000</v>
      </c>
      <c r="Q132" s="42">
        <v>21</v>
      </c>
      <c r="R132" s="42">
        <f t="shared" si="33"/>
        <v>578128.74</v>
      </c>
    </row>
    <row r="133" spans="1:18">
      <c r="A133" s="374"/>
      <c r="B133" s="42" t="s">
        <v>1782</v>
      </c>
      <c r="C133" s="42" t="s">
        <v>88</v>
      </c>
      <c r="D133" s="42" t="s">
        <v>16</v>
      </c>
      <c r="E133" s="42" t="s">
        <v>2582</v>
      </c>
      <c r="F133" s="42">
        <v>20180559</v>
      </c>
      <c r="G133" s="42"/>
      <c r="H133" s="42">
        <v>18390</v>
      </c>
      <c r="I133" s="42">
        <v>301</v>
      </c>
      <c r="J133" s="42">
        <v>0.13</v>
      </c>
      <c r="K133" s="43">
        <f t="shared" si="29"/>
        <v>39.130000000000003</v>
      </c>
      <c r="L133" s="43">
        <f t="shared" si="30"/>
        <v>18350.87</v>
      </c>
      <c r="M133" s="43"/>
      <c r="N133" s="43">
        <f t="shared" si="31"/>
        <v>18350.87</v>
      </c>
      <c r="O133" s="43">
        <f t="shared" si="32"/>
        <v>1287.3</v>
      </c>
      <c r="P133" s="42">
        <v>11000</v>
      </c>
      <c r="Q133" s="42">
        <v>21</v>
      </c>
      <c r="R133" s="42">
        <f t="shared" si="33"/>
        <v>385368.26999999996</v>
      </c>
    </row>
    <row r="134" spans="1:18">
      <c r="A134" s="374"/>
      <c r="B134" s="42" t="s">
        <v>1782</v>
      </c>
      <c r="C134" s="42" t="s">
        <v>88</v>
      </c>
      <c r="D134" s="42" t="s">
        <v>16</v>
      </c>
      <c r="E134" s="42" t="s">
        <v>766</v>
      </c>
      <c r="F134" s="42">
        <v>20180563</v>
      </c>
      <c r="G134" s="42"/>
      <c r="H134" s="42">
        <v>20405</v>
      </c>
      <c r="I134" s="42">
        <v>325</v>
      </c>
      <c r="J134" s="42">
        <v>0.13</v>
      </c>
      <c r="K134" s="43">
        <f t="shared" si="29"/>
        <v>42.25</v>
      </c>
      <c r="L134" s="43">
        <f t="shared" si="30"/>
        <v>20362.75</v>
      </c>
      <c r="M134" s="43"/>
      <c r="N134" s="43">
        <f t="shared" si="31"/>
        <v>20362.75</v>
      </c>
      <c r="O134" s="43">
        <f t="shared" si="32"/>
        <v>1428.3500000000001</v>
      </c>
      <c r="P134" s="42">
        <v>13000</v>
      </c>
      <c r="Q134" s="42">
        <v>21</v>
      </c>
      <c r="R134" s="42">
        <f t="shared" si="33"/>
        <v>427617.75</v>
      </c>
    </row>
    <row r="135" spans="1:18">
      <c r="A135" s="1" t="s">
        <v>2695</v>
      </c>
      <c r="B135" s="42" t="s">
        <v>1782</v>
      </c>
      <c r="C135" s="42" t="s">
        <v>88</v>
      </c>
      <c r="D135" s="42" t="s">
        <v>16</v>
      </c>
      <c r="E135" s="42" t="s">
        <v>775</v>
      </c>
      <c r="F135" s="42">
        <v>20180576</v>
      </c>
      <c r="G135" s="42"/>
      <c r="H135" s="42">
        <v>25085</v>
      </c>
      <c r="I135" s="42">
        <v>423</v>
      </c>
      <c r="J135" s="42">
        <v>0.13</v>
      </c>
      <c r="K135" s="43">
        <f t="shared" si="29"/>
        <v>54.99</v>
      </c>
      <c r="L135" s="43">
        <f t="shared" si="30"/>
        <v>25030.01</v>
      </c>
      <c r="M135" s="43"/>
      <c r="N135" s="43">
        <f t="shared" si="31"/>
        <v>25030.01</v>
      </c>
      <c r="O135" s="43">
        <f t="shared" si="32"/>
        <v>1755.95</v>
      </c>
      <c r="P135" s="42">
        <v>17000</v>
      </c>
      <c r="Q135" s="42">
        <v>21</v>
      </c>
      <c r="R135" s="42">
        <f t="shared" si="33"/>
        <v>525630.21</v>
      </c>
    </row>
    <row r="136" spans="1:18">
      <c r="A136" s="374" t="s">
        <v>2698</v>
      </c>
      <c r="B136" s="42" t="s">
        <v>1782</v>
      </c>
      <c r="C136" s="42" t="s">
        <v>88</v>
      </c>
      <c r="D136" s="42" t="s">
        <v>16</v>
      </c>
      <c r="E136" s="42" t="s">
        <v>2699</v>
      </c>
      <c r="F136" s="42">
        <v>20180586</v>
      </c>
      <c r="G136" s="42"/>
      <c r="H136" s="42">
        <v>21140</v>
      </c>
      <c r="I136" s="42">
        <v>340</v>
      </c>
      <c r="J136" s="42">
        <v>0.13</v>
      </c>
      <c r="K136" s="43">
        <f t="shared" si="29"/>
        <v>44.2</v>
      </c>
      <c r="L136" s="43">
        <f t="shared" si="30"/>
        <v>21095.8</v>
      </c>
      <c r="M136" s="43"/>
      <c r="N136" s="43">
        <f t="shared" si="31"/>
        <v>21095.8</v>
      </c>
      <c r="O136" s="43">
        <f t="shared" si="32"/>
        <v>1479.8</v>
      </c>
      <c r="P136" s="42">
        <v>14000</v>
      </c>
      <c r="Q136" s="42">
        <v>21</v>
      </c>
      <c r="R136" s="42">
        <f t="shared" si="33"/>
        <v>443011.8</v>
      </c>
    </row>
    <row r="137" spans="1:18">
      <c r="A137" s="374"/>
      <c r="B137" s="42" t="s">
        <v>1782</v>
      </c>
      <c r="C137" s="42" t="s">
        <v>88</v>
      </c>
      <c r="D137" s="42" t="s">
        <v>16</v>
      </c>
      <c r="E137" s="42" t="s">
        <v>2700</v>
      </c>
      <c r="F137" s="42">
        <v>20183810</v>
      </c>
      <c r="G137" s="42"/>
      <c r="H137" s="42">
        <v>25210</v>
      </c>
      <c r="I137" s="42">
        <v>336</v>
      </c>
      <c r="J137" s="42">
        <v>0.13</v>
      </c>
      <c r="K137" s="43">
        <f t="shared" si="29"/>
        <v>43.68</v>
      </c>
      <c r="L137" s="43">
        <f t="shared" si="30"/>
        <v>25166.32</v>
      </c>
      <c r="M137" s="43"/>
      <c r="N137" s="43">
        <f t="shared" si="31"/>
        <v>25166.32</v>
      </c>
      <c r="O137" s="43">
        <f t="shared" si="32"/>
        <v>1764.7</v>
      </c>
      <c r="P137" s="42">
        <v>15000</v>
      </c>
      <c r="Q137" s="42">
        <v>21</v>
      </c>
      <c r="R137" s="42">
        <f t="shared" si="33"/>
        <v>528492.72</v>
      </c>
    </row>
    <row r="138" spans="1:18">
      <c r="A138" s="1" t="s">
        <v>2704</v>
      </c>
      <c r="B138" s="42" t="s">
        <v>1782</v>
      </c>
      <c r="C138" s="42" t="s">
        <v>88</v>
      </c>
      <c r="D138" s="42" t="s">
        <v>16</v>
      </c>
      <c r="E138" s="42" t="s">
        <v>2705</v>
      </c>
      <c r="F138" s="42">
        <v>20183831</v>
      </c>
      <c r="G138" s="42"/>
      <c r="H138" s="42">
        <v>19360</v>
      </c>
      <c r="I138" s="42">
        <v>307</v>
      </c>
      <c r="J138" s="42">
        <v>0.13</v>
      </c>
      <c r="K138" s="43">
        <f>I138*J138</f>
        <v>39.910000000000004</v>
      </c>
      <c r="L138" s="43">
        <f>H138-K138</f>
        <v>19320.09</v>
      </c>
      <c r="M138" s="43"/>
      <c r="N138" s="43">
        <f>L138-M138</f>
        <v>19320.09</v>
      </c>
      <c r="O138" s="43">
        <f>H138/1000*70</f>
        <v>1355.2</v>
      </c>
      <c r="P138" s="42">
        <v>13000</v>
      </c>
      <c r="Q138" s="42">
        <v>21</v>
      </c>
      <c r="R138" s="42">
        <f>L138*Q138</f>
        <v>405721.89</v>
      </c>
    </row>
    <row r="141" spans="1:18">
      <c r="L141" s="16">
        <f>SUM(L130:L140)</f>
        <v>198333.41999999998</v>
      </c>
    </row>
    <row r="143" spans="1:18">
      <c r="A143" s="374" t="s">
        <v>2751</v>
      </c>
      <c r="B143" s="42" t="s">
        <v>1782</v>
      </c>
      <c r="C143" s="42" t="s">
        <v>88</v>
      </c>
      <c r="D143" s="42" t="s">
        <v>16</v>
      </c>
      <c r="E143" s="42" t="s">
        <v>2753</v>
      </c>
      <c r="F143" s="42">
        <v>20180063</v>
      </c>
      <c r="G143" s="42"/>
      <c r="H143" s="42">
        <v>19960</v>
      </c>
      <c r="I143" s="42">
        <v>400</v>
      </c>
      <c r="J143" s="42">
        <v>0.13</v>
      </c>
      <c r="K143" s="43">
        <f t="shared" ref="K143:K167" si="34">I143*J143</f>
        <v>52</v>
      </c>
      <c r="L143" s="43">
        <f t="shared" ref="L143:L167" si="35">H143-K143</f>
        <v>19908</v>
      </c>
      <c r="M143" s="43"/>
      <c r="N143" s="43">
        <f t="shared" ref="N143:N167" si="36">L143-M143</f>
        <v>19908</v>
      </c>
      <c r="O143" s="43">
        <f t="shared" ref="O143:O167" si="37">H143/1000*70</f>
        <v>1397.2</v>
      </c>
      <c r="P143" s="42">
        <v>14000</v>
      </c>
      <c r="Q143" s="42">
        <v>20.5</v>
      </c>
      <c r="R143" s="42">
        <f t="shared" ref="R143:R167" si="38">L143*Q143</f>
        <v>408114</v>
      </c>
    </row>
    <row r="144" spans="1:18">
      <c r="A144" s="374"/>
      <c r="B144" s="42" t="s">
        <v>1782</v>
      </c>
      <c r="C144" s="42" t="s">
        <v>88</v>
      </c>
      <c r="D144" s="42" t="s">
        <v>16</v>
      </c>
      <c r="E144" s="42" t="s">
        <v>1797</v>
      </c>
      <c r="F144" s="42">
        <v>20180672</v>
      </c>
      <c r="G144" s="42"/>
      <c r="H144" s="42">
        <v>19980</v>
      </c>
      <c r="I144" s="42">
        <v>400</v>
      </c>
      <c r="J144" s="42">
        <v>0.13</v>
      </c>
      <c r="K144" s="43">
        <f t="shared" si="34"/>
        <v>52</v>
      </c>
      <c r="L144" s="43">
        <f t="shared" si="35"/>
        <v>19928</v>
      </c>
      <c r="M144" s="43"/>
      <c r="N144" s="43">
        <f t="shared" si="36"/>
        <v>19928</v>
      </c>
      <c r="O144" s="43">
        <f t="shared" si="37"/>
        <v>1398.6000000000001</v>
      </c>
      <c r="P144" s="42">
        <v>14000</v>
      </c>
      <c r="Q144" s="42">
        <v>20.5</v>
      </c>
      <c r="R144" s="42">
        <f t="shared" si="38"/>
        <v>408524</v>
      </c>
    </row>
    <row r="145" spans="1:18">
      <c r="A145" s="374"/>
      <c r="B145" s="42" t="s">
        <v>1782</v>
      </c>
      <c r="C145" s="42" t="s">
        <v>88</v>
      </c>
      <c r="D145" s="42" t="s">
        <v>16</v>
      </c>
      <c r="E145" s="42" t="s">
        <v>772</v>
      </c>
      <c r="F145" s="42">
        <v>20180671</v>
      </c>
      <c r="G145" s="42"/>
      <c r="H145" s="42">
        <v>24980</v>
      </c>
      <c r="I145" s="42">
        <v>500</v>
      </c>
      <c r="J145" s="42">
        <v>0.13</v>
      </c>
      <c r="K145" s="43">
        <f t="shared" si="34"/>
        <v>65</v>
      </c>
      <c r="L145" s="43">
        <f t="shared" si="35"/>
        <v>24915</v>
      </c>
      <c r="M145" s="43"/>
      <c r="N145" s="43">
        <f t="shared" si="36"/>
        <v>24915</v>
      </c>
      <c r="O145" s="43">
        <f t="shared" si="37"/>
        <v>1748.6000000000001</v>
      </c>
      <c r="P145" s="42">
        <v>17500</v>
      </c>
      <c r="Q145" s="42">
        <v>20.5</v>
      </c>
      <c r="R145" s="42">
        <f t="shared" si="38"/>
        <v>510757.5</v>
      </c>
    </row>
    <row r="146" spans="1:18">
      <c r="A146" s="374"/>
      <c r="B146" s="42" t="s">
        <v>1782</v>
      </c>
      <c r="C146" s="42" t="s">
        <v>88</v>
      </c>
      <c r="D146" s="42" t="s">
        <v>16</v>
      </c>
      <c r="E146" s="42" t="s">
        <v>2754</v>
      </c>
      <c r="F146" s="42">
        <v>20180062</v>
      </c>
      <c r="G146" s="42"/>
      <c r="H146" s="42">
        <v>20000</v>
      </c>
      <c r="I146" s="42">
        <v>400</v>
      </c>
      <c r="J146" s="42">
        <v>0.13</v>
      </c>
      <c r="K146" s="43">
        <f t="shared" si="34"/>
        <v>52</v>
      </c>
      <c r="L146" s="43">
        <f t="shared" si="35"/>
        <v>19948</v>
      </c>
      <c r="M146" s="43"/>
      <c r="N146" s="43">
        <f t="shared" si="36"/>
        <v>19948</v>
      </c>
      <c r="O146" s="43">
        <f t="shared" si="37"/>
        <v>1400</v>
      </c>
      <c r="P146" s="42">
        <v>14000</v>
      </c>
      <c r="Q146" s="42">
        <v>20.5</v>
      </c>
      <c r="R146" s="42">
        <f t="shared" si="38"/>
        <v>408934</v>
      </c>
    </row>
    <row r="147" spans="1:18">
      <c r="A147" s="374" t="s">
        <v>2755</v>
      </c>
      <c r="B147" s="42" t="s">
        <v>1782</v>
      </c>
      <c r="C147" s="42" t="s">
        <v>88</v>
      </c>
      <c r="D147" s="42" t="s">
        <v>16</v>
      </c>
      <c r="E147" s="42" t="s">
        <v>2757</v>
      </c>
      <c r="F147" s="42">
        <v>20182054</v>
      </c>
      <c r="G147" s="42"/>
      <c r="H147" s="42">
        <v>20000</v>
      </c>
      <c r="I147" s="42">
        <v>400</v>
      </c>
      <c r="J147" s="42">
        <v>0.13</v>
      </c>
      <c r="K147" s="43">
        <f t="shared" si="34"/>
        <v>52</v>
      </c>
      <c r="L147" s="43">
        <f t="shared" si="35"/>
        <v>19948</v>
      </c>
      <c r="M147" s="43"/>
      <c r="N147" s="43">
        <f t="shared" si="36"/>
        <v>19948</v>
      </c>
      <c r="O147" s="43">
        <f t="shared" si="37"/>
        <v>1400</v>
      </c>
      <c r="P147" s="42">
        <v>11500</v>
      </c>
      <c r="Q147" s="42">
        <v>20.5</v>
      </c>
      <c r="R147" s="42">
        <f t="shared" si="38"/>
        <v>408934</v>
      </c>
    </row>
    <row r="148" spans="1:18">
      <c r="A148" s="374"/>
      <c r="B148" s="42" t="s">
        <v>1782</v>
      </c>
      <c r="C148" s="42" t="s">
        <v>88</v>
      </c>
      <c r="D148" s="42" t="s">
        <v>16</v>
      </c>
      <c r="E148" s="42" t="s">
        <v>2758</v>
      </c>
      <c r="F148" s="42">
        <v>20182055</v>
      </c>
      <c r="G148" s="42"/>
      <c r="H148" s="42">
        <v>20000</v>
      </c>
      <c r="I148" s="42">
        <v>400</v>
      </c>
      <c r="J148" s="42">
        <v>0.13</v>
      </c>
      <c r="K148" s="43">
        <f t="shared" si="34"/>
        <v>52</v>
      </c>
      <c r="L148" s="43">
        <f t="shared" si="35"/>
        <v>19948</v>
      </c>
      <c r="M148" s="43"/>
      <c r="N148" s="43">
        <f t="shared" si="36"/>
        <v>19948</v>
      </c>
      <c r="O148" s="43">
        <f t="shared" si="37"/>
        <v>1400</v>
      </c>
      <c r="P148" s="42">
        <v>11500</v>
      </c>
      <c r="Q148" s="42">
        <v>20.5</v>
      </c>
      <c r="R148" s="42">
        <f t="shared" si="38"/>
        <v>408934</v>
      </c>
    </row>
    <row r="149" spans="1:18">
      <c r="A149" s="374"/>
      <c r="B149" s="42" t="s">
        <v>1782</v>
      </c>
      <c r="C149" s="42" t="s">
        <v>88</v>
      </c>
      <c r="D149" s="42" t="s">
        <v>16</v>
      </c>
      <c r="E149" s="42" t="s">
        <v>2759</v>
      </c>
      <c r="F149" s="42">
        <v>20180500</v>
      </c>
      <c r="G149" s="42"/>
      <c r="H149" s="42">
        <v>19990</v>
      </c>
      <c r="I149" s="42">
        <v>400</v>
      </c>
      <c r="J149" s="42">
        <v>0.13</v>
      </c>
      <c r="K149" s="43">
        <f t="shared" si="34"/>
        <v>52</v>
      </c>
      <c r="L149" s="43">
        <f t="shared" si="35"/>
        <v>19938</v>
      </c>
      <c r="M149" s="43"/>
      <c r="N149" s="43">
        <f t="shared" si="36"/>
        <v>19938</v>
      </c>
      <c r="O149" s="43">
        <f t="shared" si="37"/>
        <v>1399.3</v>
      </c>
      <c r="P149" s="42">
        <v>11500</v>
      </c>
      <c r="Q149" s="42">
        <v>20.5</v>
      </c>
      <c r="R149" s="42">
        <f t="shared" si="38"/>
        <v>408729</v>
      </c>
    </row>
    <row r="150" spans="1:18">
      <c r="A150" s="374"/>
      <c r="B150" s="42" t="s">
        <v>1782</v>
      </c>
      <c r="C150" s="42" t="s">
        <v>88</v>
      </c>
      <c r="D150" s="42" t="s">
        <v>16</v>
      </c>
      <c r="E150" s="42" t="s">
        <v>2760</v>
      </c>
      <c r="F150" s="42">
        <v>20182052</v>
      </c>
      <c r="G150" s="42"/>
      <c r="H150" s="42">
        <v>19980</v>
      </c>
      <c r="I150" s="42">
        <v>400</v>
      </c>
      <c r="J150" s="42">
        <v>0.13</v>
      </c>
      <c r="K150" s="43">
        <f t="shared" si="34"/>
        <v>52</v>
      </c>
      <c r="L150" s="43">
        <f t="shared" si="35"/>
        <v>19928</v>
      </c>
      <c r="M150" s="43"/>
      <c r="N150" s="43">
        <f t="shared" si="36"/>
        <v>19928</v>
      </c>
      <c r="O150" s="43">
        <f t="shared" si="37"/>
        <v>1398.6000000000001</v>
      </c>
      <c r="P150" s="42">
        <v>11500</v>
      </c>
      <c r="Q150" s="42">
        <v>20.5</v>
      </c>
      <c r="R150" s="42">
        <f t="shared" si="38"/>
        <v>408524</v>
      </c>
    </row>
    <row r="151" spans="1:18">
      <c r="A151" s="374"/>
      <c r="B151" s="42" t="s">
        <v>1782</v>
      </c>
      <c r="C151" s="42" t="s">
        <v>88</v>
      </c>
      <c r="D151" s="42" t="s">
        <v>16</v>
      </c>
      <c r="E151" s="42" t="s">
        <v>2761</v>
      </c>
      <c r="F151" s="42">
        <v>20180499</v>
      </c>
      <c r="G151" s="42"/>
      <c r="H151" s="42">
        <v>20000</v>
      </c>
      <c r="I151" s="42">
        <v>400</v>
      </c>
      <c r="J151" s="42">
        <v>0.13</v>
      </c>
      <c r="K151" s="43">
        <f t="shared" si="34"/>
        <v>52</v>
      </c>
      <c r="L151" s="43">
        <f t="shared" si="35"/>
        <v>19948</v>
      </c>
      <c r="M151" s="43"/>
      <c r="N151" s="43">
        <f t="shared" si="36"/>
        <v>19948</v>
      </c>
      <c r="O151" s="43">
        <f t="shared" si="37"/>
        <v>1400</v>
      </c>
      <c r="P151" s="42">
        <v>11500</v>
      </c>
      <c r="Q151" s="42">
        <v>20.5</v>
      </c>
      <c r="R151" s="42">
        <f t="shared" si="38"/>
        <v>408934</v>
      </c>
    </row>
    <row r="152" spans="1:18">
      <c r="A152" s="374"/>
      <c r="B152" s="42" t="s">
        <v>1782</v>
      </c>
      <c r="C152" s="42" t="s">
        <v>88</v>
      </c>
      <c r="D152" s="42" t="s">
        <v>16</v>
      </c>
      <c r="E152" s="42" t="s">
        <v>2762</v>
      </c>
      <c r="F152" s="42">
        <v>20180681</v>
      </c>
      <c r="G152" s="42"/>
      <c r="H152" s="42">
        <v>20000</v>
      </c>
      <c r="I152" s="42">
        <v>400</v>
      </c>
      <c r="J152" s="42">
        <v>0.13</v>
      </c>
      <c r="K152" s="43">
        <f t="shared" si="34"/>
        <v>52</v>
      </c>
      <c r="L152" s="43">
        <f t="shared" si="35"/>
        <v>19948</v>
      </c>
      <c r="M152" s="43"/>
      <c r="N152" s="43">
        <f t="shared" si="36"/>
        <v>19948</v>
      </c>
      <c r="O152" s="43">
        <f t="shared" si="37"/>
        <v>1400</v>
      </c>
      <c r="P152" s="42">
        <v>11500</v>
      </c>
      <c r="Q152" s="42">
        <v>20.5</v>
      </c>
      <c r="R152" s="42">
        <f t="shared" si="38"/>
        <v>408934</v>
      </c>
    </row>
    <row r="153" spans="1:18">
      <c r="A153" s="374"/>
      <c r="B153" s="42" t="s">
        <v>1782</v>
      </c>
      <c r="C153" s="42" t="s">
        <v>88</v>
      </c>
      <c r="D153" s="42" t="s">
        <v>16</v>
      </c>
      <c r="E153" s="42" t="s">
        <v>2763</v>
      </c>
      <c r="F153" s="42">
        <v>20180675</v>
      </c>
      <c r="G153" s="42"/>
      <c r="H153" s="42">
        <v>20000</v>
      </c>
      <c r="I153" s="42">
        <v>400</v>
      </c>
      <c r="J153" s="42">
        <v>0.13</v>
      </c>
      <c r="K153" s="43">
        <f t="shared" si="34"/>
        <v>52</v>
      </c>
      <c r="L153" s="43">
        <f t="shared" si="35"/>
        <v>19948</v>
      </c>
      <c r="M153" s="43"/>
      <c r="N153" s="43">
        <f t="shared" si="36"/>
        <v>19948</v>
      </c>
      <c r="O153" s="43">
        <f t="shared" si="37"/>
        <v>1400</v>
      </c>
      <c r="P153" s="42">
        <v>11500</v>
      </c>
      <c r="Q153" s="42">
        <v>20.5</v>
      </c>
      <c r="R153" s="42">
        <f t="shared" si="38"/>
        <v>408934</v>
      </c>
    </row>
    <row r="154" spans="1:18">
      <c r="A154" s="374"/>
      <c r="B154" s="42" t="s">
        <v>1782</v>
      </c>
      <c r="C154" s="42" t="s">
        <v>88</v>
      </c>
      <c r="D154" s="42" t="s">
        <v>16</v>
      </c>
      <c r="E154" s="42" t="s">
        <v>2764</v>
      </c>
      <c r="F154" s="42">
        <v>20180679</v>
      </c>
      <c r="G154" s="42"/>
      <c r="H154" s="42">
        <v>20000</v>
      </c>
      <c r="I154" s="42">
        <v>400</v>
      </c>
      <c r="J154" s="42">
        <v>0.13</v>
      </c>
      <c r="K154" s="43">
        <f t="shared" si="34"/>
        <v>52</v>
      </c>
      <c r="L154" s="43">
        <f t="shared" si="35"/>
        <v>19948</v>
      </c>
      <c r="M154" s="43"/>
      <c r="N154" s="43">
        <f t="shared" si="36"/>
        <v>19948</v>
      </c>
      <c r="O154" s="43">
        <f t="shared" si="37"/>
        <v>1400</v>
      </c>
      <c r="P154" s="42">
        <v>11500</v>
      </c>
      <c r="Q154" s="42">
        <v>20.5</v>
      </c>
      <c r="R154" s="42">
        <f t="shared" si="38"/>
        <v>408934</v>
      </c>
    </row>
    <row r="155" spans="1:18">
      <c r="A155" s="374"/>
      <c r="B155" s="42" t="s">
        <v>1782</v>
      </c>
      <c r="C155" s="42" t="s">
        <v>88</v>
      </c>
      <c r="D155" s="42" t="s">
        <v>16</v>
      </c>
      <c r="E155" s="42" t="s">
        <v>2765</v>
      </c>
      <c r="F155" s="42">
        <v>20180674</v>
      </c>
      <c r="G155" s="42"/>
      <c r="H155" s="42">
        <v>20000</v>
      </c>
      <c r="I155" s="42">
        <v>400</v>
      </c>
      <c r="J155" s="42">
        <v>0.13</v>
      </c>
      <c r="K155" s="43">
        <f t="shared" si="34"/>
        <v>52</v>
      </c>
      <c r="L155" s="43">
        <f t="shared" si="35"/>
        <v>19948</v>
      </c>
      <c r="M155" s="43"/>
      <c r="N155" s="43">
        <f t="shared" si="36"/>
        <v>19948</v>
      </c>
      <c r="O155" s="43">
        <f t="shared" si="37"/>
        <v>1400</v>
      </c>
      <c r="P155" s="42">
        <v>11500</v>
      </c>
      <c r="Q155" s="42">
        <v>20.5</v>
      </c>
      <c r="R155" s="42">
        <f t="shared" si="38"/>
        <v>408934</v>
      </c>
    </row>
    <row r="156" spans="1:18">
      <c r="A156" s="374"/>
      <c r="B156" s="42" t="s">
        <v>1782</v>
      </c>
      <c r="C156" s="42" t="s">
        <v>88</v>
      </c>
      <c r="D156" s="42" t="s">
        <v>16</v>
      </c>
      <c r="E156" s="42" t="s">
        <v>2766</v>
      </c>
      <c r="F156" s="42">
        <v>20180678</v>
      </c>
      <c r="G156" s="42"/>
      <c r="H156" s="42">
        <v>20000</v>
      </c>
      <c r="I156" s="42">
        <v>400</v>
      </c>
      <c r="J156" s="42">
        <v>0.13</v>
      </c>
      <c r="K156" s="43">
        <f t="shared" si="34"/>
        <v>52</v>
      </c>
      <c r="L156" s="43">
        <f t="shared" si="35"/>
        <v>19948</v>
      </c>
      <c r="M156" s="43"/>
      <c r="N156" s="43">
        <f t="shared" si="36"/>
        <v>19948</v>
      </c>
      <c r="O156" s="43">
        <f t="shared" si="37"/>
        <v>1400</v>
      </c>
      <c r="P156" s="42">
        <v>11500</v>
      </c>
      <c r="Q156" s="42">
        <v>20.5</v>
      </c>
      <c r="R156" s="42">
        <f t="shared" si="38"/>
        <v>408934</v>
      </c>
    </row>
    <row r="157" spans="1:18">
      <c r="A157" s="374" t="s">
        <v>2774</v>
      </c>
      <c r="B157" s="42" t="s">
        <v>1782</v>
      </c>
      <c r="C157" s="42" t="s">
        <v>88</v>
      </c>
      <c r="D157" s="42" t="s">
        <v>16</v>
      </c>
      <c r="E157" s="42" t="s">
        <v>2775</v>
      </c>
      <c r="F157" s="42">
        <v>20180688</v>
      </c>
      <c r="G157" s="42"/>
      <c r="H157" s="42">
        <v>20000</v>
      </c>
      <c r="I157" s="42">
        <v>400</v>
      </c>
      <c r="J157" s="42">
        <v>0.13</v>
      </c>
      <c r="K157" s="43">
        <f t="shared" si="34"/>
        <v>52</v>
      </c>
      <c r="L157" s="43">
        <f t="shared" si="35"/>
        <v>19948</v>
      </c>
      <c r="M157" s="43"/>
      <c r="N157" s="43">
        <f t="shared" si="36"/>
        <v>19948</v>
      </c>
      <c r="O157" s="43">
        <f t="shared" si="37"/>
        <v>1400</v>
      </c>
      <c r="P157" s="42">
        <v>11300</v>
      </c>
      <c r="Q157" s="42">
        <v>20.5</v>
      </c>
      <c r="R157" s="42">
        <f t="shared" si="38"/>
        <v>408934</v>
      </c>
    </row>
    <row r="158" spans="1:18">
      <c r="A158" s="374"/>
      <c r="B158" s="42" t="s">
        <v>1782</v>
      </c>
      <c r="C158" s="42" t="s">
        <v>88</v>
      </c>
      <c r="D158" s="42" t="s">
        <v>16</v>
      </c>
      <c r="E158" s="42" t="s">
        <v>2594</v>
      </c>
      <c r="F158" s="42">
        <v>20180689</v>
      </c>
      <c r="G158" s="42"/>
      <c r="H158" s="42">
        <v>19990</v>
      </c>
      <c r="I158" s="42">
        <v>400</v>
      </c>
      <c r="J158" s="42">
        <v>0.13</v>
      </c>
      <c r="K158" s="43">
        <f t="shared" si="34"/>
        <v>52</v>
      </c>
      <c r="L158" s="43">
        <f t="shared" si="35"/>
        <v>19938</v>
      </c>
      <c r="M158" s="43"/>
      <c r="N158" s="43">
        <f t="shared" si="36"/>
        <v>19938</v>
      </c>
      <c r="O158" s="43">
        <f t="shared" si="37"/>
        <v>1399.3</v>
      </c>
      <c r="P158" s="42">
        <v>11300</v>
      </c>
      <c r="Q158" s="42">
        <v>20.5</v>
      </c>
      <c r="R158" s="42">
        <f t="shared" si="38"/>
        <v>408729</v>
      </c>
    </row>
    <row r="159" spans="1:18">
      <c r="A159" s="374"/>
      <c r="B159" s="42" t="s">
        <v>1782</v>
      </c>
      <c r="C159" s="42" t="s">
        <v>88</v>
      </c>
      <c r="D159" s="42" t="s">
        <v>16</v>
      </c>
      <c r="E159" s="42" t="s">
        <v>2776</v>
      </c>
      <c r="F159" s="42">
        <v>20180686</v>
      </c>
      <c r="G159" s="42"/>
      <c r="H159" s="42">
        <v>20000</v>
      </c>
      <c r="I159" s="42">
        <v>400</v>
      </c>
      <c r="J159" s="42">
        <v>0.13</v>
      </c>
      <c r="K159" s="43">
        <f t="shared" si="34"/>
        <v>52</v>
      </c>
      <c r="L159" s="43">
        <f t="shared" si="35"/>
        <v>19948</v>
      </c>
      <c r="M159" s="43"/>
      <c r="N159" s="43">
        <f t="shared" si="36"/>
        <v>19948</v>
      </c>
      <c r="O159" s="43">
        <f t="shared" si="37"/>
        <v>1400</v>
      </c>
      <c r="P159" s="42">
        <v>11300</v>
      </c>
      <c r="Q159" s="42">
        <v>20.5</v>
      </c>
      <c r="R159" s="42">
        <f t="shared" si="38"/>
        <v>408934</v>
      </c>
    </row>
    <row r="160" spans="1:18">
      <c r="A160" s="374"/>
      <c r="B160" s="42" t="s">
        <v>1782</v>
      </c>
      <c r="C160" s="42" t="s">
        <v>88</v>
      </c>
      <c r="D160" s="42" t="s">
        <v>16</v>
      </c>
      <c r="E160" s="42" t="s">
        <v>2777</v>
      </c>
      <c r="F160" s="42">
        <v>20180687</v>
      </c>
      <c r="G160" s="42"/>
      <c r="H160" s="42">
        <v>20000</v>
      </c>
      <c r="I160" s="42">
        <v>400</v>
      </c>
      <c r="J160" s="42">
        <v>0.13</v>
      </c>
      <c r="K160" s="43">
        <f t="shared" si="34"/>
        <v>52</v>
      </c>
      <c r="L160" s="43">
        <f t="shared" si="35"/>
        <v>19948</v>
      </c>
      <c r="M160" s="43"/>
      <c r="N160" s="43">
        <f t="shared" si="36"/>
        <v>19948</v>
      </c>
      <c r="O160" s="43">
        <f t="shared" si="37"/>
        <v>1400</v>
      </c>
      <c r="P160" s="42">
        <v>11300</v>
      </c>
      <c r="Q160" s="42">
        <v>20.5</v>
      </c>
      <c r="R160" s="42">
        <f t="shared" si="38"/>
        <v>408934</v>
      </c>
    </row>
    <row r="161" spans="1:18">
      <c r="A161" s="374"/>
      <c r="B161" s="42" t="s">
        <v>1782</v>
      </c>
      <c r="C161" s="42" t="s">
        <v>88</v>
      </c>
      <c r="D161" s="42" t="s">
        <v>16</v>
      </c>
      <c r="E161" s="42" t="s">
        <v>2778</v>
      </c>
      <c r="F161" s="42">
        <v>20182053</v>
      </c>
      <c r="G161" s="42"/>
      <c r="H161" s="42">
        <v>20000</v>
      </c>
      <c r="I161" s="42">
        <v>400</v>
      </c>
      <c r="J161" s="42">
        <v>0.13</v>
      </c>
      <c r="K161" s="43">
        <f t="shared" si="34"/>
        <v>52</v>
      </c>
      <c r="L161" s="43">
        <f t="shared" si="35"/>
        <v>19948</v>
      </c>
      <c r="M161" s="43"/>
      <c r="N161" s="43">
        <f t="shared" si="36"/>
        <v>19948</v>
      </c>
      <c r="O161" s="43">
        <f t="shared" si="37"/>
        <v>1400</v>
      </c>
      <c r="P161" s="42">
        <v>11500</v>
      </c>
      <c r="Q161" s="42">
        <v>20.5</v>
      </c>
      <c r="R161" s="42">
        <f t="shared" si="38"/>
        <v>408934</v>
      </c>
    </row>
    <row r="162" spans="1:18">
      <c r="A162" s="374"/>
      <c r="B162" s="42" t="s">
        <v>1782</v>
      </c>
      <c r="C162" s="42" t="s">
        <v>88</v>
      </c>
      <c r="D162" s="42" t="s">
        <v>16</v>
      </c>
      <c r="E162" s="42" t="s">
        <v>2779</v>
      </c>
      <c r="F162" s="42">
        <v>20180680</v>
      </c>
      <c r="G162" s="42"/>
      <c r="H162" s="42">
        <v>19980</v>
      </c>
      <c r="I162" s="42">
        <v>400</v>
      </c>
      <c r="J162" s="42">
        <v>0.13</v>
      </c>
      <c r="K162" s="43">
        <f t="shared" si="34"/>
        <v>52</v>
      </c>
      <c r="L162" s="43">
        <f t="shared" si="35"/>
        <v>19928</v>
      </c>
      <c r="M162" s="43"/>
      <c r="N162" s="43">
        <f t="shared" si="36"/>
        <v>19928</v>
      </c>
      <c r="O162" s="43">
        <f t="shared" si="37"/>
        <v>1398.6000000000001</v>
      </c>
      <c r="P162" s="42">
        <v>11500</v>
      </c>
      <c r="Q162" s="42">
        <v>20.5</v>
      </c>
      <c r="R162" s="42">
        <f t="shared" si="38"/>
        <v>408524</v>
      </c>
    </row>
    <row r="163" spans="1:18">
      <c r="A163" s="374" t="s">
        <v>2784</v>
      </c>
      <c r="B163" s="42" t="s">
        <v>1782</v>
      </c>
      <c r="C163" s="42" t="s">
        <v>88</v>
      </c>
      <c r="D163" s="42" t="s">
        <v>16</v>
      </c>
      <c r="E163" s="42" t="s">
        <v>2596</v>
      </c>
      <c r="F163" s="42">
        <v>20183552</v>
      </c>
      <c r="G163" s="42"/>
      <c r="H163" s="42">
        <v>20000</v>
      </c>
      <c r="I163" s="42">
        <v>400</v>
      </c>
      <c r="J163" s="42">
        <v>0.13</v>
      </c>
      <c r="K163" s="43">
        <f t="shared" si="34"/>
        <v>52</v>
      </c>
      <c r="L163" s="43">
        <f t="shared" si="35"/>
        <v>19948</v>
      </c>
      <c r="M163" s="43"/>
      <c r="N163" s="43">
        <f t="shared" si="36"/>
        <v>19948</v>
      </c>
      <c r="O163" s="43">
        <f t="shared" si="37"/>
        <v>1400</v>
      </c>
      <c r="P163" s="42">
        <v>11500</v>
      </c>
      <c r="Q163" s="42">
        <v>20.5</v>
      </c>
      <c r="R163" s="42">
        <f t="shared" si="38"/>
        <v>408934</v>
      </c>
    </row>
    <row r="164" spans="1:18">
      <c r="A164" s="374"/>
      <c r="B164" s="42" t="s">
        <v>1782</v>
      </c>
      <c r="C164" s="42" t="s">
        <v>88</v>
      </c>
      <c r="D164" s="42" t="s">
        <v>16</v>
      </c>
      <c r="E164" s="42" t="s">
        <v>2788</v>
      </c>
      <c r="F164" s="42">
        <v>20183554</v>
      </c>
      <c r="G164" s="42"/>
      <c r="H164" s="42">
        <v>20000</v>
      </c>
      <c r="I164" s="42">
        <v>400</v>
      </c>
      <c r="J164" s="42">
        <v>0.13</v>
      </c>
      <c r="K164" s="43">
        <f t="shared" si="34"/>
        <v>52</v>
      </c>
      <c r="L164" s="43">
        <f t="shared" si="35"/>
        <v>19948</v>
      </c>
      <c r="M164" s="43"/>
      <c r="N164" s="43">
        <f t="shared" si="36"/>
        <v>19948</v>
      </c>
      <c r="O164" s="43">
        <f t="shared" si="37"/>
        <v>1400</v>
      </c>
      <c r="P164" s="42">
        <v>11500</v>
      </c>
      <c r="Q164" s="42">
        <v>20.5</v>
      </c>
      <c r="R164" s="42">
        <f t="shared" si="38"/>
        <v>408934</v>
      </c>
    </row>
    <row r="165" spans="1:18">
      <c r="A165" s="374"/>
      <c r="B165" s="42" t="s">
        <v>1782</v>
      </c>
      <c r="C165" s="42" t="s">
        <v>88</v>
      </c>
      <c r="D165" s="42" t="s">
        <v>16</v>
      </c>
      <c r="E165" s="42" t="s">
        <v>2789</v>
      </c>
      <c r="F165" s="42">
        <v>20183553</v>
      </c>
      <c r="G165" s="42"/>
      <c r="H165" s="42">
        <v>19970</v>
      </c>
      <c r="I165" s="42">
        <v>400</v>
      </c>
      <c r="J165" s="42">
        <v>0.13</v>
      </c>
      <c r="K165" s="43">
        <f t="shared" si="34"/>
        <v>52</v>
      </c>
      <c r="L165" s="43">
        <f t="shared" si="35"/>
        <v>19918</v>
      </c>
      <c r="M165" s="43"/>
      <c r="N165" s="43">
        <f t="shared" si="36"/>
        <v>19918</v>
      </c>
      <c r="O165" s="43">
        <f t="shared" si="37"/>
        <v>1397.8999999999999</v>
      </c>
      <c r="P165" s="42">
        <v>11500</v>
      </c>
      <c r="Q165" s="42">
        <v>20.5</v>
      </c>
      <c r="R165" s="42">
        <f t="shared" si="38"/>
        <v>408319</v>
      </c>
    </row>
    <row r="166" spans="1:18">
      <c r="A166" s="374"/>
      <c r="B166" s="42" t="s">
        <v>1782</v>
      </c>
      <c r="C166" s="42" t="s">
        <v>88</v>
      </c>
      <c r="D166" s="42" t="s">
        <v>16</v>
      </c>
      <c r="E166" s="42" t="s">
        <v>2790</v>
      </c>
      <c r="F166" s="42">
        <v>20183556</v>
      </c>
      <c r="G166" s="42"/>
      <c r="H166" s="42">
        <v>20000</v>
      </c>
      <c r="I166" s="42">
        <v>400</v>
      </c>
      <c r="J166" s="42">
        <v>0.13</v>
      </c>
      <c r="K166" s="43">
        <f t="shared" si="34"/>
        <v>52</v>
      </c>
      <c r="L166" s="43">
        <f t="shared" si="35"/>
        <v>19948</v>
      </c>
      <c r="M166" s="43"/>
      <c r="N166" s="43">
        <f t="shared" si="36"/>
        <v>19948</v>
      </c>
      <c r="O166" s="43">
        <f t="shared" si="37"/>
        <v>1400</v>
      </c>
      <c r="P166" s="42">
        <v>11500</v>
      </c>
      <c r="Q166" s="42">
        <v>20.5</v>
      </c>
      <c r="R166" s="42">
        <f t="shared" si="38"/>
        <v>408934</v>
      </c>
    </row>
    <row r="167" spans="1:18">
      <c r="A167" s="374"/>
      <c r="B167" s="42" t="s">
        <v>1782</v>
      </c>
      <c r="C167" s="42" t="s">
        <v>88</v>
      </c>
      <c r="D167" s="42" t="s">
        <v>16</v>
      </c>
      <c r="E167" s="42" t="s">
        <v>2791</v>
      </c>
      <c r="F167" s="42">
        <v>20182064</v>
      </c>
      <c r="G167" s="42"/>
      <c r="H167" s="42">
        <v>17470</v>
      </c>
      <c r="I167" s="42">
        <v>350</v>
      </c>
      <c r="J167" s="42">
        <v>0.13</v>
      </c>
      <c r="K167" s="43">
        <f t="shared" si="34"/>
        <v>45.5</v>
      </c>
      <c r="L167" s="43">
        <f t="shared" si="35"/>
        <v>17424.5</v>
      </c>
      <c r="M167" s="43"/>
      <c r="N167" s="43">
        <f t="shared" si="36"/>
        <v>17424.5</v>
      </c>
      <c r="O167" s="43">
        <f t="shared" si="37"/>
        <v>1222.8999999999999</v>
      </c>
      <c r="P167" s="42">
        <v>10000</v>
      </c>
      <c r="Q167" s="42">
        <v>20.5</v>
      </c>
      <c r="R167" s="42">
        <f t="shared" si="38"/>
        <v>357202.25</v>
      </c>
    </row>
    <row r="169" spans="1:18">
      <c r="A169" s="1" t="s">
        <v>2883</v>
      </c>
      <c r="B169" s="42" t="s">
        <v>1782</v>
      </c>
      <c r="C169" s="42" t="s">
        <v>88</v>
      </c>
      <c r="D169" s="42" t="s">
        <v>16</v>
      </c>
      <c r="E169" s="42" t="s">
        <v>2884</v>
      </c>
      <c r="F169" s="42">
        <v>6112</v>
      </c>
      <c r="G169" s="42"/>
      <c r="H169" s="42">
        <v>18410</v>
      </c>
      <c r="I169" s="42">
        <v>360</v>
      </c>
      <c r="J169" s="42">
        <v>0.13</v>
      </c>
      <c r="K169" s="43">
        <f t="shared" ref="K169:K171" si="39">I169*J169</f>
        <v>46.800000000000004</v>
      </c>
      <c r="L169" s="43">
        <f t="shared" ref="L169:L171" si="40">H169-K169</f>
        <v>18363.2</v>
      </c>
      <c r="M169" s="43"/>
      <c r="N169" s="43">
        <f t="shared" ref="N169:N171" si="41">L169-M169</f>
        <v>18363.2</v>
      </c>
      <c r="O169" s="43">
        <f t="shared" ref="O169:O171" si="42">H169/1000*70</f>
        <v>1288.7</v>
      </c>
      <c r="P169" s="42">
        <v>13000</v>
      </c>
      <c r="Q169" s="42">
        <v>20</v>
      </c>
      <c r="R169" s="42">
        <f t="shared" ref="R169:R171" si="43">L169*Q169</f>
        <v>367264</v>
      </c>
    </row>
    <row r="170" spans="1:18">
      <c r="A170" s="374" t="s">
        <v>2901</v>
      </c>
      <c r="B170" s="42" t="s">
        <v>1782</v>
      </c>
      <c r="C170" s="42" t="s">
        <v>88</v>
      </c>
      <c r="D170" s="42" t="s">
        <v>16</v>
      </c>
      <c r="E170" s="42" t="s">
        <v>2699</v>
      </c>
      <c r="F170" s="42">
        <v>6146</v>
      </c>
      <c r="G170" s="42"/>
      <c r="H170" s="42">
        <v>19680</v>
      </c>
      <c r="I170" s="42">
        <v>380</v>
      </c>
      <c r="J170" s="42">
        <v>0.13</v>
      </c>
      <c r="K170" s="43">
        <f t="shared" si="39"/>
        <v>49.4</v>
      </c>
      <c r="L170" s="43">
        <f t="shared" si="40"/>
        <v>19630.599999999999</v>
      </c>
      <c r="M170" s="43"/>
      <c r="N170" s="43">
        <f t="shared" si="41"/>
        <v>19630.599999999999</v>
      </c>
      <c r="O170" s="43">
        <f t="shared" si="42"/>
        <v>1377.6</v>
      </c>
      <c r="P170" s="42">
        <v>14000</v>
      </c>
      <c r="Q170" s="42">
        <v>20</v>
      </c>
      <c r="R170" s="42">
        <f t="shared" si="43"/>
        <v>392612</v>
      </c>
    </row>
    <row r="171" spans="1:18">
      <c r="A171" s="374"/>
      <c r="B171" s="42" t="s">
        <v>1782</v>
      </c>
      <c r="C171" s="42" t="s">
        <v>88</v>
      </c>
      <c r="D171" s="42" t="s">
        <v>16</v>
      </c>
      <c r="E171" s="42" t="s">
        <v>1309</v>
      </c>
      <c r="F171" s="42">
        <v>6147</v>
      </c>
      <c r="G171" s="42"/>
      <c r="H171" s="42">
        <v>18950</v>
      </c>
      <c r="I171" s="42">
        <v>360</v>
      </c>
      <c r="J171" s="42">
        <v>0.13</v>
      </c>
      <c r="K171" s="43">
        <f t="shared" si="39"/>
        <v>46.800000000000004</v>
      </c>
      <c r="L171" s="43">
        <f t="shared" si="40"/>
        <v>18903.2</v>
      </c>
      <c r="M171" s="43"/>
      <c r="N171" s="43">
        <f t="shared" si="41"/>
        <v>18903.2</v>
      </c>
      <c r="O171" s="43">
        <f t="shared" si="42"/>
        <v>1326.5</v>
      </c>
      <c r="P171" s="42">
        <v>13000</v>
      </c>
      <c r="Q171" s="42">
        <v>20</v>
      </c>
      <c r="R171" s="42">
        <f t="shared" si="43"/>
        <v>378064</v>
      </c>
    </row>
    <row r="173" spans="1:18">
      <c r="A173" s="1" t="s">
        <v>2941</v>
      </c>
      <c r="B173" s="42" t="s">
        <v>1782</v>
      </c>
      <c r="C173" s="42" t="s">
        <v>88</v>
      </c>
      <c r="D173" s="42" t="s">
        <v>16</v>
      </c>
      <c r="E173" s="42" t="s">
        <v>2943</v>
      </c>
      <c r="F173" s="42">
        <v>6283</v>
      </c>
      <c r="G173" s="42"/>
      <c r="H173" s="42">
        <v>20630</v>
      </c>
      <c r="I173" s="42">
        <v>350</v>
      </c>
      <c r="J173" s="42">
        <v>0.13</v>
      </c>
      <c r="K173" s="43">
        <f t="shared" ref="K173:K174" si="44">I173*J173</f>
        <v>45.5</v>
      </c>
      <c r="L173" s="43">
        <f t="shared" ref="L173:L174" si="45">H173-K173</f>
        <v>20584.5</v>
      </c>
      <c r="M173" s="43"/>
      <c r="N173" s="43">
        <f t="shared" ref="N173:N174" si="46">L173-M173</f>
        <v>20584.5</v>
      </c>
      <c r="O173" s="43">
        <f t="shared" ref="O173:O174" si="47">H173/1000*70</f>
        <v>1444.1</v>
      </c>
      <c r="P173" s="42">
        <v>9000</v>
      </c>
      <c r="Q173" s="42">
        <v>20</v>
      </c>
      <c r="R173" s="42">
        <f t="shared" ref="R173:R174" si="48">L173*Q173</f>
        <v>411690</v>
      </c>
    </row>
    <row r="174" spans="1:18">
      <c r="A174" s="1" t="s">
        <v>2946</v>
      </c>
      <c r="B174" s="42" t="s">
        <v>1782</v>
      </c>
      <c r="C174" s="42" t="s">
        <v>88</v>
      </c>
      <c r="D174" s="42" t="s">
        <v>16</v>
      </c>
      <c r="E174" s="42" t="s">
        <v>2943</v>
      </c>
      <c r="F174" s="42">
        <v>6286</v>
      </c>
      <c r="G174" s="42"/>
      <c r="H174" s="42">
        <v>19600</v>
      </c>
      <c r="I174" s="42">
        <v>390</v>
      </c>
      <c r="J174" s="42">
        <v>0.13</v>
      </c>
      <c r="K174" s="43">
        <f t="shared" si="44"/>
        <v>50.7</v>
      </c>
      <c r="L174" s="43">
        <f t="shared" si="45"/>
        <v>19549.3</v>
      </c>
      <c r="M174" s="43"/>
      <c r="N174" s="43">
        <f t="shared" si="46"/>
        <v>19549.3</v>
      </c>
      <c r="O174" s="43">
        <f t="shared" si="47"/>
        <v>1372</v>
      </c>
      <c r="P174" s="42">
        <v>9000</v>
      </c>
      <c r="Q174" s="42">
        <v>20</v>
      </c>
      <c r="R174" s="42">
        <f t="shared" si="48"/>
        <v>390986</v>
      </c>
    </row>
    <row r="176" spans="1:18">
      <c r="A176" s="1" t="s">
        <v>2950</v>
      </c>
      <c r="B176" s="42" t="s">
        <v>1782</v>
      </c>
      <c r="C176" s="42" t="s">
        <v>88</v>
      </c>
      <c r="D176" s="42" t="s">
        <v>16</v>
      </c>
      <c r="E176" s="42" t="s">
        <v>2953</v>
      </c>
      <c r="F176" s="42">
        <v>6296</v>
      </c>
      <c r="G176" s="42"/>
      <c r="H176" s="42">
        <v>20045</v>
      </c>
      <c r="I176" s="42">
        <v>400</v>
      </c>
      <c r="J176" s="42">
        <v>0.13</v>
      </c>
      <c r="K176" s="43">
        <f t="shared" ref="K176:K178" si="49">I176*J176</f>
        <v>52</v>
      </c>
      <c r="L176" s="43">
        <f t="shared" ref="L176:L178" si="50">H176-K176</f>
        <v>19993</v>
      </c>
      <c r="M176" s="43"/>
      <c r="N176" s="43">
        <f t="shared" ref="N176:N178" si="51">L176-M176</f>
        <v>19993</v>
      </c>
      <c r="O176" s="43">
        <f t="shared" ref="O176:O178" si="52">H176/1000*70</f>
        <v>1403.15</v>
      </c>
      <c r="P176" s="42">
        <v>9000</v>
      </c>
      <c r="Q176" s="42">
        <v>20</v>
      </c>
      <c r="R176" s="42">
        <f t="shared" ref="R176:R178" si="53">L176*Q176</f>
        <v>399860</v>
      </c>
    </row>
    <row r="177" spans="1:18">
      <c r="A177" s="374" t="s">
        <v>2960</v>
      </c>
      <c r="B177" s="42" t="s">
        <v>1782</v>
      </c>
      <c r="C177" s="42" t="s">
        <v>88</v>
      </c>
      <c r="D177" s="42" t="s">
        <v>16</v>
      </c>
      <c r="E177" s="42" t="s">
        <v>2384</v>
      </c>
      <c r="F177" s="42">
        <v>1919724</v>
      </c>
      <c r="G177" s="42"/>
      <c r="H177" s="42">
        <v>15000</v>
      </c>
      <c r="I177" s="42">
        <v>300</v>
      </c>
      <c r="J177" s="42">
        <v>0.13</v>
      </c>
      <c r="K177" s="43">
        <f t="shared" si="49"/>
        <v>39</v>
      </c>
      <c r="L177" s="43">
        <f t="shared" si="50"/>
        <v>14961</v>
      </c>
      <c r="M177" s="43"/>
      <c r="N177" s="43">
        <f t="shared" si="51"/>
        <v>14961</v>
      </c>
      <c r="O177" s="43">
        <f t="shared" si="52"/>
        <v>1050</v>
      </c>
      <c r="P177" s="42">
        <v>10000</v>
      </c>
      <c r="Q177" s="42">
        <v>20</v>
      </c>
      <c r="R177" s="42">
        <f t="shared" si="53"/>
        <v>299220</v>
      </c>
    </row>
    <row r="178" spans="1:18">
      <c r="A178" s="374"/>
      <c r="B178" s="42" t="s">
        <v>1782</v>
      </c>
      <c r="C178" s="42" t="s">
        <v>88</v>
      </c>
      <c r="D178" s="42" t="s">
        <v>16</v>
      </c>
      <c r="E178" s="42" t="s">
        <v>1785</v>
      </c>
      <c r="F178" s="42">
        <v>7474</v>
      </c>
      <c r="G178" s="42"/>
      <c r="H178" s="42">
        <v>15000</v>
      </c>
      <c r="I178" s="42">
        <v>300</v>
      </c>
      <c r="J178" s="42">
        <v>0.13</v>
      </c>
      <c r="K178" s="43">
        <f t="shared" si="49"/>
        <v>39</v>
      </c>
      <c r="L178" s="43">
        <f t="shared" si="50"/>
        <v>14961</v>
      </c>
      <c r="M178" s="43"/>
      <c r="N178" s="43">
        <f t="shared" si="51"/>
        <v>14961</v>
      </c>
      <c r="O178" s="43">
        <f t="shared" si="52"/>
        <v>1050</v>
      </c>
      <c r="P178" s="42">
        <v>15000</v>
      </c>
      <c r="Q178" s="42">
        <v>20</v>
      </c>
      <c r="R178" s="42">
        <f t="shared" si="53"/>
        <v>299220</v>
      </c>
    </row>
  </sheetData>
  <mergeCells count="29">
    <mergeCell ref="A177:A178"/>
    <mergeCell ref="A170:A171"/>
    <mergeCell ref="A157:A162"/>
    <mergeCell ref="A147:A156"/>
    <mergeCell ref="A143:A146"/>
    <mergeCell ref="A136:A137"/>
    <mergeCell ref="A163:A167"/>
    <mergeCell ref="A103:A109"/>
    <mergeCell ref="A131:A134"/>
    <mergeCell ref="A124:A126"/>
    <mergeCell ref="A127:A128"/>
    <mergeCell ref="A119:A122"/>
    <mergeCell ref="A112:A113"/>
    <mergeCell ref="A62:A65"/>
    <mergeCell ref="A97:A102"/>
    <mergeCell ref="A95:A96"/>
    <mergeCell ref="A10:A11"/>
    <mergeCell ref="A19:A20"/>
    <mergeCell ref="A23:A28"/>
    <mergeCell ref="A29:A35"/>
    <mergeCell ref="A58:A61"/>
    <mergeCell ref="A47:A57"/>
    <mergeCell ref="A44:A46"/>
    <mergeCell ref="A36:A43"/>
    <mergeCell ref="A17:A18"/>
    <mergeCell ref="A66:A72"/>
    <mergeCell ref="A90:A94"/>
    <mergeCell ref="A84:A89"/>
    <mergeCell ref="A74:A82"/>
  </mergeCells>
  <pageMargins left="0.7" right="0.7" top="0.75" bottom="0.75" header="0.3" footer="0.3"/>
  <pageSetup paperSize="9" orientation="landscape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5:W237"/>
  <sheetViews>
    <sheetView topLeftCell="A209" workbookViewId="0">
      <selection activeCell="A217" sqref="A217:S217"/>
    </sheetView>
  </sheetViews>
  <sheetFormatPr defaultRowHeight="14.4"/>
  <cols>
    <col min="1" max="1" width="7.88671875" style="1" customWidth="1"/>
    <col min="2" max="2" width="16.5546875" style="1" customWidth="1"/>
    <col min="3" max="3" width="7.77734375" style="1" customWidth="1"/>
    <col min="4" max="4" width="4.77734375" style="1" customWidth="1"/>
    <col min="5" max="5" width="9.88671875" style="1" customWidth="1"/>
    <col min="6" max="6" width="7.6640625" style="1" customWidth="1"/>
    <col min="7" max="7" width="6.6640625" style="1" customWidth="1"/>
    <col min="8" max="8" width="8.5546875" style="1" customWidth="1"/>
    <col min="9" max="9" width="5.88671875" style="1" customWidth="1"/>
    <col min="10" max="10" width="6" style="1" customWidth="1"/>
    <col min="11" max="11" width="8.44140625" style="1" customWidth="1"/>
    <col min="12" max="12" width="8.21875" style="1" customWidth="1"/>
    <col min="13" max="13" width="7.33203125" style="1" customWidth="1"/>
    <col min="14" max="16384" width="8.88671875" style="1"/>
  </cols>
  <sheetData>
    <row r="5" spans="1:23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3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3" t="s">
        <v>36</v>
      </c>
      <c r="N5" s="3" t="s">
        <v>12</v>
      </c>
      <c r="O5" s="3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125</v>
      </c>
    </row>
    <row r="6" spans="1:23">
      <c r="A6" s="10"/>
      <c r="B6" s="148"/>
      <c r="C6" s="147"/>
      <c r="D6" s="147"/>
      <c r="E6" s="147"/>
      <c r="F6" s="147"/>
      <c r="G6" s="147"/>
      <c r="H6" s="147"/>
      <c r="I6" s="147"/>
      <c r="J6" s="147"/>
      <c r="K6" s="147"/>
      <c r="L6" s="102"/>
      <c r="M6" s="102"/>
      <c r="N6" s="147"/>
      <c r="U6" s="17"/>
    </row>
    <row r="7" spans="1:23">
      <c r="A7" s="63" t="s">
        <v>1150</v>
      </c>
      <c r="B7" s="42" t="s">
        <v>19</v>
      </c>
      <c r="C7" s="42" t="s">
        <v>88</v>
      </c>
      <c r="D7" s="42" t="s">
        <v>16</v>
      </c>
      <c r="E7" s="42" t="s">
        <v>1152</v>
      </c>
      <c r="F7" s="42">
        <v>731</v>
      </c>
      <c r="G7" s="42"/>
      <c r="H7" s="42">
        <v>16970</v>
      </c>
      <c r="I7" s="42">
        <v>300</v>
      </c>
      <c r="J7" s="42">
        <v>0.5</v>
      </c>
      <c r="K7" s="42">
        <f t="shared" ref="K7:K8" si="0">I7*J7</f>
        <v>150</v>
      </c>
      <c r="L7" s="43">
        <f t="shared" ref="L7:L42" si="1">H7-K7</f>
        <v>16820</v>
      </c>
      <c r="M7" s="43"/>
      <c r="N7" s="43">
        <f t="shared" ref="N7:N42" si="2">L7-M7</f>
        <v>16820</v>
      </c>
      <c r="O7" s="43">
        <f t="shared" ref="O7:O42" si="3">H7/1000*70</f>
        <v>1187.8999999999999</v>
      </c>
      <c r="P7" s="45">
        <v>22080</v>
      </c>
      <c r="Q7" s="42">
        <v>22080</v>
      </c>
      <c r="R7" s="42">
        <f>Q7-P7</f>
        <v>0</v>
      </c>
      <c r="S7" s="62">
        <v>1</v>
      </c>
      <c r="T7" s="62"/>
      <c r="U7" s="62"/>
      <c r="V7" s="62"/>
      <c r="W7" s="62"/>
    </row>
    <row r="8" spans="1:23">
      <c r="A8" s="63" t="s">
        <v>1161</v>
      </c>
      <c r="B8" s="42" t="s">
        <v>1162</v>
      </c>
      <c r="C8" s="42" t="s">
        <v>88</v>
      </c>
      <c r="D8" s="42" t="s">
        <v>16</v>
      </c>
      <c r="E8" s="42" t="s">
        <v>1163</v>
      </c>
      <c r="F8" s="42">
        <v>736</v>
      </c>
      <c r="G8" s="42"/>
      <c r="H8" s="42">
        <v>16970</v>
      </c>
      <c r="I8" s="42">
        <v>300</v>
      </c>
      <c r="J8" s="42">
        <v>0.13</v>
      </c>
      <c r="K8" s="42">
        <f t="shared" si="0"/>
        <v>39</v>
      </c>
      <c r="L8" s="43">
        <f t="shared" si="1"/>
        <v>16931</v>
      </c>
      <c r="M8" s="43"/>
      <c r="N8" s="43">
        <f t="shared" si="2"/>
        <v>16931</v>
      </c>
      <c r="O8" s="43">
        <f t="shared" si="3"/>
        <v>1187.8999999999999</v>
      </c>
      <c r="P8" s="45">
        <v>21550</v>
      </c>
      <c r="Q8" s="42">
        <v>21550</v>
      </c>
      <c r="R8" s="42">
        <f t="shared" ref="R8:R42" si="4">Q8-P8</f>
        <v>0</v>
      </c>
      <c r="S8" s="62">
        <v>2</v>
      </c>
      <c r="T8" s="62"/>
      <c r="U8" s="62"/>
      <c r="V8" s="62"/>
      <c r="W8" s="62"/>
    </row>
    <row r="9" spans="1:23">
      <c r="A9" s="374" t="s">
        <v>1170</v>
      </c>
      <c r="B9" s="42" t="s">
        <v>1162</v>
      </c>
      <c r="C9" s="42" t="s">
        <v>88</v>
      </c>
      <c r="D9" s="42" t="s">
        <v>16</v>
      </c>
      <c r="E9" s="42" t="s">
        <v>1176</v>
      </c>
      <c r="F9" s="42">
        <v>746</v>
      </c>
      <c r="G9" s="42"/>
      <c r="H9" s="42">
        <v>17880</v>
      </c>
      <c r="I9" s="42">
        <v>307</v>
      </c>
      <c r="J9" s="42">
        <v>0.5</v>
      </c>
      <c r="K9" s="42">
        <v>154</v>
      </c>
      <c r="L9" s="43">
        <f t="shared" si="1"/>
        <v>17726</v>
      </c>
      <c r="M9" s="43"/>
      <c r="N9" s="43">
        <f t="shared" si="2"/>
        <v>17726</v>
      </c>
      <c r="O9" s="43">
        <f t="shared" si="3"/>
        <v>1251.5999999999999</v>
      </c>
      <c r="P9" s="42">
        <v>22180</v>
      </c>
      <c r="Q9" s="42">
        <v>22180</v>
      </c>
      <c r="R9" s="42">
        <f t="shared" si="4"/>
        <v>0</v>
      </c>
      <c r="S9" s="62">
        <v>3</v>
      </c>
      <c r="T9" s="62"/>
      <c r="U9" s="62"/>
      <c r="V9" s="62"/>
      <c r="W9" s="62"/>
    </row>
    <row r="10" spans="1:23">
      <c r="A10" s="374"/>
      <c r="B10" s="42" t="s">
        <v>1162</v>
      </c>
      <c r="C10" s="42" t="s">
        <v>88</v>
      </c>
      <c r="D10" s="42" t="s">
        <v>16</v>
      </c>
      <c r="E10" s="42" t="s">
        <v>1177</v>
      </c>
      <c r="F10" s="42">
        <v>748</v>
      </c>
      <c r="G10" s="42"/>
      <c r="H10" s="42">
        <v>18240</v>
      </c>
      <c r="I10" s="42">
        <v>315</v>
      </c>
      <c r="J10" s="42">
        <v>0.5</v>
      </c>
      <c r="K10" s="42">
        <v>158</v>
      </c>
      <c r="L10" s="43">
        <f t="shared" si="1"/>
        <v>18082</v>
      </c>
      <c r="M10" s="43"/>
      <c r="N10" s="43">
        <f t="shared" si="2"/>
        <v>18082</v>
      </c>
      <c r="O10" s="43">
        <f t="shared" si="3"/>
        <v>1276.8</v>
      </c>
      <c r="P10" s="45">
        <v>22610</v>
      </c>
      <c r="Q10" s="42">
        <v>22610</v>
      </c>
      <c r="R10" s="42">
        <f t="shared" si="4"/>
        <v>0</v>
      </c>
      <c r="S10" s="62">
        <v>4</v>
      </c>
      <c r="T10" s="62"/>
      <c r="U10" s="62"/>
      <c r="V10" s="62"/>
      <c r="W10" s="62"/>
    </row>
    <row r="11" spans="1:23">
      <c r="A11" s="374"/>
      <c r="B11" s="42" t="s">
        <v>1162</v>
      </c>
      <c r="C11" s="42" t="s">
        <v>88</v>
      </c>
      <c r="D11" s="42" t="s">
        <v>16</v>
      </c>
      <c r="E11" s="42" t="s">
        <v>1178</v>
      </c>
      <c r="F11" s="42">
        <v>747</v>
      </c>
      <c r="G11" s="42"/>
      <c r="H11" s="42">
        <v>17770</v>
      </c>
      <c r="I11" s="42">
        <v>305</v>
      </c>
      <c r="J11" s="42">
        <v>0.5</v>
      </c>
      <c r="K11" s="42">
        <v>153</v>
      </c>
      <c r="L11" s="43">
        <f t="shared" si="1"/>
        <v>17617</v>
      </c>
      <c r="M11" s="43"/>
      <c r="N11" s="43">
        <f t="shared" si="2"/>
        <v>17617</v>
      </c>
      <c r="O11" s="43">
        <f t="shared" si="3"/>
        <v>1243.8999999999999</v>
      </c>
      <c r="P11" s="42">
        <v>22040</v>
      </c>
      <c r="Q11" s="42">
        <v>22080</v>
      </c>
      <c r="R11" s="42">
        <f t="shared" si="4"/>
        <v>40</v>
      </c>
      <c r="S11" s="62">
        <v>5</v>
      </c>
      <c r="T11" s="62"/>
      <c r="U11" s="62"/>
      <c r="V11" s="62"/>
      <c r="W11" s="62"/>
    </row>
    <row r="12" spans="1:23">
      <c r="A12" s="150" t="s">
        <v>1179</v>
      </c>
      <c r="B12" s="42" t="s">
        <v>1162</v>
      </c>
      <c r="C12" s="42" t="s">
        <v>88</v>
      </c>
      <c r="D12" s="42" t="s">
        <v>16</v>
      </c>
      <c r="E12" s="42" t="s">
        <v>1181</v>
      </c>
      <c r="F12" s="42">
        <v>742</v>
      </c>
      <c r="G12" s="42"/>
      <c r="H12" s="42">
        <v>18020</v>
      </c>
      <c r="I12" s="42">
        <v>307</v>
      </c>
      <c r="J12" s="42">
        <v>0.5</v>
      </c>
      <c r="K12" s="42">
        <v>154</v>
      </c>
      <c r="L12" s="43">
        <f t="shared" si="1"/>
        <v>17866</v>
      </c>
      <c r="M12" s="43"/>
      <c r="N12" s="43">
        <f t="shared" si="2"/>
        <v>17866</v>
      </c>
      <c r="O12" s="43">
        <f t="shared" si="3"/>
        <v>1261.3999999999999</v>
      </c>
      <c r="P12" s="45">
        <v>22380</v>
      </c>
      <c r="Q12" s="42">
        <v>22380</v>
      </c>
      <c r="R12" s="42">
        <f t="shared" si="4"/>
        <v>0</v>
      </c>
      <c r="S12" s="62">
        <v>6</v>
      </c>
      <c r="T12" s="62"/>
      <c r="U12" s="62"/>
      <c r="V12" s="62"/>
      <c r="W12" s="62"/>
    </row>
    <row r="13" spans="1:23">
      <c r="A13" s="374" t="s">
        <v>1207</v>
      </c>
      <c r="B13" s="42" t="s">
        <v>1162</v>
      </c>
      <c r="C13" s="42" t="s">
        <v>88</v>
      </c>
      <c r="D13" s="42" t="s">
        <v>16</v>
      </c>
      <c r="E13" s="42" t="s">
        <v>1208</v>
      </c>
      <c r="F13" s="42">
        <v>770</v>
      </c>
      <c r="G13" s="42"/>
      <c r="H13" s="42">
        <v>18310</v>
      </c>
      <c r="I13" s="42">
        <v>315</v>
      </c>
      <c r="J13" s="42">
        <v>0.5</v>
      </c>
      <c r="K13" s="42">
        <v>158</v>
      </c>
      <c r="L13" s="43">
        <f t="shared" si="1"/>
        <v>18152</v>
      </c>
      <c r="M13" s="43"/>
      <c r="N13" s="43">
        <f t="shared" si="2"/>
        <v>18152</v>
      </c>
      <c r="O13" s="43">
        <f t="shared" si="3"/>
        <v>1281.6999999999998</v>
      </c>
      <c r="P13" s="42">
        <v>22580</v>
      </c>
      <c r="Q13" s="42">
        <v>22580</v>
      </c>
      <c r="R13" s="42">
        <f t="shared" si="4"/>
        <v>0</v>
      </c>
      <c r="S13" s="62">
        <v>7</v>
      </c>
      <c r="T13" s="62"/>
      <c r="U13" s="62"/>
      <c r="V13" s="62"/>
      <c r="W13" s="62"/>
    </row>
    <row r="14" spans="1:23">
      <c r="A14" s="374"/>
      <c r="B14" s="42" t="s">
        <v>1162</v>
      </c>
      <c r="C14" s="42" t="s">
        <v>88</v>
      </c>
      <c r="D14" s="42" t="s">
        <v>16</v>
      </c>
      <c r="E14" s="42" t="s">
        <v>1209</v>
      </c>
      <c r="F14" s="42">
        <v>769</v>
      </c>
      <c r="G14" s="42"/>
      <c r="H14" s="42">
        <v>18120</v>
      </c>
      <c r="I14" s="42">
        <v>310</v>
      </c>
      <c r="J14" s="42">
        <v>0.5</v>
      </c>
      <c r="K14" s="42">
        <f t="shared" ref="K14" si="5">I14*J14</f>
        <v>155</v>
      </c>
      <c r="L14" s="43">
        <f t="shared" si="1"/>
        <v>17965</v>
      </c>
      <c r="M14" s="43"/>
      <c r="N14" s="43">
        <f t="shared" si="2"/>
        <v>17965</v>
      </c>
      <c r="O14" s="43">
        <f t="shared" si="3"/>
        <v>1268.4000000000001</v>
      </c>
      <c r="P14" s="42">
        <v>22310</v>
      </c>
      <c r="Q14" s="42">
        <v>22310</v>
      </c>
      <c r="R14" s="42">
        <f t="shared" si="4"/>
        <v>0</v>
      </c>
      <c r="S14" s="62">
        <v>8</v>
      </c>
      <c r="T14" s="62"/>
      <c r="U14" s="62"/>
      <c r="V14" s="62"/>
      <c r="W14" s="62"/>
    </row>
    <row r="15" spans="1:23">
      <c r="A15" s="377" t="s">
        <v>1217</v>
      </c>
      <c r="B15" s="42" t="s">
        <v>1162</v>
      </c>
      <c r="C15" s="42" t="s">
        <v>88</v>
      </c>
      <c r="D15" s="42" t="s">
        <v>16</v>
      </c>
      <c r="E15" s="42" t="s">
        <v>1218</v>
      </c>
      <c r="F15" s="42">
        <v>773</v>
      </c>
      <c r="G15" s="42"/>
      <c r="H15" s="42">
        <v>17160</v>
      </c>
      <c r="I15" s="42">
        <v>301</v>
      </c>
      <c r="J15" s="42">
        <v>0.5</v>
      </c>
      <c r="K15" s="42">
        <v>151</v>
      </c>
      <c r="L15" s="43">
        <f t="shared" si="1"/>
        <v>17009</v>
      </c>
      <c r="M15" s="43"/>
      <c r="N15" s="43">
        <f t="shared" si="2"/>
        <v>17009</v>
      </c>
      <c r="O15" s="43">
        <f t="shared" si="3"/>
        <v>1201.2</v>
      </c>
      <c r="P15" s="42">
        <v>21150</v>
      </c>
      <c r="Q15" s="158">
        <v>21150</v>
      </c>
      <c r="R15" s="42">
        <f t="shared" si="4"/>
        <v>0</v>
      </c>
      <c r="S15" s="62">
        <v>9</v>
      </c>
      <c r="T15" s="62"/>
      <c r="U15" s="62"/>
      <c r="V15" s="62"/>
      <c r="W15" s="62"/>
    </row>
    <row r="16" spans="1:23">
      <c r="A16" s="377"/>
      <c r="B16" s="42" t="s">
        <v>1162</v>
      </c>
      <c r="C16" s="42" t="s">
        <v>88</v>
      </c>
      <c r="D16" s="42" t="s">
        <v>16</v>
      </c>
      <c r="E16" s="42" t="s">
        <v>1219</v>
      </c>
      <c r="F16" s="42">
        <v>774</v>
      </c>
      <c r="G16" s="42"/>
      <c r="H16" s="42">
        <v>18020</v>
      </c>
      <c r="I16" s="42">
        <v>315</v>
      </c>
      <c r="J16" s="42">
        <v>0.5</v>
      </c>
      <c r="K16" s="42">
        <v>158</v>
      </c>
      <c r="L16" s="43">
        <f t="shared" si="1"/>
        <v>17862</v>
      </c>
      <c r="M16" s="43"/>
      <c r="N16" s="43">
        <f t="shared" si="2"/>
        <v>17862</v>
      </c>
      <c r="O16" s="43">
        <f t="shared" si="3"/>
        <v>1261.3999999999999</v>
      </c>
      <c r="P16" s="42">
        <v>22000</v>
      </c>
      <c r="Q16" s="158">
        <v>22230</v>
      </c>
      <c r="R16" s="42">
        <f t="shared" si="4"/>
        <v>230</v>
      </c>
      <c r="S16" s="62">
        <v>10</v>
      </c>
      <c r="T16" s="62"/>
      <c r="U16" s="62"/>
      <c r="V16" s="62"/>
      <c r="W16" s="62"/>
    </row>
    <row r="17" spans="1:23">
      <c r="A17" s="377"/>
      <c r="B17" s="42" t="s">
        <v>1162</v>
      </c>
      <c r="C17" s="42" t="s">
        <v>88</v>
      </c>
      <c r="D17" s="42" t="s">
        <v>16</v>
      </c>
      <c r="E17" s="42" t="s">
        <v>1220</v>
      </c>
      <c r="F17" s="42">
        <v>778</v>
      </c>
      <c r="G17" s="42"/>
      <c r="H17" s="42">
        <v>17970</v>
      </c>
      <c r="I17" s="42">
        <v>311</v>
      </c>
      <c r="J17" s="42">
        <v>0.5</v>
      </c>
      <c r="K17" s="42">
        <v>156</v>
      </c>
      <c r="L17" s="43">
        <f t="shared" si="1"/>
        <v>17814</v>
      </c>
      <c r="M17" s="43"/>
      <c r="N17" s="43">
        <f t="shared" si="2"/>
        <v>17814</v>
      </c>
      <c r="O17" s="43">
        <f t="shared" si="3"/>
        <v>1257.8999999999999</v>
      </c>
      <c r="P17" s="42">
        <v>22100</v>
      </c>
      <c r="Q17" s="158">
        <v>22100</v>
      </c>
      <c r="R17" s="42">
        <f t="shared" si="4"/>
        <v>0</v>
      </c>
      <c r="S17" s="62">
        <v>11</v>
      </c>
      <c r="T17" s="62"/>
      <c r="U17" s="62"/>
      <c r="V17" s="62"/>
      <c r="W17" s="62"/>
    </row>
    <row r="18" spans="1:23">
      <c r="A18" s="377"/>
      <c r="B18" s="42" t="s">
        <v>1162</v>
      </c>
      <c r="C18" s="42" t="s">
        <v>88</v>
      </c>
      <c r="D18" s="42" t="s">
        <v>16</v>
      </c>
      <c r="E18" s="42" t="s">
        <v>1221</v>
      </c>
      <c r="F18" s="42">
        <v>777</v>
      </c>
      <c r="G18" s="42"/>
      <c r="H18" s="42">
        <v>16800</v>
      </c>
      <c r="I18" s="42">
        <v>290</v>
      </c>
      <c r="J18" s="42">
        <v>0.5</v>
      </c>
      <c r="K18" s="42">
        <f t="shared" ref="K18:K19" si="6">I18*J18</f>
        <v>145</v>
      </c>
      <c r="L18" s="43">
        <f t="shared" si="1"/>
        <v>16655</v>
      </c>
      <c r="M18" s="43"/>
      <c r="N18" s="43">
        <f t="shared" si="2"/>
        <v>16655</v>
      </c>
      <c r="O18" s="43">
        <f t="shared" si="3"/>
        <v>1176</v>
      </c>
      <c r="P18" s="42">
        <v>20700</v>
      </c>
      <c r="Q18" s="159">
        <v>21780</v>
      </c>
      <c r="R18" s="42">
        <f t="shared" si="4"/>
        <v>1080</v>
      </c>
      <c r="S18" s="62">
        <v>12</v>
      </c>
      <c r="T18" s="62"/>
      <c r="U18" s="62"/>
      <c r="V18" s="62"/>
      <c r="W18" s="62"/>
    </row>
    <row r="19" spans="1:23">
      <c r="A19" s="377"/>
      <c r="B19" s="42" t="s">
        <v>1162</v>
      </c>
      <c r="C19" s="42" t="s">
        <v>88</v>
      </c>
      <c r="D19" s="42" t="s">
        <v>16</v>
      </c>
      <c r="E19" s="42" t="s">
        <v>1222</v>
      </c>
      <c r="F19" s="42">
        <v>768</v>
      </c>
      <c r="G19" s="42"/>
      <c r="H19" s="42">
        <v>16610</v>
      </c>
      <c r="I19" s="42">
        <v>294</v>
      </c>
      <c r="J19" s="42">
        <v>0.5</v>
      </c>
      <c r="K19" s="42">
        <f t="shared" si="6"/>
        <v>147</v>
      </c>
      <c r="L19" s="43">
        <f t="shared" si="1"/>
        <v>16463</v>
      </c>
      <c r="M19" s="43"/>
      <c r="N19" s="43">
        <f t="shared" si="2"/>
        <v>16463</v>
      </c>
      <c r="O19" s="43">
        <f t="shared" si="3"/>
        <v>1162.7</v>
      </c>
      <c r="P19" s="42">
        <v>20430</v>
      </c>
      <c r="Q19" s="67">
        <v>20830</v>
      </c>
      <c r="R19" s="42">
        <f t="shared" si="4"/>
        <v>400</v>
      </c>
      <c r="S19" s="62">
        <v>13</v>
      </c>
      <c r="T19" s="62"/>
      <c r="U19" s="62"/>
      <c r="V19" s="62"/>
      <c r="W19" s="62"/>
    </row>
    <row r="20" spans="1:23">
      <c r="A20" s="377"/>
      <c r="B20" s="42" t="s">
        <v>1162</v>
      </c>
      <c r="C20" s="42" t="s">
        <v>88</v>
      </c>
      <c r="D20" s="42" t="s">
        <v>16</v>
      </c>
      <c r="E20" s="42" t="s">
        <v>1223</v>
      </c>
      <c r="F20" s="42">
        <v>767</v>
      </c>
      <c r="G20" s="42"/>
      <c r="H20" s="42">
        <v>15520</v>
      </c>
      <c r="I20" s="42">
        <v>275</v>
      </c>
      <c r="J20" s="42">
        <v>0.5</v>
      </c>
      <c r="K20" s="42">
        <v>138</v>
      </c>
      <c r="L20" s="43">
        <f t="shared" si="1"/>
        <v>15382</v>
      </c>
      <c r="M20" s="43"/>
      <c r="N20" s="43">
        <f t="shared" si="2"/>
        <v>15382</v>
      </c>
      <c r="O20" s="43">
        <f t="shared" si="3"/>
        <v>1086.3999999999999</v>
      </c>
      <c r="P20" s="42">
        <v>19110</v>
      </c>
      <c r="Q20" s="67">
        <v>19170</v>
      </c>
      <c r="R20" s="42">
        <f t="shared" si="4"/>
        <v>60</v>
      </c>
      <c r="S20" s="62">
        <v>14</v>
      </c>
      <c r="T20" s="62"/>
      <c r="U20" s="62"/>
      <c r="V20" s="62"/>
      <c r="W20" s="62"/>
    </row>
    <row r="21" spans="1:23">
      <c r="A21" s="377" t="s">
        <v>1224</v>
      </c>
      <c r="B21" s="42" t="s">
        <v>1162</v>
      </c>
      <c r="C21" s="42" t="s">
        <v>88</v>
      </c>
      <c r="D21" s="42" t="s">
        <v>16</v>
      </c>
      <c r="E21" s="42" t="s">
        <v>1225</v>
      </c>
      <c r="F21" s="42">
        <v>779</v>
      </c>
      <c r="G21" s="42"/>
      <c r="H21" s="42">
        <v>17120</v>
      </c>
      <c r="I21" s="42">
        <v>300</v>
      </c>
      <c r="J21" s="42">
        <v>0.5</v>
      </c>
      <c r="K21" s="42">
        <f t="shared" ref="K21:K35" si="7">I21*J21</f>
        <v>150</v>
      </c>
      <c r="L21" s="43">
        <f t="shared" si="1"/>
        <v>16970</v>
      </c>
      <c r="M21" s="43"/>
      <c r="N21" s="43">
        <f t="shared" si="2"/>
        <v>16970</v>
      </c>
      <c r="O21" s="43">
        <f t="shared" si="3"/>
        <v>1198.4000000000001</v>
      </c>
      <c r="P21" s="42">
        <v>21050</v>
      </c>
      <c r="Q21" s="67">
        <v>21050</v>
      </c>
      <c r="R21" s="42">
        <f t="shared" si="4"/>
        <v>0</v>
      </c>
      <c r="S21" s="62">
        <v>15</v>
      </c>
      <c r="T21" s="62"/>
      <c r="U21" s="62"/>
      <c r="V21" s="62"/>
      <c r="W21" s="62"/>
    </row>
    <row r="22" spans="1:23">
      <c r="A22" s="377"/>
      <c r="B22" s="42" t="s">
        <v>1162</v>
      </c>
      <c r="C22" s="42" t="s">
        <v>88</v>
      </c>
      <c r="D22" s="42" t="s">
        <v>16</v>
      </c>
      <c r="E22" s="42" t="s">
        <v>1226</v>
      </c>
      <c r="F22" s="42">
        <v>780</v>
      </c>
      <c r="G22" s="42"/>
      <c r="H22" s="42">
        <v>17100</v>
      </c>
      <c r="I22" s="42">
        <v>300</v>
      </c>
      <c r="J22" s="42">
        <v>0.5</v>
      </c>
      <c r="K22" s="42">
        <f t="shared" si="7"/>
        <v>150</v>
      </c>
      <c r="L22" s="43">
        <f t="shared" si="1"/>
        <v>16950</v>
      </c>
      <c r="M22" s="43"/>
      <c r="N22" s="43">
        <f t="shared" si="2"/>
        <v>16950</v>
      </c>
      <c r="O22" s="43">
        <f t="shared" si="3"/>
        <v>1197</v>
      </c>
      <c r="P22" s="42">
        <v>21030</v>
      </c>
      <c r="Q22" s="67">
        <v>21030</v>
      </c>
      <c r="R22" s="42">
        <f t="shared" si="4"/>
        <v>0</v>
      </c>
      <c r="S22" s="62">
        <v>16</v>
      </c>
      <c r="T22" s="62"/>
      <c r="U22" s="62"/>
      <c r="V22" s="62"/>
      <c r="W22" s="62"/>
    </row>
    <row r="23" spans="1:23">
      <c r="A23" s="377"/>
      <c r="B23" s="42" t="s">
        <v>1162</v>
      </c>
      <c r="C23" s="42" t="s">
        <v>88</v>
      </c>
      <c r="D23" s="42" t="s">
        <v>16</v>
      </c>
      <c r="E23" s="42" t="s">
        <v>1227</v>
      </c>
      <c r="F23" s="42">
        <v>781</v>
      </c>
      <c r="G23" s="42"/>
      <c r="H23" s="42">
        <v>16840</v>
      </c>
      <c r="I23" s="42">
        <v>280</v>
      </c>
      <c r="J23" s="42">
        <v>0.5</v>
      </c>
      <c r="K23" s="42">
        <f t="shared" si="7"/>
        <v>140</v>
      </c>
      <c r="L23" s="43">
        <f t="shared" si="1"/>
        <v>16700</v>
      </c>
      <c r="M23" s="43"/>
      <c r="N23" s="43">
        <f t="shared" si="2"/>
        <v>16700</v>
      </c>
      <c r="O23" s="43">
        <f t="shared" si="3"/>
        <v>1178.8</v>
      </c>
      <c r="P23" s="42">
        <v>20750</v>
      </c>
      <c r="Q23" s="67">
        <v>20750</v>
      </c>
      <c r="R23" s="42">
        <f t="shared" si="4"/>
        <v>0</v>
      </c>
      <c r="S23" s="62">
        <v>17</v>
      </c>
      <c r="T23" s="62"/>
      <c r="U23" s="62"/>
      <c r="V23" s="62"/>
      <c r="W23" s="62"/>
    </row>
    <row r="24" spans="1:23">
      <c r="A24" s="377"/>
      <c r="B24" s="42" t="s">
        <v>1162</v>
      </c>
      <c r="C24" s="42" t="s">
        <v>88</v>
      </c>
      <c r="D24" s="42" t="s">
        <v>16</v>
      </c>
      <c r="E24" s="42" t="s">
        <v>1228</v>
      </c>
      <c r="F24" s="42">
        <v>782</v>
      </c>
      <c r="G24" s="42"/>
      <c r="H24" s="42">
        <v>19130</v>
      </c>
      <c r="I24" s="42">
        <v>325</v>
      </c>
      <c r="J24" s="42">
        <v>0.5</v>
      </c>
      <c r="K24" s="42">
        <v>163</v>
      </c>
      <c r="L24" s="43">
        <f t="shared" si="1"/>
        <v>18967</v>
      </c>
      <c r="M24" s="43"/>
      <c r="N24" s="43">
        <f t="shared" si="2"/>
        <v>18967</v>
      </c>
      <c r="O24" s="43">
        <f t="shared" si="3"/>
        <v>1339.1</v>
      </c>
      <c r="P24" s="42">
        <v>23580</v>
      </c>
      <c r="Q24" s="67">
        <v>23490</v>
      </c>
      <c r="R24" s="42">
        <f t="shared" si="4"/>
        <v>-90</v>
      </c>
      <c r="S24" s="62">
        <v>18</v>
      </c>
      <c r="T24" s="62"/>
      <c r="U24" s="62"/>
      <c r="V24" s="62"/>
      <c r="W24" s="62"/>
    </row>
    <row r="25" spans="1:23">
      <c r="A25" s="377"/>
      <c r="B25" s="42" t="s">
        <v>1162</v>
      </c>
      <c r="C25" s="42" t="s">
        <v>88</v>
      </c>
      <c r="D25" s="42" t="s">
        <v>16</v>
      </c>
      <c r="E25" s="42" t="s">
        <v>1229</v>
      </c>
      <c r="F25" s="42">
        <v>775</v>
      </c>
      <c r="G25" s="42"/>
      <c r="H25" s="42">
        <v>18130</v>
      </c>
      <c r="I25" s="42">
        <v>320</v>
      </c>
      <c r="J25" s="42">
        <v>0.5</v>
      </c>
      <c r="K25" s="42">
        <f t="shared" si="7"/>
        <v>160</v>
      </c>
      <c r="L25" s="43">
        <f t="shared" si="1"/>
        <v>17970</v>
      </c>
      <c r="M25" s="43"/>
      <c r="N25" s="43">
        <f t="shared" si="2"/>
        <v>17970</v>
      </c>
      <c r="O25" s="43">
        <f t="shared" si="3"/>
        <v>1269.0999999999999</v>
      </c>
      <c r="P25" s="42">
        <v>22140</v>
      </c>
      <c r="Q25" s="114">
        <v>22370</v>
      </c>
      <c r="R25" s="42">
        <f t="shared" si="4"/>
        <v>230</v>
      </c>
      <c r="S25" s="62">
        <v>19</v>
      </c>
      <c r="T25" s="62"/>
      <c r="U25" s="62"/>
      <c r="V25" s="62"/>
      <c r="W25" s="62"/>
    </row>
    <row r="26" spans="1:23">
      <c r="A26" s="374" t="s">
        <v>1233</v>
      </c>
      <c r="B26" s="42" t="s">
        <v>1162</v>
      </c>
      <c r="C26" s="42" t="s">
        <v>88</v>
      </c>
      <c r="D26" s="42" t="s">
        <v>16</v>
      </c>
      <c r="E26" s="42" t="s">
        <v>1236</v>
      </c>
      <c r="F26" s="42">
        <v>776</v>
      </c>
      <c r="G26" s="42"/>
      <c r="H26" s="42">
        <v>16920</v>
      </c>
      <c r="I26" s="42">
        <v>308</v>
      </c>
      <c r="J26" s="42">
        <v>0.5</v>
      </c>
      <c r="K26" s="42">
        <f t="shared" si="7"/>
        <v>154</v>
      </c>
      <c r="L26" s="43">
        <f t="shared" si="1"/>
        <v>16766</v>
      </c>
      <c r="M26" s="43"/>
      <c r="N26" s="43">
        <f t="shared" si="2"/>
        <v>16766</v>
      </c>
      <c r="O26" s="43">
        <f t="shared" si="3"/>
        <v>1184.4000000000001</v>
      </c>
      <c r="P26" s="42">
        <v>20850</v>
      </c>
      <c r="Q26" s="103">
        <v>22850</v>
      </c>
      <c r="R26" s="42">
        <f t="shared" si="4"/>
        <v>2000</v>
      </c>
      <c r="S26" s="62">
        <v>20</v>
      </c>
      <c r="T26" s="62"/>
      <c r="U26" s="62"/>
      <c r="V26" s="62"/>
      <c r="W26" s="62"/>
    </row>
    <row r="27" spans="1:23">
      <c r="A27" s="374"/>
      <c r="B27" s="42" t="s">
        <v>1162</v>
      </c>
      <c r="C27" s="42" t="s">
        <v>88</v>
      </c>
      <c r="D27" s="42" t="s">
        <v>16</v>
      </c>
      <c r="E27" s="42" t="s">
        <v>1237</v>
      </c>
      <c r="F27" s="42">
        <v>397</v>
      </c>
      <c r="G27" s="42"/>
      <c r="H27" s="42">
        <v>14840</v>
      </c>
      <c r="I27" s="42">
        <v>257</v>
      </c>
      <c r="J27" s="42">
        <v>0.5</v>
      </c>
      <c r="K27" s="42">
        <v>129</v>
      </c>
      <c r="L27" s="43">
        <f t="shared" si="1"/>
        <v>14711</v>
      </c>
      <c r="M27" s="43"/>
      <c r="N27" s="43">
        <f t="shared" si="2"/>
        <v>14711</v>
      </c>
      <c r="O27" s="43">
        <f t="shared" si="3"/>
        <v>1038.8</v>
      </c>
      <c r="P27" s="42">
        <v>18880</v>
      </c>
      <c r="Q27" s="103">
        <v>18290</v>
      </c>
      <c r="R27" s="42">
        <f t="shared" si="4"/>
        <v>-590</v>
      </c>
      <c r="S27" s="62">
        <v>21</v>
      </c>
      <c r="T27" s="62"/>
      <c r="U27" s="62"/>
      <c r="V27" s="62"/>
      <c r="W27" s="62"/>
    </row>
    <row r="28" spans="1:23">
      <c r="A28" s="374"/>
      <c r="B28" s="42" t="s">
        <v>1162</v>
      </c>
      <c r="C28" s="42" t="s">
        <v>88</v>
      </c>
      <c r="D28" s="42" t="s">
        <v>16</v>
      </c>
      <c r="E28" s="42" t="s">
        <v>1238</v>
      </c>
      <c r="F28" s="42">
        <v>772</v>
      </c>
      <c r="G28" s="42"/>
      <c r="H28" s="42">
        <v>16430</v>
      </c>
      <c r="I28" s="42">
        <v>312</v>
      </c>
      <c r="J28" s="42">
        <v>0.5</v>
      </c>
      <c r="K28" s="42">
        <f t="shared" si="7"/>
        <v>156</v>
      </c>
      <c r="L28" s="43">
        <f t="shared" si="1"/>
        <v>16274</v>
      </c>
      <c r="M28" s="43"/>
      <c r="N28" s="43">
        <f t="shared" si="2"/>
        <v>16274</v>
      </c>
      <c r="O28" s="43">
        <f t="shared" si="3"/>
        <v>1150.0999999999999</v>
      </c>
      <c r="P28" s="42">
        <v>20220</v>
      </c>
      <c r="Q28" s="42">
        <v>20220</v>
      </c>
      <c r="R28" s="42">
        <f t="shared" si="4"/>
        <v>0</v>
      </c>
      <c r="S28" s="62">
        <v>22</v>
      </c>
      <c r="T28" s="62"/>
      <c r="U28" s="62"/>
      <c r="V28" s="62"/>
      <c r="W28" s="62"/>
    </row>
    <row r="29" spans="1:23">
      <c r="A29" s="374"/>
      <c r="B29" s="42" t="s">
        <v>1162</v>
      </c>
      <c r="C29" s="42" t="s">
        <v>88</v>
      </c>
      <c r="D29" s="42" t="s">
        <v>16</v>
      </c>
      <c r="E29" s="42" t="s">
        <v>1239</v>
      </c>
      <c r="F29" s="42">
        <v>771</v>
      </c>
      <c r="G29" s="42"/>
      <c r="H29" s="42">
        <v>17230</v>
      </c>
      <c r="I29" s="42">
        <v>300</v>
      </c>
      <c r="J29" s="42">
        <v>0.5</v>
      </c>
      <c r="K29" s="42">
        <f t="shared" si="7"/>
        <v>150</v>
      </c>
      <c r="L29" s="43">
        <f t="shared" si="1"/>
        <v>17080</v>
      </c>
      <c r="M29" s="43"/>
      <c r="N29" s="43">
        <f t="shared" si="2"/>
        <v>17080</v>
      </c>
      <c r="O29" s="43">
        <f t="shared" si="3"/>
        <v>1206.1000000000001</v>
      </c>
      <c r="P29" s="42">
        <v>21210</v>
      </c>
      <c r="Q29" s="42">
        <v>21210</v>
      </c>
      <c r="R29" s="42">
        <f t="shared" si="4"/>
        <v>0</v>
      </c>
      <c r="S29" s="62">
        <v>23</v>
      </c>
      <c r="T29" s="62"/>
      <c r="U29" s="62"/>
      <c r="V29" s="62"/>
      <c r="W29" s="62"/>
    </row>
    <row r="30" spans="1:23">
      <c r="A30" s="374"/>
      <c r="B30" s="42" t="s">
        <v>1162</v>
      </c>
      <c r="C30" s="42" t="s">
        <v>88</v>
      </c>
      <c r="D30" s="42" t="s">
        <v>16</v>
      </c>
      <c r="E30" s="42" t="s">
        <v>1240</v>
      </c>
      <c r="F30" s="42">
        <v>730</v>
      </c>
      <c r="G30" s="42"/>
      <c r="H30" s="42">
        <v>16000</v>
      </c>
      <c r="I30" s="42">
        <v>280</v>
      </c>
      <c r="J30" s="42">
        <v>0.5</v>
      </c>
      <c r="K30" s="42">
        <f t="shared" si="7"/>
        <v>140</v>
      </c>
      <c r="L30" s="43">
        <f t="shared" si="1"/>
        <v>15860</v>
      </c>
      <c r="M30" s="43"/>
      <c r="N30" s="43">
        <f t="shared" si="2"/>
        <v>15860</v>
      </c>
      <c r="O30" s="43">
        <f t="shared" si="3"/>
        <v>1120</v>
      </c>
      <c r="P30" s="42">
        <v>19680</v>
      </c>
      <c r="Q30" s="42">
        <v>19680</v>
      </c>
      <c r="R30" s="42">
        <f t="shared" si="4"/>
        <v>0</v>
      </c>
      <c r="S30" s="62">
        <v>24</v>
      </c>
      <c r="T30" s="62"/>
      <c r="U30" s="62"/>
      <c r="V30" s="62"/>
      <c r="W30" s="62"/>
    </row>
    <row r="31" spans="1:23">
      <c r="A31" s="63" t="s">
        <v>1241</v>
      </c>
      <c r="B31" s="42" t="s">
        <v>1162</v>
      </c>
      <c r="C31" s="42" t="s">
        <v>88</v>
      </c>
      <c r="D31" s="42" t="s">
        <v>16</v>
      </c>
      <c r="E31" s="42" t="s">
        <v>1152</v>
      </c>
      <c r="F31" s="42">
        <v>789</v>
      </c>
      <c r="G31" s="42"/>
      <c r="H31" s="42">
        <v>16470</v>
      </c>
      <c r="I31" s="42">
        <v>294</v>
      </c>
      <c r="J31" s="42">
        <v>0.5</v>
      </c>
      <c r="K31" s="42">
        <f t="shared" si="7"/>
        <v>147</v>
      </c>
      <c r="L31" s="43">
        <f t="shared" si="1"/>
        <v>16323</v>
      </c>
      <c r="M31" s="43"/>
      <c r="N31" s="43">
        <f t="shared" si="2"/>
        <v>16323</v>
      </c>
      <c r="O31" s="43">
        <f t="shared" si="3"/>
        <v>1152.8999999999999</v>
      </c>
      <c r="P31" s="42">
        <v>20250</v>
      </c>
      <c r="Q31" s="42">
        <v>20250</v>
      </c>
      <c r="R31" s="42">
        <f t="shared" si="4"/>
        <v>0</v>
      </c>
      <c r="S31" s="62">
        <v>25</v>
      </c>
      <c r="T31" s="62"/>
      <c r="U31" s="62"/>
      <c r="V31" s="62"/>
      <c r="W31" s="62"/>
    </row>
    <row r="32" spans="1:23">
      <c r="A32" s="374" t="s">
        <v>1272</v>
      </c>
      <c r="B32" s="42" t="s">
        <v>1162</v>
      </c>
      <c r="C32" s="42" t="s">
        <v>88</v>
      </c>
      <c r="D32" s="42" t="s">
        <v>16</v>
      </c>
      <c r="E32" s="42" t="s">
        <v>1275</v>
      </c>
      <c r="F32" s="42">
        <v>2266</v>
      </c>
      <c r="G32" s="42"/>
      <c r="H32" s="42">
        <v>16680</v>
      </c>
      <c r="I32" s="42">
        <v>280</v>
      </c>
      <c r="J32" s="42">
        <v>0.5</v>
      </c>
      <c r="K32" s="42">
        <f t="shared" si="7"/>
        <v>140</v>
      </c>
      <c r="L32" s="43">
        <f t="shared" si="1"/>
        <v>16540</v>
      </c>
      <c r="M32" s="43"/>
      <c r="N32" s="43">
        <f t="shared" si="2"/>
        <v>16540</v>
      </c>
      <c r="O32" s="43">
        <f t="shared" si="3"/>
        <v>1167.5999999999999</v>
      </c>
      <c r="P32" s="42">
        <v>24800</v>
      </c>
      <c r="Q32" s="42">
        <v>24800</v>
      </c>
      <c r="R32" s="42">
        <f t="shared" si="4"/>
        <v>0</v>
      </c>
      <c r="S32" s="62">
        <v>26</v>
      </c>
      <c r="T32" s="62"/>
      <c r="U32" s="62"/>
      <c r="V32" s="62"/>
      <c r="W32" s="62"/>
    </row>
    <row r="33" spans="1:23">
      <c r="A33" s="374"/>
      <c r="B33" s="42" t="s">
        <v>1162</v>
      </c>
      <c r="C33" s="42" t="s">
        <v>88</v>
      </c>
      <c r="D33" s="42" t="s">
        <v>16</v>
      </c>
      <c r="E33" s="42" t="s">
        <v>1276</v>
      </c>
      <c r="F33" s="42">
        <v>2265</v>
      </c>
      <c r="G33" s="42"/>
      <c r="H33" s="42">
        <v>17190</v>
      </c>
      <c r="I33" s="42">
        <v>290</v>
      </c>
      <c r="J33" s="42">
        <v>0.5</v>
      </c>
      <c r="K33" s="42">
        <f t="shared" si="7"/>
        <v>145</v>
      </c>
      <c r="L33" s="43">
        <f t="shared" si="1"/>
        <v>17045</v>
      </c>
      <c r="M33" s="43"/>
      <c r="N33" s="43">
        <f t="shared" si="2"/>
        <v>17045</v>
      </c>
      <c r="O33" s="43">
        <f t="shared" si="3"/>
        <v>1203.3000000000002</v>
      </c>
      <c r="P33" s="42">
        <v>25450</v>
      </c>
      <c r="Q33" s="42">
        <v>25450</v>
      </c>
      <c r="R33" s="42">
        <f t="shared" si="4"/>
        <v>0</v>
      </c>
      <c r="S33" s="62">
        <v>27</v>
      </c>
      <c r="T33" s="62"/>
      <c r="U33" s="62"/>
      <c r="V33" s="62"/>
      <c r="W33" s="62"/>
    </row>
    <row r="34" spans="1:23">
      <c r="A34" s="374"/>
      <c r="B34" s="42" t="s">
        <v>1162</v>
      </c>
      <c r="C34" s="42" t="s">
        <v>88</v>
      </c>
      <c r="D34" s="42" t="s">
        <v>16</v>
      </c>
      <c r="E34" s="42" t="s">
        <v>1277</v>
      </c>
      <c r="F34" s="42">
        <v>2268</v>
      </c>
      <c r="G34" s="42"/>
      <c r="H34" s="42">
        <v>15190</v>
      </c>
      <c r="I34" s="42">
        <v>252</v>
      </c>
      <c r="J34" s="42">
        <v>0.5</v>
      </c>
      <c r="K34" s="42">
        <f t="shared" si="7"/>
        <v>126</v>
      </c>
      <c r="L34" s="43">
        <f t="shared" si="1"/>
        <v>15064</v>
      </c>
      <c r="M34" s="43"/>
      <c r="N34" s="43">
        <f t="shared" si="2"/>
        <v>15064</v>
      </c>
      <c r="O34" s="43">
        <f t="shared" si="3"/>
        <v>1063.3</v>
      </c>
      <c r="P34" s="42">
        <v>22500</v>
      </c>
      <c r="Q34" s="42">
        <v>22510</v>
      </c>
      <c r="R34" s="42">
        <f t="shared" si="4"/>
        <v>10</v>
      </c>
      <c r="S34" s="62">
        <v>28</v>
      </c>
      <c r="T34" s="62"/>
      <c r="U34" s="62"/>
      <c r="V34" s="62"/>
      <c r="W34" s="62"/>
    </row>
    <row r="35" spans="1:23">
      <c r="A35" s="374"/>
      <c r="B35" s="42" t="s">
        <v>1162</v>
      </c>
      <c r="C35" s="42" t="s">
        <v>88</v>
      </c>
      <c r="D35" s="42" t="s">
        <v>16</v>
      </c>
      <c r="E35" s="42" t="s">
        <v>1278</v>
      </c>
      <c r="F35" s="42">
        <v>2267</v>
      </c>
      <c r="G35" s="42"/>
      <c r="H35" s="42">
        <v>17380</v>
      </c>
      <c r="I35" s="42">
        <v>300</v>
      </c>
      <c r="J35" s="42">
        <v>0.5</v>
      </c>
      <c r="K35" s="42">
        <f t="shared" si="7"/>
        <v>150</v>
      </c>
      <c r="L35" s="43">
        <f t="shared" si="1"/>
        <v>17230</v>
      </c>
      <c r="M35" s="43"/>
      <c r="N35" s="43">
        <f t="shared" si="2"/>
        <v>17230</v>
      </c>
      <c r="O35" s="43">
        <f t="shared" si="3"/>
        <v>1216.5999999999999</v>
      </c>
      <c r="P35" s="42">
        <v>25820</v>
      </c>
      <c r="Q35" s="42">
        <v>25820</v>
      </c>
      <c r="R35" s="42">
        <f t="shared" si="4"/>
        <v>0</v>
      </c>
      <c r="S35" s="62">
        <v>29</v>
      </c>
      <c r="T35" s="62"/>
      <c r="U35" s="62"/>
      <c r="V35" s="62"/>
      <c r="W35" s="62"/>
    </row>
    <row r="36" spans="1:23">
      <c r="A36" s="374" t="s">
        <v>1279</v>
      </c>
      <c r="B36" s="42" t="s">
        <v>1162</v>
      </c>
      <c r="C36" s="42" t="s">
        <v>88</v>
      </c>
      <c r="D36" s="42" t="s">
        <v>16</v>
      </c>
      <c r="E36" s="42" t="s">
        <v>1287</v>
      </c>
      <c r="F36" s="42">
        <v>2264</v>
      </c>
      <c r="G36" s="42"/>
      <c r="H36" s="42">
        <v>15320</v>
      </c>
      <c r="I36" s="42">
        <v>261</v>
      </c>
      <c r="J36" s="42">
        <v>0.5</v>
      </c>
      <c r="K36" s="42">
        <v>131</v>
      </c>
      <c r="L36" s="43">
        <f t="shared" si="1"/>
        <v>15189</v>
      </c>
      <c r="M36" s="43"/>
      <c r="N36" s="43">
        <f t="shared" si="2"/>
        <v>15189</v>
      </c>
      <c r="O36" s="43">
        <f t="shared" si="3"/>
        <v>1072.4000000000001</v>
      </c>
      <c r="P36" s="42">
        <v>22710</v>
      </c>
      <c r="Q36" s="42">
        <v>22710</v>
      </c>
      <c r="R36" s="42">
        <f t="shared" si="4"/>
        <v>0</v>
      </c>
      <c r="S36" s="62">
        <v>30</v>
      </c>
      <c r="T36" s="62"/>
      <c r="U36" s="62"/>
      <c r="V36" s="62"/>
      <c r="W36" s="62"/>
    </row>
    <row r="37" spans="1:23">
      <c r="A37" s="374"/>
      <c r="B37" s="42" t="s">
        <v>1162</v>
      </c>
      <c r="C37" s="42" t="s">
        <v>88</v>
      </c>
      <c r="D37" s="42" t="s">
        <v>16</v>
      </c>
      <c r="E37" s="42" t="s">
        <v>114</v>
      </c>
      <c r="F37" s="42">
        <v>2269</v>
      </c>
      <c r="G37" s="42"/>
      <c r="H37" s="42">
        <v>18370</v>
      </c>
      <c r="I37" s="42">
        <v>300</v>
      </c>
      <c r="J37" s="42">
        <v>0.5</v>
      </c>
      <c r="K37" s="42">
        <f t="shared" ref="K37" si="8">I37*J37</f>
        <v>150</v>
      </c>
      <c r="L37" s="43">
        <f t="shared" si="1"/>
        <v>18220</v>
      </c>
      <c r="M37" s="43"/>
      <c r="N37" s="43">
        <f t="shared" si="2"/>
        <v>18220</v>
      </c>
      <c r="O37" s="43">
        <f t="shared" si="3"/>
        <v>1285.9000000000001</v>
      </c>
      <c r="P37" s="42">
        <v>27210</v>
      </c>
      <c r="Q37" s="42">
        <v>27210</v>
      </c>
      <c r="R37" s="42">
        <f t="shared" si="4"/>
        <v>0</v>
      </c>
      <c r="S37" s="62">
        <v>31</v>
      </c>
      <c r="T37" s="62"/>
      <c r="U37" s="62"/>
      <c r="V37" s="62"/>
      <c r="W37" s="62"/>
    </row>
    <row r="38" spans="1:23">
      <c r="A38" s="374"/>
      <c r="B38" s="42" t="s">
        <v>1162</v>
      </c>
      <c r="C38" s="42" t="s">
        <v>88</v>
      </c>
      <c r="D38" s="42" t="s">
        <v>16</v>
      </c>
      <c r="E38" s="42" t="s">
        <v>283</v>
      </c>
      <c r="F38" s="42">
        <v>2270</v>
      </c>
      <c r="G38" s="42"/>
      <c r="H38" s="42">
        <v>18260</v>
      </c>
      <c r="I38" s="42">
        <v>305</v>
      </c>
      <c r="J38" s="42">
        <v>0.5</v>
      </c>
      <c r="K38" s="42">
        <v>153</v>
      </c>
      <c r="L38" s="43">
        <f t="shared" si="1"/>
        <v>18107</v>
      </c>
      <c r="M38" s="43"/>
      <c r="N38" s="43">
        <f t="shared" si="2"/>
        <v>18107</v>
      </c>
      <c r="O38" s="43">
        <f t="shared" si="3"/>
        <v>1278.2</v>
      </c>
      <c r="P38" s="42">
        <v>27050</v>
      </c>
      <c r="Q38" s="42">
        <v>27050</v>
      </c>
      <c r="R38" s="42">
        <f t="shared" si="4"/>
        <v>0</v>
      </c>
      <c r="S38" s="62">
        <v>32</v>
      </c>
      <c r="T38" s="62"/>
      <c r="U38" s="62"/>
      <c r="V38" s="62"/>
      <c r="W38" s="62"/>
    </row>
    <row r="39" spans="1:23">
      <c r="A39" s="374" t="s">
        <v>1288</v>
      </c>
      <c r="B39" s="42" t="s">
        <v>1162</v>
      </c>
      <c r="C39" s="42" t="s">
        <v>88</v>
      </c>
      <c r="D39" s="42" t="s">
        <v>16</v>
      </c>
      <c r="E39" s="42" t="s">
        <v>1291</v>
      </c>
      <c r="F39" s="42">
        <v>2271</v>
      </c>
      <c r="G39" s="42"/>
      <c r="H39" s="42">
        <v>15060</v>
      </c>
      <c r="I39" s="42">
        <v>271</v>
      </c>
      <c r="J39" s="42">
        <v>0.5</v>
      </c>
      <c r="K39" s="42">
        <v>136</v>
      </c>
      <c r="L39" s="43">
        <f t="shared" si="1"/>
        <v>14924</v>
      </c>
      <c r="M39" s="43"/>
      <c r="N39" s="43">
        <f t="shared" si="2"/>
        <v>14924</v>
      </c>
      <c r="O39" s="43">
        <f t="shared" si="3"/>
        <v>1054.2</v>
      </c>
      <c r="P39" s="42">
        <v>23340</v>
      </c>
      <c r="Q39" s="42">
        <v>23340</v>
      </c>
      <c r="R39" s="42">
        <f t="shared" si="4"/>
        <v>0</v>
      </c>
      <c r="S39" s="62">
        <v>33</v>
      </c>
      <c r="T39" s="62"/>
      <c r="U39" s="62"/>
      <c r="V39" s="62"/>
      <c r="W39" s="62"/>
    </row>
    <row r="40" spans="1:23">
      <c r="A40" s="374"/>
      <c r="B40" s="42" t="s">
        <v>1162</v>
      </c>
      <c r="C40" s="42" t="s">
        <v>88</v>
      </c>
      <c r="D40" s="42" t="s">
        <v>16</v>
      </c>
      <c r="E40" s="42" t="s">
        <v>1292</v>
      </c>
      <c r="F40" s="42">
        <v>2274</v>
      </c>
      <c r="G40" s="42"/>
      <c r="H40" s="42">
        <v>18170</v>
      </c>
      <c r="I40" s="42">
        <v>316</v>
      </c>
      <c r="J40" s="42">
        <v>0.5</v>
      </c>
      <c r="K40" s="42">
        <f t="shared" ref="K40:K42" si="9">I40*J40</f>
        <v>158</v>
      </c>
      <c r="L40" s="43">
        <f t="shared" si="1"/>
        <v>18012</v>
      </c>
      <c r="M40" s="43"/>
      <c r="N40" s="43">
        <f t="shared" si="2"/>
        <v>18012</v>
      </c>
      <c r="O40" s="43">
        <f t="shared" si="3"/>
        <v>1271.9000000000001</v>
      </c>
      <c r="P40" s="42">
        <v>28050</v>
      </c>
      <c r="Q40" s="42">
        <v>28050</v>
      </c>
      <c r="R40" s="42">
        <f t="shared" si="4"/>
        <v>0</v>
      </c>
      <c r="S40" s="62">
        <v>34</v>
      </c>
      <c r="T40" s="62"/>
      <c r="U40" s="62"/>
      <c r="V40" s="62"/>
      <c r="W40" s="62"/>
    </row>
    <row r="41" spans="1:23">
      <c r="A41" s="374"/>
      <c r="B41" s="42" t="s">
        <v>1162</v>
      </c>
      <c r="C41" s="42" t="s">
        <v>88</v>
      </c>
      <c r="D41" s="42" t="s">
        <v>16</v>
      </c>
      <c r="E41" s="42" t="s">
        <v>1293</v>
      </c>
      <c r="F41" s="42">
        <v>2272</v>
      </c>
      <c r="G41" s="42"/>
      <c r="H41" s="42">
        <v>16860</v>
      </c>
      <c r="I41" s="42">
        <v>285</v>
      </c>
      <c r="J41" s="42">
        <v>0.5</v>
      </c>
      <c r="K41" s="42">
        <v>143</v>
      </c>
      <c r="L41" s="43">
        <f t="shared" si="1"/>
        <v>16717</v>
      </c>
      <c r="M41" s="43"/>
      <c r="N41" s="43">
        <f t="shared" si="2"/>
        <v>16717</v>
      </c>
      <c r="O41" s="43">
        <f t="shared" si="3"/>
        <v>1180.2</v>
      </c>
      <c r="P41" s="42">
        <v>26040</v>
      </c>
      <c r="Q41" s="42">
        <v>26040</v>
      </c>
      <c r="R41" s="42">
        <f t="shared" si="4"/>
        <v>0</v>
      </c>
      <c r="S41" s="62">
        <v>35</v>
      </c>
      <c r="T41" s="62"/>
      <c r="U41" s="62"/>
      <c r="V41" s="62"/>
      <c r="W41" s="62"/>
    </row>
    <row r="42" spans="1:23">
      <c r="A42" s="374"/>
      <c r="B42" s="42" t="s">
        <v>1162</v>
      </c>
      <c r="C42" s="42" t="s">
        <v>88</v>
      </c>
      <c r="D42" s="42" t="s">
        <v>16</v>
      </c>
      <c r="E42" s="42" t="s">
        <v>1294</v>
      </c>
      <c r="F42" s="42">
        <v>2273</v>
      </c>
      <c r="G42" s="42"/>
      <c r="H42" s="42">
        <v>17720</v>
      </c>
      <c r="I42" s="42">
        <v>280</v>
      </c>
      <c r="J42" s="42">
        <v>0.5</v>
      </c>
      <c r="K42" s="42">
        <f t="shared" si="9"/>
        <v>140</v>
      </c>
      <c r="L42" s="43">
        <f t="shared" si="1"/>
        <v>17580</v>
      </c>
      <c r="M42" s="43"/>
      <c r="N42" s="43">
        <f t="shared" si="2"/>
        <v>17580</v>
      </c>
      <c r="O42" s="43">
        <f t="shared" si="3"/>
        <v>1240.3999999999999</v>
      </c>
      <c r="P42" s="42">
        <v>27300</v>
      </c>
      <c r="Q42" s="42">
        <v>27300</v>
      </c>
      <c r="R42" s="42">
        <f t="shared" si="4"/>
        <v>0</v>
      </c>
      <c r="S42" s="62">
        <v>36</v>
      </c>
      <c r="T42" s="62"/>
      <c r="U42" s="62"/>
      <c r="V42" s="62"/>
      <c r="W42" s="62"/>
    </row>
    <row r="43" spans="1:23">
      <c r="A43" s="63"/>
      <c r="B43" s="67"/>
      <c r="C43" s="67"/>
      <c r="D43" s="67"/>
      <c r="E43" s="67"/>
      <c r="F43" s="67"/>
      <c r="G43" s="67"/>
      <c r="H43" s="67"/>
      <c r="I43" s="67"/>
      <c r="J43" s="67"/>
      <c r="K43" s="68"/>
      <c r="L43" s="68"/>
      <c r="M43" s="68"/>
      <c r="N43" s="68"/>
      <c r="O43" s="68"/>
      <c r="P43" s="67"/>
      <c r="Q43" s="62"/>
      <c r="R43" s="62"/>
      <c r="S43" s="62"/>
      <c r="T43" s="62"/>
      <c r="U43" s="62"/>
      <c r="V43" s="62"/>
      <c r="W43" s="62"/>
    </row>
    <row r="44" spans="1:23">
      <c r="A44" s="63"/>
      <c r="B44" s="67"/>
      <c r="C44" s="67"/>
      <c r="D44" s="67"/>
      <c r="E44" s="67"/>
      <c r="F44" s="67"/>
      <c r="G44" s="67"/>
      <c r="H44" s="67"/>
      <c r="I44" s="68">
        <f t="shared" ref="I44:K44" si="10">SUM(I7:I43)</f>
        <v>10661</v>
      </c>
      <c r="J44" s="68">
        <f t="shared" si="10"/>
        <v>17.63</v>
      </c>
      <c r="K44" s="68">
        <f t="shared" si="10"/>
        <v>5227</v>
      </c>
      <c r="L44" s="68">
        <f>SUM(L7:L43)</f>
        <v>611543</v>
      </c>
      <c r="M44" s="68">
        <f t="shared" ref="M44:Q44" si="11">SUM(M7:M43)</f>
        <v>0</v>
      </c>
      <c r="N44" s="68">
        <f t="shared" si="11"/>
        <v>611543</v>
      </c>
      <c r="O44" s="68">
        <f t="shared" si="11"/>
        <v>43173.899999999994</v>
      </c>
      <c r="P44" s="68">
        <f t="shared" si="11"/>
        <v>813130</v>
      </c>
      <c r="Q44" s="68">
        <f t="shared" si="11"/>
        <v>816500</v>
      </c>
      <c r="R44" s="62"/>
      <c r="S44" s="62"/>
      <c r="T44" s="62"/>
      <c r="U44" s="62"/>
      <c r="V44" s="62"/>
      <c r="W44" s="62"/>
    </row>
    <row r="45" spans="1:23">
      <c r="A45" s="63"/>
      <c r="B45" s="67"/>
      <c r="C45" s="67"/>
      <c r="D45" s="67"/>
      <c r="E45" s="67"/>
      <c r="F45" s="98"/>
      <c r="G45" s="98"/>
      <c r="H45" s="98"/>
      <c r="I45" s="98"/>
      <c r="J45" s="98"/>
      <c r="K45" s="68"/>
      <c r="L45" s="68"/>
      <c r="M45" s="68"/>
      <c r="N45" s="68"/>
      <c r="O45" s="68"/>
      <c r="P45" s="99"/>
      <c r="Q45" s="62"/>
      <c r="R45" s="62"/>
      <c r="S45" s="62"/>
      <c r="T45" s="62"/>
      <c r="U45" s="62"/>
      <c r="V45" s="62"/>
      <c r="W45" s="62"/>
    </row>
    <row r="46" spans="1:23">
      <c r="A46" s="374" t="s">
        <v>1708</v>
      </c>
      <c r="B46" s="42" t="s">
        <v>1713</v>
      </c>
      <c r="C46" s="42" t="s">
        <v>88</v>
      </c>
      <c r="D46" s="42" t="s">
        <v>16</v>
      </c>
      <c r="E46" s="42" t="s">
        <v>1714</v>
      </c>
      <c r="F46" s="42">
        <v>9911</v>
      </c>
      <c r="G46" s="42"/>
      <c r="H46" s="42">
        <v>15560</v>
      </c>
      <c r="I46" s="42">
        <v>276</v>
      </c>
      <c r="J46" s="42">
        <v>0.5</v>
      </c>
      <c r="K46" s="42">
        <f t="shared" ref="K46:K48" si="12">I46*J46</f>
        <v>138</v>
      </c>
      <c r="L46" s="43">
        <f t="shared" ref="L46:L71" si="13">H46-K46</f>
        <v>15422</v>
      </c>
      <c r="M46" s="43"/>
      <c r="N46" s="43">
        <f t="shared" ref="N46:N71" si="14">L46-M46</f>
        <v>15422</v>
      </c>
      <c r="O46" s="43">
        <f t="shared" ref="O46:O71" si="15">H46/1000*70</f>
        <v>1089.2</v>
      </c>
      <c r="P46" s="204">
        <v>25620</v>
      </c>
      <c r="Q46" s="204"/>
      <c r="R46" s="42">
        <f t="shared" ref="R46:R71" si="16">L46*Q46</f>
        <v>0</v>
      </c>
      <c r="S46" s="62">
        <v>1</v>
      </c>
      <c r="T46" s="62"/>
      <c r="U46" s="62"/>
      <c r="V46" s="62"/>
      <c r="W46" s="62"/>
    </row>
    <row r="47" spans="1:23">
      <c r="A47" s="374"/>
      <c r="B47" s="42" t="s">
        <v>1713</v>
      </c>
      <c r="C47" s="42" t="s">
        <v>88</v>
      </c>
      <c r="D47" s="42" t="s">
        <v>16</v>
      </c>
      <c r="E47" s="42" t="s">
        <v>1715</v>
      </c>
      <c r="F47" s="42">
        <v>9907</v>
      </c>
      <c r="G47" s="42"/>
      <c r="H47" s="42">
        <v>17980</v>
      </c>
      <c r="I47" s="42">
        <v>300</v>
      </c>
      <c r="J47" s="42">
        <v>0.5</v>
      </c>
      <c r="K47" s="42">
        <f t="shared" si="12"/>
        <v>150</v>
      </c>
      <c r="L47" s="43">
        <f t="shared" si="13"/>
        <v>17830</v>
      </c>
      <c r="M47" s="43"/>
      <c r="N47" s="43">
        <f t="shared" si="14"/>
        <v>17830</v>
      </c>
      <c r="O47" s="43">
        <f t="shared" si="15"/>
        <v>1258.6000000000001</v>
      </c>
      <c r="P47" s="204">
        <v>30100</v>
      </c>
      <c r="Q47" s="204"/>
      <c r="R47" s="42">
        <f t="shared" si="16"/>
        <v>0</v>
      </c>
      <c r="S47" s="62">
        <v>2</v>
      </c>
      <c r="T47" s="62"/>
      <c r="U47" s="62"/>
      <c r="V47" s="62"/>
      <c r="W47" s="62"/>
    </row>
    <row r="48" spans="1:23">
      <c r="A48" s="374"/>
      <c r="B48" s="42" t="s">
        <v>1713</v>
      </c>
      <c r="C48" s="42" t="s">
        <v>88</v>
      </c>
      <c r="D48" s="42" t="s">
        <v>16</v>
      </c>
      <c r="E48" s="42" t="s">
        <v>1716</v>
      </c>
      <c r="F48" s="42">
        <v>9901</v>
      </c>
      <c r="G48" s="42"/>
      <c r="H48" s="42">
        <v>17030</v>
      </c>
      <c r="I48" s="42">
        <v>290</v>
      </c>
      <c r="J48" s="42">
        <v>0.5</v>
      </c>
      <c r="K48" s="42">
        <f t="shared" si="12"/>
        <v>145</v>
      </c>
      <c r="L48" s="43">
        <f t="shared" si="13"/>
        <v>16885</v>
      </c>
      <c r="M48" s="43"/>
      <c r="N48" s="43">
        <f t="shared" si="14"/>
        <v>16885</v>
      </c>
      <c r="O48" s="43">
        <f t="shared" si="15"/>
        <v>1192.1000000000001</v>
      </c>
      <c r="P48" s="204">
        <v>29000</v>
      </c>
      <c r="Q48" s="204"/>
      <c r="R48" s="42">
        <f t="shared" si="16"/>
        <v>0</v>
      </c>
      <c r="S48" s="62">
        <v>3</v>
      </c>
      <c r="T48" s="62"/>
      <c r="U48" s="62"/>
      <c r="V48" s="62"/>
      <c r="W48" s="62"/>
    </row>
    <row r="49" spans="1:23">
      <c r="A49" s="374"/>
      <c r="B49" s="42" t="s">
        <v>1713</v>
      </c>
      <c r="C49" s="42" t="s">
        <v>88</v>
      </c>
      <c r="D49" s="42" t="s">
        <v>16</v>
      </c>
      <c r="E49" s="42" t="s">
        <v>1717</v>
      </c>
      <c r="F49" s="42">
        <v>9902</v>
      </c>
      <c r="G49" s="42"/>
      <c r="H49" s="42">
        <v>20080</v>
      </c>
      <c r="I49" s="42">
        <v>351</v>
      </c>
      <c r="J49" s="42">
        <v>0.5</v>
      </c>
      <c r="K49" s="42">
        <v>176</v>
      </c>
      <c r="L49" s="43">
        <f t="shared" si="13"/>
        <v>19904</v>
      </c>
      <c r="M49" s="43"/>
      <c r="N49" s="43">
        <f t="shared" si="14"/>
        <v>19904</v>
      </c>
      <c r="O49" s="43">
        <f t="shared" si="15"/>
        <v>1405.6</v>
      </c>
      <c r="P49" s="204">
        <v>33670</v>
      </c>
      <c r="Q49" s="204"/>
      <c r="R49" s="42">
        <f t="shared" si="16"/>
        <v>0</v>
      </c>
      <c r="S49" s="62">
        <v>4</v>
      </c>
      <c r="T49" s="62"/>
      <c r="U49" s="62"/>
      <c r="V49" s="62"/>
      <c r="W49" s="62"/>
    </row>
    <row r="50" spans="1:23">
      <c r="A50" s="374">
        <v>1306.18</v>
      </c>
      <c r="B50" s="42" t="s">
        <v>1713</v>
      </c>
      <c r="C50" s="42" t="s">
        <v>88</v>
      </c>
      <c r="D50" s="42" t="s">
        <v>16</v>
      </c>
      <c r="E50" s="42" t="s">
        <v>1726</v>
      </c>
      <c r="F50" s="42">
        <v>9904</v>
      </c>
      <c r="G50" s="42"/>
      <c r="H50" s="42">
        <v>18410</v>
      </c>
      <c r="I50" s="42">
        <v>314</v>
      </c>
      <c r="J50" s="42">
        <v>0.5</v>
      </c>
      <c r="K50" s="42">
        <f t="shared" ref="K50:K53" si="17">I50*J50</f>
        <v>157</v>
      </c>
      <c r="L50" s="43">
        <f t="shared" si="13"/>
        <v>18253</v>
      </c>
      <c r="M50" s="43"/>
      <c r="N50" s="43">
        <f t="shared" si="14"/>
        <v>18253</v>
      </c>
      <c r="O50" s="43">
        <f t="shared" si="15"/>
        <v>1288.7</v>
      </c>
      <c r="P50" s="205">
        <v>31000</v>
      </c>
      <c r="Q50" s="205"/>
      <c r="R50" s="42">
        <f t="shared" si="16"/>
        <v>0</v>
      </c>
      <c r="S50" s="62">
        <v>5</v>
      </c>
      <c r="T50" s="62"/>
      <c r="U50" s="62"/>
      <c r="V50" s="62"/>
      <c r="W50" s="62"/>
    </row>
    <row r="51" spans="1:23">
      <c r="A51" s="374"/>
      <c r="B51" s="42" t="s">
        <v>1713</v>
      </c>
      <c r="C51" s="42" t="s">
        <v>88</v>
      </c>
      <c r="D51" s="42" t="s">
        <v>16</v>
      </c>
      <c r="E51" s="42" t="s">
        <v>1727</v>
      </c>
      <c r="F51" s="42">
        <v>9903</v>
      </c>
      <c r="G51" s="42"/>
      <c r="H51" s="42">
        <v>15940</v>
      </c>
      <c r="I51" s="42">
        <v>270</v>
      </c>
      <c r="J51" s="42">
        <v>0.5</v>
      </c>
      <c r="K51" s="42">
        <f t="shared" si="17"/>
        <v>135</v>
      </c>
      <c r="L51" s="43">
        <f t="shared" si="13"/>
        <v>15805</v>
      </c>
      <c r="M51" s="43"/>
      <c r="N51" s="43">
        <f t="shared" si="14"/>
        <v>15805</v>
      </c>
      <c r="O51" s="43">
        <f t="shared" si="15"/>
        <v>1115.8</v>
      </c>
      <c r="P51" s="205">
        <v>27150</v>
      </c>
      <c r="Q51" s="205"/>
      <c r="R51" s="42">
        <f t="shared" si="16"/>
        <v>0</v>
      </c>
      <c r="S51" s="62">
        <v>6</v>
      </c>
      <c r="T51" s="62"/>
      <c r="U51" s="62"/>
      <c r="V51" s="62"/>
      <c r="W51" s="62"/>
    </row>
    <row r="52" spans="1:23">
      <c r="A52" s="374"/>
      <c r="B52" s="42" t="s">
        <v>1713</v>
      </c>
      <c r="C52" s="42" t="s">
        <v>88</v>
      </c>
      <c r="D52" s="42" t="s">
        <v>16</v>
      </c>
      <c r="E52" s="42" t="s">
        <v>1728</v>
      </c>
      <c r="F52" s="42">
        <v>9910</v>
      </c>
      <c r="G52" s="42"/>
      <c r="H52" s="42">
        <v>16720</v>
      </c>
      <c r="I52" s="42">
        <v>294</v>
      </c>
      <c r="J52" s="42">
        <v>0.5</v>
      </c>
      <c r="K52" s="42">
        <f t="shared" si="17"/>
        <v>147</v>
      </c>
      <c r="L52" s="43">
        <f t="shared" si="13"/>
        <v>16573</v>
      </c>
      <c r="M52" s="43"/>
      <c r="N52" s="43">
        <f t="shared" si="14"/>
        <v>16573</v>
      </c>
      <c r="O52" s="43">
        <f t="shared" si="15"/>
        <v>1170.3999999999999</v>
      </c>
      <c r="P52" s="205">
        <v>28140</v>
      </c>
      <c r="Q52" s="205"/>
      <c r="R52" s="42">
        <f t="shared" si="16"/>
        <v>0</v>
      </c>
      <c r="S52" s="62">
        <v>7</v>
      </c>
      <c r="T52" s="62"/>
      <c r="U52" s="62"/>
      <c r="V52" s="62"/>
      <c r="W52" s="62"/>
    </row>
    <row r="53" spans="1:23">
      <c r="A53" s="374"/>
      <c r="B53" s="42" t="s">
        <v>1713</v>
      </c>
      <c r="C53" s="42" t="s">
        <v>88</v>
      </c>
      <c r="D53" s="42" t="s">
        <v>16</v>
      </c>
      <c r="E53" s="42" t="s">
        <v>1729</v>
      </c>
      <c r="F53" s="42">
        <v>9905</v>
      </c>
      <c r="G53" s="42"/>
      <c r="H53" s="42">
        <v>26770</v>
      </c>
      <c r="I53" s="42">
        <v>460</v>
      </c>
      <c r="J53" s="42">
        <v>0.5</v>
      </c>
      <c r="K53" s="42">
        <f t="shared" si="17"/>
        <v>230</v>
      </c>
      <c r="L53" s="43">
        <f t="shared" si="13"/>
        <v>26540</v>
      </c>
      <c r="M53" s="43"/>
      <c r="N53" s="43">
        <f t="shared" si="14"/>
        <v>26540</v>
      </c>
      <c r="O53" s="43">
        <f t="shared" si="15"/>
        <v>1873.8999999999999</v>
      </c>
      <c r="P53" s="205">
        <v>45400</v>
      </c>
      <c r="Q53" s="205"/>
      <c r="R53" s="42">
        <f t="shared" si="16"/>
        <v>0</v>
      </c>
      <c r="S53" s="62">
        <v>8</v>
      </c>
      <c r="T53" s="62"/>
      <c r="U53" s="62"/>
      <c r="V53" s="62"/>
      <c r="W53" s="62"/>
    </row>
    <row r="54" spans="1:23">
      <c r="A54" s="374"/>
      <c r="B54" s="42" t="s">
        <v>1713</v>
      </c>
      <c r="C54" s="42" t="s">
        <v>88</v>
      </c>
      <c r="D54" s="42" t="s">
        <v>16</v>
      </c>
      <c r="E54" s="42" t="s">
        <v>1730</v>
      </c>
      <c r="F54" s="42">
        <v>9906</v>
      </c>
      <c r="G54" s="42"/>
      <c r="H54" s="42">
        <v>28790</v>
      </c>
      <c r="I54" s="42">
        <v>525</v>
      </c>
      <c r="J54" s="42">
        <v>0.5</v>
      </c>
      <c r="K54" s="42">
        <v>263</v>
      </c>
      <c r="L54" s="43">
        <f t="shared" si="13"/>
        <v>28527</v>
      </c>
      <c r="M54" s="43"/>
      <c r="N54" s="43">
        <f t="shared" si="14"/>
        <v>28527</v>
      </c>
      <c r="O54" s="43">
        <f t="shared" si="15"/>
        <v>2015.3</v>
      </c>
      <c r="P54" s="205">
        <v>47380</v>
      </c>
      <c r="Q54" s="205"/>
      <c r="R54" s="42">
        <f t="shared" si="16"/>
        <v>0</v>
      </c>
      <c r="S54" s="62">
        <v>9</v>
      </c>
      <c r="T54" s="62"/>
      <c r="U54" s="62"/>
      <c r="V54" s="62"/>
      <c r="W54" s="62"/>
    </row>
    <row r="55" spans="1:23">
      <c r="A55" s="374"/>
      <c r="B55" s="42" t="s">
        <v>1731</v>
      </c>
      <c r="C55" s="42" t="s">
        <v>88</v>
      </c>
      <c r="D55" s="42" t="s">
        <v>16</v>
      </c>
      <c r="E55" s="42" t="s">
        <v>1733</v>
      </c>
      <c r="F55" s="42">
        <v>9909</v>
      </c>
      <c r="G55" s="42"/>
      <c r="H55" s="42">
        <v>20370</v>
      </c>
      <c r="I55" s="42">
        <v>357</v>
      </c>
      <c r="J55" s="42">
        <v>0.5</v>
      </c>
      <c r="K55" s="42">
        <v>179</v>
      </c>
      <c r="L55" s="43">
        <f t="shared" si="13"/>
        <v>20191</v>
      </c>
      <c r="M55" s="43"/>
      <c r="N55" s="43">
        <f t="shared" si="14"/>
        <v>20191</v>
      </c>
      <c r="O55" s="43">
        <f t="shared" si="15"/>
        <v>1425.9</v>
      </c>
      <c r="P55" s="205">
        <v>34160</v>
      </c>
      <c r="Q55" s="205"/>
      <c r="R55" s="42">
        <f t="shared" si="16"/>
        <v>0</v>
      </c>
      <c r="S55" s="62">
        <v>10</v>
      </c>
      <c r="T55" s="62"/>
      <c r="U55" s="62"/>
      <c r="V55" s="62"/>
      <c r="W55" s="62"/>
    </row>
    <row r="56" spans="1:23">
      <c r="A56" s="374"/>
      <c r="B56" s="42" t="s">
        <v>1732</v>
      </c>
      <c r="C56" s="42" t="s">
        <v>88</v>
      </c>
      <c r="D56" s="42" t="s">
        <v>16</v>
      </c>
      <c r="E56" s="42" t="s">
        <v>1734</v>
      </c>
      <c r="F56" s="42">
        <v>9908</v>
      </c>
      <c r="G56" s="42"/>
      <c r="H56" s="42">
        <v>22840</v>
      </c>
      <c r="I56" s="42">
        <v>395</v>
      </c>
      <c r="J56" s="42">
        <v>0.5</v>
      </c>
      <c r="K56" s="42">
        <v>198</v>
      </c>
      <c r="L56" s="43">
        <f t="shared" si="13"/>
        <v>22642</v>
      </c>
      <c r="M56" s="43"/>
      <c r="N56" s="43">
        <f t="shared" si="14"/>
        <v>22642</v>
      </c>
      <c r="O56" s="43">
        <f t="shared" si="15"/>
        <v>1598.8</v>
      </c>
      <c r="P56" s="205">
        <v>38880</v>
      </c>
      <c r="Q56" s="205"/>
      <c r="R56" s="42">
        <f t="shared" si="16"/>
        <v>0</v>
      </c>
      <c r="S56" s="62">
        <v>11</v>
      </c>
      <c r="T56" s="62"/>
      <c r="U56" s="62"/>
      <c r="V56" s="62"/>
      <c r="W56" s="62"/>
    </row>
    <row r="57" spans="1:23">
      <c r="A57" s="374" t="s">
        <v>1735</v>
      </c>
      <c r="B57" s="42" t="s">
        <v>1713</v>
      </c>
      <c r="C57" s="42" t="s">
        <v>88</v>
      </c>
      <c r="D57" s="42" t="s">
        <v>16</v>
      </c>
      <c r="E57" s="42" t="s">
        <v>1736</v>
      </c>
      <c r="F57" s="42">
        <v>9924</v>
      </c>
      <c r="G57" s="42"/>
      <c r="H57" s="42">
        <v>21230</v>
      </c>
      <c r="I57" s="42">
        <v>312</v>
      </c>
      <c r="J57" s="42">
        <v>0.5</v>
      </c>
      <c r="K57" s="42">
        <f t="shared" ref="K57:K65" si="18">I57*J57</f>
        <v>156</v>
      </c>
      <c r="L57" s="43">
        <f t="shared" si="13"/>
        <v>21074</v>
      </c>
      <c r="M57" s="43"/>
      <c r="N57" s="43">
        <f t="shared" si="14"/>
        <v>21074</v>
      </c>
      <c r="O57" s="43">
        <f t="shared" si="15"/>
        <v>1486.1000000000001</v>
      </c>
      <c r="P57" s="210">
        <v>36350</v>
      </c>
      <c r="Q57" s="210"/>
      <c r="R57" s="42">
        <f t="shared" si="16"/>
        <v>0</v>
      </c>
      <c r="S57" s="62">
        <v>12</v>
      </c>
      <c r="T57" s="62"/>
      <c r="U57" s="62"/>
      <c r="V57" s="62"/>
      <c r="W57" s="62"/>
    </row>
    <row r="58" spans="1:23">
      <c r="A58" s="374"/>
      <c r="B58" s="42" t="s">
        <v>1713</v>
      </c>
      <c r="C58" s="42" t="s">
        <v>88</v>
      </c>
      <c r="D58" s="42" t="s">
        <v>16</v>
      </c>
      <c r="E58" s="42" t="s">
        <v>1737</v>
      </c>
      <c r="F58" s="42">
        <v>9917</v>
      </c>
      <c r="G58" s="42"/>
      <c r="H58" s="42">
        <v>17980</v>
      </c>
      <c r="I58" s="42">
        <v>360</v>
      </c>
      <c r="J58" s="42">
        <v>0.5</v>
      </c>
      <c r="K58" s="42">
        <f t="shared" si="18"/>
        <v>180</v>
      </c>
      <c r="L58" s="43">
        <f t="shared" si="13"/>
        <v>17800</v>
      </c>
      <c r="M58" s="43"/>
      <c r="N58" s="43">
        <f t="shared" si="14"/>
        <v>17800</v>
      </c>
      <c r="O58" s="43">
        <f t="shared" si="15"/>
        <v>1258.6000000000001</v>
      </c>
      <c r="P58" s="210">
        <v>31000</v>
      </c>
      <c r="Q58" s="210"/>
      <c r="R58" s="42">
        <f t="shared" si="16"/>
        <v>0</v>
      </c>
      <c r="S58" s="62">
        <v>13</v>
      </c>
      <c r="T58" s="62"/>
      <c r="U58" s="62"/>
      <c r="V58" s="62"/>
      <c r="W58" s="62"/>
    </row>
    <row r="59" spans="1:23">
      <c r="A59" s="374"/>
      <c r="B59" s="42" t="s">
        <v>1713</v>
      </c>
      <c r="C59" s="42" t="s">
        <v>88</v>
      </c>
      <c r="D59" s="42" t="s">
        <v>16</v>
      </c>
      <c r="E59" s="42" t="s">
        <v>1738</v>
      </c>
      <c r="F59" s="42">
        <v>9921</v>
      </c>
      <c r="G59" s="42"/>
      <c r="H59" s="42">
        <v>18810</v>
      </c>
      <c r="I59" s="42">
        <v>330</v>
      </c>
      <c r="J59" s="42">
        <v>0.5</v>
      </c>
      <c r="K59" s="42">
        <f t="shared" si="18"/>
        <v>165</v>
      </c>
      <c r="L59" s="43">
        <f t="shared" si="13"/>
        <v>18645</v>
      </c>
      <c r="M59" s="43"/>
      <c r="N59" s="43">
        <f t="shared" si="14"/>
        <v>18645</v>
      </c>
      <c r="O59" s="43">
        <f t="shared" si="15"/>
        <v>1316.6999999999998</v>
      </c>
      <c r="P59" s="210">
        <v>32840</v>
      </c>
      <c r="Q59" s="210"/>
      <c r="R59" s="42">
        <f t="shared" si="16"/>
        <v>0</v>
      </c>
      <c r="S59" s="62">
        <v>14</v>
      </c>
      <c r="T59" s="62"/>
      <c r="U59" s="62"/>
      <c r="V59" s="62"/>
      <c r="W59" s="62"/>
    </row>
    <row r="60" spans="1:23">
      <c r="A60" s="374"/>
      <c r="B60" s="42" t="s">
        <v>1713</v>
      </c>
      <c r="C60" s="42" t="s">
        <v>88</v>
      </c>
      <c r="D60" s="42" t="s">
        <v>16</v>
      </c>
      <c r="E60" s="42" t="s">
        <v>1739</v>
      </c>
      <c r="F60" s="42">
        <v>9920</v>
      </c>
      <c r="G60" s="42"/>
      <c r="H60" s="42">
        <v>17400</v>
      </c>
      <c r="I60" s="42">
        <v>290</v>
      </c>
      <c r="J60" s="42">
        <v>0.5</v>
      </c>
      <c r="K60" s="42">
        <f t="shared" si="18"/>
        <v>145</v>
      </c>
      <c r="L60" s="43">
        <f t="shared" si="13"/>
        <v>17255</v>
      </c>
      <c r="M60" s="43"/>
      <c r="N60" s="43">
        <f t="shared" si="14"/>
        <v>17255</v>
      </c>
      <c r="O60" s="43">
        <f t="shared" si="15"/>
        <v>1218</v>
      </c>
      <c r="P60" s="210">
        <v>29800</v>
      </c>
      <c r="Q60" s="210"/>
      <c r="R60" s="42">
        <f t="shared" si="16"/>
        <v>0</v>
      </c>
      <c r="S60" s="62">
        <v>15</v>
      </c>
      <c r="T60" s="62"/>
      <c r="U60" s="62"/>
      <c r="V60" s="62"/>
      <c r="W60" s="62"/>
    </row>
    <row r="61" spans="1:23">
      <c r="A61" s="374"/>
      <c r="B61" s="42" t="s">
        <v>1713</v>
      </c>
      <c r="C61" s="42" t="s">
        <v>88</v>
      </c>
      <c r="D61" s="42" t="s">
        <v>16</v>
      </c>
      <c r="E61" s="42" t="s">
        <v>1740</v>
      </c>
      <c r="F61" s="42">
        <v>9923</v>
      </c>
      <c r="G61" s="42"/>
      <c r="H61" s="42">
        <v>19600</v>
      </c>
      <c r="I61" s="42">
        <v>315</v>
      </c>
      <c r="J61" s="42">
        <v>0.5</v>
      </c>
      <c r="K61" s="42">
        <v>156</v>
      </c>
      <c r="L61" s="43">
        <f t="shared" si="13"/>
        <v>19444</v>
      </c>
      <c r="M61" s="43"/>
      <c r="N61" s="43">
        <f t="shared" si="14"/>
        <v>19444</v>
      </c>
      <c r="O61" s="43">
        <f t="shared" si="15"/>
        <v>1372</v>
      </c>
      <c r="P61" s="210">
        <v>35000</v>
      </c>
      <c r="Q61" s="210"/>
      <c r="R61" s="42">
        <f t="shared" si="16"/>
        <v>0</v>
      </c>
      <c r="S61" s="62">
        <v>16</v>
      </c>
      <c r="T61" s="62"/>
      <c r="U61" s="62"/>
      <c r="V61" s="62"/>
      <c r="W61" s="62"/>
    </row>
    <row r="62" spans="1:23">
      <c r="A62" s="374"/>
      <c r="B62" s="42" t="s">
        <v>1713</v>
      </c>
      <c r="C62" s="42" t="s">
        <v>88</v>
      </c>
      <c r="D62" s="42" t="s">
        <v>16</v>
      </c>
      <c r="E62" s="42" t="s">
        <v>1741</v>
      </c>
      <c r="F62" s="42">
        <v>9919</v>
      </c>
      <c r="G62" s="42"/>
      <c r="H62" s="42">
        <v>16600</v>
      </c>
      <c r="I62" s="42">
        <v>290</v>
      </c>
      <c r="J62" s="42">
        <v>0.5</v>
      </c>
      <c r="K62" s="42">
        <f t="shared" si="18"/>
        <v>145</v>
      </c>
      <c r="L62" s="43">
        <f t="shared" si="13"/>
        <v>16455</v>
      </c>
      <c r="M62" s="43"/>
      <c r="N62" s="43">
        <f t="shared" si="14"/>
        <v>16455</v>
      </c>
      <c r="O62" s="43">
        <f t="shared" si="15"/>
        <v>1162</v>
      </c>
      <c r="P62" s="210">
        <v>28420</v>
      </c>
      <c r="Q62" s="210"/>
      <c r="R62" s="42">
        <f t="shared" si="16"/>
        <v>0</v>
      </c>
      <c r="S62" s="62">
        <v>17</v>
      </c>
      <c r="T62" s="62"/>
      <c r="U62" s="62"/>
      <c r="V62" s="62"/>
      <c r="W62" s="62"/>
    </row>
    <row r="63" spans="1:23">
      <c r="A63" s="374"/>
      <c r="B63" s="42" t="s">
        <v>1713</v>
      </c>
      <c r="C63" s="42" t="s">
        <v>88</v>
      </c>
      <c r="D63" s="42" t="s">
        <v>16</v>
      </c>
      <c r="E63" s="42" t="s">
        <v>1742</v>
      </c>
      <c r="F63" s="42">
        <v>9922</v>
      </c>
      <c r="G63" s="42"/>
      <c r="H63" s="42">
        <v>16005</v>
      </c>
      <c r="I63" s="42">
        <v>271</v>
      </c>
      <c r="J63" s="42">
        <v>0.5</v>
      </c>
      <c r="K63" s="42">
        <v>136</v>
      </c>
      <c r="L63" s="43">
        <f t="shared" si="13"/>
        <v>15869</v>
      </c>
      <c r="M63" s="43"/>
      <c r="N63" s="43">
        <f t="shared" si="14"/>
        <v>15869</v>
      </c>
      <c r="O63" s="43">
        <f t="shared" si="15"/>
        <v>1120.3499999999999</v>
      </c>
      <c r="P63" s="210">
        <v>28640</v>
      </c>
      <c r="Q63" s="210"/>
      <c r="R63" s="42">
        <f t="shared" si="16"/>
        <v>0</v>
      </c>
      <c r="S63" s="62">
        <v>18</v>
      </c>
      <c r="T63" s="62"/>
      <c r="U63" s="62"/>
      <c r="V63" s="62"/>
      <c r="W63" s="62"/>
    </row>
    <row r="64" spans="1:23">
      <c r="A64" s="374"/>
      <c r="B64" s="42" t="s">
        <v>1713</v>
      </c>
      <c r="C64" s="42" t="s">
        <v>88</v>
      </c>
      <c r="D64" s="42" t="s">
        <v>16</v>
      </c>
      <c r="E64" s="42" t="s">
        <v>1743</v>
      </c>
      <c r="F64" s="42">
        <v>9916</v>
      </c>
      <c r="G64" s="42"/>
      <c r="H64" s="42">
        <v>15990</v>
      </c>
      <c r="I64" s="42">
        <v>270</v>
      </c>
      <c r="J64" s="42">
        <v>0.5</v>
      </c>
      <c r="K64" s="42">
        <f t="shared" si="18"/>
        <v>135</v>
      </c>
      <c r="L64" s="43">
        <f t="shared" si="13"/>
        <v>15855</v>
      </c>
      <c r="M64" s="43"/>
      <c r="N64" s="43">
        <f t="shared" si="14"/>
        <v>15855</v>
      </c>
      <c r="O64" s="43">
        <f t="shared" si="15"/>
        <v>1119.3</v>
      </c>
      <c r="P64" s="210">
        <v>27540</v>
      </c>
      <c r="Q64" s="210"/>
      <c r="R64" s="42">
        <f t="shared" si="16"/>
        <v>0</v>
      </c>
      <c r="S64" s="62">
        <v>19</v>
      </c>
      <c r="T64" s="62"/>
      <c r="U64" s="62"/>
      <c r="V64" s="62"/>
      <c r="W64" s="62"/>
    </row>
    <row r="65" spans="1:23">
      <c r="A65" s="374"/>
      <c r="B65" s="42" t="s">
        <v>1713</v>
      </c>
      <c r="C65" s="42" t="s">
        <v>88</v>
      </c>
      <c r="D65" s="42" t="s">
        <v>16</v>
      </c>
      <c r="E65" s="42" t="s">
        <v>1744</v>
      </c>
      <c r="F65" s="42">
        <v>9918</v>
      </c>
      <c r="G65" s="42"/>
      <c r="H65" s="42">
        <v>16890</v>
      </c>
      <c r="I65" s="42">
        <v>288</v>
      </c>
      <c r="J65" s="42">
        <v>0.5</v>
      </c>
      <c r="K65" s="42">
        <f t="shared" si="18"/>
        <v>144</v>
      </c>
      <c r="L65" s="43">
        <f t="shared" si="13"/>
        <v>16746</v>
      </c>
      <c r="M65" s="43"/>
      <c r="N65" s="43">
        <f t="shared" si="14"/>
        <v>16746</v>
      </c>
      <c r="O65" s="43">
        <f t="shared" si="15"/>
        <v>1182.3</v>
      </c>
      <c r="P65" s="210">
        <v>30280</v>
      </c>
      <c r="Q65" s="210"/>
      <c r="R65" s="42">
        <f t="shared" si="16"/>
        <v>0</v>
      </c>
      <c r="S65" s="62">
        <v>20</v>
      </c>
      <c r="T65" s="62"/>
      <c r="U65" s="62"/>
      <c r="V65" s="62"/>
      <c r="W65" s="62"/>
    </row>
    <row r="66" spans="1:23">
      <c r="A66" s="374"/>
      <c r="B66" s="42" t="s">
        <v>1713</v>
      </c>
      <c r="C66" s="42" t="s">
        <v>88</v>
      </c>
      <c r="D66" s="42" t="s">
        <v>16</v>
      </c>
      <c r="E66" s="42" t="s">
        <v>1745</v>
      </c>
      <c r="F66" s="42">
        <v>9914</v>
      </c>
      <c r="G66" s="42"/>
      <c r="H66" s="42">
        <v>19780</v>
      </c>
      <c r="I66" s="42">
        <v>355</v>
      </c>
      <c r="J66" s="42">
        <v>0.5</v>
      </c>
      <c r="K66" s="42">
        <v>178</v>
      </c>
      <c r="L66" s="43">
        <f t="shared" si="13"/>
        <v>19602</v>
      </c>
      <c r="M66" s="43"/>
      <c r="N66" s="43">
        <f t="shared" si="14"/>
        <v>19602</v>
      </c>
      <c r="O66" s="43">
        <f t="shared" si="15"/>
        <v>1384.6000000000001</v>
      </c>
      <c r="P66" s="210">
        <v>33160</v>
      </c>
      <c r="Q66" s="210"/>
      <c r="R66" s="42">
        <f t="shared" si="16"/>
        <v>0</v>
      </c>
      <c r="S66" s="62">
        <v>21</v>
      </c>
      <c r="T66" s="62"/>
      <c r="U66" s="62"/>
      <c r="V66" s="62"/>
      <c r="W66" s="62"/>
    </row>
    <row r="67" spans="1:23">
      <c r="A67" s="374"/>
      <c r="B67" s="42" t="s">
        <v>1713</v>
      </c>
      <c r="C67" s="42" t="s">
        <v>88</v>
      </c>
      <c r="D67" s="42" t="s">
        <v>16</v>
      </c>
      <c r="E67" s="42" t="s">
        <v>1746</v>
      </c>
      <c r="F67" s="42">
        <v>9912</v>
      </c>
      <c r="G67" s="42"/>
      <c r="H67" s="42">
        <v>19210</v>
      </c>
      <c r="I67" s="42">
        <v>339</v>
      </c>
      <c r="J67" s="42">
        <v>0.5</v>
      </c>
      <c r="K67" s="42">
        <v>170</v>
      </c>
      <c r="L67" s="43">
        <f t="shared" si="13"/>
        <v>19040</v>
      </c>
      <c r="M67" s="43"/>
      <c r="N67" s="43">
        <f t="shared" si="14"/>
        <v>19040</v>
      </c>
      <c r="O67" s="43">
        <f t="shared" si="15"/>
        <v>1344.7</v>
      </c>
      <c r="P67" s="210">
        <v>32370</v>
      </c>
      <c r="Q67" s="210"/>
      <c r="R67" s="42">
        <f t="shared" si="16"/>
        <v>0</v>
      </c>
      <c r="S67" s="62">
        <v>22</v>
      </c>
      <c r="T67" s="62"/>
      <c r="U67" s="62"/>
      <c r="V67" s="62"/>
      <c r="W67" s="62"/>
    </row>
    <row r="68" spans="1:23">
      <c r="A68" s="63" t="s">
        <v>1749</v>
      </c>
      <c r="B68" s="42" t="s">
        <v>1713</v>
      </c>
      <c r="C68" s="42" t="s">
        <v>88</v>
      </c>
      <c r="D68" s="42" t="s">
        <v>16</v>
      </c>
      <c r="E68" s="42" t="s">
        <v>1750</v>
      </c>
      <c r="F68" s="42">
        <v>9925</v>
      </c>
      <c r="G68" s="42"/>
      <c r="H68" s="42">
        <v>18930</v>
      </c>
      <c r="I68" s="42">
        <v>325</v>
      </c>
      <c r="J68" s="42">
        <v>0.5</v>
      </c>
      <c r="K68" s="42">
        <v>163</v>
      </c>
      <c r="L68" s="43">
        <f t="shared" si="13"/>
        <v>18767</v>
      </c>
      <c r="M68" s="43"/>
      <c r="N68" s="43">
        <f t="shared" si="14"/>
        <v>18767</v>
      </c>
      <c r="O68" s="43">
        <f t="shared" si="15"/>
        <v>1325.1</v>
      </c>
      <c r="P68" s="210">
        <v>33420</v>
      </c>
      <c r="Q68" s="210"/>
      <c r="R68" s="42">
        <f t="shared" si="16"/>
        <v>0</v>
      </c>
      <c r="S68" s="62">
        <v>23</v>
      </c>
      <c r="T68" s="62"/>
      <c r="U68" s="62"/>
      <c r="V68" s="62"/>
      <c r="W68" s="62"/>
    </row>
    <row r="69" spans="1:23">
      <c r="A69" s="374" t="s">
        <v>1772</v>
      </c>
      <c r="B69" s="42" t="s">
        <v>1713</v>
      </c>
      <c r="C69" s="42" t="s">
        <v>88</v>
      </c>
      <c r="D69" s="42" t="s">
        <v>16</v>
      </c>
      <c r="E69" s="42" t="s">
        <v>1774</v>
      </c>
      <c r="F69" s="42">
        <v>9926</v>
      </c>
      <c r="G69" s="42"/>
      <c r="H69" s="42">
        <v>18630</v>
      </c>
      <c r="I69" s="42">
        <v>307</v>
      </c>
      <c r="J69" s="42">
        <v>0.5</v>
      </c>
      <c r="K69" s="42">
        <v>154</v>
      </c>
      <c r="L69" s="43">
        <f t="shared" si="13"/>
        <v>18476</v>
      </c>
      <c r="M69" s="43"/>
      <c r="N69" s="43">
        <f t="shared" si="14"/>
        <v>18476</v>
      </c>
      <c r="O69" s="43">
        <f t="shared" si="15"/>
        <v>1304.0999999999999</v>
      </c>
      <c r="P69" s="215">
        <v>31320</v>
      </c>
      <c r="Q69" s="215"/>
      <c r="R69" s="42">
        <f t="shared" si="16"/>
        <v>0</v>
      </c>
      <c r="S69" s="62">
        <v>24</v>
      </c>
      <c r="T69" s="62"/>
      <c r="U69" s="62"/>
      <c r="V69" s="62"/>
      <c r="W69" s="62"/>
    </row>
    <row r="70" spans="1:23">
      <c r="A70" s="374"/>
      <c r="B70" s="42" t="s">
        <v>1713</v>
      </c>
      <c r="C70" s="42" t="s">
        <v>88</v>
      </c>
      <c r="D70" s="42" t="s">
        <v>16</v>
      </c>
      <c r="E70" s="42" t="s">
        <v>1775</v>
      </c>
      <c r="F70" s="42">
        <v>9927</v>
      </c>
      <c r="G70" s="42"/>
      <c r="H70" s="42">
        <v>17785</v>
      </c>
      <c r="I70" s="42">
        <v>300</v>
      </c>
      <c r="J70" s="42">
        <v>0.5</v>
      </c>
      <c r="K70" s="42">
        <f t="shared" ref="K70:K71" si="19">I70*J70</f>
        <v>150</v>
      </c>
      <c r="L70" s="43">
        <f t="shared" si="13"/>
        <v>17635</v>
      </c>
      <c r="M70" s="43"/>
      <c r="N70" s="43">
        <f t="shared" si="14"/>
        <v>17635</v>
      </c>
      <c r="O70" s="43">
        <f t="shared" si="15"/>
        <v>1244.95</v>
      </c>
      <c r="P70" s="215">
        <v>29880</v>
      </c>
      <c r="Q70" s="215"/>
      <c r="R70" s="42">
        <f t="shared" si="16"/>
        <v>0</v>
      </c>
      <c r="S70" s="62">
        <v>25</v>
      </c>
      <c r="T70" s="62"/>
      <c r="U70" s="62"/>
      <c r="V70" s="62"/>
      <c r="W70" s="62"/>
    </row>
    <row r="71" spans="1:23">
      <c r="A71" s="63" t="s">
        <v>1778</v>
      </c>
      <c r="B71" s="42" t="s">
        <v>1713</v>
      </c>
      <c r="C71" s="42" t="s">
        <v>88</v>
      </c>
      <c r="D71" s="42" t="s">
        <v>16</v>
      </c>
      <c r="E71" s="42" t="s">
        <v>1781</v>
      </c>
      <c r="F71" s="42">
        <v>9928</v>
      </c>
      <c r="G71" s="42"/>
      <c r="H71" s="42">
        <v>20660</v>
      </c>
      <c r="I71" s="42">
        <v>350</v>
      </c>
      <c r="J71" s="42">
        <v>0.5</v>
      </c>
      <c r="K71" s="42">
        <f t="shared" si="19"/>
        <v>175</v>
      </c>
      <c r="L71" s="43">
        <f t="shared" si="13"/>
        <v>20485</v>
      </c>
      <c r="M71" s="43"/>
      <c r="N71" s="43">
        <f t="shared" si="14"/>
        <v>20485</v>
      </c>
      <c r="O71" s="43">
        <f t="shared" si="15"/>
        <v>1446.2</v>
      </c>
      <c r="P71" s="216">
        <v>35170</v>
      </c>
      <c r="Q71" s="216"/>
      <c r="R71" s="42">
        <f t="shared" si="16"/>
        <v>0</v>
      </c>
      <c r="S71" s="62">
        <v>26</v>
      </c>
      <c r="T71" s="62"/>
      <c r="U71" s="62"/>
      <c r="V71" s="62"/>
      <c r="W71" s="62"/>
    </row>
    <row r="72" spans="1:23">
      <c r="A72" s="63"/>
      <c r="B72" s="67"/>
      <c r="C72" s="67"/>
      <c r="D72" s="67"/>
      <c r="E72" s="67"/>
      <c r="F72" s="67"/>
      <c r="G72" s="67"/>
      <c r="H72" s="67"/>
      <c r="I72" s="67"/>
      <c r="J72" s="67"/>
      <c r="K72" s="67"/>
      <c r="L72" s="68"/>
      <c r="M72" s="68"/>
      <c r="N72" s="68"/>
      <c r="O72" s="68"/>
      <c r="P72" s="67"/>
      <c r="Q72" s="67"/>
      <c r="R72" s="67"/>
      <c r="S72" s="62"/>
      <c r="T72" s="62"/>
      <c r="U72" s="62"/>
      <c r="V72" s="62"/>
      <c r="W72" s="62"/>
    </row>
    <row r="73" spans="1:23">
      <c r="A73" s="63"/>
      <c r="B73" s="67"/>
      <c r="C73" s="67"/>
      <c r="D73" s="67"/>
      <c r="E73" s="67"/>
      <c r="F73" s="67"/>
      <c r="G73" s="67"/>
      <c r="H73" s="67"/>
      <c r="I73" s="67"/>
      <c r="J73" s="67"/>
      <c r="K73" s="67"/>
      <c r="L73" s="68"/>
      <c r="M73" s="68"/>
      <c r="N73" s="68"/>
      <c r="O73" s="68"/>
      <c r="P73" s="67"/>
      <c r="Q73" s="67"/>
      <c r="R73" s="67"/>
      <c r="S73" s="62"/>
      <c r="T73" s="62"/>
      <c r="U73" s="62"/>
      <c r="V73" s="62"/>
      <c r="W73" s="62"/>
    </row>
    <row r="74" spans="1:23">
      <c r="A74" s="63"/>
      <c r="B74" s="67"/>
      <c r="C74" s="67"/>
      <c r="D74" s="67"/>
      <c r="E74" s="67"/>
      <c r="F74" s="67"/>
      <c r="G74" s="67"/>
      <c r="H74" s="68">
        <f>SUM(H46:H73)</f>
        <v>495990</v>
      </c>
      <c r="I74" s="68">
        <f t="shared" ref="I74:P74" si="20">SUM(I46:I73)</f>
        <v>8534</v>
      </c>
      <c r="J74" s="68">
        <f t="shared" si="20"/>
        <v>13</v>
      </c>
      <c r="K74" s="68">
        <f t="shared" si="20"/>
        <v>4270</v>
      </c>
      <c r="L74" s="68">
        <f t="shared" si="20"/>
        <v>491720</v>
      </c>
      <c r="M74" s="68">
        <f t="shared" si="20"/>
        <v>0</v>
      </c>
      <c r="N74" s="68">
        <f t="shared" si="20"/>
        <v>491720</v>
      </c>
      <c r="O74" s="68">
        <f t="shared" si="20"/>
        <v>34719.299999999988</v>
      </c>
      <c r="P74" s="68">
        <f t="shared" si="20"/>
        <v>845690</v>
      </c>
      <c r="Q74" s="67"/>
      <c r="R74" s="67"/>
      <c r="S74" s="62"/>
      <c r="T74" s="62"/>
      <c r="U74" s="62"/>
      <c r="V74" s="62"/>
      <c r="W74" s="62"/>
    </row>
    <row r="75" spans="1:23">
      <c r="A75" s="63"/>
      <c r="B75" s="67"/>
      <c r="C75" s="67"/>
      <c r="D75" s="67"/>
      <c r="E75" s="67"/>
      <c r="F75" s="67"/>
      <c r="G75" s="67" t="s">
        <v>1790</v>
      </c>
      <c r="H75" s="68">
        <f>500000-H74</f>
        <v>4010</v>
      </c>
      <c r="I75" s="67"/>
      <c r="J75" s="67"/>
      <c r="K75" s="67"/>
      <c r="L75" s="68"/>
      <c r="M75" s="68"/>
      <c r="N75" s="68"/>
      <c r="O75" s="68"/>
      <c r="P75" s="67"/>
      <c r="Q75" s="67"/>
      <c r="R75" s="67"/>
      <c r="S75" s="62"/>
      <c r="T75" s="62"/>
      <c r="U75" s="62"/>
      <c r="V75" s="62"/>
      <c r="W75" s="62"/>
    </row>
    <row r="76" spans="1:23">
      <c r="A76" s="63"/>
      <c r="B76" s="67"/>
      <c r="C76" s="67"/>
      <c r="D76" s="67"/>
      <c r="E76" s="67"/>
      <c r="F76" s="67"/>
      <c r="G76" s="67"/>
      <c r="H76" s="67"/>
      <c r="I76" s="67"/>
      <c r="J76" s="67"/>
      <c r="K76" s="67"/>
      <c r="L76" s="68"/>
      <c r="M76" s="68"/>
      <c r="N76" s="68"/>
      <c r="O76" s="68"/>
      <c r="P76" s="67"/>
      <c r="Q76" s="67"/>
      <c r="R76" s="67"/>
      <c r="S76" s="62"/>
      <c r="T76" s="62"/>
      <c r="U76" s="62"/>
      <c r="V76" s="62"/>
      <c r="W76" s="62"/>
    </row>
    <row r="77" spans="1:23">
      <c r="A77" s="374" t="s">
        <v>1800</v>
      </c>
      <c r="B77" s="42" t="s">
        <v>1806</v>
      </c>
      <c r="C77" s="42" t="s">
        <v>88</v>
      </c>
      <c r="D77" s="42" t="s">
        <v>16</v>
      </c>
      <c r="E77" s="42" t="s">
        <v>1803</v>
      </c>
      <c r="F77" s="42">
        <v>1152</v>
      </c>
      <c r="G77" s="42"/>
      <c r="H77" s="42">
        <v>17300</v>
      </c>
      <c r="I77" s="42">
        <v>288</v>
      </c>
      <c r="J77" s="42">
        <v>0.5</v>
      </c>
      <c r="K77" s="42">
        <f t="shared" ref="K77:K79" si="21">I77*J77</f>
        <v>144</v>
      </c>
      <c r="L77" s="43">
        <f t="shared" ref="L77:L140" si="22">H77-K77</f>
        <v>17156</v>
      </c>
      <c r="M77" s="43"/>
      <c r="N77" s="43">
        <f t="shared" ref="N77:N140" si="23">L77-M77</f>
        <v>17156</v>
      </c>
      <c r="O77" s="43">
        <f t="shared" ref="O77:O140" si="24">H77/1000*70</f>
        <v>1211</v>
      </c>
      <c r="P77" s="220">
        <v>24200</v>
      </c>
      <c r="Q77" s="220"/>
      <c r="R77" s="42">
        <f t="shared" ref="R77:R140" si="25">L77*Q77</f>
        <v>0</v>
      </c>
      <c r="S77" s="62"/>
      <c r="T77" s="62">
        <v>1</v>
      </c>
      <c r="U77" s="62"/>
      <c r="V77" s="62"/>
      <c r="W77" s="62"/>
    </row>
    <row r="78" spans="1:23">
      <c r="A78" s="374"/>
      <c r="B78" s="42" t="s">
        <v>1806</v>
      </c>
      <c r="C78" s="42" t="s">
        <v>88</v>
      </c>
      <c r="D78" s="42" t="s">
        <v>16</v>
      </c>
      <c r="E78" s="42" t="s">
        <v>1779</v>
      </c>
      <c r="F78" s="42">
        <v>1154</v>
      </c>
      <c r="G78" s="42"/>
      <c r="H78" s="42">
        <v>16550</v>
      </c>
      <c r="I78" s="42">
        <v>288</v>
      </c>
      <c r="J78" s="42">
        <v>0.5</v>
      </c>
      <c r="K78" s="42">
        <f t="shared" si="21"/>
        <v>144</v>
      </c>
      <c r="L78" s="43">
        <f t="shared" si="22"/>
        <v>16406</v>
      </c>
      <c r="M78" s="43"/>
      <c r="N78" s="43">
        <f t="shared" si="23"/>
        <v>16406</v>
      </c>
      <c r="O78" s="43">
        <f t="shared" si="24"/>
        <v>1158.5</v>
      </c>
      <c r="P78" s="220">
        <v>23200</v>
      </c>
      <c r="Q78" s="220"/>
      <c r="R78" s="42">
        <f t="shared" si="25"/>
        <v>0</v>
      </c>
      <c r="S78" s="62"/>
      <c r="T78" s="62">
        <v>2</v>
      </c>
      <c r="U78" s="62"/>
      <c r="V78" s="62"/>
      <c r="W78" s="62"/>
    </row>
    <row r="79" spans="1:23">
      <c r="A79" s="374"/>
      <c r="B79" s="42" t="s">
        <v>1806</v>
      </c>
      <c r="C79" s="42" t="s">
        <v>88</v>
      </c>
      <c r="D79" s="42" t="s">
        <v>16</v>
      </c>
      <c r="E79" s="42" t="s">
        <v>1804</v>
      </c>
      <c r="F79" s="42">
        <v>1153</v>
      </c>
      <c r="G79" s="42"/>
      <c r="H79" s="42">
        <v>18660</v>
      </c>
      <c r="I79" s="42">
        <v>318</v>
      </c>
      <c r="J79" s="42">
        <v>0.5</v>
      </c>
      <c r="K79" s="42">
        <f t="shared" si="21"/>
        <v>159</v>
      </c>
      <c r="L79" s="43">
        <f t="shared" si="22"/>
        <v>18501</v>
      </c>
      <c r="M79" s="43"/>
      <c r="N79" s="43">
        <f t="shared" si="23"/>
        <v>18501</v>
      </c>
      <c r="O79" s="43">
        <f t="shared" si="24"/>
        <v>1306.2</v>
      </c>
      <c r="P79" s="220">
        <v>26160</v>
      </c>
      <c r="Q79" s="220"/>
      <c r="R79" s="42">
        <f t="shared" si="25"/>
        <v>0</v>
      </c>
      <c r="S79" s="62"/>
      <c r="T79" s="62">
        <v>3</v>
      </c>
      <c r="U79" s="62"/>
      <c r="V79" s="62"/>
      <c r="W79" s="62"/>
    </row>
    <row r="80" spans="1:23">
      <c r="A80" s="374" t="s">
        <v>1810</v>
      </c>
      <c r="B80" s="42" t="s">
        <v>1806</v>
      </c>
      <c r="C80" s="42" t="s">
        <v>88</v>
      </c>
      <c r="D80" s="42" t="s">
        <v>16</v>
      </c>
      <c r="E80" s="42" t="s">
        <v>1807</v>
      </c>
      <c r="F80" s="42">
        <v>1151</v>
      </c>
      <c r="G80" s="42"/>
      <c r="H80" s="42">
        <v>14880</v>
      </c>
      <c r="I80" s="42">
        <v>255</v>
      </c>
      <c r="J80" s="42">
        <v>0.5</v>
      </c>
      <c r="K80" s="42">
        <v>128</v>
      </c>
      <c r="L80" s="43">
        <f t="shared" si="22"/>
        <v>14752</v>
      </c>
      <c r="M80" s="43"/>
      <c r="N80" s="43">
        <f t="shared" si="23"/>
        <v>14752</v>
      </c>
      <c r="O80" s="43">
        <f t="shared" si="24"/>
        <v>1041.6000000000001</v>
      </c>
      <c r="P80" s="221">
        <v>20830</v>
      </c>
      <c r="Q80" s="221"/>
      <c r="R80" s="42">
        <f t="shared" si="25"/>
        <v>0</v>
      </c>
      <c r="S80" s="62"/>
      <c r="T80" s="62">
        <v>4</v>
      </c>
      <c r="U80" s="62"/>
      <c r="V80" s="62"/>
      <c r="W80" s="62"/>
    </row>
    <row r="81" spans="1:23">
      <c r="A81" s="374"/>
      <c r="B81" s="42" t="s">
        <v>1806</v>
      </c>
      <c r="C81" s="42" t="s">
        <v>88</v>
      </c>
      <c r="D81" s="42" t="s">
        <v>16</v>
      </c>
      <c r="E81" s="42" t="s">
        <v>1808</v>
      </c>
      <c r="F81" s="42">
        <v>1157</v>
      </c>
      <c r="G81" s="42"/>
      <c r="H81" s="42">
        <v>19260</v>
      </c>
      <c r="I81" s="42">
        <v>314</v>
      </c>
      <c r="J81" s="42">
        <v>0.5</v>
      </c>
      <c r="K81" s="42">
        <f t="shared" ref="K81:K91" si="26">I81*J81</f>
        <v>157</v>
      </c>
      <c r="L81" s="43">
        <f t="shared" si="22"/>
        <v>19103</v>
      </c>
      <c r="M81" s="43"/>
      <c r="N81" s="43">
        <f t="shared" si="23"/>
        <v>19103</v>
      </c>
      <c r="O81" s="43">
        <f t="shared" si="24"/>
        <v>1348.2</v>
      </c>
      <c r="P81" s="221">
        <v>27000</v>
      </c>
      <c r="Q81" s="221"/>
      <c r="R81" s="42">
        <f t="shared" si="25"/>
        <v>0</v>
      </c>
      <c r="S81" s="62"/>
      <c r="T81" s="62">
        <v>5</v>
      </c>
      <c r="U81" s="62"/>
      <c r="V81" s="62"/>
      <c r="W81" s="62"/>
    </row>
    <row r="82" spans="1:23">
      <c r="A82" s="374"/>
      <c r="B82" s="42" t="s">
        <v>1806</v>
      </c>
      <c r="C82" s="42" t="s">
        <v>88</v>
      </c>
      <c r="D82" s="42" t="s">
        <v>16</v>
      </c>
      <c r="E82" s="42" t="s">
        <v>1809</v>
      </c>
      <c r="F82" s="42">
        <v>1155</v>
      </c>
      <c r="G82" s="42"/>
      <c r="H82" s="42">
        <v>15500</v>
      </c>
      <c r="I82" s="42">
        <v>252</v>
      </c>
      <c r="J82" s="42">
        <v>0.5</v>
      </c>
      <c r="K82" s="42">
        <f t="shared" si="26"/>
        <v>126</v>
      </c>
      <c r="L82" s="43">
        <f t="shared" si="22"/>
        <v>15374</v>
      </c>
      <c r="M82" s="43"/>
      <c r="N82" s="43">
        <f t="shared" si="23"/>
        <v>15374</v>
      </c>
      <c r="O82" s="43">
        <f t="shared" si="24"/>
        <v>1085</v>
      </c>
      <c r="P82" s="221">
        <v>21700</v>
      </c>
      <c r="Q82" s="221"/>
      <c r="R82" s="42">
        <f t="shared" si="25"/>
        <v>0</v>
      </c>
      <c r="S82" s="62"/>
      <c r="T82" s="62">
        <v>6</v>
      </c>
      <c r="U82" s="62"/>
      <c r="V82" s="62"/>
      <c r="W82" s="62"/>
    </row>
    <row r="83" spans="1:23">
      <c r="A83" s="374" t="s">
        <v>1811</v>
      </c>
      <c r="B83" s="42" t="s">
        <v>1806</v>
      </c>
      <c r="C83" s="42" t="s">
        <v>88</v>
      </c>
      <c r="D83" s="42" t="s">
        <v>16</v>
      </c>
      <c r="E83" s="42" t="s">
        <v>1813</v>
      </c>
      <c r="F83" s="42">
        <v>1158</v>
      </c>
      <c r="G83" s="42"/>
      <c r="H83" s="42">
        <v>16060</v>
      </c>
      <c r="I83" s="42">
        <v>282</v>
      </c>
      <c r="J83" s="42">
        <v>0.5</v>
      </c>
      <c r="K83" s="42">
        <f t="shared" si="26"/>
        <v>141</v>
      </c>
      <c r="L83" s="43">
        <f t="shared" si="22"/>
        <v>15919</v>
      </c>
      <c r="M83" s="43"/>
      <c r="N83" s="43">
        <f t="shared" si="23"/>
        <v>15919</v>
      </c>
      <c r="O83" s="43">
        <f t="shared" si="24"/>
        <v>1124.1999999999998</v>
      </c>
      <c r="P83" s="222">
        <v>21700</v>
      </c>
      <c r="Q83" s="222"/>
      <c r="R83" s="42">
        <f t="shared" si="25"/>
        <v>0</v>
      </c>
      <c r="S83" s="42"/>
      <c r="T83" s="62">
        <v>7</v>
      </c>
      <c r="U83" s="62"/>
      <c r="V83" s="62"/>
      <c r="W83" s="62"/>
    </row>
    <row r="84" spans="1:23">
      <c r="A84" s="374"/>
      <c r="B84" s="42" t="s">
        <v>1806</v>
      </c>
      <c r="C84" s="42" t="s">
        <v>88</v>
      </c>
      <c r="D84" s="42" t="s">
        <v>16</v>
      </c>
      <c r="E84" s="42" t="s">
        <v>1814</v>
      </c>
      <c r="F84" s="42">
        <v>1160</v>
      </c>
      <c r="G84" s="42"/>
      <c r="H84" s="42">
        <v>15460</v>
      </c>
      <c r="I84" s="42">
        <v>249</v>
      </c>
      <c r="J84" s="42">
        <v>0.5</v>
      </c>
      <c r="K84" s="42">
        <v>125</v>
      </c>
      <c r="L84" s="43">
        <f t="shared" si="22"/>
        <v>15335</v>
      </c>
      <c r="M84" s="43"/>
      <c r="N84" s="43">
        <f t="shared" si="23"/>
        <v>15335</v>
      </c>
      <c r="O84" s="43">
        <f t="shared" si="24"/>
        <v>1082.2</v>
      </c>
      <c r="P84" s="222">
        <v>20900</v>
      </c>
      <c r="Q84" s="222"/>
      <c r="R84" s="42">
        <f t="shared" si="25"/>
        <v>0</v>
      </c>
      <c r="S84" s="42"/>
      <c r="T84" s="62">
        <v>8</v>
      </c>
      <c r="U84" s="62"/>
      <c r="V84" s="62"/>
      <c r="W84" s="62"/>
    </row>
    <row r="85" spans="1:23">
      <c r="A85" s="374"/>
      <c r="B85" s="42" t="s">
        <v>1806</v>
      </c>
      <c r="C85" s="42" t="s">
        <v>88</v>
      </c>
      <c r="D85" s="42" t="s">
        <v>16</v>
      </c>
      <c r="E85" s="42" t="s">
        <v>1815</v>
      </c>
      <c r="F85" s="42">
        <v>1156</v>
      </c>
      <c r="G85" s="42"/>
      <c r="H85" s="42">
        <v>17140</v>
      </c>
      <c r="I85" s="42">
        <v>290</v>
      </c>
      <c r="J85" s="42">
        <v>0.5</v>
      </c>
      <c r="K85" s="42">
        <f t="shared" si="26"/>
        <v>145</v>
      </c>
      <c r="L85" s="43">
        <f t="shared" si="22"/>
        <v>16995</v>
      </c>
      <c r="M85" s="43"/>
      <c r="N85" s="43">
        <f t="shared" si="23"/>
        <v>16995</v>
      </c>
      <c r="O85" s="43">
        <f t="shared" si="24"/>
        <v>1199.8</v>
      </c>
      <c r="P85" s="222">
        <v>23100</v>
      </c>
      <c r="Q85" s="222"/>
      <c r="R85" s="42">
        <f t="shared" si="25"/>
        <v>0</v>
      </c>
      <c r="S85" s="48" t="s">
        <v>1816</v>
      </c>
      <c r="T85" s="62">
        <v>9</v>
      </c>
      <c r="U85" s="62"/>
      <c r="V85" s="62"/>
      <c r="W85" s="62"/>
    </row>
    <row r="86" spans="1:23">
      <c r="A86" s="374" t="s">
        <v>1817</v>
      </c>
      <c r="B86" s="42" t="s">
        <v>1806</v>
      </c>
      <c r="C86" s="42" t="s">
        <v>88</v>
      </c>
      <c r="D86" s="42" t="s">
        <v>16</v>
      </c>
      <c r="E86" s="42" t="s">
        <v>1825</v>
      </c>
      <c r="F86" s="42">
        <v>1161</v>
      </c>
      <c r="G86" s="42"/>
      <c r="H86" s="42">
        <v>16400</v>
      </c>
      <c r="I86" s="42">
        <v>286</v>
      </c>
      <c r="J86" s="42">
        <v>0.5</v>
      </c>
      <c r="K86" s="42">
        <f t="shared" si="26"/>
        <v>143</v>
      </c>
      <c r="L86" s="43">
        <f t="shared" si="22"/>
        <v>16257</v>
      </c>
      <c r="M86" s="43"/>
      <c r="N86" s="43">
        <f t="shared" si="23"/>
        <v>16257</v>
      </c>
      <c r="O86" s="43">
        <f t="shared" si="24"/>
        <v>1148</v>
      </c>
      <c r="P86" s="224">
        <v>22140</v>
      </c>
      <c r="Q86" s="224"/>
      <c r="R86" s="42">
        <f t="shared" si="25"/>
        <v>0</v>
      </c>
      <c r="S86" s="62"/>
      <c r="T86" s="62">
        <v>10</v>
      </c>
      <c r="U86" s="62"/>
      <c r="V86" s="62"/>
      <c r="W86" s="62"/>
    </row>
    <row r="87" spans="1:23">
      <c r="A87" s="374"/>
      <c r="B87" s="42" t="s">
        <v>1806</v>
      </c>
      <c r="C87" s="42" t="s">
        <v>88</v>
      </c>
      <c r="D87" s="42" t="s">
        <v>16</v>
      </c>
      <c r="E87" s="42" t="s">
        <v>1826</v>
      </c>
      <c r="F87" s="42">
        <v>1162</v>
      </c>
      <c r="G87" s="42"/>
      <c r="H87" s="42">
        <v>15930</v>
      </c>
      <c r="I87" s="42">
        <v>270</v>
      </c>
      <c r="J87" s="42">
        <v>0.5</v>
      </c>
      <c r="K87" s="42">
        <f t="shared" si="26"/>
        <v>135</v>
      </c>
      <c r="L87" s="43">
        <f t="shared" si="22"/>
        <v>15795</v>
      </c>
      <c r="M87" s="43"/>
      <c r="N87" s="43">
        <f t="shared" si="23"/>
        <v>15795</v>
      </c>
      <c r="O87" s="43">
        <f t="shared" si="24"/>
        <v>1115.0999999999999</v>
      </c>
      <c r="P87" s="224">
        <v>21600</v>
      </c>
      <c r="Q87" s="224"/>
      <c r="R87" s="42">
        <f t="shared" si="25"/>
        <v>0</v>
      </c>
      <c r="S87" s="62"/>
      <c r="T87" s="62">
        <v>11</v>
      </c>
      <c r="U87" s="62"/>
      <c r="V87" s="62"/>
      <c r="W87" s="62"/>
    </row>
    <row r="88" spans="1:23">
      <c r="A88" s="374"/>
      <c r="B88" s="42" t="s">
        <v>1806</v>
      </c>
      <c r="C88" s="42" t="s">
        <v>88</v>
      </c>
      <c r="D88" s="42" t="s">
        <v>16</v>
      </c>
      <c r="E88" s="42" t="s">
        <v>1827</v>
      </c>
      <c r="F88" s="42">
        <v>1159</v>
      </c>
      <c r="G88" s="42"/>
      <c r="H88" s="42">
        <v>20940</v>
      </c>
      <c r="I88" s="42">
        <v>360</v>
      </c>
      <c r="J88" s="42">
        <v>0.5</v>
      </c>
      <c r="K88" s="42">
        <f t="shared" si="26"/>
        <v>180</v>
      </c>
      <c r="L88" s="43">
        <f t="shared" si="22"/>
        <v>20760</v>
      </c>
      <c r="M88" s="43"/>
      <c r="N88" s="43">
        <f t="shared" si="23"/>
        <v>20760</v>
      </c>
      <c r="O88" s="43">
        <f t="shared" si="24"/>
        <v>1465.8000000000002</v>
      </c>
      <c r="P88" s="224">
        <v>28350</v>
      </c>
      <c r="Q88" s="224"/>
      <c r="R88" s="42">
        <f t="shared" si="25"/>
        <v>0</v>
      </c>
      <c r="S88" s="62"/>
      <c r="T88" s="62">
        <v>12</v>
      </c>
      <c r="U88" s="62"/>
      <c r="V88" s="62"/>
      <c r="W88" s="62"/>
    </row>
    <row r="89" spans="1:23">
      <c r="A89" s="374"/>
      <c r="B89" s="42" t="s">
        <v>1806</v>
      </c>
      <c r="C89" s="42" t="s">
        <v>88</v>
      </c>
      <c r="D89" s="42" t="s">
        <v>16</v>
      </c>
      <c r="E89" s="42" t="s">
        <v>1828</v>
      </c>
      <c r="F89" s="42">
        <v>1165</v>
      </c>
      <c r="G89" s="42"/>
      <c r="H89" s="42">
        <v>16480</v>
      </c>
      <c r="I89" s="42">
        <v>280</v>
      </c>
      <c r="J89" s="42">
        <v>0.5</v>
      </c>
      <c r="K89" s="42">
        <f t="shared" si="26"/>
        <v>140</v>
      </c>
      <c r="L89" s="43">
        <f t="shared" si="22"/>
        <v>16340</v>
      </c>
      <c r="M89" s="43"/>
      <c r="N89" s="43">
        <f t="shared" si="23"/>
        <v>16340</v>
      </c>
      <c r="O89" s="43">
        <f t="shared" si="24"/>
        <v>1153.6000000000001</v>
      </c>
      <c r="P89" s="224">
        <v>22300</v>
      </c>
      <c r="Q89" s="224"/>
      <c r="R89" s="42">
        <f t="shared" si="25"/>
        <v>0</v>
      </c>
      <c r="S89" s="62"/>
      <c r="T89" s="62">
        <v>13</v>
      </c>
      <c r="U89" s="62"/>
      <c r="V89" s="62"/>
      <c r="W89" s="62"/>
    </row>
    <row r="90" spans="1:23">
      <c r="A90" s="374"/>
      <c r="B90" s="42" t="s">
        <v>1806</v>
      </c>
      <c r="C90" s="42" t="s">
        <v>88</v>
      </c>
      <c r="D90" s="42" t="s">
        <v>16</v>
      </c>
      <c r="E90" s="42" t="s">
        <v>1829</v>
      </c>
      <c r="F90" s="42">
        <v>1164</v>
      </c>
      <c r="G90" s="42"/>
      <c r="H90" s="42">
        <v>15690</v>
      </c>
      <c r="I90" s="42">
        <v>300</v>
      </c>
      <c r="J90" s="42">
        <v>0.5</v>
      </c>
      <c r="K90" s="42">
        <f t="shared" si="26"/>
        <v>150</v>
      </c>
      <c r="L90" s="43">
        <f t="shared" si="22"/>
        <v>15540</v>
      </c>
      <c r="M90" s="43"/>
      <c r="N90" s="43">
        <f t="shared" si="23"/>
        <v>15540</v>
      </c>
      <c r="O90" s="43">
        <f t="shared" si="24"/>
        <v>1098.3</v>
      </c>
      <c r="P90" s="224">
        <v>21240</v>
      </c>
      <c r="Q90" s="224"/>
      <c r="R90" s="42">
        <f t="shared" si="25"/>
        <v>0</v>
      </c>
      <c r="S90" s="62"/>
      <c r="T90" s="62">
        <v>14</v>
      </c>
      <c r="U90" s="62"/>
      <c r="V90" s="62"/>
      <c r="W90" s="62"/>
    </row>
    <row r="91" spans="1:23">
      <c r="A91" s="374"/>
      <c r="B91" s="42" t="s">
        <v>1806</v>
      </c>
      <c r="C91" s="42" t="s">
        <v>88</v>
      </c>
      <c r="D91" s="42" t="s">
        <v>16</v>
      </c>
      <c r="E91" s="42" t="s">
        <v>1830</v>
      </c>
      <c r="F91" s="42">
        <v>1163</v>
      </c>
      <c r="G91" s="42"/>
      <c r="H91" s="42">
        <v>14070</v>
      </c>
      <c r="I91" s="42">
        <v>240</v>
      </c>
      <c r="J91" s="42">
        <v>0.5</v>
      </c>
      <c r="K91" s="42">
        <f t="shared" si="26"/>
        <v>120</v>
      </c>
      <c r="L91" s="43">
        <f t="shared" si="22"/>
        <v>13950</v>
      </c>
      <c r="M91" s="43"/>
      <c r="N91" s="43">
        <f t="shared" si="23"/>
        <v>13950</v>
      </c>
      <c r="O91" s="43">
        <f t="shared" si="24"/>
        <v>984.9</v>
      </c>
      <c r="P91" s="224">
        <v>19050</v>
      </c>
      <c r="Q91" s="224"/>
      <c r="R91" s="42">
        <f t="shared" si="25"/>
        <v>0</v>
      </c>
      <c r="S91" s="62"/>
      <c r="T91" s="62">
        <v>15</v>
      </c>
      <c r="U91" s="62"/>
      <c r="V91" s="62"/>
      <c r="W91" s="62"/>
    </row>
    <row r="92" spans="1:23">
      <c r="A92" s="374" t="s">
        <v>1831</v>
      </c>
      <c r="B92" s="42" t="s">
        <v>1806</v>
      </c>
      <c r="C92" s="42" t="s">
        <v>88</v>
      </c>
      <c r="D92" s="42" t="s">
        <v>16</v>
      </c>
      <c r="E92" s="42" t="s">
        <v>1837</v>
      </c>
      <c r="F92" s="42">
        <v>1175</v>
      </c>
      <c r="G92" s="42"/>
      <c r="H92" s="42">
        <v>16345</v>
      </c>
      <c r="I92" s="42">
        <v>277</v>
      </c>
      <c r="J92" s="42">
        <v>0.5</v>
      </c>
      <c r="K92" s="42">
        <v>139</v>
      </c>
      <c r="L92" s="43">
        <f t="shared" si="22"/>
        <v>16206</v>
      </c>
      <c r="M92" s="43"/>
      <c r="N92" s="43">
        <f t="shared" si="23"/>
        <v>16206</v>
      </c>
      <c r="O92" s="43">
        <f t="shared" si="24"/>
        <v>1144.1499999999999</v>
      </c>
      <c r="P92" s="226">
        <v>22060</v>
      </c>
      <c r="Q92" s="226"/>
      <c r="R92" s="42">
        <f t="shared" si="25"/>
        <v>0</v>
      </c>
      <c r="S92" s="62"/>
      <c r="T92" s="62">
        <v>16</v>
      </c>
      <c r="U92" s="62"/>
      <c r="V92" s="62"/>
      <c r="W92" s="62"/>
    </row>
    <row r="93" spans="1:23">
      <c r="A93" s="374"/>
      <c r="B93" s="42" t="s">
        <v>1806</v>
      </c>
      <c r="C93" s="42" t="s">
        <v>88</v>
      </c>
      <c r="D93" s="42" t="s">
        <v>16</v>
      </c>
      <c r="E93" s="42" t="s">
        <v>1838</v>
      </c>
      <c r="F93" s="42">
        <v>1166</v>
      </c>
      <c r="G93" s="42"/>
      <c r="H93" s="42">
        <v>14470</v>
      </c>
      <c r="I93" s="42">
        <v>252</v>
      </c>
      <c r="J93" s="42">
        <v>0.5</v>
      </c>
      <c r="K93" s="42">
        <f t="shared" ref="K93" si="27">I93*J93</f>
        <v>126</v>
      </c>
      <c r="L93" s="43">
        <f t="shared" si="22"/>
        <v>14344</v>
      </c>
      <c r="M93" s="43"/>
      <c r="N93" s="43">
        <f t="shared" si="23"/>
        <v>14344</v>
      </c>
      <c r="O93" s="43">
        <f t="shared" si="24"/>
        <v>1012.9000000000001</v>
      </c>
      <c r="P93" s="226">
        <v>19550</v>
      </c>
      <c r="Q93" s="226"/>
      <c r="R93" s="42">
        <f t="shared" si="25"/>
        <v>0</v>
      </c>
      <c r="S93" s="62"/>
      <c r="T93" s="62">
        <v>17</v>
      </c>
      <c r="U93" s="62"/>
      <c r="V93" s="62"/>
      <c r="W93" s="62"/>
    </row>
    <row r="94" spans="1:23">
      <c r="A94" s="374"/>
      <c r="B94" s="42" t="s">
        <v>1806</v>
      </c>
      <c r="C94" s="42" t="s">
        <v>88</v>
      </c>
      <c r="D94" s="42" t="s">
        <v>16</v>
      </c>
      <c r="E94" s="42" t="s">
        <v>1839</v>
      </c>
      <c r="F94" s="42">
        <v>1174</v>
      </c>
      <c r="G94" s="42"/>
      <c r="H94" s="42">
        <v>16860</v>
      </c>
      <c r="I94" s="42">
        <v>275</v>
      </c>
      <c r="J94" s="42">
        <v>0.5</v>
      </c>
      <c r="K94" s="42">
        <v>138</v>
      </c>
      <c r="L94" s="43">
        <f t="shared" si="22"/>
        <v>16722</v>
      </c>
      <c r="M94" s="43"/>
      <c r="N94" s="43">
        <f t="shared" si="23"/>
        <v>16722</v>
      </c>
      <c r="O94" s="43">
        <f t="shared" si="24"/>
        <v>1180.2</v>
      </c>
      <c r="P94" s="226">
        <v>22770</v>
      </c>
      <c r="Q94" s="226"/>
      <c r="R94" s="42">
        <f t="shared" si="25"/>
        <v>0</v>
      </c>
      <c r="S94" s="62"/>
      <c r="T94" s="62">
        <v>18</v>
      </c>
      <c r="U94" s="62"/>
      <c r="V94" s="62"/>
      <c r="W94" s="62"/>
    </row>
    <row r="95" spans="1:23">
      <c r="A95" s="374" t="s">
        <v>1840</v>
      </c>
      <c r="B95" s="42" t="s">
        <v>1806</v>
      </c>
      <c r="C95" s="42" t="s">
        <v>88</v>
      </c>
      <c r="D95" s="42" t="s">
        <v>16</v>
      </c>
      <c r="E95" s="42" t="s">
        <v>1842</v>
      </c>
      <c r="F95" s="42">
        <v>1167</v>
      </c>
      <c r="G95" s="42"/>
      <c r="H95" s="42">
        <v>15920</v>
      </c>
      <c r="I95" s="42">
        <v>270</v>
      </c>
      <c r="J95" s="42">
        <v>0.5</v>
      </c>
      <c r="K95" s="42">
        <f t="shared" ref="K95:K102" si="28">I95*J95</f>
        <v>135</v>
      </c>
      <c r="L95" s="43">
        <f t="shared" si="22"/>
        <v>15785</v>
      </c>
      <c r="M95" s="43"/>
      <c r="N95" s="43">
        <f t="shared" si="23"/>
        <v>15785</v>
      </c>
      <c r="O95" s="43">
        <f t="shared" si="24"/>
        <v>1114.4000000000001</v>
      </c>
      <c r="P95" s="227">
        <v>21600</v>
      </c>
      <c r="Q95" s="227"/>
      <c r="R95" s="42">
        <f t="shared" si="25"/>
        <v>0</v>
      </c>
      <c r="S95" s="62"/>
      <c r="T95" s="62">
        <v>19</v>
      </c>
      <c r="U95" s="62"/>
      <c r="V95" s="62"/>
      <c r="W95" s="62"/>
    </row>
    <row r="96" spans="1:23">
      <c r="A96" s="374"/>
      <c r="B96" s="42" t="s">
        <v>1806</v>
      </c>
      <c r="C96" s="42" t="s">
        <v>88</v>
      </c>
      <c r="D96" s="42" t="s">
        <v>16</v>
      </c>
      <c r="E96" s="42" t="s">
        <v>1843</v>
      </c>
      <c r="F96" s="42">
        <v>1171</v>
      </c>
      <c r="G96" s="42"/>
      <c r="H96" s="42">
        <v>16080</v>
      </c>
      <c r="I96" s="42">
        <v>272</v>
      </c>
      <c r="J96" s="42">
        <v>0.5</v>
      </c>
      <c r="K96" s="42">
        <f t="shared" si="28"/>
        <v>136</v>
      </c>
      <c r="L96" s="43">
        <f t="shared" si="22"/>
        <v>15944</v>
      </c>
      <c r="M96" s="43"/>
      <c r="N96" s="43">
        <f t="shared" si="23"/>
        <v>15944</v>
      </c>
      <c r="O96" s="43">
        <f t="shared" si="24"/>
        <v>1125.5999999999999</v>
      </c>
      <c r="P96" s="227">
        <v>21700</v>
      </c>
      <c r="Q96" s="227"/>
      <c r="R96" s="42">
        <f t="shared" si="25"/>
        <v>0</v>
      </c>
      <c r="S96" s="62"/>
      <c r="T96" s="62">
        <v>20</v>
      </c>
      <c r="U96" s="62"/>
      <c r="V96" s="62"/>
      <c r="W96" s="62"/>
    </row>
    <row r="97" spans="1:23">
      <c r="A97" s="374"/>
      <c r="B97" s="42" t="s">
        <v>1806</v>
      </c>
      <c r="C97" s="42" t="s">
        <v>88</v>
      </c>
      <c r="D97" s="42" t="s">
        <v>16</v>
      </c>
      <c r="E97" s="42" t="s">
        <v>1716</v>
      </c>
      <c r="F97" s="42">
        <v>1168</v>
      </c>
      <c r="G97" s="42"/>
      <c r="H97" s="42">
        <v>16030</v>
      </c>
      <c r="I97" s="42">
        <v>279</v>
      </c>
      <c r="J97" s="42">
        <v>0.5</v>
      </c>
      <c r="K97" s="42">
        <v>140</v>
      </c>
      <c r="L97" s="43">
        <f t="shared" si="22"/>
        <v>15890</v>
      </c>
      <c r="M97" s="43"/>
      <c r="N97" s="43">
        <f t="shared" si="23"/>
        <v>15890</v>
      </c>
      <c r="O97" s="43">
        <f t="shared" si="24"/>
        <v>1122.1000000000001</v>
      </c>
      <c r="P97" s="227">
        <v>21600</v>
      </c>
      <c r="Q97" s="227"/>
      <c r="R97" s="42">
        <f t="shared" si="25"/>
        <v>0</v>
      </c>
      <c r="S97" s="62"/>
      <c r="T97" s="62">
        <v>21</v>
      </c>
      <c r="U97" s="62"/>
      <c r="V97" s="62"/>
      <c r="W97" s="62"/>
    </row>
    <row r="98" spans="1:23">
      <c r="A98" s="374"/>
      <c r="B98" s="42" t="s">
        <v>1806</v>
      </c>
      <c r="C98" s="42" t="s">
        <v>88</v>
      </c>
      <c r="D98" s="42" t="s">
        <v>16</v>
      </c>
      <c r="E98" s="42" t="s">
        <v>1844</v>
      </c>
      <c r="F98" s="42">
        <v>1173</v>
      </c>
      <c r="G98" s="42"/>
      <c r="H98" s="42">
        <v>16060</v>
      </c>
      <c r="I98" s="42">
        <v>276</v>
      </c>
      <c r="J98" s="42">
        <v>0.5</v>
      </c>
      <c r="K98" s="42">
        <f t="shared" si="28"/>
        <v>138</v>
      </c>
      <c r="L98" s="43">
        <f t="shared" si="22"/>
        <v>15922</v>
      </c>
      <c r="M98" s="43"/>
      <c r="N98" s="43">
        <f t="shared" si="23"/>
        <v>15922</v>
      </c>
      <c r="O98" s="43">
        <f t="shared" si="24"/>
        <v>1124.1999999999998</v>
      </c>
      <c r="P98" s="227">
        <v>21700</v>
      </c>
      <c r="Q98" s="227"/>
      <c r="R98" s="42">
        <f t="shared" si="25"/>
        <v>0</v>
      </c>
      <c r="S98" s="62"/>
      <c r="T98" s="62">
        <v>22</v>
      </c>
      <c r="U98" s="62"/>
      <c r="V98" s="62"/>
      <c r="W98" s="62"/>
    </row>
    <row r="99" spans="1:23">
      <c r="A99" s="374"/>
      <c r="B99" s="42" t="s">
        <v>1806</v>
      </c>
      <c r="C99" s="42" t="s">
        <v>88</v>
      </c>
      <c r="D99" s="42" t="s">
        <v>16</v>
      </c>
      <c r="E99" s="42" t="s">
        <v>1845</v>
      </c>
      <c r="F99" s="42">
        <v>1169</v>
      </c>
      <c r="G99" s="42"/>
      <c r="H99" s="42">
        <v>16370</v>
      </c>
      <c r="I99" s="42">
        <v>270</v>
      </c>
      <c r="J99" s="42">
        <v>0.5</v>
      </c>
      <c r="K99" s="42">
        <f t="shared" si="28"/>
        <v>135</v>
      </c>
      <c r="L99" s="43">
        <f t="shared" si="22"/>
        <v>16235</v>
      </c>
      <c r="M99" s="43"/>
      <c r="N99" s="43">
        <f t="shared" si="23"/>
        <v>16235</v>
      </c>
      <c r="O99" s="43">
        <f t="shared" si="24"/>
        <v>1145.9000000000001</v>
      </c>
      <c r="P99" s="227">
        <v>22100</v>
      </c>
      <c r="Q99" s="227"/>
      <c r="R99" s="42">
        <f t="shared" si="25"/>
        <v>0</v>
      </c>
      <c r="S99" s="62"/>
      <c r="T99" s="62">
        <v>23</v>
      </c>
      <c r="U99" s="62"/>
      <c r="V99" s="62"/>
      <c r="W99" s="62"/>
    </row>
    <row r="100" spans="1:23">
      <c r="A100" s="374"/>
      <c r="B100" s="42" t="s">
        <v>1806</v>
      </c>
      <c r="C100" s="42" t="s">
        <v>88</v>
      </c>
      <c r="D100" s="42" t="s">
        <v>16</v>
      </c>
      <c r="E100" s="42" t="s">
        <v>1846</v>
      </c>
      <c r="F100" s="42">
        <v>1170</v>
      </c>
      <c r="G100" s="42"/>
      <c r="H100" s="42">
        <v>15000</v>
      </c>
      <c r="I100" s="42">
        <v>272</v>
      </c>
      <c r="J100" s="42">
        <v>0.5</v>
      </c>
      <c r="K100" s="42">
        <f t="shared" si="28"/>
        <v>136</v>
      </c>
      <c r="L100" s="43">
        <f t="shared" si="22"/>
        <v>14864</v>
      </c>
      <c r="M100" s="43"/>
      <c r="N100" s="43">
        <f t="shared" si="23"/>
        <v>14864</v>
      </c>
      <c r="O100" s="43">
        <f t="shared" si="24"/>
        <v>1050</v>
      </c>
      <c r="P100" s="227">
        <v>20250</v>
      </c>
      <c r="Q100" s="227"/>
      <c r="R100" s="42">
        <f t="shared" si="25"/>
        <v>0</v>
      </c>
      <c r="S100" s="62"/>
      <c r="T100" s="62">
        <v>24</v>
      </c>
      <c r="U100" s="62"/>
      <c r="V100" s="62"/>
      <c r="W100" s="62"/>
    </row>
    <row r="101" spans="1:23">
      <c r="A101" s="374"/>
      <c r="B101" s="42" t="s">
        <v>1806</v>
      </c>
      <c r="C101" s="42" t="s">
        <v>88</v>
      </c>
      <c r="D101" s="42" t="s">
        <v>16</v>
      </c>
      <c r="E101" s="42" t="s">
        <v>1847</v>
      </c>
      <c r="F101" s="42">
        <v>1172</v>
      </c>
      <c r="G101" s="42"/>
      <c r="H101" s="42">
        <v>15400</v>
      </c>
      <c r="I101" s="42">
        <v>270</v>
      </c>
      <c r="J101" s="42">
        <v>0.5</v>
      </c>
      <c r="K101" s="42">
        <f t="shared" si="28"/>
        <v>135</v>
      </c>
      <c r="L101" s="43">
        <f t="shared" si="22"/>
        <v>15265</v>
      </c>
      <c r="M101" s="43"/>
      <c r="N101" s="43">
        <f t="shared" si="23"/>
        <v>15265</v>
      </c>
      <c r="O101" s="43">
        <f t="shared" si="24"/>
        <v>1078</v>
      </c>
      <c r="P101" s="227">
        <v>20820</v>
      </c>
      <c r="Q101" s="227"/>
      <c r="R101" s="42">
        <f t="shared" si="25"/>
        <v>0</v>
      </c>
      <c r="S101" s="62"/>
      <c r="T101" s="62">
        <v>25</v>
      </c>
      <c r="U101" s="62"/>
      <c r="V101" s="62"/>
      <c r="W101" s="62"/>
    </row>
    <row r="102" spans="1:23">
      <c r="A102" s="374"/>
      <c r="B102" s="42" t="s">
        <v>1806</v>
      </c>
      <c r="C102" s="42" t="s">
        <v>88</v>
      </c>
      <c r="D102" s="42" t="s">
        <v>16</v>
      </c>
      <c r="E102" s="42" t="s">
        <v>1848</v>
      </c>
      <c r="F102" s="42">
        <v>1179</v>
      </c>
      <c r="G102" s="42"/>
      <c r="H102" s="42">
        <v>18130</v>
      </c>
      <c r="I102" s="42">
        <v>310</v>
      </c>
      <c r="J102" s="42">
        <v>0.5</v>
      </c>
      <c r="K102" s="42">
        <f t="shared" si="28"/>
        <v>155</v>
      </c>
      <c r="L102" s="43">
        <f t="shared" si="22"/>
        <v>17975</v>
      </c>
      <c r="M102" s="43"/>
      <c r="N102" s="43">
        <f t="shared" si="23"/>
        <v>17975</v>
      </c>
      <c r="O102" s="43">
        <f t="shared" si="24"/>
        <v>1269.0999999999999</v>
      </c>
      <c r="P102" s="227">
        <v>24500</v>
      </c>
      <c r="Q102" s="227"/>
      <c r="R102" s="42">
        <f t="shared" si="25"/>
        <v>0</v>
      </c>
      <c r="S102" s="62"/>
      <c r="T102" s="62">
        <v>26</v>
      </c>
      <c r="U102" s="62"/>
      <c r="V102" s="62"/>
      <c r="W102" s="62"/>
    </row>
    <row r="103" spans="1:23">
      <c r="A103" s="374"/>
      <c r="B103" s="42" t="s">
        <v>1806</v>
      </c>
      <c r="C103" s="42" t="s">
        <v>88</v>
      </c>
      <c r="D103" s="42" t="s">
        <v>16</v>
      </c>
      <c r="E103" s="42" t="s">
        <v>1849</v>
      </c>
      <c r="F103" s="42">
        <v>1185</v>
      </c>
      <c r="G103" s="42"/>
      <c r="H103" s="42">
        <v>19665</v>
      </c>
      <c r="I103" s="42">
        <v>333</v>
      </c>
      <c r="J103" s="42">
        <v>0.5</v>
      </c>
      <c r="K103" s="42">
        <v>167</v>
      </c>
      <c r="L103" s="43">
        <f t="shared" si="22"/>
        <v>19498</v>
      </c>
      <c r="M103" s="43"/>
      <c r="N103" s="43">
        <f t="shared" si="23"/>
        <v>19498</v>
      </c>
      <c r="O103" s="43">
        <f t="shared" si="24"/>
        <v>1376.55</v>
      </c>
      <c r="P103" s="227">
        <v>26560</v>
      </c>
      <c r="Q103" s="227"/>
      <c r="R103" s="42">
        <f t="shared" si="25"/>
        <v>0</v>
      </c>
      <c r="S103" s="62"/>
      <c r="T103" s="62">
        <v>27</v>
      </c>
      <c r="U103" s="62"/>
      <c r="V103" s="62"/>
      <c r="W103" s="62"/>
    </row>
    <row r="104" spans="1:23">
      <c r="A104" s="374" t="s">
        <v>1850</v>
      </c>
      <c r="B104" s="42" t="s">
        <v>1806</v>
      </c>
      <c r="C104" s="42" t="s">
        <v>88</v>
      </c>
      <c r="D104" s="42" t="s">
        <v>16</v>
      </c>
      <c r="E104" s="42" t="s">
        <v>1852</v>
      </c>
      <c r="F104" s="42">
        <v>1197</v>
      </c>
      <c r="G104" s="42"/>
      <c r="H104" s="42">
        <v>15390</v>
      </c>
      <c r="I104" s="42">
        <v>260</v>
      </c>
      <c r="J104" s="42">
        <v>0.5</v>
      </c>
      <c r="K104" s="42">
        <f t="shared" ref="K104:K132" si="29">I104*J104</f>
        <v>130</v>
      </c>
      <c r="L104" s="43">
        <f t="shared" si="22"/>
        <v>15260</v>
      </c>
      <c r="M104" s="43"/>
      <c r="N104" s="43">
        <f t="shared" si="23"/>
        <v>15260</v>
      </c>
      <c r="O104" s="43">
        <f t="shared" si="24"/>
        <v>1077.3</v>
      </c>
      <c r="P104" s="228">
        <v>20860</v>
      </c>
      <c r="Q104" s="228"/>
      <c r="R104" s="42">
        <f t="shared" si="25"/>
        <v>0</v>
      </c>
      <c r="S104" s="62"/>
      <c r="T104" s="62">
        <v>28</v>
      </c>
      <c r="U104" s="62"/>
      <c r="V104" s="62"/>
      <c r="W104" s="62"/>
    </row>
    <row r="105" spans="1:23">
      <c r="A105" s="374"/>
      <c r="B105" s="42" t="s">
        <v>1806</v>
      </c>
      <c r="C105" s="42" t="s">
        <v>88</v>
      </c>
      <c r="D105" s="42" t="s">
        <v>16</v>
      </c>
      <c r="E105" s="42" t="s">
        <v>1853</v>
      </c>
      <c r="F105" s="42">
        <v>1212</v>
      </c>
      <c r="G105" s="42"/>
      <c r="H105" s="42">
        <v>14960</v>
      </c>
      <c r="I105" s="42">
        <v>260</v>
      </c>
      <c r="J105" s="42">
        <v>0.5</v>
      </c>
      <c r="K105" s="42">
        <f t="shared" si="29"/>
        <v>130</v>
      </c>
      <c r="L105" s="43">
        <f t="shared" si="22"/>
        <v>14830</v>
      </c>
      <c r="M105" s="43"/>
      <c r="N105" s="43">
        <f t="shared" si="23"/>
        <v>14830</v>
      </c>
      <c r="O105" s="43">
        <f t="shared" si="24"/>
        <v>1047.2</v>
      </c>
      <c r="P105" s="228">
        <v>20300</v>
      </c>
      <c r="Q105" s="228"/>
      <c r="R105" s="42">
        <f t="shared" si="25"/>
        <v>0</v>
      </c>
      <c r="S105" s="62"/>
      <c r="T105" s="62">
        <v>29</v>
      </c>
      <c r="U105" s="62"/>
      <c r="V105" s="62"/>
      <c r="W105" s="62"/>
    </row>
    <row r="106" spans="1:23">
      <c r="A106" s="374"/>
      <c r="B106" s="42" t="s">
        <v>1806</v>
      </c>
      <c r="C106" s="42" t="s">
        <v>88</v>
      </c>
      <c r="D106" s="42" t="s">
        <v>16</v>
      </c>
      <c r="E106" s="42" t="s">
        <v>1854</v>
      </c>
      <c r="F106" s="42">
        <v>1198</v>
      </c>
      <c r="G106" s="42"/>
      <c r="H106" s="42">
        <v>16640</v>
      </c>
      <c r="I106" s="42">
        <v>280</v>
      </c>
      <c r="J106" s="42">
        <v>0.5</v>
      </c>
      <c r="K106" s="42">
        <f t="shared" si="29"/>
        <v>140</v>
      </c>
      <c r="L106" s="43">
        <f t="shared" si="22"/>
        <v>16500</v>
      </c>
      <c r="M106" s="43"/>
      <c r="N106" s="43">
        <f t="shared" si="23"/>
        <v>16500</v>
      </c>
      <c r="O106" s="43">
        <f t="shared" si="24"/>
        <v>1164.8</v>
      </c>
      <c r="P106" s="228">
        <v>22500</v>
      </c>
      <c r="Q106" s="228"/>
      <c r="R106" s="42">
        <f t="shared" si="25"/>
        <v>0</v>
      </c>
      <c r="S106" s="62"/>
      <c r="T106" s="62">
        <v>30</v>
      </c>
      <c r="U106" s="62"/>
      <c r="V106" s="62"/>
      <c r="W106" s="62"/>
    </row>
    <row r="107" spans="1:23">
      <c r="A107" s="374"/>
      <c r="B107" s="42" t="s">
        <v>1806</v>
      </c>
      <c r="C107" s="42" t="s">
        <v>88</v>
      </c>
      <c r="D107" s="42" t="s">
        <v>16</v>
      </c>
      <c r="E107" s="42" t="s">
        <v>1855</v>
      </c>
      <c r="F107" s="42">
        <v>1196</v>
      </c>
      <c r="G107" s="42"/>
      <c r="H107" s="42">
        <v>17450</v>
      </c>
      <c r="I107" s="42">
        <v>290</v>
      </c>
      <c r="J107" s="42">
        <v>0.5</v>
      </c>
      <c r="K107" s="42">
        <f t="shared" si="29"/>
        <v>145</v>
      </c>
      <c r="L107" s="43">
        <f t="shared" si="22"/>
        <v>17305</v>
      </c>
      <c r="M107" s="43"/>
      <c r="N107" s="43">
        <f t="shared" si="23"/>
        <v>17305</v>
      </c>
      <c r="O107" s="43">
        <f t="shared" si="24"/>
        <v>1221.5</v>
      </c>
      <c r="P107" s="228">
        <v>23460</v>
      </c>
      <c r="Q107" s="228"/>
      <c r="R107" s="42">
        <f t="shared" si="25"/>
        <v>0</v>
      </c>
      <c r="S107" s="62"/>
      <c r="T107" s="62">
        <v>31</v>
      </c>
      <c r="U107" s="62"/>
      <c r="V107" s="62"/>
      <c r="W107" s="62"/>
    </row>
    <row r="108" spans="1:23">
      <c r="A108" s="374"/>
      <c r="B108" s="42" t="s">
        <v>1806</v>
      </c>
      <c r="C108" s="42" t="s">
        <v>88</v>
      </c>
      <c r="D108" s="42" t="s">
        <v>16</v>
      </c>
      <c r="E108" s="42" t="s">
        <v>1856</v>
      </c>
      <c r="F108" s="42">
        <v>1202</v>
      </c>
      <c r="G108" s="42"/>
      <c r="H108" s="42">
        <v>15580</v>
      </c>
      <c r="I108" s="42">
        <v>270</v>
      </c>
      <c r="J108" s="42">
        <v>0.5</v>
      </c>
      <c r="K108" s="42">
        <f t="shared" si="29"/>
        <v>135</v>
      </c>
      <c r="L108" s="43">
        <f t="shared" si="22"/>
        <v>15445</v>
      </c>
      <c r="M108" s="43"/>
      <c r="N108" s="43">
        <f t="shared" si="23"/>
        <v>15445</v>
      </c>
      <c r="O108" s="43">
        <f t="shared" si="24"/>
        <v>1090.5999999999999</v>
      </c>
      <c r="P108" s="228">
        <v>21030</v>
      </c>
      <c r="Q108" s="228"/>
      <c r="R108" s="42">
        <f t="shared" si="25"/>
        <v>0</v>
      </c>
      <c r="S108" s="62"/>
      <c r="T108" s="62">
        <v>32</v>
      </c>
      <c r="U108" s="62"/>
      <c r="V108" s="62"/>
      <c r="W108" s="62"/>
    </row>
    <row r="109" spans="1:23">
      <c r="A109" s="374"/>
      <c r="B109" s="42" t="s">
        <v>1806</v>
      </c>
      <c r="C109" s="42" t="s">
        <v>88</v>
      </c>
      <c r="D109" s="42" t="s">
        <v>16</v>
      </c>
      <c r="E109" s="42" t="s">
        <v>1857</v>
      </c>
      <c r="F109" s="42">
        <v>1189</v>
      </c>
      <c r="G109" s="42"/>
      <c r="H109" s="42">
        <v>18020</v>
      </c>
      <c r="I109" s="42">
        <v>306</v>
      </c>
      <c r="J109" s="42">
        <v>0.5</v>
      </c>
      <c r="K109" s="42">
        <f t="shared" si="29"/>
        <v>153</v>
      </c>
      <c r="L109" s="43">
        <f t="shared" si="22"/>
        <v>17867</v>
      </c>
      <c r="M109" s="43"/>
      <c r="N109" s="43">
        <f t="shared" si="23"/>
        <v>17867</v>
      </c>
      <c r="O109" s="43">
        <f t="shared" si="24"/>
        <v>1261.3999999999999</v>
      </c>
      <c r="P109" s="228">
        <v>24300</v>
      </c>
      <c r="Q109" s="228"/>
      <c r="R109" s="42">
        <f t="shared" si="25"/>
        <v>0</v>
      </c>
      <c r="S109" s="62"/>
      <c r="T109" s="62">
        <v>33</v>
      </c>
      <c r="U109" s="62"/>
      <c r="V109" s="62"/>
      <c r="W109" s="62"/>
    </row>
    <row r="110" spans="1:23">
      <c r="A110" s="374"/>
      <c r="B110" s="42" t="s">
        <v>1806</v>
      </c>
      <c r="C110" s="42" t="s">
        <v>88</v>
      </c>
      <c r="D110" s="42" t="s">
        <v>16</v>
      </c>
      <c r="E110" s="42" t="s">
        <v>1858</v>
      </c>
      <c r="F110" s="42">
        <v>1176</v>
      </c>
      <c r="G110" s="42"/>
      <c r="H110" s="42">
        <v>16590</v>
      </c>
      <c r="I110" s="42">
        <v>275</v>
      </c>
      <c r="J110" s="42">
        <v>0.5</v>
      </c>
      <c r="K110" s="42">
        <v>138</v>
      </c>
      <c r="L110" s="43">
        <f t="shared" si="22"/>
        <v>16452</v>
      </c>
      <c r="M110" s="43"/>
      <c r="N110" s="43">
        <f t="shared" si="23"/>
        <v>16452</v>
      </c>
      <c r="O110" s="43">
        <f t="shared" si="24"/>
        <v>1161.3</v>
      </c>
      <c r="P110" s="42">
        <v>22400</v>
      </c>
      <c r="Q110" s="42"/>
      <c r="R110" s="42">
        <f t="shared" si="25"/>
        <v>0</v>
      </c>
      <c r="S110" s="62"/>
      <c r="T110" s="62">
        <v>34</v>
      </c>
      <c r="U110" s="62"/>
      <c r="V110" s="62"/>
      <c r="W110" s="62"/>
    </row>
    <row r="111" spans="1:23">
      <c r="A111" s="374"/>
      <c r="B111" s="42" t="s">
        <v>1806</v>
      </c>
      <c r="C111" s="42" t="s">
        <v>88</v>
      </c>
      <c r="D111" s="42" t="s">
        <v>16</v>
      </c>
      <c r="E111" s="42" t="s">
        <v>1859</v>
      </c>
      <c r="F111" s="42">
        <v>1178</v>
      </c>
      <c r="G111" s="42"/>
      <c r="H111" s="42">
        <v>16750</v>
      </c>
      <c r="I111" s="42">
        <v>291</v>
      </c>
      <c r="J111" s="42">
        <v>0.5</v>
      </c>
      <c r="K111" s="42">
        <v>146</v>
      </c>
      <c r="L111" s="43">
        <f t="shared" si="22"/>
        <v>16604</v>
      </c>
      <c r="M111" s="43"/>
      <c r="N111" s="43">
        <f t="shared" si="23"/>
        <v>16604</v>
      </c>
      <c r="O111" s="43">
        <f t="shared" si="24"/>
        <v>1172.5</v>
      </c>
      <c r="P111" s="42">
        <v>22660</v>
      </c>
      <c r="Q111" s="42"/>
      <c r="R111" s="42">
        <f t="shared" si="25"/>
        <v>0</v>
      </c>
      <c r="S111" s="62"/>
      <c r="T111" s="62">
        <v>35</v>
      </c>
      <c r="U111" s="62"/>
      <c r="V111" s="62"/>
      <c r="W111" s="62"/>
    </row>
    <row r="112" spans="1:23">
      <c r="A112" s="374"/>
      <c r="B112" s="42" t="s">
        <v>1806</v>
      </c>
      <c r="C112" s="42" t="s">
        <v>88</v>
      </c>
      <c r="D112" s="42" t="s">
        <v>16</v>
      </c>
      <c r="E112" s="42" t="s">
        <v>1860</v>
      </c>
      <c r="F112" s="42">
        <v>1186</v>
      </c>
      <c r="G112" s="42"/>
      <c r="H112" s="42">
        <v>15210</v>
      </c>
      <c r="I112" s="42">
        <v>252</v>
      </c>
      <c r="J112" s="42">
        <v>0.5</v>
      </c>
      <c r="K112" s="42">
        <f t="shared" si="29"/>
        <v>126</v>
      </c>
      <c r="L112" s="43">
        <f t="shared" si="22"/>
        <v>15084</v>
      </c>
      <c r="M112" s="43"/>
      <c r="N112" s="43">
        <f t="shared" si="23"/>
        <v>15084</v>
      </c>
      <c r="O112" s="43">
        <f t="shared" si="24"/>
        <v>1064.7</v>
      </c>
      <c r="P112" s="42">
        <v>20550</v>
      </c>
      <c r="Q112" s="42"/>
      <c r="R112" s="42">
        <f t="shared" si="25"/>
        <v>0</v>
      </c>
      <c r="S112" s="62"/>
      <c r="T112" s="62">
        <v>36</v>
      </c>
      <c r="U112" s="62"/>
      <c r="V112" s="62"/>
      <c r="W112" s="62"/>
    </row>
    <row r="113" spans="1:23">
      <c r="A113" s="374"/>
      <c r="B113" s="42" t="s">
        <v>1806</v>
      </c>
      <c r="C113" s="42" t="s">
        <v>88</v>
      </c>
      <c r="D113" s="42" t="s">
        <v>16</v>
      </c>
      <c r="E113" s="42" t="s">
        <v>1814</v>
      </c>
      <c r="F113" s="42">
        <v>1190</v>
      </c>
      <c r="G113" s="42"/>
      <c r="H113" s="42">
        <v>15430</v>
      </c>
      <c r="I113" s="42">
        <v>270</v>
      </c>
      <c r="J113" s="42">
        <v>0.5</v>
      </c>
      <c r="K113" s="42">
        <f t="shared" si="29"/>
        <v>135</v>
      </c>
      <c r="L113" s="43">
        <f t="shared" si="22"/>
        <v>15295</v>
      </c>
      <c r="M113" s="43"/>
      <c r="N113" s="43">
        <f t="shared" si="23"/>
        <v>15295</v>
      </c>
      <c r="O113" s="43">
        <f t="shared" si="24"/>
        <v>1080.0999999999999</v>
      </c>
      <c r="P113" s="42">
        <v>20900</v>
      </c>
      <c r="Q113" s="42"/>
      <c r="R113" s="42">
        <f t="shared" si="25"/>
        <v>0</v>
      </c>
      <c r="S113" s="62"/>
      <c r="T113" s="62">
        <v>37</v>
      </c>
      <c r="U113" s="62"/>
      <c r="V113" s="62"/>
      <c r="W113" s="62"/>
    </row>
    <row r="114" spans="1:23">
      <c r="A114" s="374"/>
      <c r="B114" s="42" t="s">
        <v>1806</v>
      </c>
      <c r="C114" s="42" t="s">
        <v>88</v>
      </c>
      <c r="D114" s="42" t="s">
        <v>16</v>
      </c>
      <c r="E114" s="42" t="s">
        <v>1861</v>
      </c>
      <c r="F114" s="42">
        <v>1177</v>
      </c>
      <c r="G114" s="42"/>
      <c r="H114" s="42">
        <v>16670</v>
      </c>
      <c r="I114" s="42">
        <v>292</v>
      </c>
      <c r="J114" s="42">
        <v>0.5</v>
      </c>
      <c r="K114" s="42">
        <f t="shared" si="29"/>
        <v>146</v>
      </c>
      <c r="L114" s="43">
        <f t="shared" si="22"/>
        <v>16524</v>
      </c>
      <c r="M114" s="43"/>
      <c r="N114" s="43">
        <f t="shared" si="23"/>
        <v>16524</v>
      </c>
      <c r="O114" s="43">
        <f t="shared" si="24"/>
        <v>1166.9000000000001</v>
      </c>
      <c r="P114" s="42">
        <v>22550</v>
      </c>
      <c r="Q114" s="42"/>
      <c r="R114" s="42">
        <f t="shared" si="25"/>
        <v>0</v>
      </c>
      <c r="S114" s="62"/>
      <c r="T114" s="62">
        <v>38</v>
      </c>
      <c r="U114" s="62"/>
      <c r="V114" s="62"/>
      <c r="W114" s="62"/>
    </row>
    <row r="115" spans="1:23">
      <c r="A115" s="374"/>
      <c r="B115" s="42" t="s">
        <v>1806</v>
      </c>
      <c r="C115" s="42" t="s">
        <v>88</v>
      </c>
      <c r="D115" s="42" t="s">
        <v>16</v>
      </c>
      <c r="E115" s="42" t="s">
        <v>1862</v>
      </c>
      <c r="F115" s="42">
        <v>1184</v>
      </c>
      <c r="G115" s="42"/>
      <c r="H115" s="42">
        <v>16020</v>
      </c>
      <c r="I115" s="42">
        <v>285</v>
      </c>
      <c r="J115" s="42">
        <v>0.5</v>
      </c>
      <c r="K115" s="42">
        <v>143</v>
      </c>
      <c r="L115" s="43">
        <f t="shared" si="22"/>
        <v>15877</v>
      </c>
      <c r="M115" s="43"/>
      <c r="N115" s="43">
        <f t="shared" si="23"/>
        <v>15877</v>
      </c>
      <c r="O115" s="43">
        <f t="shared" si="24"/>
        <v>1121.3999999999999</v>
      </c>
      <c r="P115" s="42">
        <v>21600</v>
      </c>
      <c r="Q115" s="42"/>
      <c r="R115" s="42">
        <f t="shared" si="25"/>
        <v>0</v>
      </c>
      <c r="S115" s="62"/>
      <c r="T115" s="62">
        <v>39</v>
      </c>
      <c r="U115" s="62"/>
      <c r="V115" s="62"/>
      <c r="W115" s="62"/>
    </row>
    <row r="116" spans="1:23">
      <c r="A116" s="374"/>
      <c r="B116" s="42" t="s">
        <v>1806</v>
      </c>
      <c r="C116" s="42" t="s">
        <v>88</v>
      </c>
      <c r="D116" s="42" t="s">
        <v>16</v>
      </c>
      <c r="E116" s="42" t="s">
        <v>451</v>
      </c>
      <c r="F116" s="42">
        <v>1181</v>
      </c>
      <c r="G116" s="42"/>
      <c r="H116" s="42">
        <v>15590</v>
      </c>
      <c r="I116" s="42">
        <v>270</v>
      </c>
      <c r="J116" s="42">
        <v>0.5</v>
      </c>
      <c r="K116" s="42">
        <f t="shared" si="29"/>
        <v>135</v>
      </c>
      <c r="L116" s="43">
        <f t="shared" si="22"/>
        <v>15455</v>
      </c>
      <c r="M116" s="43"/>
      <c r="N116" s="43">
        <f t="shared" si="23"/>
        <v>15455</v>
      </c>
      <c r="O116" s="43">
        <f t="shared" si="24"/>
        <v>1091.3</v>
      </c>
      <c r="P116" s="42">
        <v>21000</v>
      </c>
      <c r="Q116" s="42"/>
      <c r="R116" s="42">
        <f t="shared" si="25"/>
        <v>0</v>
      </c>
      <c r="S116" s="62"/>
      <c r="T116" s="62">
        <v>40</v>
      </c>
      <c r="U116" s="62"/>
      <c r="V116" s="62"/>
      <c r="W116" s="62"/>
    </row>
    <row r="117" spans="1:23">
      <c r="A117" s="374"/>
      <c r="B117" s="42" t="s">
        <v>1806</v>
      </c>
      <c r="C117" s="42" t="s">
        <v>88</v>
      </c>
      <c r="D117" s="42" t="s">
        <v>16</v>
      </c>
      <c r="E117" s="42" t="s">
        <v>1863</v>
      </c>
      <c r="F117" s="42">
        <v>1193</v>
      </c>
      <c r="G117" s="42"/>
      <c r="H117" s="42">
        <v>17090</v>
      </c>
      <c r="I117" s="42">
        <v>300</v>
      </c>
      <c r="J117" s="42">
        <v>0.5</v>
      </c>
      <c r="K117" s="42">
        <f t="shared" si="29"/>
        <v>150</v>
      </c>
      <c r="L117" s="43">
        <f t="shared" si="22"/>
        <v>16940</v>
      </c>
      <c r="M117" s="43"/>
      <c r="N117" s="43">
        <f t="shared" si="23"/>
        <v>16940</v>
      </c>
      <c r="O117" s="43">
        <f t="shared" si="24"/>
        <v>1196.3</v>
      </c>
      <c r="P117" s="42">
        <v>23150</v>
      </c>
      <c r="Q117" s="42"/>
      <c r="R117" s="42">
        <f t="shared" si="25"/>
        <v>0</v>
      </c>
      <c r="S117" s="62"/>
      <c r="T117" s="62">
        <v>41</v>
      </c>
      <c r="U117" s="62"/>
      <c r="V117" s="62"/>
      <c r="W117" s="62"/>
    </row>
    <row r="118" spans="1:23">
      <c r="A118" s="374"/>
      <c r="B118" s="42" t="s">
        <v>1806</v>
      </c>
      <c r="C118" s="42" t="s">
        <v>88</v>
      </c>
      <c r="D118" s="42" t="s">
        <v>16</v>
      </c>
      <c r="E118" s="42" t="s">
        <v>1864</v>
      </c>
      <c r="F118" s="42">
        <v>1188</v>
      </c>
      <c r="G118" s="42"/>
      <c r="H118" s="42">
        <v>15400</v>
      </c>
      <c r="I118" s="42">
        <v>270</v>
      </c>
      <c r="J118" s="42">
        <v>0.5</v>
      </c>
      <c r="K118" s="42">
        <f t="shared" si="29"/>
        <v>135</v>
      </c>
      <c r="L118" s="43">
        <f t="shared" si="22"/>
        <v>15265</v>
      </c>
      <c r="M118" s="43"/>
      <c r="N118" s="43">
        <f t="shared" si="23"/>
        <v>15265</v>
      </c>
      <c r="O118" s="43">
        <f t="shared" si="24"/>
        <v>1078</v>
      </c>
      <c r="P118" s="42">
        <v>20800</v>
      </c>
      <c r="Q118" s="42"/>
      <c r="R118" s="42">
        <f t="shared" si="25"/>
        <v>0</v>
      </c>
      <c r="S118" s="62"/>
      <c r="T118" s="62">
        <v>42</v>
      </c>
      <c r="U118" s="62"/>
      <c r="V118" s="62"/>
      <c r="W118" s="62"/>
    </row>
    <row r="119" spans="1:23">
      <c r="A119" s="374"/>
      <c r="B119" s="42" t="s">
        <v>1806</v>
      </c>
      <c r="C119" s="42" t="s">
        <v>88</v>
      </c>
      <c r="D119" s="42" t="s">
        <v>16</v>
      </c>
      <c r="E119" s="42" t="s">
        <v>1865</v>
      </c>
      <c r="F119" s="42">
        <v>1187</v>
      </c>
      <c r="G119" s="42"/>
      <c r="H119" s="42">
        <v>16280</v>
      </c>
      <c r="I119" s="42">
        <v>270</v>
      </c>
      <c r="J119" s="42">
        <v>0.5</v>
      </c>
      <c r="K119" s="42">
        <f t="shared" si="29"/>
        <v>135</v>
      </c>
      <c r="L119" s="43">
        <f t="shared" si="22"/>
        <v>16145</v>
      </c>
      <c r="M119" s="43"/>
      <c r="N119" s="43">
        <f t="shared" si="23"/>
        <v>16145</v>
      </c>
      <c r="O119" s="43">
        <f t="shared" si="24"/>
        <v>1139.6000000000001</v>
      </c>
      <c r="P119" s="42">
        <v>22000</v>
      </c>
      <c r="Q119" s="42"/>
      <c r="R119" s="42">
        <f t="shared" si="25"/>
        <v>0</v>
      </c>
      <c r="S119" s="62"/>
      <c r="T119" s="62">
        <v>43</v>
      </c>
      <c r="U119" s="62"/>
      <c r="V119" s="62"/>
      <c r="W119" s="62"/>
    </row>
    <row r="120" spans="1:23">
      <c r="A120" s="374"/>
      <c r="B120" s="42" t="s">
        <v>1806</v>
      </c>
      <c r="C120" s="42" t="s">
        <v>88</v>
      </c>
      <c r="D120" s="42" t="s">
        <v>16</v>
      </c>
      <c r="E120" s="42" t="s">
        <v>1866</v>
      </c>
      <c r="F120" s="42">
        <v>1199</v>
      </c>
      <c r="G120" s="42"/>
      <c r="H120" s="42">
        <v>16170</v>
      </c>
      <c r="I120" s="42">
        <v>288</v>
      </c>
      <c r="J120" s="42">
        <v>0.5</v>
      </c>
      <c r="K120" s="42">
        <f t="shared" si="29"/>
        <v>144</v>
      </c>
      <c r="L120" s="43">
        <f t="shared" si="22"/>
        <v>16026</v>
      </c>
      <c r="M120" s="43"/>
      <c r="N120" s="43">
        <f t="shared" si="23"/>
        <v>16026</v>
      </c>
      <c r="O120" s="43">
        <f t="shared" si="24"/>
        <v>1131.9000000000001</v>
      </c>
      <c r="P120" s="42">
        <v>21900</v>
      </c>
      <c r="Q120" s="42"/>
      <c r="R120" s="42">
        <f t="shared" si="25"/>
        <v>0</v>
      </c>
      <c r="T120" s="62">
        <v>44</v>
      </c>
    </row>
    <row r="121" spans="1:23">
      <c r="A121" s="374" t="s">
        <v>1867</v>
      </c>
      <c r="B121" s="42" t="s">
        <v>1806</v>
      </c>
      <c r="C121" s="42" t="s">
        <v>88</v>
      </c>
      <c r="D121" s="42" t="s">
        <v>16</v>
      </c>
      <c r="E121" s="42" t="s">
        <v>1869</v>
      </c>
      <c r="F121" s="42">
        <v>1194</v>
      </c>
      <c r="G121" s="42"/>
      <c r="H121" s="42">
        <v>16680</v>
      </c>
      <c r="I121" s="42">
        <v>280</v>
      </c>
      <c r="J121" s="42">
        <v>0.5</v>
      </c>
      <c r="K121" s="42">
        <f t="shared" si="29"/>
        <v>140</v>
      </c>
      <c r="L121" s="43">
        <f t="shared" si="22"/>
        <v>16540</v>
      </c>
      <c r="M121" s="43"/>
      <c r="N121" s="43">
        <f t="shared" si="23"/>
        <v>16540</v>
      </c>
      <c r="O121" s="43">
        <f t="shared" si="24"/>
        <v>1167.5999999999999</v>
      </c>
      <c r="P121" s="42">
        <v>22500</v>
      </c>
      <c r="Q121" s="42"/>
      <c r="R121" s="42">
        <f t="shared" si="25"/>
        <v>0</v>
      </c>
      <c r="T121" s="62">
        <v>45</v>
      </c>
    </row>
    <row r="122" spans="1:23">
      <c r="A122" s="374"/>
      <c r="B122" s="42" t="s">
        <v>1806</v>
      </c>
      <c r="C122" s="42" t="s">
        <v>88</v>
      </c>
      <c r="D122" s="42" t="s">
        <v>16</v>
      </c>
      <c r="E122" s="42" t="s">
        <v>1870</v>
      </c>
      <c r="F122" s="42">
        <v>1219</v>
      </c>
      <c r="G122" s="42"/>
      <c r="H122" s="42">
        <v>16970</v>
      </c>
      <c r="I122" s="42">
        <v>382</v>
      </c>
      <c r="J122" s="42">
        <v>0.5</v>
      </c>
      <c r="K122" s="42">
        <f t="shared" si="29"/>
        <v>191</v>
      </c>
      <c r="L122" s="43">
        <f t="shared" si="22"/>
        <v>16779</v>
      </c>
      <c r="M122" s="43"/>
      <c r="N122" s="43">
        <f t="shared" si="23"/>
        <v>16779</v>
      </c>
      <c r="O122" s="43">
        <f t="shared" si="24"/>
        <v>1187.8999999999999</v>
      </c>
      <c r="P122" s="42">
        <v>22950</v>
      </c>
      <c r="Q122" s="42"/>
      <c r="R122" s="42">
        <f t="shared" si="25"/>
        <v>0</v>
      </c>
      <c r="T122" s="62">
        <v>46</v>
      </c>
    </row>
    <row r="123" spans="1:23">
      <c r="A123" s="374"/>
      <c r="B123" s="42" t="s">
        <v>1806</v>
      </c>
      <c r="C123" s="42" t="s">
        <v>88</v>
      </c>
      <c r="D123" s="42" t="s">
        <v>16</v>
      </c>
      <c r="E123" s="42" t="s">
        <v>1871</v>
      </c>
      <c r="F123" s="42">
        <v>1208</v>
      </c>
      <c r="G123" s="42"/>
      <c r="H123" s="42">
        <v>18600</v>
      </c>
      <c r="I123" s="42">
        <v>315</v>
      </c>
      <c r="J123" s="42">
        <v>0.5</v>
      </c>
      <c r="K123" s="42">
        <v>158</v>
      </c>
      <c r="L123" s="43">
        <f t="shared" si="22"/>
        <v>18442</v>
      </c>
      <c r="M123" s="43"/>
      <c r="N123" s="43">
        <f t="shared" si="23"/>
        <v>18442</v>
      </c>
      <c r="O123" s="43">
        <f t="shared" si="24"/>
        <v>1302</v>
      </c>
      <c r="P123" s="42">
        <v>24250</v>
      </c>
      <c r="Q123" s="42"/>
      <c r="R123" s="42">
        <f t="shared" si="25"/>
        <v>0</v>
      </c>
      <c r="T123" s="62">
        <v>47</v>
      </c>
    </row>
    <row r="124" spans="1:23">
      <c r="A124" s="374"/>
      <c r="B124" s="42" t="s">
        <v>1806</v>
      </c>
      <c r="C124" s="42" t="s">
        <v>88</v>
      </c>
      <c r="D124" s="42" t="s">
        <v>16</v>
      </c>
      <c r="E124" s="42" t="s">
        <v>1872</v>
      </c>
      <c r="F124" s="42">
        <v>1180</v>
      </c>
      <c r="G124" s="42"/>
      <c r="H124" s="42">
        <v>18250</v>
      </c>
      <c r="I124" s="42">
        <v>303</v>
      </c>
      <c r="J124" s="42">
        <v>0.5</v>
      </c>
      <c r="K124" s="42">
        <v>152</v>
      </c>
      <c r="L124" s="43">
        <f t="shared" si="22"/>
        <v>18098</v>
      </c>
      <c r="M124" s="43"/>
      <c r="N124" s="43">
        <f t="shared" si="23"/>
        <v>18098</v>
      </c>
      <c r="O124" s="43">
        <f t="shared" si="24"/>
        <v>1277.5</v>
      </c>
      <c r="P124" s="42">
        <v>24670</v>
      </c>
      <c r="Q124" s="42"/>
      <c r="R124" s="42">
        <f t="shared" si="25"/>
        <v>0</v>
      </c>
      <c r="T124" s="62">
        <v>48</v>
      </c>
    </row>
    <row r="125" spans="1:23">
      <c r="A125" s="374"/>
      <c r="B125" s="42" t="s">
        <v>1806</v>
      </c>
      <c r="C125" s="42" t="s">
        <v>88</v>
      </c>
      <c r="D125" s="42" t="s">
        <v>16</v>
      </c>
      <c r="E125" s="42" t="s">
        <v>1873</v>
      </c>
      <c r="F125" s="42">
        <v>1218</v>
      </c>
      <c r="G125" s="42"/>
      <c r="H125" s="42">
        <v>13370</v>
      </c>
      <c r="I125" s="42">
        <v>215</v>
      </c>
      <c r="J125" s="42">
        <v>0.5</v>
      </c>
      <c r="K125" s="42">
        <v>108</v>
      </c>
      <c r="L125" s="43">
        <f t="shared" si="22"/>
        <v>13262</v>
      </c>
      <c r="M125" s="43"/>
      <c r="N125" s="43">
        <f t="shared" si="23"/>
        <v>13262</v>
      </c>
      <c r="O125" s="43">
        <f t="shared" si="24"/>
        <v>935.9</v>
      </c>
      <c r="P125" s="42">
        <v>18100</v>
      </c>
      <c r="Q125" s="42"/>
      <c r="R125" s="42">
        <f t="shared" si="25"/>
        <v>0</v>
      </c>
      <c r="T125" s="62">
        <v>49</v>
      </c>
    </row>
    <row r="126" spans="1:23">
      <c r="A126" s="374"/>
      <c r="B126" s="42" t="s">
        <v>1806</v>
      </c>
      <c r="C126" s="42" t="s">
        <v>88</v>
      </c>
      <c r="D126" s="42" t="s">
        <v>16</v>
      </c>
      <c r="E126" s="42" t="s">
        <v>1874</v>
      </c>
      <c r="F126" s="42">
        <v>1183</v>
      </c>
      <c r="G126" s="42"/>
      <c r="H126" s="42">
        <v>19150</v>
      </c>
      <c r="I126" s="42">
        <v>300</v>
      </c>
      <c r="J126" s="42">
        <v>0.5</v>
      </c>
      <c r="K126" s="42">
        <f t="shared" si="29"/>
        <v>150</v>
      </c>
      <c r="L126" s="43">
        <f t="shared" si="22"/>
        <v>19000</v>
      </c>
      <c r="M126" s="43"/>
      <c r="N126" s="43">
        <f t="shared" si="23"/>
        <v>19000</v>
      </c>
      <c r="O126" s="43">
        <f t="shared" si="24"/>
        <v>1340.5</v>
      </c>
      <c r="P126" s="42">
        <v>25950</v>
      </c>
      <c r="Q126" s="42"/>
      <c r="R126" s="42">
        <f t="shared" si="25"/>
        <v>0</v>
      </c>
      <c r="T126" s="62">
        <v>50</v>
      </c>
    </row>
    <row r="127" spans="1:23">
      <c r="A127" s="374"/>
      <c r="B127" s="42" t="s">
        <v>1806</v>
      </c>
      <c r="C127" s="42" t="s">
        <v>88</v>
      </c>
      <c r="D127" s="42" t="s">
        <v>16</v>
      </c>
      <c r="E127" s="42" t="s">
        <v>1875</v>
      </c>
      <c r="F127" s="42">
        <v>1205</v>
      </c>
      <c r="G127" s="42"/>
      <c r="H127" s="42">
        <v>15540</v>
      </c>
      <c r="I127" s="42">
        <v>288</v>
      </c>
      <c r="J127" s="42">
        <v>0.5</v>
      </c>
      <c r="K127" s="42">
        <f t="shared" si="29"/>
        <v>144</v>
      </c>
      <c r="L127" s="43">
        <f t="shared" si="22"/>
        <v>15396</v>
      </c>
      <c r="M127" s="43"/>
      <c r="N127" s="43">
        <f t="shared" si="23"/>
        <v>15396</v>
      </c>
      <c r="O127" s="43">
        <f t="shared" si="24"/>
        <v>1087.8</v>
      </c>
      <c r="P127" s="42">
        <v>21000</v>
      </c>
      <c r="Q127" s="42"/>
      <c r="R127" s="42">
        <f t="shared" si="25"/>
        <v>0</v>
      </c>
      <c r="T127" s="62">
        <v>51</v>
      </c>
    </row>
    <row r="128" spans="1:23">
      <c r="A128" s="374"/>
      <c r="B128" s="42" t="s">
        <v>1806</v>
      </c>
      <c r="C128" s="42" t="s">
        <v>88</v>
      </c>
      <c r="D128" s="42" t="s">
        <v>16</v>
      </c>
      <c r="E128" s="42" t="s">
        <v>1876</v>
      </c>
      <c r="F128" s="42">
        <v>1182</v>
      </c>
      <c r="G128" s="42"/>
      <c r="H128" s="42">
        <v>17470</v>
      </c>
      <c r="I128" s="42">
        <v>290</v>
      </c>
      <c r="J128" s="42">
        <v>0.5</v>
      </c>
      <c r="K128" s="42">
        <f t="shared" si="29"/>
        <v>145</v>
      </c>
      <c r="L128" s="43">
        <f t="shared" si="22"/>
        <v>17325</v>
      </c>
      <c r="M128" s="43"/>
      <c r="N128" s="43">
        <f t="shared" si="23"/>
        <v>17325</v>
      </c>
      <c r="O128" s="43">
        <f t="shared" si="24"/>
        <v>1222.8999999999999</v>
      </c>
      <c r="P128" s="42">
        <v>23600</v>
      </c>
      <c r="Q128" s="42"/>
      <c r="R128" s="42">
        <f t="shared" si="25"/>
        <v>0</v>
      </c>
      <c r="T128" s="62">
        <v>52</v>
      </c>
    </row>
    <row r="129" spans="1:20">
      <c r="A129" s="374"/>
      <c r="B129" s="42" t="s">
        <v>1806</v>
      </c>
      <c r="C129" s="42" t="s">
        <v>88</v>
      </c>
      <c r="D129" s="42" t="s">
        <v>16</v>
      </c>
      <c r="E129" s="42" t="s">
        <v>1877</v>
      </c>
      <c r="F129" s="42">
        <v>1204</v>
      </c>
      <c r="G129" s="42"/>
      <c r="H129" s="42">
        <v>17400</v>
      </c>
      <c r="I129" s="42">
        <v>300</v>
      </c>
      <c r="J129" s="42">
        <v>0.5</v>
      </c>
      <c r="K129" s="42">
        <f t="shared" si="29"/>
        <v>150</v>
      </c>
      <c r="L129" s="43">
        <f t="shared" si="22"/>
        <v>17250</v>
      </c>
      <c r="M129" s="43"/>
      <c r="N129" s="43">
        <f t="shared" si="23"/>
        <v>17250</v>
      </c>
      <c r="O129" s="43">
        <f t="shared" si="24"/>
        <v>1218</v>
      </c>
      <c r="P129" s="42">
        <v>23500</v>
      </c>
      <c r="Q129" s="42"/>
      <c r="R129" s="42">
        <f t="shared" si="25"/>
        <v>0</v>
      </c>
      <c r="T129" s="62">
        <v>53</v>
      </c>
    </row>
    <row r="130" spans="1:20">
      <c r="A130" s="374"/>
      <c r="B130" s="42" t="s">
        <v>1806</v>
      </c>
      <c r="C130" s="42" t="s">
        <v>88</v>
      </c>
      <c r="D130" s="42" t="s">
        <v>16</v>
      </c>
      <c r="E130" s="42" t="s">
        <v>1816</v>
      </c>
      <c r="F130" s="42">
        <v>1222</v>
      </c>
      <c r="G130" s="42"/>
      <c r="H130" s="42">
        <v>17350</v>
      </c>
      <c r="I130" s="42">
        <v>282</v>
      </c>
      <c r="J130" s="42">
        <v>0.5</v>
      </c>
      <c r="K130" s="42">
        <f t="shared" si="29"/>
        <v>141</v>
      </c>
      <c r="L130" s="43">
        <f t="shared" si="22"/>
        <v>17209</v>
      </c>
      <c r="M130" s="43"/>
      <c r="N130" s="43">
        <f t="shared" si="23"/>
        <v>17209</v>
      </c>
      <c r="O130" s="43">
        <f t="shared" si="24"/>
        <v>1214.5</v>
      </c>
      <c r="P130" s="42">
        <v>23460</v>
      </c>
      <c r="Q130" s="42"/>
      <c r="R130" s="42">
        <f t="shared" si="25"/>
        <v>0</v>
      </c>
      <c r="T130" s="62">
        <v>54</v>
      </c>
    </row>
    <row r="131" spans="1:20">
      <c r="A131" s="374"/>
      <c r="B131" s="42" t="s">
        <v>1806</v>
      </c>
      <c r="C131" s="42" t="s">
        <v>88</v>
      </c>
      <c r="D131" s="42" t="s">
        <v>16</v>
      </c>
      <c r="E131" s="42" t="s">
        <v>1878</v>
      </c>
      <c r="F131" s="42">
        <v>1220</v>
      </c>
      <c r="G131" s="42"/>
      <c r="H131" s="42">
        <v>16460</v>
      </c>
      <c r="I131" s="42">
        <v>284</v>
      </c>
      <c r="J131" s="42">
        <v>0.5</v>
      </c>
      <c r="K131" s="42">
        <f t="shared" si="29"/>
        <v>142</v>
      </c>
      <c r="L131" s="43">
        <f t="shared" si="22"/>
        <v>16318</v>
      </c>
      <c r="M131" s="43"/>
      <c r="N131" s="43">
        <f t="shared" si="23"/>
        <v>16318</v>
      </c>
      <c r="O131" s="43">
        <f t="shared" si="24"/>
        <v>1152.2</v>
      </c>
      <c r="P131" s="42">
        <v>22200</v>
      </c>
      <c r="Q131" s="42"/>
      <c r="R131" s="42">
        <f t="shared" si="25"/>
        <v>0</v>
      </c>
      <c r="T131" s="62">
        <v>55</v>
      </c>
    </row>
    <row r="132" spans="1:20">
      <c r="A132" s="374"/>
      <c r="B132" s="42" t="s">
        <v>1806</v>
      </c>
      <c r="C132" s="42" t="s">
        <v>88</v>
      </c>
      <c r="D132" s="42" t="s">
        <v>16</v>
      </c>
      <c r="E132" s="42" t="s">
        <v>1879</v>
      </c>
      <c r="F132" s="42">
        <v>1223</v>
      </c>
      <c r="G132" s="42"/>
      <c r="H132" s="42">
        <v>17320</v>
      </c>
      <c r="I132" s="42">
        <v>296</v>
      </c>
      <c r="J132" s="42">
        <v>0.5</v>
      </c>
      <c r="K132" s="42">
        <f t="shared" si="29"/>
        <v>148</v>
      </c>
      <c r="L132" s="43">
        <f t="shared" si="22"/>
        <v>17172</v>
      </c>
      <c r="M132" s="43"/>
      <c r="N132" s="43">
        <f t="shared" si="23"/>
        <v>17172</v>
      </c>
      <c r="O132" s="43">
        <f t="shared" si="24"/>
        <v>1212.4000000000001</v>
      </c>
      <c r="P132" s="42">
        <v>23100</v>
      </c>
      <c r="Q132" s="42"/>
      <c r="R132" s="42">
        <f t="shared" si="25"/>
        <v>0</v>
      </c>
      <c r="T132" s="62">
        <v>56</v>
      </c>
    </row>
    <row r="133" spans="1:20">
      <c r="A133" s="374"/>
      <c r="B133" s="42" t="s">
        <v>1806</v>
      </c>
      <c r="C133" s="42" t="s">
        <v>88</v>
      </c>
      <c r="D133" s="42" t="s">
        <v>16</v>
      </c>
      <c r="E133" s="42" t="s">
        <v>1880</v>
      </c>
      <c r="F133" s="42">
        <v>1211</v>
      </c>
      <c r="G133" s="42"/>
      <c r="H133" s="42">
        <v>15380</v>
      </c>
      <c r="I133" s="42">
        <v>263</v>
      </c>
      <c r="J133" s="42">
        <v>0.5</v>
      </c>
      <c r="K133" s="42">
        <v>132</v>
      </c>
      <c r="L133" s="43">
        <f t="shared" si="22"/>
        <v>15248</v>
      </c>
      <c r="M133" s="43"/>
      <c r="N133" s="43">
        <f t="shared" si="23"/>
        <v>15248</v>
      </c>
      <c r="O133" s="43">
        <f t="shared" si="24"/>
        <v>1076.6000000000001</v>
      </c>
      <c r="P133" s="42">
        <v>20720</v>
      </c>
      <c r="Q133" s="42"/>
      <c r="R133" s="42">
        <f t="shared" si="25"/>
        <v>0</v>
      </c>
      <c r="T133" s="62">
        <v>57</v>
      </c>
    </row>
    <row r="134" spans="1:20">
      <c r="A134" s="374" t="s">
        <v>1881</v>
      </c>
      <c r="B134" s="42" t="s">
        <v>1806</v>
      </c>
      <c r="C134" s="42" t="s">
        <v>88</v>
      </c>
      <c r="D134" s="42" t="s">
        <v>16</v>
      </c>
      <c r="E134" s="42" t="s">
        <v>1837</v>
      </c>
      <c r="F134" s="42">
        <v>1227</v>
      </c>
      <c r="G134" s="42"/>
      <c r="H134" s="42">
        <v>15700</v>
      </c>
      <c r="I134" s="42">
        <v>270</v>
      </c>
      <c r="J134" s="42">
        <v>0.5</v>
      </c>
      <c r="K134" s="42">
        <f t="shared" ref="K134:K136" si="30">I134*J134</f>
        <v>135</v>
      </c>
      <c r="L134" s="43">
        <f t="shared" si="22"/>
        <v>15565</v>
      </c>
      <c r="M134" s="43"/>
      <c r="N134" s="43">
        <f t="shared" si="23"/>
        <v>15565</v>
      </c>
      <c r="O134" s="43">
        <f t="shared" si="24"/>
        <v>1099</v>
      </c>
      <c r="P134" s="42">
        <v>21260</v>
      </c>
      <c r="Q134" s="42"/>
      <c r="R134" s="42">
        <f t="shared" si="25"/>
        <v>0</v>
      </c>
      <c r="T134" s="62">
        <v>58</v>
      </c>
    </row>
    <row r="135" spans="1:20">
      <c r="A135" s="374"/>
      <c r="B135" s="42" t="s">
        <v>1806</v>
      </c>
      <c r="C135" s="42" t="s">
        <v>88</v>
      </c>
      <c r="D135" s="42" t="s">
        <v>16</v>
      </c>
      <c r="E135" s="42" t="s">
        <v>1882</v>
      </c>
      <c r="F135" s="42">
        <v>1215</v>
      </c>
      <c r="G135" s="42"/>
      <c r="H135" s="42">
        <v>15810</v>
      </c>
      <c r="I135" s="42">
        <v>272</v>
      </c>
      <c r="J135" s="42">
        <v>0.5</v>
      </c>
      <c r="K135" s="42">
        <f t="shared" si="30"/>
        <v>136</v>
      </c>
      <c r="L135" s="43">
        <f t="shared" si="22"/>
        <v>15674</v>
      </c>
      <c r="M135" s="43"/>
      <c r="N135" s="43">
        <f t="shared" si="23"/>
        <v>15674</v>
      </c>
      <c r="O135" s="43">
        <f t="shared" si="24"/>
        <v>1106.7</v>
      </c>
      <c r="P135" s="42">
        <v>21400</v>
      </c>
      <c r="Q135" s="42"/>
      <c r="R135" s="42">
        <f t="shared" si="25"/>
        <v>0</v>
      </c>
      <c r="T135" s="62">
        <v>59</v>
      </c>
    </row>
    <row r="136" spans="1:20">
      <c r="A136" s="374"/>
      <c r="B136" s="42" t="s">
        <v>1806</v>
      </c>
      <c r="C136" s="42" t="s">
        <v>88</v>
      </c>
      <c r="D136" s="42" t="s">
        <v>16</v>
      </c>
      <c r="E136" s="42" t="s">
        <v>1883</v>
      </c>
      <c r="F136" s="42">
        <v>1213</v>
      </c>
      <c r="G136" s="42"/>
      <c r="H136" s="42">
        <v>17270</v>
      </c>
      <c r="I136" s="42">
        <v>280</v>
      </c>
      <c r="J136" s="42">
        <v>0.5</v>
      </c>
      <c r="K136" s="42">
        <f t="shared" si="30"/>
        <v>140</v>
      </c>
      <c r="L136" s="43">
        <f t="shared" si="22"/>
        <v>17130</v>
      </c>
      <c r="M136" s="43"/>
      <c r="N136" s="43">
        <f t="shared" si="23"/>
        <v>17130</v>
      </c>
      <c r="O136" s="43">
        <f t="shared" si="24"/>
        <v>1208.8999999999999</v>
      </c>
      <c r="P136" s="42">
        <v>23400</v>
      </c>
      <c r="Q136" s="42"/>
      <c r="R136" s="42">
        <f t="shared" si="25"/>
        <v>0</v>
      </c>
      <c r="T136" s="62">
        <v>60</v>
      </c>
    </row>
    <row r="137" spans="1:20">
      <c r="A137" s="374"/>
      <c r="B137" s="42" t="s">
        <v>1806</v>
      </c>
      <c r="C137" s="42" t="s">
        <v>88</v>
      </c>
      <c r="D137" s="42" t="s">
        <v>16</v>
      </c>
      <c r="E137" s="42" t="s">
        <v>1884</v>
      </c>
      <c r="F137" s="42">
        <v>1224</v>
      </c>
      <c r="G137" s="42"/>
      <c r="H137" s="42">
        <v>16910</v>
      </c>
      <c r="I137" s="42">
        <v>295</v>
      </c>
      <c r="J137" s="42">
        <v>0.5</v>
      </c>
      <c r="K137" s="42">
        <v>148</v>
      </c>
      <c r="L137" s="43">
        <f t="shared" si="22"/>
        <v>16762</v>
      </c>
      <c r="M137" s="43"/>
      <c r="N137" s="43">
        <f t="shared" si="23"/>
        <v>16762</v>
      </c>
      <c r="O137" s="43">
        <f t="shared" si="24"/>
        <v>1183.7</v>
      </c>
      <c r="P137" s="42">
        <v>22950</v>
      </c>
      <c r="Q137" s="42"/>
      <c r="R137" s="42">
        <f t="shared" si="25"/>
        <v>0</v>
      </c>
      <c r="T137" s="62">
        <v>61</v>
      </c>
    </row>
    <row r="138" spans="1:20">
      <c r="A138" s="374"/>
      <c r="B138" s="42" t="s">
        <v>1806</v>
      </c>
      <c r="C138" s="42" t="s">
        <v>88</v>
      </c>
      <c r="D138" s="42" t="s">
        <v>16</v>
      </c>
      <c r="E138" s="42" t="s">
        <v>1885</v>
      </c>
      <c r="F138" s="42">
        <v>1216</v>
      </c>
      <c r="G138" s="42"/>
      <c r="H138" s="42">
        <v>15260</v>
      </c>
      <c r="I138" s="42">
        <v>270</v>
      </c>
      <c r="J138" s="42">
        <v>0.5</v>
      </c>
      <c r="K138" s="42">
        <f t="shared" ref="K138:K165" si="31">I138*J138</f>
        <v>135</v>
      </c>
      <c r="L138" s="43">
        <f t="shared" si="22"/>
        <v>15125</v>
      </c>
      <c r="M138" s="43"/>
      <c r="N138" s="43">
        <f t="shared" si="23"/>
        <v>15125</v>
      </c>
      <c r="O138" s="43">
        <f t="shared" si="24"/>
        <v>1068.2</v>
      </c>
      <c r="P138" s="42">
        <v>20600</v>
      </c>
      <c r="Q138" s="42"/>
      <c r="R138" s="42">
        <f t="shared" si="25"/>
        <v>0</v>
      </c>
      <c r="T138" s="62">
        <v>62</v>
      </c>
    </row>
    <row r="139" spans="1:20">
      <c r="A139" s="374"/>
      <c r="B139" s="42" t="s">
        <v>1806</v>
      </c>
      <c r="C139" s="42" t="s">
        <v>88</v>
      </c>
      <c r="D139" s="42" t="s">
        <v>16</v>
      </c>
      <c r="E139" s="42" t="s">
        <v>1886</v>
      </c>
      <c r="F139" s="42">
        <v>1210</v>
      </c>
      <c r="G139" s="42"/>
      <c r="H139" s="42">
        <v>15920</v>
      </c>
      <c r="I139" s="42">
        <v>280</v>
      </c>
      <c r="J139" s="42">
        <v>0.5</v>
      </c>
      <c r="K139" s="42">
        <f t="shared" si="31"/>
        <v>140</v>
      </c>
      <c r="L139" s="43">
        <f t="shared" si="22"/>
        <v>15780</v>
      </c>
      <c r="M139" s="43"/>
      <c r="N139" s="43">
        <f t="shared" si="23"/>
        <v>15780</v>
      </c>
      <c r="O139" s="43">
        <f t="shared" si="24"/>
        <v>1114.4000000000001</v>
      </c>
      <c r="P139" s="42">
        <v>21500</v>
      </c>
      <c r="Q139" s="42"/>
      <c r="R139" s="42">
        <f t="shared" si="25"/>
        <v>0</v>
      </c>
      <c r="T139" s="62">
        <v>63</v>
      </c>
    </row>
    <row r="140" spans="1:20">
      <c r="A140" s="374"/>
      <c r="B140" s="42" t="s">
        <v>1806</v>
      </c>
      <c r="C140" s="42" t="s">
        <v>88</v>
      </c>
      <c r="D140" s="42" t="s">
        <v>16</v>
      </c>
      <c r="E140" s="42" t="s">
        <v>1887</v>
      </c>
      <c r="F140" s="42">
        <v>1214</v>
      </c>
      <c r="G140" s="42"/>
      <c r="H140" s="42">
        <v>14840</v>
      </c>
      <c r="I140" s="42">
        <v>251</v>
      </c>
      <c r="J140" s="42">
        <v>0.5</v>
      </c>
      <c r="K140" s="42">
        <v>126</v>
      </c>
      <c r="L140" s="43">
        <f t="shared" si="22"/>
        <v>14714</v>
      </c>
      <c r="M140" s="43"/>
      <c r="N140" s="43">
        <f t="shared" si="23"/>
        <v>14714</v>
      </c>
      <c r="O140" s="43">
        <f t="shared" si="24"/>
        <v>1038.8</v>
      </c>
      <c r="P140" s="42">
        <v>20050</v>
      </c>
      <c r="Q140" s="42"/>
      <c r="R140" s="42">
        <f t="shared" si="25"/>
        <v>0</v>
      </c>
      <c r="T140" s="62">
        <v>64</v>
      </c>
    </row>
    <row r="141" spans="1:20">
      <c r="A141" s="374"/>
      <c r="B141" s="42" t="s">
        <v>1806</v>
      </c>
      <c r="C141" s="42" t="s">
        <v>88</v>
      </c>
      <c r="D141" s="42" t="s">
        <v>16</v>
      </c>
      <c r="E141" s="42" t="s">
        <v>1888</v>
      </c>
      <c r="F141" s="42">
        <v>1203</v>
      </c>
      <c r="G141" s="42"/>
      <c r="H141" s="42">
        <v>15930</v>
      </c>
      <c r="I141" s="42">
        <v>276</v>
      </c>
      <c r="J141" s="42">
        <v>0.5</v>
      </c>
      <c r="K141" s="42">
        <f t="shared" si="31"/>
        <v>138</v>
      </c>
      <c r="L141" s="43">
        <f t="shared" ref="L141:L204" si="32">H141-K141</f>
        <v>15792</v>
      </c>
      <c r="M141" s="43"/>
      <c r="N141" s="43">
        <f t="shared" ref="N141:N204" si="33">L141-M141</f>
        <v>15792</v>
      </c>
      <c r="O141" s="43">
        <f t="shared" ref="O141:O204" si="34">H141/1000*70</f>
        <v>1115.0999999999999</v>
      </c>
      <c r="P141" s="42">
        <v>21300</v>
      </c>
      <c r="Q141" s="42"/>
      <c r="R141" s="42">
        <f t="shared" ref="R141:R187" si="35">L141*Q141</f>
        <v>0</v>
      </c>
      <c r="T141" s="62">
        <v>65</v>
      </c>
    </row>
    <row r="142" spans="1:20">
      <c r="A142" s="374"/>
      <c r="B142" s="42" t="s">
        <v>1806</v>
      </c>
      <c r="C142" s="42" t="s">
        <v>88</v>
      </c>
      <c r="D142" s="42" t="s">
        <v>16</v>
      </c>
      <c r="E142" s="42" t="s">
        <v>1889</v>
      </c>
      <c r="F142" s="42">
        <v>1207</v>
      </c>
      <c r="G142" s="42"/>
      <c r="H142" s="42">
        <v>18000</v>
      </c>
      <c r="I142" s="42">
        <v>300</v>
      </c>
      <c r="J142" s="42">
        <v>0.5</v>
      </c>
      <c r="K142" s="42">
        <f t="shared" si="31"/>
        <v>150</v>
      </c>
      <c r="L142" s="43">
        <f t="shared" si="32"/>
        <v>17850</v>
      </c>
      <c r="M142" s="43"/>
      <c r="N142" s="43">
        <f t="shared" si="33"/>
        <v>17850</v>
      </c>
      <c r="O142" s="43">
        <f t="shared" si="34"/>
        <v>1260</v>
      </c>
      <c r="P142" s="42">
        <v>24350</v>
      </c>
      <c r="Q142" s="42"/>
      <c r="R142" s="42">
        <f t="shared" si="35"/>
        <v>0</v>
      </c>
      <c r="T142" s="62">
        <v>66</v>
      </c>
    </row>
    <row r="143" spans="1:20">
      <c r="A143" s="374"/>
      <c r="B143" s="42" t="s">
        <v>1806</v>
      </c>
      <c r="C143" s="42" t="s">
        <v>88</v>
      </c>
      <c r="D143" s="42" t="s">
        <v>16</v>
      </c>
      <c r="E143" s="42" t="s">
        <v>1890</v>
      </c>
      <c r="F143" s="42">
        <v>1206</v>
      </c>
      <c r="G143" s="42"/>
      <c r="H143" s="42">
        <v>16540</v>
      </c>
      <c r="I143" s="42">
        <v>290</v>
      </c>
      <c r="J143" s="42">
        <v>0.5</v>
      </c>
      <c r="K143" s="42">
        <f t="shared" si="31"/>
        <v>145</v>
      </c>
      <c r="L143" s="43">
        <f t="shared" si="32"/>
        <v>16395</v>
      </c>
      <c r="M143" s="43"/>
      <c r="N143" s="43">
        <f t="shared" si="33"/>
        <v>16395</v>
      </c>
      <c r="O143" s="43">
        <f t="shared" si="34"/>
        <v>1157.8</v>
      </c>
      <c r="P143" s="42">
        <v>22330</v>
      </c>
      <c r="Q143" s="42"/>
      <c r="R143" s="42">
        <f t="shared" si="35"/>
        <v>0</v>
      </c>
      <c r="T143" s="62">
        <v>67</v>
      </c>
    </row>
    <row r="144" spans="1:20">
      <c r="A144" s="374"/>
      <c r="B144" s="42" t="s">
        <v>1806</v>
      </c>
      <c r="C144" s="42" t="s">
        <v>88</v>
      </c>
      <c r="D144" s="42" t="s">
        <v>16</v>
      </c>
      <c r="E144" s="42" t="s">
        <v>1891</v>
      </c>
      <c r="F144" s="42">
        <v>1221</v>
      </c>
      <c r="G144" s="42"/>
      <c r="H144" s="42">
        <v>16880</v>
      </c>
      <c r="I144" s="42">
        <v>280</v>
      </c>
      <c r="J144" s="42">
        <v>0.5</v>
      </c>
      <c r="K144" s="42">
        <f t="shared" si="31"/>
        <v>140</v>
      </c>
      <c r="L144" s="43">
        <f t="shared" si="32"/>
        <v>16740</v>
      </c>
      <c r="M144" s="43"/>
      <c r="N144" s="43">
        <f t="shared" si="33"/>
        <v>16740</v>
      </c>
      <c r="O144" s="43">
        <f t="shared" si="34"/>
        <v>1181.5999999999999</v>
      </c>
      <c r="P144" s="42">
        <v>22800</v>
      </c>
      <c r="Q144" s="42"/>
      <c r="R144" s="42">
        <f t="shared" si="35"/>
        <v>0</v>
      </c>
      <c r="T144" s="62">
        <v>68</v>
      </c>
    </row>
    <row r="145" spans="1:20">
      <c r="A145" s="374"/>
      <c r="B145" s="42" t="s">
        <v>1806</v>
      </c>
      <c r="C145" s="42" t="s">
        <v>88</v>
      </c>
      <c r="D145" s="42" t="s">
        <v>16</v>
      </c>
      <c r="E145" s="42" t="s">
        <v>1892</v>
      </c>
      <c r="F145" s="42">
        <v>1192</v>
      </c>
      <c r="G145" s="42"/>
      <c r="H145" s="42">
        <v>20200</v>
      </c>
      <c r="I145" s="42">
        <v>318</v>
      </c>
      <c r="J145" s="42">
        <v>0.5</v>
      </c>
      <c r="K145" s="42">
        <f t="shared" si="31"/>
        <v>159</v>
      </c>
      <c r="L145" s="43">
        <f t="shared" si="32"/>
        <v>20041</v>
      </c>
      <c r="M145" s="43"/>
      <c r="N145" s="43">
        <f t="shared" si="33"/>
        <v>20041</v>
      </c>
      <c r="O145" s="43">
        <f t="shared" si="34"/>
        <v>1414</v>
      </c>
      <c r="P145" s="42">
        <v>26760</v>
      </c>
      <c r="Q145" s="42"/>
      <c r="R145" s="42">
        <f t="shared" si="35"/>
        <v>0</v>
      </c>
      <c r="T145" s="62">
        <v>69</v>
      </c>
    </row>
    <row r="146" spans="1:20">
      <c r="A146" s="374"/>
      <c r="B146" s="42" t="s">
        <v>1806</v>
      </c>
      <c r="C146" s="42" t="s">
        <v>88</v>
      </c>
      <c r="D146" s="42" t="s">
        <v>16</v>
      </c>
      <c r="E146" s="42" t="s">
        <v>1893</v>
      </c>
      <c r="F146" s="42">
        <v>1191</v>
      </c>
      <c r="G146" s="42"/>
      <c r="H146" s="42">
        <v>19710</v>
      </c>
      <c r="I146" s="42">
        <v>320</v>
      </c>
      <c r="J146" s="42">
        <v>0.5</v>
      </c>
      <c r="K146" s="42">
        <f t="shared" si="31"/>
        <v>160</v>
      </c>
      <c r="L146" s="43">
        <f t="shared" si="32"/>
        <v>19550</v>
      </c>
      <c r="M146" s="43"/>
      <c r="N146" s="43">
        <f t="shared" si="33"/>
        <v>19550</v>
      </c>
      <c r="O146" s="43">
        <f t="shared" si="34"/>
        <v>1379.7</v>
      </c>
      <c r="P146" s="42">
        <v>26300</v>
      </c>
      <c r="Q146" s="42"/>
      <c r="R146" s="42">
        <f t="shared" si="35"/>
        <v>0</v>
      </c>
      <c r="T146" s="62">
        <v>70</v>
      </c>
    </row>
    <row r="147" spans="1:20">
      <c r="A147" s="374"/>
      <c r="B147" s="42" t="s">
        <v>1806</v>
      </c>
      <c r="C147" s="42" t="s">
        <v>88</v>
      </c>
      <c r="D147" s="42" t="s">
        <v>16</v>
      </c>
      <c r="E147" s="42" t="s">
        <v>1894</v>
      </c>
      <c r="F147" s="42">
        <v>1200</v>
      </c>
      <c r="G147" s="42"/>
      <c r="H147" s="42">
        <v>19340</v>
      </c>
      <c r="I147" s="42">
        <v>329</v>
      </c>
      <c r="J147" s="42">
        <v>0.5</v>
      </c>
      <c r="K147" s="42">
        <v>165</v>
      </c>
      <c r="L147" s="43">
        <f t="shared" si="32"/>
        <v>19175</v>
      </c>
      <c r="M147" s="43"/>
      <c r="N147" s="43">
        <f t="shared" si="33"/>
        <v>19175</v>
      </c>
      <c r="O147" s="43">
        <f t="shared" si="34"/>
        <v>1353.8</v>
      </c>
      <c r="P147" s="42">
        <v>26200</v>
      </c>
      <c r="Q147" s="42"/>
      <c r="R147" s="42">
        <f t="shared" si="35"/>
        <v>0</v>
      </c>
      <c r="T147" s="62">
        <v>71</v>
      </c>
    </row>
    <row r="148" spans="1:20">
      <c r="A148" s="374"/>
      <c r="B148" s="42" t="s">
        <v>1806</v>
      </c>
      <c r="C148" s="42" t="s">
        <v>88</v>
      </c>
      <c r="D148" s="42" t="s">
        <v>16</v>
      </c>
      <c r="E148" s="42" t="s">
        <v>1895</v>
      </c>
      <c r="F148" s="42">
        <v>1201</v>
      </c>
      <c r="G148" s="42"/>
      <c r="H148" s="42">
        <v>16680</v>
      </c>
      <c r="I148" s="42">
        <v>282</v>
      </c>
      <c r="J148" s="42">
        <v>0.5</v>
      </c>
      <c r="K148" s="42">
        <f t="shared" si="31"/>
        <v>141</v>
      </c>
      <c r="L148" s="43">
        <f t="shared" si="32"/>
        <v>16539</v>
      </c>
      <c r="M148" s="43"/>
      <c r="N148" s="43">
        <f t="shared" si="33"/>
        <v>16539</v>
      </c>
      <c r="O148" s="43">
        <f t="shared" si="34"/>
        <v>1167.5999999999999</v>
      </c>
      <c r="P148" s="42">
        <v>22540</v>
      </c>
      <c r="Q148" s="42"/>
      <c r="R148" s="42">
        <f t="shared" si="35"/>
        <v>0</v>
      </c>
      <c r="T148" s="62">
        <v>72</v>
      </c>
    </row>
    <row r="149" spans="1:20">
      <c r="A149" s="374"/>
      <c r="B149" s="42" t="s">
        <v>1806</v>
      </c>
      <c r="C149" s="42" t="s">
        <v>88</v>
      </c>
      <c r="D149" s="42" t="s">
        <v>16</v>
      </c>
      <c r="E149" s="42" t="s">
        <v>1896</v>
      </c>
      <c r="F149" s="42">
        <v>1217</v>
      </c>
      <c r="G149" s="42"/>
      <c r="H149" s="42">
        <v>17015</v>
      </c>
      <c r="I149" s="42">
        <v>285</v>
      </c>
      <c r="J149" s="42">
        <v>0.5</v>
      </c>
      <c r="K149" s="42">
        <v>143</v>
      </c>
      <c r="L149" s="43">
        <f t="shared" si="32"/>
        <v>16872</v>
      </c>
      <c r="M149" s="43"/>
      <c r="N149" s="43">
        <f t="shared" si="33"/>
        <v>16872</v>
      </c>
      <c r="O149" s="43">
        <f t="shared" si="34"/>
        <v>1191.05</v>
      </c>
      <c r="P149" s="42">
        <v>22950</v>
      </c>
      <c r="Q149" s="42"/>
      <c r="R149" s="42">
        <f t="shared" si="35"/>
        <v>0</v>
      </c>
      <c r="T149" s="62">
        <v>73</v>
      </c>
    </row>
    <row r="150" spans="1:20">
      <c r="A150" s="374"/>
      <c r="B150" s="42" t="s">
        <v>1806</v>
      </c>
      <c r="C150" s="42" t="s">
        <v>88</v>
      </c>
      <c r="D150" s="42" t="s">
        <v>16</v>
      </c>
      <c r="E150" s="42" t="s">
        <v>1897</v>
      </c>
      <c r="F150" s="42">
        <v>1226</v>
      </c>
      <c r="G150" s="42"/>
      <c r="H150" s="42">
        <v>15430</v>
      </c>
      <c r="I150" s="42">
        <v>262</v>
      </c>
      <c r="J150" s="42">
        <v>0.5</v>
      </c>
      <c r="K150" s="42">
        <f t="shared" si="31"/>
        <v>131</v>
      </c>
      <c r="L150" s="43">
        <f t="shared" si="32"/>
        <v>15299</v>
      </c>
      <c r="M150" s="43"/>
      <c r="N150" s="43">
        <f t="shared" si="33"/>
        <v>15299</v>
      </c>
      <c r="O150" s="43">
        <f t="shared" si="34"/>
        <v>1080.0999999999999</v>
      </c>
      <c r="P150" s="42">
        <v>20900</v>
      </c>
      <c r="Q150" s="42"/>
      <c r="R150" s="42">
        <f t="shared" si="35"/>
        <v>0</v>
      </c>
      <c r="T150" s="62">
        <v>74</v>
      </c>
    </row>
    <row r="151" spans="1:20">
      <c r="A151" s="374"/>
      <c r="B151" s="42" t="s">
        <v>1806</v>
      </c>
      <c r="C151" s="42" t="s">
        <v>88</v>
      </c>
      <c r="D151" s="42" t="s">
        <v>16</v>
      </c>
      <c r="E151" s="42" t="s">
        <v>1898</v>
      </c>
      <c r="F151" s="42">
        <v>1209</v>
      </c>
      <c r="G151" s="42"/>
      <c r="H151" s="42">
        <v>17440</v>
      </c>
      <c r="I151" s="42">
        <v>305</v>
      </c>
      <c r="J151" s="42">
        <v>0.5</v>
      </c>
      <c r="K151" s="42">
        <v>153</v>
      </c>
      <c r="L151" s="43">
        <f t="shared" si="32"/>
        <v>17287</v>
      </c>
      <c r="M151" s="43"/>
      <c r="N151" s="43">
        <f t="shared" si="33"/>
        <v>17287</v>
      </c>
      <c r="O151" s="43">
        <f t="shared" si="34"/>
        <v>1220.8000000000002</v>
      </c>
      <c r="P151" s="42">
        <v>23600</v>
      </c>
      <c r="Q151" s="42"/>
      <c r="R151" s="42">
        <f t="shared" si="35"/>
        <v>0</v>
      </c>
      <c r="T151" s="62">
        <v>75</v>
      </c>
    </row>
    <row r="152" spans="1:20">
      <c r="A152" s="374"/>
      <c r="B152" s="42" t="s">
        <v>1806</v>
      </c>
      <c r="C152" s="42" t="s">
        <v>88</v>
      </c>
      <c r="D152" s="42" t="s">
        <v>16</v>
      </c>
      <c r="E152" s="42" t="s">
        <v>1899</v>
      </c>
      <c r="F152" s="42">
        <v>1230</v>
      </c>
      <c r="G152" s="42"/>
      <c r="H152" s="42">
        <v>17390</v>
      </c>
      <c r="I152" s="42">
        <v>302</v>
      </c>
      <c r="J152" s="42">
        <v>0.5</v>
      </c>
      <c r="K152" s="42">
        <f t="shared" si="31"/>
        <v>151</v>
      </c>
      <c r="L152" s="43">
        <f t="shared" si="32"/>
        <v>17239</v>
      </c>
      <c r="M152" s="43"/>
      <c r="N152" s="43">
        <f t="shared" si="33"/>
        <v>17239</v>
      </c>
      <c r="O152" s="43">
        <f t="shared" si="34"/>
        <v>1217.3</v>
      </c>
      <c r="P152" s="42">
        <v>23550</v>
      </c>
      <c r="Q152" s="42"/>
      <c r="R152" s="42">
        <f t="shared" si="35"/>
        <v>0</v>
      </c>
      <c r="T152" s="62">
        <v>76</v>
      </c>
    </row>
    <row r="153" spans="1:20">
      <c r="A153" s="374"/>
      <c r="B153" s="42" t="s">
        <v>1806</v>
      </c>
      <c r="C153" s="42" t="s">
        <v>88</v>
      </c>
      <c r="D153" s="42" t="s">
        <v>16</v>
      </c>
      <c r="E153" s="42" t="s">
        <v>1900</v>
      </c>
      <c r="F153" s="42">
        <v>1242</v>
      </c>
      <c r="G153" s="42"/>
      <c r="H153" s="42">
        <v>18220</v>
      </c>
      <c r="I153" s="42">
        <v>303</v>
      </c>
      <c r="J153" s="42">
        <v>0.5</v>
      </c>
      <c r="K153" s="42">
        <v>152</v>
      </c>
      <c r="L153" s="43">
        <f t="shared" si="32"/>
        <v>18068</v>
      </c>
      <c r="M153" s="43"/>
      <c r="N153" s="43">
        <f t="shared" si="33"/>
        <v>18068</v>
      </c>
      <c r="O153" s="43">
        <f t="shared" si="34"/>
        <v>1275.3999999999999</v>
      </c>
      <c r="P153" s="42">
        <v>24600</v>
      </c>
      <c r="Q153" s="42"/>
      <c r="R153" s="42">
        <f t="shared" si="35"/>
        <v>0</v>
      </c>
      <c r="T153" s="62">
        <v>77</v>
      </c>
    </row>
    <row r="154" spans="1:20">
      <c r="A154" s="374"/>
      <c r="B154" s="42" t="s">
        <v>1806</v>
      </c>
      <c r="C154" s="42" t="s">
        <v>88</v>
      </c>
      <c r="D154" s="42" t="s">
        <v>16</v>
      </c>
      <c r="E154" s="42" t="s">
        <v>1847</v>
      </c>
      <c r="F154" s="42">
        <v>1238</v>
      </c>
      <c r="G154" s="42"/>
      <c r="H154" s="42">
        <v>16280</v>
      </c>
      <c r="I154" s="42">
        <v>282</v>
      </c>
      <c r="J154" s="42">
        <v>0.5</v>
      </c>
      <c r="K154" s="42">
        <f t="shared" si="31"/>
        <v>141</v>
      </c>
      <c r="L154" s="43">
        <f t="shared" si="32"/>
        <v>16139</v>
      </c>
      <c r="M154" s="43"/>
      <c r="N154" s="43">
        <f t="shared" si="33"/>
        <v>16139</v>
      </c>
      <c r="O154" s="43">
        <f t="shared" si="34"/>
        <v>1139.6000000000001</v>
      </c>
      <c r="P154" s="42">
        <v>22000</v>
      </c>
      <c r="Q154" s="42"/>
      <c r="R154" s="42">
        <f t="shared" si="35"/>
        <v>0</v>
      </c>
      <c r="T154" s="62">
        <v>78</v>
      </c>
    </row>
    <row r="155" spans="1:20">
      <c r="A155" s="374"/>
      <c r="B155" s="42" t="s">
        <v>1806</v>
      </c>
      <c r="C155" s="42" t="s">
        <v>88</v>
      </c>
      <c r="D155" s="42" t="s">
        <v>16</v>
      </c>
      <c r="E155" s="42" t="s">
        <v>1901</v>
      </c>
      <c r="F155" s="42">
        <v>1237</v>
      </c>
      <c r="G155" s="42"/>
      <c r="H155" s="42">
        <v>15990</v>
      </c>
      <c r="I155" s="42">
        <v>282</v>
      </c>
      <c r="J155" s="42">
        <v>0.5</v>
      </c>
      <c r="K155" s="42">
        <f t="shared" si="31"/>
        <v>141</v>
      </c>
      <c r="L155" s="43">
        <f t="shared" si="32"/>
        <v>15849</v>
      </c>
      <c r="M155" s="43"/>
      <c r="N155" s="43">
        <f t="shared" si="33"/>
        <v>15849</v>
      </c>
      <c r="O155" s="43">
        <f t="shared" si="34"/>
        <v>1119.3</v>
      </c>
      <c r="P155" s="42">
        <v>21600</v>
      </c>
      <c r="Q155" s="42"/>
      <c r="R155" s="42">
        <f t="shared" si="35"/>
        <v>0</v>
      </c>
      <c r="T155" s="62">
        <v>79</v>
      </c>
    </row>
    <row r="156" spans="1:20">
      <c r="A156" s="374"/>
      <c r="B156" s="42" t="s">
        <v>1806</v>
      </c>
      <c r="C156" s="42" t="s">
        <v>88</v>
      </c>
      <c r="D156" s="42" t="s">
        <v>16</v>
      </c>
      <c r="E156" s="42" t="s">
        <v>1902</v>
      </c>
      <c r="F156" s="42">
        <v>1240</v>
      </c>
      <c r="G156" s="42"/>
      <c r="H156" s="42">
        <v>15510</v>
      </c>
      <c r="I156" s="42">
        <v>268</v>
      </c>
      <c r="J156" s="42">
        <v>0.5</v>
      </c>
      <c r="K156" s="42">
        <f t="shared" si="31"/>
        <v>134</v>
      </c>
      <c r="L156" s="43">
        <f t="shared" si="32"/>
        <v>15376</v>
      </c>
      <c r="M156" s="43"/>
      <c r="N156" s="43">
        <f t="shared" si="33"/>
        <v>15376</v>
      </c>
      <c r="O156" s="43">
        <f t="shared" si="34"/>
        <v>1085.7</v>
      </c>
      <c r="P156" s="42">
        <v>21000</v>
      </c>
      <c r="Q156" s="42"/>
      <c r="R156" s="42">
        <f t="shared" si="35"/>
        <v>0</v>
      </c>
      <c r="T156" s="62">
        <v>80</v>
      </c>
    </row>
    <row r="157" spans="1:20">
      <c r="A157" s="374"/>
      <c r="B157" s="42" t="s">
        <v>1806</v>
      </c>
      <c r="C157" s="42" t="s">
        <v>88</v>
      </c>
      <c r="D157" s="42" t="s">
        <v>16</v>
      </c>
      <c r="E157" s="42" t="s">
        <v>1826</v>
      </c>
      <c r="F157" s="42">
        <v>1229</v>
      </c>
      <c r="G157" s="42"/>
      <c r="H157" s="42">
        <v>16240</v>
      </c>
      <c r="I157" s="42">
        <v>270</v>
      </c>
      <c r="J157" s="42">
        <v>0.5</v>
      </c>
      <c r="K157" s="42">
        <f t="shared" si="31"/>
        <v>135</v>
      </c>
      <c r="L157" s="43">
        <f t="shared" si="32"/>
        <v>16105</v>
      </c>
      <c r="M157" s="43"/>
      <c r="N157" s="43">
        <f t="shared" si="33"/>
        <v>16105</v>
      </c>
      <c r="O157" s="43">
        <f t="shared" si="34"/>
        <v>1136.8</v>
      </c>
      <c r="P157" s="42">
        <v>21960</v>
      </c>
      <c r="Q157" s="42"/>
      <c r="R157" s="42">
        <f t="shared" si="35"/>
        <v>0</v>
      </c>
      <c r="T157" s="62">
        <v>81</v>
      </c>
    </row>
    <row r="158" spans="1:20">
      <c r="A158" s="374"/>
      <c r="B158" s="42" t="s">
        <v>1806</v>
      </c>
      <c r="C158" s="42" t="s">
        <v>88</v>
      </c>
      <c r="D158" s="42" t="s">
        <v>16</v>
      </c>
      <c r="E158" s="42" t="s">
        <v>1903</v>
      </c>
      <c r="F158" s="42">
        <v>1231</v>
      </c>
      <c r="G158" s="42"/>
      <c r="H158" s="42">
        <v>14980</v>
      </c>
      <c r="I158" s="42">
        <v>264</v>
      </c>
      <c r="J158" s="42">
        <v>0.5</v>
      </c>
      <c r="K158" s="42">
        <f t="shared" si="31"/>
        <v>132</v>
      </c>
      <c r="L158" s="43">
        <f t="shared" si="32"/>
        <v>14848</v>
      </c>
      <c r="M158" s="43"/>
      <c r="N158" s="43">
        <f t="shared" si="33"/>
        <v>14848</v>
      </c>
      <c r="O158" s="43">
        <f t="shared" si="34"/>
        <v>1048.6000000000001</v>
      </c>
      <c r="P158" s="42">
        <v>20340</v>
      </c>
      <c r="Q158" s="42"/>
      <c r="R158" s="42">
        <f t="shared" si="35"/>
        <v>0</v>
      </c>
      <c r="T158" s="62">
        <v>82</v>
      </c>
    </row>
    <row r="159" spans="1:20">
      <c r="A159" s="374" t="s">
        <v>1904</v>
      </c>
      <c r="B159" s="42" t="s">
        <v>1806</v>
      </c>
      <c r="C159" s="42" t="s">
        <v>88</v>
      </c>
      <c r="D159" s="42" t="s">
        <v>16</v>
      </c>
      <c r="E159" s="42" t="s">
        <v>1909</v>
      </c>
      <c r="F159" s="42">
        <v>1233</v>
      </c>
      <c r="G159" s="42"/>
      <c r="H159" s="42">
        <v>15750</v>
      </c>
      <c r="I159" s="42">
        <v>270</v>
      </c>
      <c r="J159" s="42">
        <v>0.5</v>
      </c>
      <c r="K159" s="42">
        <f t="shared" si="31"/>
        <v>135</v>
      </c>
      <c r="L159" s="43">
        <f t="shared" si="32"/>
        <v>15615</v>
      </c>
      <c r="M159" s="43"/>
      <c r="N159" s="43">
        <f t="shared" si="33"/>
        <v>15615</v>
      </c>
      <c r="O159" s="43">
        <f t="shared" si="34"/>
        <v>1102.5</v>
      </c>
      <c r="P159" s="42">
        <v>21270</v>
      </c>
      <c r="Q159" s="42"/>
      <c r="R159" s="42">
        <f t="shared" si="35"/>
        <v>0</v>
      </c>
      <c r="T159" s="62">
        <v>83</v>
      </c>
    </row>
    <row r="160" spans="1:20">
      <c r="A160" s="374"/>
      <c r="B160" s="42" t="s">
        <v>1806</v>
      </c>
      <c r="C160" s="42" t="s">
        <v>88</v>
      </c>
      <c r="D160" s="42" t="s">
        <v>16</v>
      </c>
      <c r="E160" s="42" t="s">
        <v>1910</v>
      </c>
      <c r="F160" s="42">
        <v>1244</v>
      </c>
      <c r="G160" s="42"/>
      <c r="H160" s="42">
        <v>15830</v>
      </c>
      <c r="I160" s="42">
        <v>285</v>
      </c>
      <c r="J160" s="42">
        <v>0.5</v>
      </c>
      <c r="K160" s="42">
        <v>143</v>
      </c>
      <c r="L160" s="43">
        <f t="shared" si="32"/>
        <v>15687</v>
      </c>
      <c r="M160" s="43"/>
      <c r="N160" s="43">
        <f t="shared" si="33"/>
        <v>15687</v>
      </c>
      <c r="O160" s="43">
        <f t="shared" si="34"/>
        <v>1108.0999999999999</v>
      </c>
      <c r="P160" s="42">
        <v>21400</v>
      </c>
      <c r="Q160" s="42"/>
      <c r="R160" s="42">
        <f t="shared" si="35"/>
        <v>0</v>
      </c>
      <c r="T160" s="62">
        <v>84</v>
      </c>
    </row>
    <row r="161" spans="1:20">
      <c r="A161" s="374"/>
      <c r="B161" s="42" t="s">
        <v>1806</v>
      </c>
      <c r="C161" s="42" t="s">
        <v>88</v>
      </c>
      <c r="D161" s="42" t="s">
        <v>16</v>
      </c>
      <c r="E161" s="42" t="s">
        <v>1908</v>
      </c>
      <c r="F161" s="42">
        <v>1249</v>
      </c>
      <c r="G161" s="42"/>
      <c r="H161" s="42">
        <v>16280</v>
      </c>
      <c r="I161" s="42">
        <v>275</v>
      </c>
      <c r="J161" s="42">
        <v>0.5</v>
      </c>
      <c r="K161" s="42">
        <v>138</v>
      </c>
      <c r="L161" s="43">
        <f t="shared" si="32"/>
        <v>16142</v>
      </c>
      <c r="M161" s="43"/>
      <c r="N161" s="43">
        <f t="shared" si="33"/>
        <v>16142</v>
      </c>
      <c r="O161" s="43">
        <f t="shared" si="34"/>
        <v>1139.6000000000001</v>
      </c>
      <c r="P161" s="42">
        <v>21950</v>
      </c>
      <c r="Q161" s="42"/>
      <c r="R161" s="42">
        <f t="shared" si="35"/>
        <v>0</v>
      </c>
      <c r="T161" s="62">
        <v>85</v>
      </c>
    </row>
    <row r="162" spans="1:20">
      <c r="A162" s="374"/>
      <c r="B162" s="42" t="s">
        <v>1806</v>
      </c>
      <c r="C162" s="42" t="s">
        <v>88</v>
      </c>
      <c r="D162" s="42" t="s">
        <v>16</v>
      </c>
      <c r="E162" s="42" t="s">
        <v>1911</v>
      </c>
      <c r="F162" s="42">
        <v>1241</v>
      </c>
      <c r="G162" s="42"/>
      <c r="H162" s="42">
        <v>15570</v>
      </c>
      <c r="I162" s="42">
        <v>270</v>
      </c>
      <c r="J162" s="42">
        <v>0.5</v>
      </c>
      <c r="K162" s="42">
        <f t="shared" si="31"/>
        <v>135</v>
      </c>
      <c r="L162" s="43">
        <f t="shared" si="32"/>
        <v>15435</v>
      </c>
      <c r="M162" s="43"/>
      <c r="N162" s="43">
        <f t="shared" si="33"/>
        <v>15435</v>
      </c>
      <c r="O162" s="43">
        <f t="shared" si="34"/>
        <v>1089.9000000000001</v>
      </c>
      <c r="P162" s="42">
        <v>21100</v>
      </c>
      <c r="Q162" s="42"/>
      <c r="R162" s="42">
        <f t="shared" si="35"/>
        <v>0</v>
      </c>
      <c r="T162" s="62">
        <v>86</v>
      </c>
    </row>
    <row r="163" spans="1:20">
      <c r="A163" s="374"/>
      <c r="B163" s="42" t="s">
        <v>1806</v>
      </c>
      <c r="C163" s="42" t="s">
        <v>88</v>
      </c>
      <c r="D163" s="42" t="s">
        <v>16</v>
      </c>
      <c r="E163" s="42" t="s">
        <v>1912</v>
      </c>
      <c r="F163" s="42">
        <v>1232</v>
      </c>
      <c r="G163" s="42"/>
      <c r="H163" s="42">
        <v>15010</v>
      </c>
      <c r="I163" s="42">
        <v>264</v>
      </c>
      <c r="J163" s="42">
        <v>0.5</v>
      </c>
      <c r="K163" s="42">
        <f t="shared" si="31"/>
        <v>132</v>
      </c>
      <c r="L163" s="43">
        <f t="shared" si="32"/>
        <v>14878</v>
      </c>
      <c r="M163" s="43"/>
      <c r="N163" s="43">
        <f t="shared" si="33"/>
        <v>14878</v>
      </c>
      <c r="O163" s="43">
        <f t="shared" si="34"/>
        <v>1050.7</v>
      </c>
      <c r="P163" s="42">
        <v>20340</v>
      </c>
      <c r="Q163" s="42"/>
      <c r="R163" s="42">
        <f t="shared" si="35"/>
        <v>0</v>
      </c>
      <c r="T163" s="62">
        <v>87</v>
      </c>
    </row>
    <row r="164" spans="1:20">
      <c r="A164" s="374"/>
      <c r="B164" s="42" t="s">
        <v>1806</v>
      </c>
      <c r="C164" s="42" t="s">
        <v>88</v>
      </c>
      <c r="D164" s="42" t="s">
        <v>16</v>
      </c>
      <c r="E164" s="42" t="s">
        <v>1808</v>
      </c>
      <c r="F164" s="42">
        <v>1225</v>
      </c>
      <c r="G164" s="42"/>
      <c r="H164" s="42">
        <v>18930</v>
      </c>
      <c r="I164" s="42">
        <v>270</v>
      </c>
      <c r="J164" s="42">
        <v>0.5</v>
      </c>
      <c r="K164" s="42">
        <f t="shared" si="31"/>
        <v>135</v>
      </c>
      <c r="L164" s="43">
        <f t="shared" si="32"/>
        <v>18795</v>
      </c>
      <c r="M164" s="43"/>
      <c r="N164" s="43">
        <f t="shared" si="33"/>
        <v>18795</v>
      </c>
      <c r="O164" s="43">
        <f t="shared" si="34"/>
        <v>1325.1</v>
      </c>
      <c r="P164" s="42">
        <v>25600</v>
      </c>
      <c r="Q164" s="42"/>
      <c r="R164" s="42">
        <f t="shared" si="35"/>
        <v>0</v>
      </c>
      <c r="T164" s="62">
        <v>88</v>
      </c>
    </row>
    <row r="165" spans="1:20">
      <c r="A165" s="374"/>
      <c r="B165" s="42" t="s">
        <v>1806</v>
      </c>
      <c r="C165" s="42" t="s">
        <v>88</v>
      </c>
      <c r="D165" s="42" t="s">
        <v>16</v>
      </c>
      <c r="E165" s="42" t="s">
        <v>1913</v>
      </c>
      <c r="F165" s="42">
        <v>1239</v>
      </c>
      <c r="G165" s="42"/>
      <c r="H165" s="42">
        <v>15580</v>
      </c>
      <c r="I165" s="42">
        <v>270</v>
      </c>
      <c r="J165" s="42">
        <v>0.5</v>
      </c>
      <c r="K165" s="42">
        <f t="shared" si="31"/>
        <v>135</v>
      </c>
      <c r="L165" s="43">
        <f t="shared" si="32"/>
        <v>15445</v>
      </c>
      <c r="M165" s="43"/>
      <c r="N165" s="43">
        <f t="shared" si="33"/>
        <v>15445</v>
      </c>
      <c r="O165" s="43">
        <f t="shared" si="34"/>
        <v>1090.5999999999999</v>
      </c>
      <c r="P165" s="42">
        <v>21000</v>
      </c>
      <c r="Q165" s="42"/>
      <c r="R165" s="42">
        <f t="shared" si="35"/>
        <v>0</v>
      </c>
      <c r="T165" s="62">
        <v>89</v>
      </c>
    </row>
    <row r="166" spans="1:20">
      <c r="A166" s="374"/>
      <c r="B166" s="42" t="s">
        <v>1806</v>
      </c>
      <c r="C166" s="42" t="s">
        <v>88</v>
      </c>
      <c r="D166" s="42" t="s">
        <v>16</v>
      </c>
      <c r="E166" s="42" t="s">
        <v>1914</v>
      </c>
      <c r="F166" s="42">
        <v>1236</v>
      </c>
      <c r="G166" s="42"/>
      <c r="H166" s="42">
        <v>16630</v>
      </c>
      <c r="I166" s="42">
        <v>285</v>
      </c>
      <c r="J166" s="42">
        <v>0.5</v>
      </c>
      <c r="K166" s="42">
        <v>143</v>
      </c>
      <c r="L166" s="43">
        <f t="shared" si="32"/>
        <v>16487</v>
      </c>
      <c r="M166" s="43"/>
      <c r="N166" s="43">
        <f t="shared" si="33"/>
        <v>16487</v>
      </c>
      <c r="O166" s="43">
        <f t="shared" si="34"/>
        <v>1164.0999999999999</v>
      </c>
      <c r="P166" s="42">
        <v>22470</v>
      </c>
      <c r="Q166" s="42"/>
      <c r="R166" s="42">
        <f t="shared" si="35"/>
        <v>0</v>
      </c>
      <c r="T166" s="62">
        <v>90</v>
      </c>
    </row>
    <row r="167" spans="1:20">
      <c r="A167" s="374"/>
      <c r="B167" s="42" t="s">
        <v>1806</v>
      </c>
      <c r="C167" s="42" t="s">
        <v>88</v>
      </c>
      <c r="D167" s="42" t="s">
        <v>16</v>
      </c>
      <c r="E167" s="42" t="s">
        <v>1915</v>
      </c>
      <c r="F167" s="42">
        <v>1235</v>
      </c>
      <c r="G167" s="42"/>
      <c r="H167" s="42">
        <v>17370</v>
      </c>
      <c r="I167" s="42">
        <v>293</v>
      </c>
      <c r="J167" s="42">
        <v>0.5</v>
      </c>
      <c r="K167" s="42">
        <v>147</v>
      </c>
      <c r="L167" s="43">
        <f t="shared" si="32"/>
        <v>17223</v>
      </c>
      <c r="M167" s="43"/>
      <c r="N167" s="43">
        <f t="shared" si="33"/>
        <v>17223</v>
      </c>
      <c r="O167" s="43">
        <f t="shared" si="34"/>
        <v>1215.9000000000001</v>
      </c>
      <c r="P167" s="42">
        <v>23460</v>
      </c>
      <c r="Q167" s="42"/>
      <c r="R167" s="42">
        <f t="shared" si="35"/>
        <v>0</v>
      </c>
      <c r="T167" s="62">
        <v>91</v>
      </c>
    </row>
    <row r="168" spans="1:20">
      <c r="A168" s="374"/>
      <c r="B168" s="42" t="s">
        <v>1806</v>
      </c>
      <c r="C168" s="42" t="s">
        <v>88</v>
      </c>
      <c r="D168" s="42" t="s">
        <v>16</v>
      </c>
      <c r="E168" s="42" t="s">
        <v>1916</v>
      </c>
      <c r="F168" s="42">
        <v>1234</v>
      </c>
      <c r="G168" s="42"/>
      <c r="H168" s="42">
        <v>17530</v>
      </c>
      <c r="I168" s="42">
        <v>301</v>
      </c>
      <c r="J168" s="42">
        <v>0.5</v>
      </c>
      <c r="K168" s="42">
        <v>151</v>
      </c>
      <c r="L168" s="43">
        <f t="shared" si="32"/>
        <v>17379</v>
      </c>
      <c r="M168" s="43"/>
      <c r="N168" s="43">
        <f t="shared" si="33"/>
        <v>17379</v>
      </c>
      <c r="O168" s="43">
        <f t="shared" si="34"/>
        <v>1227.1000000000001</v>
      </c>
      <c r="P168" s="42">
        <v>23680</v>
      </c>
      <c r="Q168" s="42"/>
      <c r="R168" s="42">
        <f t="shared" si="35"/>
        <v>0</v>
      </c>
      <c r="T168" s="62">
        <v>92</v>
      </c>
    </row>
    <row r="169" spans="1:20">
      <c r="A169" s="374"/>
      <c r="B169" s="42" t="s">
        <v>1806</v>
      </c>
      <c r="C169" s="42" t="s">
        <v>88</v>
      </c>
      <c r="D169" s="42" t="s">
        <v>16</v>
      </c>
      <c r="E169" s="42" t="s">
        <v>1917</v>
      </c>
      <c r="F169" s="42">
        <v>1243</v>
      </c>
      <c r="G169" s="42"/>
      <c r="H169" s="42">
        <v>15230</v>
      </c>
      <c r="I169" s="42">
        <v>265</v>
      </c>
      <c r="J169" s="42">
        <v>0.5</v>
      </c>
      <c r="K169" s="42">
        <v>133</v>
      </c>
      <c r="L169" s="43">
        <f t="shared" si="32"/>
        <v>15097</v>
      </c>
      <c r="M169" s="43"/>
      <c r="N169" s="43">
        <f t="shared" si="33"/>
        <v>15097</v>
      </c>
      <c r="O169" s="43">
        <f t="shared" si="34"/>
        <v>1066.1000000000001</v>
      </c>
      <c r="P169" s="42">
        <v>20700</v>
      </c>
      <c r="Q169" s="42"/>
      <c r="R169" s="42">
        <f t="shared" si="35"/>
        <v>0</v>
      </c>
      <c r="T169" s="62">
        <v>93</v>
      </c>
    </row>
    <row r="170" spans="1:20">
      <c r="A170" s="374" t="s">
        <v>1918</v>
      </c>
      <c r="B170" s="42" t="s">
        <v>1806</v>
      </c>
      <c r="C170" s="42" t="s">
        <v>88</v>
      </c>
      <c r="D170" s="42" t="s">
        <v>16</v>
      </c>
      <c r="E170" s="42" t="s">
        <v>1920</v>
      </c>
      <c r="F170" s="42">
        <v>1053</v>
      </c>
      <c r="G170" s="42"/>
      <c r="H170" s="42">
        <v>16060</v>
      </c>
      <c r="I170" s="42">
        <v>290</v>
      </c>
      <c r="J170" s="42">
        <v>0.5</v>
      </c>
      <c r="K170" s="42">
        <f t="shared" ref="K170:K180" si="36">I170*J170</f>
        <v>145</v>
      </c>
      <c r="L170" s="43">
        <f t="shared" si="32"/>
        <v>15915</v>
      </c>
      <c r="M170" s="43"/>
      <c r="N170" s="43">
        <f t="shared" si="33"/>
        <v>15915</v>
      </c>
      <c r="O170" s="43">
        <f t="shared" si="34"/>
        <v>1124.1999999999998</v>
      </c>
      <c r="P170" s="42">
        <v>21700</v>
      </c>
      <c r="Q170" s="42"/>
      <c r="R170" s="42">
        <f t="shared" si="35"/>
        <v>0</v>
      </c>
      <c r="T170" s="62">
        <v>94</v>
      </c>
    </row>
    <row r="171" spans="1:20">
      <c r="A171" s="374"/>
      <c r="B171" s="42" t="s">
        <v>1806</v>
      </c>
      <c r="C171" s="42" t="s">
        <v>88</v>
      </c>
      <c r="D171" s="42" t="s">
        <v>16</v>
      </c>
      <c r="E171" s="42" t="s">
        <v>1921</v>
      </c>
      <c r="F171" s="42">
        <v>1051</v>
      </c>
      <c r="G171" s="42"/>
      <c r="H171" s="42">
        <v>16710</v>
      </c>
      <c r="I171" s="42">
        <v>285</v>
      </c>
      <c r="J171" s="42">
        <v>0.5</v>
      </c>
      <c r="K171" s="42">
        <v>143</v>
      </c>
      <c r="L171" s="43">
        <f t="shared" si="32"/>
        <v>16567</v>
      </c>
      <c r="M171" s="43"/>
      <c r="N171" s="43">
        <f t="shared" si="33"/>
        <v>16567</v>
      </c>
      <c r="O171" s="43">
        <f t="shared" si="34"/>
        <v>1169.7</v>
      </c>
      <c r="P171" s="42">
        <v>22560</v>
      </c>
      <c r="Q171" s="42"/>
      <c r="R171" s="42">
        <f t="shared" si="35"/>
        <v>0</v>
      </c>
      <c r="T171" s="62">
        <v>95</v>
      </c>
    </row>
    <row r="172" spans="1:20">
      <c r="A172" s="374"/>
      <c r="B172" s="42" t="s">
        <v>1806</v>
      </c>
      <c r="C172" s="42" t="s">
        <v>88</v>
      </c>
      <c r="D172" s="42" t="s">
        <v>16</v>
      </c>
      <c r="E172" s="42" t="s">
        <v>1922</v>
      </c>
      <c r="F172" s="42">
        <v>1248</v>
      </c>
      <c r="G172" s="42"/>
      <c r="H172" s="42">
        <v>26770</v>
      </c>
      <c r="I172" s="42">
        <v>462</v>
      </c>
      <c r="J172" s="42">
        <v>0.5</v>
      </c>
      <c r="K172" s="42">
        <f t="shared" si="36"/>
        <v>231</v>
      </c>
      <c r="L172" s="43">
        <f t="shared" si="32"/>
        <v>26539</v>
      </c>
      <c r="M172" s="43"/>
      <c r="N172" s="43">
        <f t="shared" si="33"/>
        <v>26539</v>
      </c>
      <c r="O172" s="43">
        <f t="shared" si="34"/>
        <v>1873.8999999999999</v>
      </c>
      <c r="P172" s="42">
        <v>36100</v>
      </c>
      <c r="Q172" s="42"/>
      <c r="R172" s="42">
        <f t="shared" si="35"/>
        <v>0</v>
      </c>
      <c r="T172" s="62">
        <v>96</v>
      </c>
    </row>
    <row r="173" spans="1:20">
      <c r="A173" s="374"/>
      <c r="B173" s="42" t="s">
        <v>1806</v>
      </c>
      <c r="C173" s="42" t="s">
        <v>88</v>
      </c>
      <c r="D173" s="42" t="s">
        <v>16</v>
      </c>
      <c r="E173" s="42" t="s">
        <v>1923</v>
      </c>
      <c r="F173" s="42">
        <v>1247</v>
      </c>
      <c r="G173" s="42"/>
      <c r="H173" s="42">
        <v>25150</v>
      </c>
      <c r="I173" s="42">
        <v>450</v>
      </c>
      <c r="J173" s="42">
        <v>0.5</v>
      </c>
      <c r="K173" s="42">
        <f t="shared" si="36"/>
        <v>225</v>
      </c>
      <c r="L173" s="43">
        <f t="shared" si="32"/>
        <v>24925</v>
      </c>
      <c r="M173" s="43"/>
      <c r="N173" s="43">
        <f t="shared" si="33"/>
        <v>24925</v>
      </c>
      <c r="O173" s="43">
        <f t="shared" si="34"/>
        <v>1760.5</v>
      </c>
      <c r="P173" s="42">
        <v>34000</v>
      </c>
      <c r="Q173" s="42"/>
      <c r="R173" s="42">
        <f t="shared" si="35"/>
        <v>0</v>
      </c>
      <c r="T173" s="62">
        <v>97</v>
      </c>
    </row>
    <row r="174" spans="1:20">
      <c r="A174" s="374"/>
      <c r="B174" s="42" t="s">
        <v>1806</v>
      </c>
      <c r="C174" s="42" t="s">
        <v>88</v>
      </c>
      <c r="D174" s="42" t="s">
        <v>16</v>
      </c>
      <c r="E174" s="42" t="s">
        <v>1924</v>
      </c>
      <c r="F174" s="42">
        <v>1059</v>
      </c>
      <c r="G174" s="42"/>
      <c r="H174" s="42">
        <v>16500</v>
      </c>
      <c r="I174" s="42">
        <v>314</v>
      </c>
      <c r="J174" s="42">
        <v>0.5</v>
      </c>
      <c r="K174" s="42">
        <f t="shared" si="36"/>
        <v>157</v>
      </c>
      <c r="L174" s="43">
        <f t="shared" si="32"/>
        <v>16343</v>
      </c>
      <c r="M174" s="43"/>
      <c r="N174" s="43">
        <f t="shared" si="33"/>
        <v>16343</v>
      </c>
      <c r="O174" s="43">
        <f t="shared" si="34"/>
        <v>1155</v>
      </c>
      <c r="P174" s="42">
        <v>22250</v>
      </c>
      <c r="Q174" s="42"/>
      <c r="R174" s="42">
        <f t="shared" si="35"/>
        <v>0</v>
      </c>
      <c r="T174" s="62">
        <v>98</v>
      </c>
    </row>
    <row r="175" spans="1:20">
      <c r="A175" s="374"/>
      <c r="B175" s="42" t="s">
        <v>1806</v>
      </c>
      <c r="C175" s="42" t="s">
        <v>88</v>
      </c>
      <c r="D175" s="42" t="s">
        <v>16</v>
      </c>
      <c r="E175" s="42" t="s">
        <v>1925</v>
      </c>
      <c r="F175" s="42">
        <v>1052</v>
      </c>
      <c r="G175" s="42"/>
      <c r="H175" s="42">
        <v>16840</v>
      </c>
      <c r="I175" s="42">
        <v>285</v>
      </c>
      <c r="J175" s="42">
        <v>0.5</v>
      </c>
      <c r="K175" s="42">
        <v>143</v>
      </c>
      <c r="L175" s="43">
        <f t="shared" si="32"/>
        <v>16697</v>
      </c>
      <c r="M175" s="43"/>
      <c r="N175" s="43">
        <f t="shared" si="33"/>
        <v>16697</v>
      </c>
      <c r="O175" s="43">
        <f t="shared" si="34"/>
        <v>1178.8</v>
      </c>
      <c r="P175" s="42">
        <v>22750</v>
      </c>
      <c r="Q175" s="42"/>
      <c r="R175" s="42">
        <f t="shared" si="35"/>
        <v>0</v>
      </c>
      <c r="T175" s="62">
        <v>99</v>
      </c>
    </row>
    <row r="176" spans="1:20">
      <c r="A176" s="374"/>
      <c r="B176" s="42" t="s">
        <v>1806</v>
      </c>
      <c r="C176" s="42" t="s">
        <v>88</v>
      </c>
      <c r="D176" s="42" t="s">
        <v>16</v>
      </c>
      <c r="E176" s="42" t="s">
        <v>1926</v>
      </c>
      <c r="F176" s="42">
        <v>1245</v>
      </c>
      <c r="G176" s="42"/>
      <c r="H176" s="42">
        <v>15970</v>
      </c>
      <c r="I176" s="42">
        <v>275</v>
      </c>
      <c r="J176" s="42">
        <v>0.5</v>
      </c>
      <c r="K176" s="42">
        <v>138</v>
      </c>
      <c r="L176" s="43">
        <f t="shared" si="32"/>
        <v>15832</v>
      </c>
      <c r="M176" s="43"/>
      <c r="N176" s="43">
        <f t="shared" si="33"/>
        <v>15832</v>
      </c>
      <c r="O176" s="43">
        <f t="shared" si="34"/>
        <v>1117.9000000000001</v>
      </c>
      <c r="P176" s="42">
        <v>21600</v>
      </c>
      <c r="Q176" s="42"/>
      <c r="R176" s="42">
        <f t="shared" si="35"/>
        <v>0</v>
      </c>
      <c r="T176" s="62">
        <v>100</v>
      </c>
    </row>
    <row r="177" spans="1:20">
      <c r="A177" s="374"/>
      <c r="B177" s="42" t="s">
        <v>1806</v>
      </c>
      <c r="C177" s="42" t="s">
        <v>88</v>
      </c>
      <c r="D177" s="42" t="s">
        <v>16</v>
      </c>
      <c r="E177" s="42" t="s">
        <v>1927</v>
      </c>
      <c r="F177" s="42">
        <v>1250</v>
      </c>
      <c r="G177" s="42"/>
      <c r="H177" s="42">
        <v>15470</v>
      </c>
      <c r="I177" s="42">
        <v>285</v>
      </c>
      <c r="J177" s="42">
        <v>0.5</v>
      </c>
      <c r="K177" s="42">
        <v>143</v>
      </c>
      <c r="L177" s="43">
        <f t="shared" si="32"/>
        <v>15327</v>
      </c>
      <c r="M177" s="43"/>
      <c r="N177" s="43">
        <f t="shared" si="33"/>
        <v>15327</v>
      </c>
      <c r="O177" s="43">
        <f t="shared" si="34"/>
        <v>1082.9000000000001</v>
      </c>
      <c r="P177" s="42">
        <v>20950</v>
      </c>
      <c r="Q177" s="42"/>
      <c r="R177" s="42">
        <f t="shared" si="35"/>
        <v>0</v>
      </c>
      <c r="T177" s="62">
        <v>101</v>
      </c>
    </row>
    <row r="178" spans="1:20">
      <c r="A178" s="374"/>
      <c r="B178" s="42" t="s">
        <v>1806</v>
      </c>
      <c r="C178" s="42" t="s">
        <v>88</v>
      </c>
      <c r="D178" s="42" t="s">
        <v>16</v>
      </c>
      <c r="E178" s="42" t="s">
        <v>1928</v>
      </c>
      <c r="F178" s="42">
        <v>1054</v>
      </c>
      <c r="G178" s="42"/>
      <c r="H178" s="42">
        <v>19280</v>
      </c>
      <c r="I178" s="42">
        <v>300</v>
      </c>
      <c r="J178" s="42">
        <v>0.5</v>
      </c>
      <c r="K178" s="42">
        <f t="shared" si="36"/>
        <v>150</v>
      </c>
      <c r="L178" s="43">
        <f t="shared" si="32"/>
        <v>19130</v>
      </c>
      <c r="M178" s="43"/>
      <c r="N178" s="43">
        <f t="shared" si="33"/>
        <v>19130</v>
      </c>
      <c r="O178" s="43">
        <f t="shared" si="34"/>
        <v>1349.6000000000001</v>
      </c>
      <c r="P178" s="42">
        <v>26100</v>
      </c>
      <c r="Q178" s="42"/>
      <c r="R178" s="42">
        <f t="shared" si="35"/>
        <v>0</v>
      </c>
      <c r="T178" s="62">
        <v>102</v>
      </c>
    </row>
    <row r="179" spans="1:20">
      <c r="A179" s="374"/>
      <c r="B179" s="42" t="s">
        <v>1806</v>
      </c>
      <c r="C179" s="42" t="s">
        <v>88</v>
      </c>
      <c r="D179" s="42" t="s">
        <v>16</v>
      </c>
      <c r="E179" s="42" t="s">
        <v>1929</v>
      </c>
      <c r="F179" s="42">
        <v>1055</v>
      </c>
      <c r="G179" s="42"/>
      <c r="H179" s="42">
        <v>18710</v>
      </c>
      <c r="I179" s="42">
        <v>305</v>
      </c>
      <c r="J179" s="42">
        <v>0.5</v>
      </c>
      <c r="K179" s="42">
        <v>153</v>
      </c>
      <c r="L179" s="43">
        <f t="shared" si="32"/>
        <v>18557</v>
      </c>
      <c r="M179" s="43"/>
      <c r="N179" s="43">
        <f t="shared" si="33"/>
        <v>18557</v>
      </c>
      <c r="O179" s="43">
        <f t="shared" si="34"/>
        <v>1309.7</v>
      </c>
      <c r="P179" s="42">
        <v>25260</v>
      </c>
      <c r="Q179" s="42"/>
      <c r="R179" s="42">
        <f t="shared" si="35"/>
        <v>0</v>
      </c>
      <c r="T179" s="62">
        <v>103</v>
      </c>
    </row>
    <row r="180" spans="1:20">
      <c r="A180" s="374"/>
      <c r="B180" s="42" t="s">
        <v>1806</v>
      </c>
      <c r="C180" s="42" t="s">
        <v>88</v>
      </c>
      <c r="D180" s="42" t="s">
        <v>16</v>
      </c>
      <c r="E180" s="42" t="s">
        <v>1930</v>
      </c>
      <c r="F180" s="42">
        <v>1056</v>
      </c>
      <c r="G180" s="42"/>
      <c r="H180" s="42">
        <v>16460</v>
      </c>
      <c r="I180" s="42">
        <v>276</v>
      </c>
      <c r="J180" s="42">
        <v>0.5</v>
      </c>
      <c r="K180" s="42">
        <f t="shared" si="36"/>
        <v>138</v>
      </c>
      <c r="L180" s="43">
        <f t="shared" si="32"/>
        <v>16322</v>
      </c>
      <c r="M180" s="43"/>
      <c r="N180" s="43">
        <f t="shared" si="33"/>
        <v>16322</v>
      </c>
      <c r="O180" s="43">
        <f t="shared" si="34"/>
        <v>1152.2</v>
      </c>
      <c r="P180" s="42">
        <v>22250</v>
      </c>
      <c r="Q180" s="42"/>
      <c r="R180" s="42">
        <f t="shared" si="35"/>
        <v>0</v>
      </c>
      <c r="T180" s="62">
        <v>104</v>
      </c>
    </row>
    <row r="181" spans="1:20">
      <c r="A181" s="374" t="s">
        <v>1931</v>
      </c>
      <c r="B181" s="42" t="s">
        <v>1806</v>
      </c>
      <c r="C181" s="42" t="s">
        <v>88</v>
      </c>
      <c r="D181" s="42" t="s">
        <v>16</v>
      </c>
      <c r="E181" s="42" t="s">
        <v>1932</v>
      </c>
      <c r="F181" s="42">
        <v>22387</v>
      </c>
      <c r="G181" s="42"/>
      <c r="H181" s="42">
        <v>5240</v>
      </c>
      <c r="I181" s="42">
        <v>85</v>
      </c>
      <c r="J181" s="42">
        <v>0.5</v>
      </c>
      <c r="K181" s="42">
        <v>43</v>
      </c>
      <c r="L181" s="43">
        <f t="shared" si="32"/>
        <v>5197</v>
      </c>
      <c r="M181" s="43"/>
      <c r="N181" s="43">
        <f t="shared" si="33"/>
        <v>5197</v>
      </c>
      <c r="O181" s="43">
        <f t="shared" si="34"/>
        <v>366.8</v>
      </c>
      <c r="P181" s="42">
        <v>26000</v>
      </c>
      <c r="Q181" s="42"/>
      <c r="R181" s="42">
        <f t="shared" si="35"/>
        <v>0</v>
      </c>
      <c r="T181" s="62">
        <v>105</v>
      </c>
    </row>
    <row r="182" spans="1:20">
      <c r="A182" s="374"/>
      <c r="B182" s="42" t="s">
        <v>1806</v>
      </c>
      <c r="C182" s="42" t="s">
        <v>88</v>
      </c>
      <c r="D182" s="42" t="s">
        <v>16</v>
      </c>
      <c r="E182" s="42" t="s">
        <v>1844</v>
      </c>
      <c r="F182" s="42">
        <v>1246</v>
      </c>
      <c r="G182" s="42"/>
      <c r="H182" s="42">
        <v>15990</v>
      </c>
      <c r="I182" s="42">
        <v>275</v>
      </c>
      <c r="J182" s="42">
        <v>0.5</v>
      </c>
      <c r="K182" s="42">
        <v>138</v>
      </c>
      <c r="L182" s="43">
        <f t="shared" si="32"/>
        <v>15852</v>
      </c>
      <c r="M182" s="43"/>
      <c r="N182" s="43">
        <f t="shared" si="33"/>
        <v>15852</v>
      </c>
      <c r="O182" s="43">
        <f t="shared" si="34"/>
        <v>1119.3</v>
      </c>
      <c r="P182" s="42">
        <v>21600</v>
      </c>
      <c r="Q182" s="42"/>
      <c r="R182" s="42">
        <f t="shared" si="35"/>
        <v>0</v>
      </c>
      <c r="T182" s="62">
        <v>106</v>
      </c>
    </row>
    <row r="183" spans="1:20">
      <c r="A183" s="374" t="s">
        <v>1954</v>
      </c>
      <c r="B183" s="42" t="s">
        <v>1806</v>
      </c>
      <c r="C183" s="42" t="s">
        <v>88</v>
      </c>
      <c r="D183" s="42" t="s">
        <v>16</v>
      </c>
      <c r="E183" s="42" t="s">
        <v>1956</v>
      </c>
      <c r="F183" s="42">
        <v>25253</v>
      </c>
      <c r="G183" s="42"/>
      <c r="H183" s="42">
        <v>7040</v>
      </c>
      <c r="I183" s="42">
        <v>122</v>
      </c>
      <c r="J183" s="42">
        <v>0.5</v>
      </c>
      <c r="K183" s="43">
        <f t="shared" ref="K183:K213" si="37">I183*J183</f>
        <v>61</v>
      </c>
      <c r="L183" s="43">
        <f t="shared" si="32"/>
        <v>6979</v>
      </c>
      <c r="M183" s="43"/>
      <c r="N183" s="43">
        <f t="shared" si="33"/>
        <v>6979</v>
      </c>
      <c r="O183" s="43">
        <f t="shared" si="34"/>
        <v>492.8</v>
      </c>
      <c r="P183" s="42">
        <v>33300</v>
      </c>
      <c r="Q183" s="42"/>
      <c r="R183" s="42">
        <f t="shared" si="35"/>
        <v>0</v>
      </c>
      <c r="T183" s="62">
        <v>107</v>
      </c>
    </row>
    <row r="184" spans="1:20">
      <c r="A184" s="374"/>
      <c r="B184" s="42" t="s">
        <v>1806</v>
      </c>
      <c r="C184" s="42" t="s">
        <v>88</v>
      </c>
      <c r="D184" s="42" t="s">
        <v>16</v>
      </c>
      <c r="E184" s="42" t="s">
        <v>1807</v>
      </c>
      <c r="F184" s="42">
        <v>1067</v>
      </c>
      <c r="G184" s="42"/>
      <c r="H184" s="42">
        <v>14040</v>
      </c>
      <c r="I184" s="42">
        <v>245</v>
      </c>
      <c r="J184" s="42">
        <v>0.5</v>
      </c>
      <c r="K184" s="43">
        <f t="shared" si="37"/>
        <v>122.5</v>
      </c>
      <c r="L184" s="43">
        <f t="shared" si="32"/>
        <v>13917.5</v>
      </c>
      <c r="M184" s="43"/>
      <c r="N184" s="43">
        <f t="shared" si="33"/>
        <v>13917.5</v>
      </c>
      <c r="O184" s="43">
        <f t="shared" si="34"/>
        <v>982.8</v>
      </c>
      <c r="P184" s="42">
        <v>18900</v>
      </c>
      <c r="Q184" s="42"/>
      <c r="R184" s="42">
        <f t="shared" si="35"/>
        <v>0</v>
      </c>
      <c r="T184" s="62">
        <v>108</v>
      </c>
    </row>
    <row r="185" spans="1:20">
      <c r="A185" s="374" t="s">
        <v>1964</v>
      </c>
      <c r="B185" s="42" t="s">
        <v>1806</v>
      </c>
      <c r="C185" s="42" t="s">
        <v>88</v>
      </c>
      <c r="D185" s="42" t="s">
        <v>16</v>
      </c>
      <c r="E185" s="42" t="s">
        <v>1880</v>
      </c>
      <c r="F185" s="42">
        <v>25261</v>
      </c>
      <c r="G185" s="42"/>
      <c r="H185" s="42">
        <v>14640</v>
      </c>
      <c r="I185" s="42">
        <v>229</v>
      </c>
      <c r="J185" s="42">
        <v>0.5</v>
      </c>
      <c r="K185" s="43">
        <f t="shared" si="37"/>
        <v>114.5</v>
      </c>
      <c r="L185" s="43">
        <f t="shared" si="32"/>
        <v>14525.5</v>
      </c>
      <c r="M185" s="43"/>
      <c r="N185" s="43">
        <f t="shared" si="33"/>
        <v>14525.5</v>
      </c>
      <c r="O185" s="43">
        <f t="shared" si="34"/>
        <v>1024.8</v>
      </c>
      <c r="P185" s="42">
        <v>29000</v>
      </c>
      <c r="Q185" s="42"/>
      <c r="R185" s="42">
        <f t="shared" si="35"/>
        <v>0</v>
      </c>
      <c r="T185" s="62">
        <v>109</v>
      </c>
    </row>
    <row r="186" spans="1:20">
      <c r="A186" s="374"/>
      <c r="B186" s="42" t="s">
        <v>1806</v>
      </c>
      <c r="C186" s="42" t="s">
        <v>88</v>
      </c>
      <c r="D186" s="42" t="s">
        <v>16</v>
      </c>
      <c r="E186" s="42" t="s">
        <v>1902</v>
      </c>
      <c r="F186" s="42">
        <v>1078</v>
      </c>
      <c r="G186" s="42"/>
      <c r="H186" s="42">
        <v>16060</v>
      </c>
      <c r="I186" s="42">
        <v>280</v>
      </c>
      <c r="J186" s="42">
        <v>0.5</v>
      </c>
      <c r="K186" s="43">
        <f t="shared" si="37"/>
        <v>140</v>
      </c>
      <c r="L186" s="43">
        <f t="shared" si="32"/>
        <v>15920</v>
      </c>
      <c r="M186" s="43"/>
      <c r="N186" s="43">
        <f t="shared" si="33"/>
        <v>15920</v>
      </c>
      <c r="O186" s="43">
        <f t="shared" si="34"/>
        <v>1124.1999999999998</v>
      </c>
      <c r="P186" s="42">
        <v>21700</v>
      </c>
      <c r="Q186" s="42"/>
      <c r="R186" s="42">
        <f t="shared" si="35"/>
        <v>0</v>
      </c>
      <c r="T186" s="62">
        <v>110</v>
      </c>
    </row>
    <row r="187" spans="1:20">
      <c r="A187" s="374"/>
      <c r="B187" s="42" t="s">
        <v>1806</v>
      </c>
      <c r="C187" s="42" t="s">
        <v>88</v>
      </c>
      <c r="D187" s="42" t="s">
        <v>16</v>
      </c>
      <c r="E187" s="42" t="s">
        <v>1920</v>
      </c>
      <c r="F187" s="42">
        <v>1077</v>
      </c>
      <c r="G187" s="42"/>
      <c r="H187" s="42">
        <v>14310</v>
      </c>
      <c r="I187" s="42">
        <v>272</v>
      </c>
      <c r="J187" s="42">
        <v>0.5</v>
      </c>
      <c r="K187" s="43">
        <f t="shared" si="37"/>
        <v>136</v>
      </c>
      <c r="L187" s="43">
        <f t="shared" si="32"/>
        <v>14174</v>
      </c>
      <c r="M187" s="43"/>
      <c r="N187" s="43">
        <f t="shared" si="33"/>
        <v>14174</v>
      </c>
      <c r="O187" s="43">
        <f t="shared" si="34"/>
        <v>1001.7</v>
      </c>
      <c r="P187" s="42">
        <v>19300</v>
      </c>
      <c r="Q187" s="42"/>
      <c r="R187" s="42">
        <f t="shared" si="35"/>
        <v>0</v>
      </c>
      <c r="T187" s="62">
        <v>111</v>
      </c>
    </row>
    <row r="188" spans="1:20">
      <c r="A188" s="374" t="s">
        <v>1967</v>
      </c>
      <c r="B188" s="42" t="s">
        <v>1806</v>
      </c>
      <c r="C188" s="42" t="s">
        <v>88</v>
      </c>
      <c r="D188" s="42" t="s">
        <v>16</v>
      </c>
      <c r="E188" s="42" t="s">
        <v>1969</v>
      </c>
      <c r="F188" s="42">
        <v>25274</v>
      </c>
      <c r="G188" s="42"/>
      <c r="H188" s="42">
        <v>16180</v>
      </c>
      <c r="I188" s="42">
        <v>274</v>
      </c>
      <c r="J188" s="42">
        <v>0.5</v>
      </c>
      <c r="K188" s="43">
        <f t="shared" si="37"/>
        <v>137</v>
      </c>
      <c r="L188" s="43">
        <f t="shared" si="32"/>
        <v>16043</v>
      </c>
      <c r="M188" s="43"/>
      <c r="N188" s="43">
        <f t="shared" si="33"/>
        <v>16043</v>
      </c>
      <c r="O188" s="43">
        <f t="shared" si="34"/>
        <v>1132.5999999999999</v>
      </c>
      <c r="P188" s="42">
        <v>28000</v>
      </c>
      <c r="Q188" s="42"/>
      <c r="R188" s="42">
        <f t="shared" ref="R188:R213" si="38">L188*Q188</f>
        <v>0</v>
      </c>
      <c r="T188" s="62">
        <v>112</v>
      </c>
    </row>
    <row r="189" spans="1:20">
      <c r="A189" s="374"/>
      <c r="B189" s="42" t="s">
        <v>1806</v>
      </c>
      <c r="C189" s="42" t="s">
        <v>88</v>
      </c>
      <c r="D189" s="42" t="s">
        <v>16</v>
      </c>
      <c r="E189" s="42" t="s">
        <v>1970</v>
      </c>
      <c r="F189" s="42">
        <v>25272</v>
      </c>
      <c r="G189" s="42"/>
      <c r="H189" s="42">
        <v>17620</v>
      </c>
      <c r="I189" s="42">
        <v>287</v>
      </c>
      <c r="J189" s="42">
        <v>0.5</v>
      </c>
      <c r="K189" s="43">
        <f t="shared" si="37"/>
        <v>143.5</v>
      </c>
      <c r="L189" s="43">
        <f t="shared" si="32"/>
        <v>17476.5</v>
      </c>
      <c r="M189" s="43"/>
      <c r="N189" s="43">
        <f t="shared" si="33"/>
        <v>17476.5</v>
      </c>
      <c r="O189" s="43">
        <f t="shared" si="34"/>
        <v>1233.4000000000001</v>
      </c>
      <c r="P189" s="42">
        <v>30300</v>
      </c>
      <c r="Q189" s="42"/>
      <c r="R189" s="42">
        <f t="shared" si="38"/>
        <v>0</v>
      </c>
      <c r="T189" s="62">
        <v>113</v>
      </c>
    </row>
    <row r="190" spans="1:20">
      <c r="A190" s="374"/>
      <c r="B190" s="42" t="s">
        <v>1806</v>
      </c>
      <c r="C190" s="42" t="s">
        <v>88</v>
      </c>
      <c r="D190" s="42" t="s">
        <v>16</v>
      </c>
      <c r="E190" s="42" t="s">
        <v>1971</v>
      </c>
      <c r="F190" s="42">
        <v>1081</v>
      </c>
      <c r="G190" s="42"/>
      <c r="H190" s="42">
        <v>15680</v>
      </c>
      <c r="I190" s="42">
        <v>280</v>
      </c>
      <c r="J190" s="42">
        <v>0.5</v>
      </c>
      <c r="K190" s="43">
        <f t="shared" si="37"/>
        <v>140</v>
      </c>
      <c r="L190" s="43">
        <f t="shared" si="32"/>
        <v>15540</v>
      </c>
      <c r="M190" s="43"/>
      <c r="N190" s="43">
        <f t="shared" si="33"/>
        <v>15540</v>
      </c>
      <c r="O190" s="43">
        <f t="shared" si="34"/>
        <v>1097.5999999999999</v>
      </c>
      <c r="P190" s="42">
        <v>21200</v>
      </c>
      <c r="Q190" s="42"/>
      <c r="R190" s="42">
        <f t="shared" si="38"/>
        <v>0</v>
      </c>
      <c r="T190" s="62">
        <v>114</v>
      </c>
    </row>
    <row r="191" spans="1:20">
      <c r="A191" s="374"/>
      <c r="B191" s="42" t="s">
        <v>1806</v>
      </c>
      <c r="C191" s="42" t="s">
        <v>88</v>
      </c>
      <c r="D191" s="42" t="s">
        <v>16</v>
      </c>
      <c r="E191" s="42" t="s">
        <v>1816</v>
      </c>
      <c r="F191" s="42">
        <v>1080</v>
      </c>
      <c r="G191" s="42"/>
      <c r="H191" s="42">
        <v>15900</v>
      </c>
      <c r="I191" s="42">
        <v>285</v>
      </c>
      <c r="J191" s="42">
        <v>0.5</v>
      </c>
      <c r="K191" s="43">
        <f t="shared" si="37"/>
        <v>142.5</v>
      </c>
      <c r="L191" s="43">
        <f t="shared" si="32"/>
        <v>15757.5</v>
      </c>
      <c r="M191" s="43"/>
      <c r="N191" s="43">
        <f t="shared" si="33"/>
        <v>15757.5</v>
      </c>
      <c r="O191" s="43">
        <f t="shared" si="34"/>
        <v>1113</v>
      </c>
      <c r="P191" s="42">
        <v>21600</v>
      </c>
      <c r="Q191" s="42"/>
      <c r="R191" s="42">
        <f t="shared" si="38"/>
        <v>0</v>
      </c>
      <c r="T191" s="62">
        <v>115</v>
      </c>
    </row>
    <row r="192" spans="1:20">
      <c r="A192" s="374"/>
      <c r="B192" s="42" t="s">
        <v>1806</v>
      </c>
      <c r="C192" s="42" t="s">
        <v>88</v>
      </c>
      <c r="D192" s="42" t="s">
        <v>16</v>
      </c>
      <c r="E192" s="42" t="s">
        <v>1972</v>
      </c>
      <c r="F192" s="42">
        <v>1079</v>
      </c>
      <c r="G192" s="42"/>
      <c r="H192" s="42">
        <v>16530</v>
      </c>
      <c r="I192" s="42">
        <v>260</v>
      </c>
      <c r="J192" s="42">
        <v>0.5</v>
      </c>
      <c r="K192" s="43">
        <f t="shared" si="37"/>
        <v>130</v>
      </c>
      <c r="L192" s="43">
        <f t="shared" si="32"/>
        <v>16400</v>
      </c>
      <c r="M192" s="43"/>
      <c r="N192" s="43">
        <f t="shared" si="33"/>
        <v>16400</v>
      </c>
      <c r="O192" s="43">
        <f t="shared" si="34"/>
        <v>1157.1000000000001</v>
      </c>
      <c r="P192" s="42">
        <v>22350</v>
      </c>
      <c r="Q192" s="42"/>
      <c r="R192" s="42">
        <f t="shared" si="38"/>
        <v>0</v>
      </c>
      <c r="T192" s="62">
        <v>116</v>
      </c>
    </row>
    <row r="193" spans="1:20">
      <c r="A193" s="374"/>
      <c r="B193" s="42" t="s">
        <v>1806</v>
      </c>
      <c r="C193" s="42" t="s">
        <v>88</v>
      </c>
      <c r="D193" s="42" t="s">
        <v>16</v>
      </c>
      <c r="E193" s="42" t="s">
        <v>1860</v>
      </c>
      <c r="F193" s="42">
        <v>1085</v>
      </c>
      <c r="G193" s="42"/>
      <c r="H193" s="42">
        <v>15560</v>
      </c>
      <c r="I193" s="42">
        <v>249</v>
      </c>
      <c r="J193" s="42">
        <v>0.5</v>
      </c>
      <c r="K193" s="43">
        <f t="shared" si="37"/>
        <v>124.5</v>
      </c>
      <c r="L193" s="43">
        <f t="shared" si="32"/>
        <v>15435.5</v>
      </c>
      <c r="M193" s="43"/>
      <c r="N193" s="43">
        <f t="shared" si="33"/>
        <v>15435.5</v>
      </c>
      <c r="O193" s="43">
        <f t="shared" si="34"/>
        <v>1089.2</v>
      </c>
      <c r="P193" s="42">
        <v>21100</v>
      </c>
      <c r="Q193" s="42"/>
      <c r="R193" s="42">
        <f t="shared" si="38"/>
        <v>0</v>
      </c>
      <c r="T193" s="62">
        <v>117</v>
      </c>
    </row>
    <row r="194" spans="1:20">
      <c r="A194" s="374"/>
      <c r="B194" s="42" t="s">
        <v>1806</v>
      </c>
      <c r="C194" s="42" t="s">
        <v>88</v>
      </c>
      <c r="D194" s="42" t="s">
        <v>16</v>
      </c>
      <c r="E194" s="42" t="s">
        <v>1973</v>
      </c>
      <c r="F194" s="42">
        <v>1090</v>
      </c>
      <c r="G194" s="42"/>
      <c r="H194" s="42">
        <v>17370</v>
      </c>
      <c r="I194" s="42">
        <v>290</v>
      </c>
      <c r="J194" s="42">
        <v>0.5</v>
      </c>
      <c r="K194" s="43">
        <f t="shared" si="37"/>
        <v>145</v>
      </c>
      <c r="L194" s="43">
        <f t="shared" si="32"/>
        <v>17225</v>
      </c>
      <c r="M194" s="43"/>
      <c r="N194" s="43">
        <f t="shared" si="33"/>
        <v>17225</v>
      </c>
      <c r="O194" s="43">
        <f t="shared" si="34"/>
        <v>1215.9000000000001</v>
      </c>
      <c r="P194" s="42">
        <v>23500</v>
      </c>
      <c r="Q194" s="42"/>
      <c r="R194" s="42">
        <f t="shared" si="38"/>
        <v>0</v>
      </c>
      <c r="T194" s="62">
        <v>118</v>
      </c>
    </row>
    <row r="195" spans="1:20">
      <c r="A195" s="374" t="s">
        <v>1974</v>
      </c>
      <c r="B195" s="42" t="s">
        <v>1806</v>
      </c>
      <c r="C195" s="42" t="s">
        <v>88</v>
      </c>
      <c r="D195" s="42" t="s">
        <v>16</v>
      </c>
      <c r="E195" s="42" t="s">
        <v>1978</v>
      </c>
      <c r="F195" s="42">
        <v>1091</v>
      </c>
      <c r="G195" s="42"/>
      <c r="H195" s="42">
        <v>18270</v>
      </c>
      <c r="I195" s="42">
        <v>306</v>
      </c>
      <c r="J195" s="42">
        <v>0.5</v>
      </c>
      <c r="K195" s="43">
        <f t="shared" si="37"/>
        <v>153</v>
      </c>
      <c r="L195" s="43">
        <f t="shared" si="32"/>
        <v>18117</v>
      </c>
      <c r="M195" s="43"/>
      <c r="N195" s="43">
        <f t="shared" si="33"/>
        <v>18117</v>
      </c>
      <c r="O195" s="43">
        <f t="shared" si="34"/>
        <v>1278.8999999999999</v>
      </c>
      <c r="P195" s="42">
        <v>24700</v>
      </c>
      <c r="Q195" s="42"/>
      <c r="R195" s="42">
        <f t="shared" si="38"/>
        <v>0</v>
      </c>
      <c r="T195" s="62">
        <v>119</v>
      </c>
    </row>
    <row r="196" spans="1:20">
      <c r="A196" s="374"/>
      <c r="B196" s="42" t="s">
        <v>1806</v>
      </c>
      <c r="C196" s="42" t="s">
        <v>88</v>
      </c>
      <c r="D196" s="42" t="s">
        <v>16</v>
      </c>
      <c r="E196" s="42" t="s">
        <v>1914</v>
      </c>
      <c r="F196" s="42">
        <v>1089</v>
      </c>
      <c r="G196" s="42"/>
      <c r="H196" s="42">
        <v>16830</v>
      </c>
      <c r="I196" s="42">
        <v>280</v>
      </c>
      <c r="J196" s="42">
        <v>0.5</v>
      </c>
      <c r="K196" s="43">
        <f t="shared" si="37"/>
        <v>140</v>
      </c>
      <c r="L196" s="43">
        <f t="shared" si="32"/>
        <v>16690</v>
      </c>
      <c r="M196" s="43"/>
      <c r="N196" s="43">
        <f t="shared" si="33"/>
        <v>16690</v>
      </c>
      <c r="O196" s="43">
        <f t="shared" si="34"/>
        <v>1178.0999999999999</v>
      </c>
      <c r="P196" s="42">
        <v>23220</v>
      </c>
      <c r="Q196" s="42"/>
      <c r="R196" s="42">
        <f t="shared" si="38"/>
        <v>0</v>
      </c>
      <c r="T196" s="62">
        <v>120</v>
      </c>
    </row>
    <row r="197" spans="1:20">
      <c r="A197" s="374"/>
      <c r="B197" s="42" t="s">
        <v>1806</v>
      </c>
      <c r="C197" s="42" t="s">
        <v>88</v>
      </c>
      <c r="D197" s="42" t="s">
        <v>16</v>
      </c>
      <c r="E197" s="42" t="s">
        <v>1813</v>
      </c>
      <c r="F197" s="42">
        <v>1087</v>
      </c>
      <c r="G197" s="42"/>
      <c r="H197" s="42">
        <v>16440</v>
      </c>
      <c r="I197" s="42">
        <v>275</v>
      </c>
      <c r="J197" s="42">
        <v>0.5</v>
      </c>
      <c r="K197" s="43">
        <f t="shared" si="37"/>
        <v>137.5</v>
      </c>
      <c r="L197" s="43">
        <f t="shared" si="32"/>
        <v>16302.5</v>
      </c>
      <c r="M197" s="43"/>
      <c r="N197" s="43">
        <f t="shared" si="33"/>
        <v>16302.5</v>
      </c>
      <c r="O197" s="43">
        <f t="shared" si="34"/>
        <v>1150.8000000000002</v>
      </c>
      <c r="P197" s="42">
        <v>22200</v>
      </c>
      <c r="Q197" s="42"/>
      <c r="R197" s="42">
        <f t="shared" si="38"/>
        <v>0</v>
      </c>
      <c r="T197" s="62">
        <v>121</v>
      </c>
    </row>
    <row r="198" spans="1:20">
      <c r="A198" s="374"/>
      <c r="B198" s="42" t="s">
        <v>1806</v>
      </c>
      <c r="C198" s="42" t="s">
        <v>88</v>
      </c>
      <c r="D198" s="42" t="s">
        <v>16</v>
      </c>
      <c r="E198" s="42" t="s">
        <v>1979</v>
      </c>
      <c r="F198" s="42">
        <v>1088</v>
      </c>
      <c r="G198" s="42"/>
      <c r="H198" s="42">
        <v>16170</v>
      </c>
      <c r="I198" s="42">
        <v>282</v>
      </c>
      <c r="J198" s="42">
        <v>0.5</v>
      </c>
      <c r="K198" s="43">
        <f t="shared" si="37"/>
        <v>141</v>
      </c>
      <c r="L198" s="43">
        <f t="shared" si="32"/>
        <v>16029</v>
      </c>
      <c r="M198" s="43"/>
      <c r="N198" s="43">
        <f t="shared" si="33"/>
        <v>16029</v>
      </c>
      <c r="O198" s="43">
        <f t="shared" si="34"/>
        <v>1131.9000000000001</v>
      </c>
      <c r="P198" s="42">
        <v>21850</v>
      </c>
      <c r="Q198" s="42"/>
      <c r="R198" s="42">
        <f t="shared" si="38"/>
        <v>0</v>
      </c>
      <c r="T198" s="62">
        <v>122</v>
      </c>
    </row>
    <row r="199" spans="1:20">
      <c r="A199" s="374"/>
      <c r="B199" s="42" t="s">
        <v>1806</v>
      </c>
      <c r="C199" s="42" t="s">
        <v>88</v>
      </c>
      <c r="D199" s="42" t="s">
        <v>16</v>
      </c>
      <c r="E199" s="42" t="s">
        <v>1980</v>
      </c>
      <c r="F199" s="42">
        <v>25277</v>
      </c>
      <c r="G199" s="42"/>
      <c r="H199" s="42">
        <v>16190</v>
      </c>
      <c r="I199" s="42">
        <v>282</v>
      </c>
      <c r="J199" s="42">
        <v>0.5</v>
      </c>
      <c r="K199" s="43">
        <f t="shared" si="37"/>
        <v>141</v>
      </c>
      <c r="L199" s="43">
        <f t="shared" si="32"/>
        <v>16049</v>
      </c>
      <c r="M199" s="43"/>
      <c r="N199" s="43">
        <f t="shared" si="33"/>
        <v>16049</v>
      </c>
      <c r="O199" s="43">
        <f t="shared" si="34"/>
        <v>1133.3000000000002</v>
      </c>
      <c r="P199" s="42">
        <v>29800</v>
      </c>
      <c r="Q199" s="42"/>
      <c r="R199" s="42">
        <f t="shared" si="38"/>
        <v>0</v>
      </c>
      <c r="T199" s="62">
        <v>123</v>
      </c>
    </row>
    <row r="200" spans="1:20">
      <c r="A200" s="374" t="s">
        <v>1981</v>
      </c>
      <c r="B200" s="42" t="s">
        <v>1806</v>
      </c>
      <c r="C200" s="42" t="s">
        <v>88</v>
      </c>
      <c r="D200" s="232" t="s">
        <v>16</v>
      </c>
      <c r="E200" s="232" t="s">
        <v>1983</v>
      </c>
      <c r="F200" s="232">
        <v>1093</v>
      </c>
      <c r="G200" s="232"/>
      <c r="H200" s="232">
        <v>18070</v>
      </c>
      <c r="I200" s="232">
        <v>310</v>
      </c>
      <c r="J200" s="232">
        <v>0.5</v>
      </c>
      <c r="K200" s="5">
        <f t="shared" si="37"/>
        <v>155</v>
      </c>
      <c r="L200" s="19">
        <f t="shared" si="32"/>
        <v>17915</v>
      </c>
      <c r="M200" s="19"/>
      <c r="N200" s="43">
        <f t="shared" si="33"/>
        <v>17915</v>
      </c>
      <c r="O200" s="5">
        <f t="shared" si="34"/>
        <v>1264.9000000000001</v>
      </c>
      <c r="P200" s="232">
        <v>24400</v>
      </c>
      <c r="Q200" s="232"/>
      <c r="R200" s="42">
        <f t="shared" si="38"/>
        <v>0</v>
      </c>
      <c r="T200" s="62">
        <v>124</v>
      </c>
    </row>
    <row r="201" spans="1:20">
      <c r="A201" s="374"/>
      <c r="B201" s="42" t="s">
        <v>1806</v>
      </c>
      <c r="C201" s="42" t="s">
        <v>88</v>
      </c>
      <c r="D201" s="232" t="s">
        <v>16</v>
      </c>
      <c r="E201" s="232" t="s">
        <v>1825</v>
      </c>
      <c r="F201" s="232">
        <v>1092</v>
      </c>
      <c r="G201" s="232"/>
      <c r="H201" s="232">
        <v>17110</v>
      </c>
      <c r="I201" s="232">
        <v>290</v>
      </c>
      <c r="J201" s="232">
        <v>0.5</v>
      </c>
      <c r="K201" s="5">
        <f t="shared" si="37"/>
        <v>145</v>
      </c>
      <c r="L201" s="19">
        <f t="shared" si="32"/>
        <v>16965</v>
      </c>
      <c r="M201" s="19"/>
      <c r="N201" s="43">
        <f t="shared" si="33"/>
        <v>16965</v>
      </c>
      <c r="O201" s="5">
        <f t="shared" si="34"/>
        <v>1197.7</v>
      </c>
      <c r="P201" s="232">
        <v>23160</v>
      </c>
      <c r="Q201" s="232"/>
      <c r="R201" s="42">
        <f t="shared" si="38"/>
        <v>0</v>
      </c>
      <c r="T201" s="62">
        <v>125</v>
      </c>
    </row>
    <row r="202" spans="1:20">
      <c r="A202" s="374"/>
      <c r="B202" s="42" t="s">
        <v>1806</v>
      </c>
      <c r="C202" s="42" t="s">
        <v>88</v>
      </c>
      <c r="D202" s="232" t="s">
        <v>16</v>
      </c>
      <c r="E202" s="232" t="s">
        <v>1984</v>
      </c>
      <c r="F202" s="232">
        <v>25281</v>
      </c>
      <c r="G202" s="232"/>
      <c r="H202" s="232">
        <v>14720</v>
      </c>
      <c r="I202" s="232">
        <v>255</v>
      </c>
      <c r="J202" s="232">
        <v>0.5</v>
      </c>
      <c r="K202" s="5">
        <f t="shared" si="37"/>
        <v>127.5</v>
      </c>
      <c r="L202" s="19">
        <f t="shared" si="32"/>
        <v>14592.5</v>
      </c>
      <c r="M202" s="19"/>
      <c r="N202" s="43">
        <f t="shared" si="33"/>
        <v>14592.5</v>
      </c>
      <c r="O202" s="5">
        <f t="shared" si="34"/>
        <v>1030.4000000000001</v>
      </c>
      <c r="P202" s="232">
        <v>29800</v>
      </c>
      <c r="Q202" s="232"/>
      <c r="R202" s="42">
        <f t="shared" si="38"/>
        <v>0</v>
      </c>
      <c r="T202" s="62">
        <v>126</v>
      </c>
    </row>
    <row r="203" spans="1:20">
      <c r="A203" s="374"/>
      <c r="B203" s="42" t="s">
        <v>1806</v>
      </c>
      <c r="C203" s="42" t="s">
        <v>88</v>
      </c>
      <c r="D203" s="232" t="s">
        <v>16</v>
      </c>
      <c r="E203" s="232" t="s">
        <v>1862</v>
      </c>
      <c r="F203" s="232">
        <v>25284</v>
      </c>
      <c r="G203" s="232"/>
      <c r="H203" s="232">
        <v>17290</v>
      </c>
      <c r="I203" s="232">
        <v>257</v>
      </c>
      <c r="J203" s="232">
        <v>0.5</v>
      </c>
      <c r="K203" s="5">
        <f t="shared" si="37"/>
        <v>128.5</v>
      </c>
      <c r="L203" s="19">
        <f t="shared" si="32"/>
        <v>17161.5</v>
      </c>
      <c r="M203" s="19"/>
      <c r="N203" s="43">
        <f t="shared" si="33"/>
        <v>17161.5</v>
      </c>
      <c r="O203" s="5">
        <f t="shared" si="34"/>
        <v>1210.3</v>
      </c>
      <c r="P203" s="232">
        <v>32450</v>
      </c>
      <c r="Q203" s="232"/>
      <c r="R203" s="42">
        <f t="shared" si="38"/>
        <v>0</v>
      </c>
      <c r="T203" s="62">
        <v>127</v>
      </c>
    </row>
    <row r="204" spans="1:20">
      <c r="A204" s="374"/>
      <c r="B204" s="42" t="s">
        <v>1806</v>
      </c>
      <c r="C204" s="42" t="s">
        <v>88</v>
      </c>
      <c r="D204" s="232" t="s">
        <v>16</v>
      </c>
      <c r="E204" s="232" t="s">
        <v>1985</v>
      </c>
      <c r="F204" s="232">
        <v>25285</v>
      </c>
      <c r="G204" s="232"/>
      <c r="H204" s="232">
        <v>15120</v>
      </c>
      <c r="I204" s="232">
        <v>244</v>
      </c>
      <c r="J204" s="232">
        <v>0.5</v>
      </c>
      <c r="K204" s="5">
        <f t="shared" si="37"/>
        <v>122</v>
      </c>
      <c r="L204" s="19">
        <f t="shared" si="32"/>
        <v>14998</v>
      </c>
      <c r="M204" s="19"/>
      <c r="N204" s="43">
        <f t="shared" si="33"/>
        <v>14998</v>
      </c>
      <c r="O204" s="5">
        <f t="shared" si="34"/>
        <v>1058.3999999999999</v>
      </c>
      <c r="P204" s="232">
        <v>28900</v>
      </c>
      <c r="Q204" s="232"/>
      <c r="R204" s="42">
        <f t="shared" si="38"/>
        <v>0</v>
      </c>
      <c r="T204" s="62">
        <v>128</v>
      </c>
    </row>
    <row r="205" spans="1:20">
      <c r="A205" s="374"/>
      <c r="B205" s="42" t="s">
        <v>1806</v>
      </c>
      <c r="C205" s="42" t="s">
        <v>88</v>
      </c>
      <c r="D205" s="232" t="s">
        <v>16</v>
      </c>
      <c r="E205" s="232" t="s">
        <v>1986</v>
      </c>
      <c r="F205" s="232">
        <v>25283</v>
      </c>
      <c r="G205" s="232"/>
      <c r="H205" s="232">
        <v>14970</v>
      </c>
      <c r="I205" s="232">
        <v>262</v>
      </c>
      <c r="J205" s="232">
        <v>0.5</v>
      </c>
      <c r="K205" s="5">
        <f t="shared" si="37"/>
        <v>131</v>
      </c>
      <c r="L205" s="19">
        <f t="shared" ref="L205:L213" si="39">H205-K205</f>
        <v>14839</v>
      </c>
      <c r="M205" s="19"/>
      <c r="N205" s="43">
        <f t="shared" ref="N205:N213" si="40">L205-M205</f>
        <v>14839</v>
      </c>
      <c r="O205" s="5">
        <f t="shared" ref="O205:O213" si="41">H205/1000*70</f>
        <v>1047.9000000000001</v>
      </c>
      <c r="P205" s="232">
        <v>28900</v>
      </c>
      <c r="Q205" s="232"/>
      <c r="R205" s="42">
        <f t="shared" si="38"/>
        <v>0</v>
      </c>
      <c r="T205" s="62">
        <v>129</v>
      </c>
    </row>
    <row r="206" spans="1:20">
      <c r="A206" s="374"/>
      <c r="B206" s="42" t="s">
        <v>1806</v>
      </c>
      <c r="C206" s="42" t="s">
        <v>88</v>
      </c>
      <c r="D206" s="232" t="s">
        <v>16</v>
      </c>
      <c r="E206" s="232" t="s">
        <v>1912</v>
      </c>
      <c r="F206" s="232">
        <v>25282</v>
      </c>
      <c r="G206" s="232"/>
      <c r="H206" s="232">
        <v>14640</v>
      </c>
      <c r="I206" s="232">
        <v>232</v>
      </c>
      <c r="J206" s="232">
        <v>0.5</v>
      </c>
      <c r="K206" s="5">
        <f t="shared" si="37"/>
        <v>116</v>
      </c>
      <c r="L206" s="19">
        <f t="shared" si="39"/>
        <v>14524</v>
      </c>
      <c r="M206" s="19"/>
      <c r="N206" s="43">
        <f t="shared" si="40"/>
        <v>14524</v>
      </c>
      <c r="O206" s="5">
        <f t="shared" si="41"/>
        <v>1024.8</v>
      </c>
      <c r="P206" s="232">
        <v>28750</v>
      </c>
      <c r="Q206" s="232"/>
      <c r="R206" s="42">
        <f t="shared" si="38"/>
        <v>0</v>
      </c>
      <c r="T206" s="62">
        <v>130</v>
      </c>
    </row>
    <row r="207" spans="1:20">
      <c r="A207" s="374"/>
      <c r="B207" s="42" t="s">
        <v>1806</v>
      </c>
      <c r="C207" s="42" t="s">
        <v>88</v>
      </c>
      <c r="D207" s="232" t="s">
        <v>16</v>
      </c>
      <c r="E207" s="232" t="s">
        <v>1814</v>
      </c>
      <c r="F207" s="232">
        <v>1094</v>
      </c>
      <c r="G207" s="232"/>
      <c r="H207" s="232">
        <v>16510</v>
      </c>
      <c r="I207" s="232">
        <v>282</v>
      </c>
      <c r="J207" s="232">
        <v>0.5</v>
      </c>
      <c r="K207" s="5">
        <f t="shared" si="37"/>
        <v>141</v>
      </c>
      <c r="L207" s="19">
        <f t="shared" si="39"/>
        <v>16369</v>
      </c>
      <c r="M207" s="19"/>
      <c r="N207" s="43">
        <f t="shared" si="40"/>
        <v>16369</v>
      </c>
      <c r="O207" s="5">
        <f t="shared" si="41"/>
        <v>1155.7</v>
      </c>
      <c r="P207" s="232">
        <v>22290</v>
      </c>
      <c r="Q207" s="232"/>
      <c r="R207" s="42">
        <f t="shared" si="38"/>
        <v>0</v>
      </c>
      <c r="T207" s="62">
        <v>131</v>
      </c>
    </row>
    <row r="208" spans="1:20">
      <c r="A208" s="374" t="s">
        <v>1988</v>
      </c>
      <c r="B208" s="42" t="s">
        <v>1806</v>
      </c>
      <c r="C208" s="42" t="s">
        <v>88</v>
      </c>
      <c r="D208" s="233" t="s">
        <v>16</v>
      </c>
      <c r="E208" s="233" t="s">
        <v>1858</v>
      </c>
      <c r="F208" s="233">
        <v>1095</v>
      </c>
      <c r="G208" s="233"/>
      <c r="H208" s="233">
        <v>15700</v>
      </c>
      <c r="I208" s="233">
        <v>274</v>
      </c>
      <c r="J208" s="233">
        <v>0.5</v>
      </c>
      <c r="K208" s="5">
        <f t="shared" si="37"/>
        <v>137</v>
      </c>
      <c r="L208" s="19">
        <f t="shared" si="39"/>
        <v>15563</v>
      </c>
      <c r="M208" s="19"/>
      <c r="N208" s="43">
        <f t="shared" si="40"/>
        <v>15563</v>
      </c>
      <c r="O208" s="5">
        <f t="shared" si="41"/>
        <v>1099</v>
      </c>
      <c r="P208" s="233">
        <v>21200</v>
      </c>
      <c r="Q208" s="233"/>
      <c r="R208" s="42">
        <f t="shared" si="38"/>
        <v>0</v>
      </c>
      <c r="T208" s="62">
        <v>132</v>
      </c>
    </row>
    <row r="209" spans="1:20">
      <c r="A209" s="374"/>
      <c r="B209" s="42" t="s">
        <v>1806</v>
      </c>
      <c r="C209" s="42" t="s">
        <v>88</v>
      </c>
      <c r="D209" s="233" t="s">
        <v>16</v>
      </c>
      <c r="E209" s="233" t="s">
        <v>1877</v>
      </c>
      <c r="F209" s="233">
        <v>1098</v>
      </c>
      <c r="G209" s="233"/>
      <c r="H209" s="233">
        <v>17580</v>
      </c>
      <c r="I209" s="233">
        <v>298</v>
      </c>
      <c r="J209" s="233">
        <v>0.5</v>
      </c>
      <c r="K209" s="5">
        <f t="shared" si="37"/>
        <v>149</v>
      </c>
      <c r="L209" s="19">
        <f t="shared" si="39"/>
        <v>17431</v>
      </c>
      <c r="M209" s="19"/>
      <c r="N209" s="43">
        <f t="shared" si="40"/>
        <v>17431</v>
      </c>
      <c r="O209" s="5">
        <f t="shared" si="41"/>
        <v>1230.5999999999999</v>
      </c>
      <c r="P209" s="233">
        <v>23750</v>
      </c>
      <c r="Q209" s="233"/>
      <c r="R209" s="42">
        <f t="shared" si="38"/>
        <v>0</v>
      </c>
      <c r="T209" s="62">
        <v>133</v>
      </c>
    </row>
    <row r="210" spans="1:20">
      <c r="A210" s="374"/>
      <c r="B210" s="42" t="s">
        <v>1806</v>
      </c>
      <c r="C210" s="42" t="s">
        <v>88</v>
      </c>
      <c r="D210" s="233" t="s">
        <v>16</v>
      </c>
      <c r="E210" s="233" t="s">
        <v>1920</v>
      </c>
      <c r="F210" s="233">
        <v>1097</v>
      </c>
      <c r="G210" s="233"/>
      <c r="H210" s="233">
        <v>15640</v>
      </c>
      <c r="I210" s="233">
        <v>270</v>
      </c>
      <c r="J210" s="233">
        <v>0.5</v>
      </c>
      <c r="K210" s="5">
        <f t="shared" si="37"/>
        <v>135</v>
      </c>
      <c r="L210" s="19">
        <f t="shared" si="39"/>
        <v>15505</v>
      </c>
      <c r="M210" s="19"/>
      <c r="N210" s="43">
        <f t="shared" si="40"/>
        <v>15505</v>
      </c>
      <c r="O210" s="5">
        <f t="shared" si="41"/>
        <v>1094.8</v>
      </c>
      <c r="P210" s="233">
        <v>20900</v>
      </c>
      <c r="Q210" s="233"/>
      <c r="R210" s="42">
        <f t="shared" si="38"/>
        <v>0</v>
      </c>
      <c r="T210" s="62">
        <v>134</v>
      </c>
    </row>
    <row r="211" spans="1:20">
      <c r="A211" s="374"/>
      <c r="B211" s="42" t="s">
        <v>1806</v>
      </c>
      <c r="C211" s="42" t="s">
        <v>88</v>
      </c>
      <c r="D211" s="233" t="s">
        <v>16</v>
      </c>
      <c r="E211" s="233" t="s">
        <v>1926</v>
      </c>
      <c r="F211" s="233">
        <v>1096</v>
      </c>
      <c r="G211" s="233"/>
      <c r="H211" s="233">
        <v>15860</v>
      </c>
      <c r="I211" s="233">
        <v>268</v>
      </c>
      <c r="J211" s="233">
        <v>0.5</v>
      </c>
      <c r="K211" s="5">
        <f t="shared" si="37"/>
        <v>134</v>
      </c>
      <c r="L211" s="19">
        <f t="shared" si="39"/>
        <v>15726</v>
      </c>
      <c r="M211" s="19"/>
      <c r="N211" s="43">
        <f t="shared" si="40"/>
        <v>15726</v>
      </c>
      <c r="O211" s="5">
        <f t="shared" si="41"/>
        <v>1110.2</v>
      </c>
      <c r="P211" s="233">
        <v>21400</v>
      </c>
      <c r="Q211" s="233"/>
      <c r="R211" s="42">
        <f t="shared" si="38"/>
        <v>0</v>
      </c>
      <c r="T211" s="62">
        <v>135</v>
      </c>
    </row>
    <row r="212" spans="1:20">
      <c r="A212" s="1" t="s">
        <v>1989</v>
      </c>
      <c r="B212" s="42" t="s">
        <v>1806</v>
      </c>
      <c r="C212" s="42" t="s">
        <v>88</v>
      </c>
      <c r="D212" s="234" t="s">
        <v>16</v>
      </c>
      <c r="E212" s="234" t="s">
        <v>1992</v>
      </c>
      <c r="F212" s="234">
        <v>1100</v>
      </c>
      <c r="G212" s="234"/>
      <c r="H212" s="234">
        <v>16590</v>
      </c>
      <c r="I212" s="234">
        <v>260</v>
      </c>
      <c r="J212" s="234">
        <v>0.5</v>
      </c>
      <c r="K212" s="5">
        <f t="shared" si="37"/>
        <v>130</v>
      </c>
      <c r="L212" s="19">
        <f t="shared" si="39"/>
        <v>16460</v>
      </c>
      <c r="M212" s="19"/>
      <c r="N212" s="43">
        <f t="shared" si="40"/>
        <v>16460</v>
      </c>
      <c r="O212" s="5">
        <f t="shared" si="41"/>
        <v>1161.3</v>
      </c>
      <c r="P212" s="234">
        <v>22400</v>
      </c>
      <c r="Q212" s="234"/>
      <c r="R212" s="42">
        <f t="shared" si="38"/>
        <v>0</v>
      </c>
      <c r="T212" s="62">
        <v>136</v>
      </c>
    </row>
    <row r="213" spans="1:20">
      <c r="A213" s="1" t="s">
        <v>1993</v>
      </c>
      <c r="B213" s="42" t="s">
        <v>1806</v>
      </c>
      <c r="C213" s="42" t="s">
        <v>88</v>
      </c>
      <c r="D213" s="235" t="s">
        <v>16</v>
      </c>
      <c r="E213" s="235" t="s">
        <v>1996</v>
      </c>
      <c r="F213" s="235">
        <v>1099</v>
      </c>
      <c r="G213" s="235"/>
      <c r="H213" s="235">
        <v>15380</v>
      </c>
      <c r="I213" s="235">
        <v>356</v>
      </c>
      <c r="J213" s="235">
        <v>0.5</v>
      </c>
      <c r="K213" s="5">
        <f t="shared" si="37"/>
        <v>178</v>
      </c>
      <c r="L213" s="19">
        <f t="shared" si="39"/>
        <v>15202</v>
      </c>
      <c r="M213" s="19"/>
      <c r="N213" s="43">
        <f t="shared" si="40"/>
        <v>15202</v>
      </c>
      <c r="O213" s="5">
        <f t="shared" si="41"/>
        <v>1076.6000000000001</v>
      </c>
      <c r="P213" s="235">
        <v>20800</v>
      </c>
      <c r="Q213" s="235"/>
      <c r="R213" s="42">
        <f t="shared" si="38"/>
        <v>0</v>
      </c>
      <c r="T213" s="62">
        <v>137</v>
      </c>
    </row>
    <row r="216" spans="1:20">
      <c r="H216" s="1">
        <f t="shared" ref="H216:S216" si="42">SUM(H77:H215)</f>
        <v>2256185</v>
      </c>
      <c r="I216" s="1">
        <f t="shared" si="42"/>
        <v>38582</v>
      </c>
      <c r="J216" s="1">
        <f t="shared" si="42"/>
        <v>68.5</v>
      </c>
      <c r="K216" s="1">
        <f t="shared" si="42"/>
        <v>19307</v>
      </c>
      <c r="L216" s="1">
        <f t="shared" si="42"/>
        <v>2236878</v>
      </c>
      <c r="M216" s="1">
        <f t="shared" si="42"/>
        <v>0</v>
      </c>
      <c r="N216" s="1">
        <f t="shared" si="42"/>
        <v>2236878</v>
      </c>
      <c r="O216" s="1">
        <f t="shared" si="42"/>
        <v>157932.95000000001</v>
      </c>
      <c r="P216" s="1">
        <f t="shared" si="42"/>
        <v>3170090</v>
      </c>
      <c r="Q216" s="1">
        <f t="shared" si="42"/>
        <v>0</v>
      </c>
      <c r="R216" s="1">
        <f t="shared" si="42"/>
        <v>0</v>
      </c>
      <c r="S216" s="1">
        <f t="shared" si="42"/>
        <v>0</v>
      </c>
    </row>
    <row r="217" spans="1:20" ht="23.4">
      <c r="A217" s="3" t="s">
        <v>3</v>
      </c>
      <c r="B217" s="3" t="s">
        <v>4</v>
      </c>
      <c r="C217" s="3" t="s">
        <v>5</v>
      </c>
      <c r="D217" s="3" t="s">
        <v>6</v>
      </c>
      <c r="E217" s="3" t="s">
        <v>37</v>
      </c>
      <c r="F217" s="3" t="s">
        <v>7</v>
      </c>
      <c r="G217" s="3" t="s">
        <v>8</v>
      </c>
      <c r="H217" s="3" t="s">
        <v>9</v>
      </c>
      <c r="I217" s="3" t="s">
        <v>10</v>
      </c>
      <c r="J217" s="4" t="s">
        <v>18</v>
      </c>
      <c r="K217" s="4" t="s">
        <v>17</v>
      </c>
      <c r="L217" s="3" t="s">
        <v>676</v>
      </c>
      <c r="M217" s="95" t="s">
        <v>677</v>
      </c>
      <c r="N217" s="3" t="s">
        <v>11</v>
      </c>
      <c r="O217" s="3" t="s">
        <v>36</v>
      </c>
      <c r="P217" s="3" t="s">
        <v>12</v>
      </c>
      <c r="Q217" s="3" t="s">
        <v>256</v>
      </c>
      <c r="R217" s="3" t="s">
        <v>257</v>
      </c>
      <c r="S217" s="3" t="s">
        <v>2</v>
      </c>
    </row>
    <row r="218" spans="1:20">
      <c r="A218" s="1" t="s">
        <v>2428</v>
      </c>
      <c r="B218" s="42" t="s">
        <v>2442</v>
      </c>
      <c r="C218" s="42" t="s">
        <v>88</v>
      </c>
      <c r="D218" s="42" t="s">
        <v>16</v>
      </c>
      <c r="E218" s="42" t="s">
        <v>2433</v>
      </c>
      <c r="F218" s="42">
        <v>1714</v>
      </c>
      <c r="G218" s="42"/>
      <c r="H218" s="42">
        <v>17270</v>
      </c>
      <c r="I218" s="42">
        <v>306</v>
      </c>
      <c r="J218" s="42">
        <v>0.5</v>
      </c>
      <c r="K218" s="43">
        <f t="shared" ref="K218:K232" si="43">I218*J218</f>
        <v>153</v>
      </c>
      <c r="L218" s="43">
        <f t="shared" ref="L218:L232" si="44">H218-K218</f>
        <v>17117</v>
      </c>
      <c r="M218" s="43"/>
      <c r="N218" s="43">
        <f t="shared" ref="N218:N232" si="45">L218-M218</f>
        <v>17117</v>
      </c>
      <c r="O218" s="43">
        <f t="shared" ref="O218:O232" si="46">H218/1000*70</f>
        <v>1208.8999999999999</v>
      </c>
      <c r="P218" s="42">
        <v>19860</v>
      </c>
      <c r="Q218" s="42"/>
      <c r="R218" s="42">
        <f t="shared" ref="R218" si="47">L218*Q218</f>
        <v>0</v>
      </c>
      <c r="S218" s="6"/>
    </row>
    <row r="219" spans="1:20">
      <c r="A219" s="374" t="s">
        <v>2441</v>
      </c>
      <c r="B219" s="42" t="s">
        <v>2442</v>
      </c>
      <c r="C219" s="42" t="s">
        <v>88</v>
      </c>
      <c r="D219" s="42" t="s">
        <v>16</v>
      </c>
      <c r="E219" s="42" t="s">
        <v>1726</v>
      </c>
      <c r="F219" s="42">
        <v>1720</v>
      </c>
      <c r="G219" s="42"/>
      <c r="H219" s="42">
        <v>17610</v>
      </c>
      <c r="I219" s="42">
        <v>328</v>
      </c>
      <c r="J219" s="42">
        <v>0.5</v>
      </c>
      <c r="K219" s="43">
        <f t="shared" si="43"/>
        <v>164</v>
      </c>
      <c r="L219" s="43">
        <f t="shared" si="44"/>
        <v>17446</v>
      </c>
      <c r="M219" s="43">
        <f>L219*2%</f>
        <v>348.92</v>
      </c>
      <c r="N219" s="43">
        <f t="shared" si="45"/>
        <v>17097.080000000002</v>
      </c>
      <c r="O219" s="43">
        <f t="shared" si="46"/>
        <v>1232.7</v>
      </c>
      <c r="P219" s="42">
        <v>20200</v>
      </c>
      <c r="Q219" s="6"/>
      <c r="R219" s="6"/>
      <c r="S219" s="6"/>
    </row>
    <row r="220" spans="1:20">
      <c r="A220" s="374"/>
      <c r="B220" s="42" t="s">
        <v>2442</v>
      </c>
      <c r="C220" s="42" t="s">
        <v>88</v>
      </c>
      <c r="D220" s="42" t="s">
        <v>16</v>
      </c>
      <c r="E220" s="42" t="s">
        <v>2443</v>
      </c>
      <c r="F220" s="42">
        <v>1722</v>
      </c>
      <c r="G220" s="42"/>
      <c r="H220" s="42">
        <v>16210</v>
      </c>
      <c r="I220" s="42">
        <v>290</v>
      </c>
      <c r="J220" s="42">
        <v>0.5</v>
      </c>
      <c r="K220" s="43">
        <f t="shared" si="43"/>
        <v>145</v>
      </c>
      <c r="L220" s="43">
        <f t="shared" si="44"/>
        <v>16065</v>
      </c>
      <c r="M220" s="43"/>
      <c r="N220" s="43">
        <f t="shared" si="45"/>
        <v>16065</v>
      </c>
      <c r="O220" s="43">
        <f t="shared" si="46"/>
        <v>1134.7</v>
      </c>
      <c r="P220" s="42">
        <v>18660</v>
      </c>
      <c r="Q220" s="6"/>
      <c r="R220" s="6"/>
      <c r="S220" s="6"/>
    </row>
    <row r="221" spans="1:20">
      <c r="A221" s="374"/>
      <c r="B221" s="42" t="s">
        <v>2442</v>
      </c>
      <c r="C221" s="42" t="s">
        <v>88</v>
      </c>
      <c r="D221" s="42" t="s">
        <v>16</v>
      </c>
      <c r="E221" s="42" t="s">
        <v>2444</v>
      </c>
      <c r="F221" s="42">
        <v>1724</v>
      </c>
      <c r="G221" s="42"/>
      <c r="H221" s="42">
        <v>17580</v>
      </c>
      <c r="I221" s="42">
        <v>315</v>
      </c>
      <c r="J221" s="42">
        <v>0.5</v>
      </c>
      <c r="K221" s="43">
        <f t="shared" si="43"/>
        <v>157.5</v>
      </c>
      <c r="L221" s="43">
        <f t="shared" si="44"/>
        <v>17422.5</v>
      </c>
      <c r="M221" s="43"/>
      <c r="N221" s="43">
        <f t="shared" si="45"/>
        <v>17422.5</v>
      </c>
      <c r="O221" s="43">
        <f t="shared" si="46"/>
        <v>1230.5999999999999</v>
      </c>
      <c r="P221" s="42">
        <v>20275</v>
      </c>
      <c r="Q221" s="6"/>
      <c r="R221" s="6"/>
      <c r="S221" s="6"/>
    </row>
    <row r="222" spans="1:20">
      <c r="A222" s="374"/>
      <c r="B222" s="42" t="s">
        <v>2442</v>
      </c>
      <c r="C222" s="42" t="s">
        <v>88</v>
      </c>
      <c r="D222" s="42" t="s">
        <v>16</v>
      </c>
      <c r="E222" s="42" t="s">
        <v>2445</v>
      </c>
      <c r="F222" s="42">
        <v>1727</v>
      </c>
      <c r="G222" s="42"/>
      <c r="H222" s="42">
        <v>18210</v>
      </c>
      <c r="I222" s="42">
        <v>310</v>
      </c>
      <c r="J222" s="42">
        <v>0.5</v>
      </c>
      <c r="K222" s="43">
        <f t="shared" si="43"/>
        <v>155</v>
      </c>
      <c r="L222" s="43">
        <f t="shared" si="44"/>
        <v>18055</v>
      </c>
      <c r="M222" s="43"/>
      <c r="N222" s="43">
        <f t="shared" si="45"/>
        <v>18055</v>
      </c>
      <c r="O222" s="43">
        <f t="shared" si="46"/>
        <v>1274.7</v>
      </c>
      <c r="P222" s="42">
        <v>20700</v>
      </c>
      <c r="Q222" s="6"/>
      <c r="R222" s="6"/>
      <c r="S222" s="6"/>
    </row>
    <row r="223" spans="1:20">
      <c r="A223" s="374"/>
      <c r="B223" s="42" t="s">
        <v>2442</v>
      </c>
      <c r="C223" s="42" t="s">
        <v>88</v>
      </c>
      <c r="D223" s="42" t="s">
        <v>16</v>
      </c>
      <c r="E223" s="42" t="s">
        <v>2446</v>
      </c>
      <c r="F223" s="42">
        <v>1715</v>
      </c>
      <c r="G223" s="42"/>
      <c r="H223" s="42">
        <v>15995</v>
      </c>
      <c r="I223" s="42">
        <v>275</v>
      </c>
      <c r="J223" s="42">
        <v>0.5</v>
      </c>
      <c r="K223" s="43">
        <f t="shared" si="43"/>
        <v>137.5</v>
      </c>
      <c r="L223" s="43">
        <f t="shared" si="44"/>
        <v>15857.5</v>
      </c>
      <c r="M223" s="43"/>
      <c r="N223" s="43">
        <f t="shared" si="45"/>
        <v>15857.5</v>
      </c>
      <c r="O223" s="43">
        <f t="shared" si="46"/>
        <v>1119.6499999999999</v>
      </c>
      <c r="P223" s="42">
        <v>18400</v>
      </c>
      <c r="Q223" s="6"/>
      <c r="R223" s="6"/>
      <c r="S223" s="6"/>
    </row>
    <row r="224" spans="1:20">
      <c r="A224" s="374"/>
      <c r="B224" s="42" t="s">
        <v>2442</v>
      </c>
      <c r="C224" s="42" t="s">
        <v>88</v>
      </c>
      <c r="D224" s="42" t="s">
        <v>16</v>
      </c>
      <c r="E224" s="42" t="s">
        <v>2447</v>
      </c>
      <c r="F224" s="42">
        <v>1721</v>
      </c>
      <c r="G224" s="42"/>
      <c r="H224" s="42">
        <v>17660</v>
      </c>
      <c r="I224" s="42">
        <v>325</v>
      </c>
      <c r="J224" s="42">
        <v>0.5</v>
      </c>
      <c r="K224" s="43">
        <f t="shared" si="43"/>
        <v>162.5</v>
      </c>
      <c r="L224" s="43">
        <f t="shared" si="44"/>
        <v>17497.5</v>
      </c>
      <c r="M224" s="43"/>
      <c r="N224" s="43">
        <f t="shared" si="45"/>
        <v>17497.5</v>
      </c>
      <c r="O224" s="43">
        <f t="shared" si="46"/>
        <v>1236.2</v>
      </c>
      <c r="P224" s="42">
        <v>20300</v>
      </c>
      <c r="Q224" s="6"/>
      <c r="R224" s="6"/>
      <c r="S224" s="6"/>
    </row>
    <row r="225" spans="1:18">
      <c r="A225" s="374" t="s">
        <v>2450</v>
      </c>
      <c r="B225" s="42" t="s">
        <v>2442</v>
      </c>
      <c r="C225" s="42" t="s">
        <v>88</v>
      </c>
      <c r="D225" s="42" t="s">
        <v>16</v>
      </c>
      <c r="E225" s="42" t="s">
        <v>2454</v>
      </c>
      <c r="F225" s="42">
        <v>1719</v>
      </c>
      <c r="G225" s="42"/>
      <c r="H225" s="42">
        <v>15620</v>
      </c>
      <c r="I225" s="42">
        <v>275</v>
      </c>
      <c r="J225" s="42">
        <v>0.5</v>
      </c>
      <c r="K225" s="43">
        <f t="shared" si="43"/>
        <v>137.5</v>
      </c>
      <c r="L225" s="43">
        <f t="shared" si="44"/>
        <v>15482.5</v>
      </c>
      <c r="M225" s="43"/>
      <c r="N225" s="43">
        <f t="shared" si="45"/>
        <v>15482.5</v>
      </c>
      <c r="O225" s="43">
        <f t="shared" si="46"/>
        <v>1093.3999999999999</v>
      </c>
      <c r="P225" s="42">
        <v>17900</v>
      </c>
      <c r="Q225" s="42"/>
      <c r="R225" s="42">
        <f t="shared" ref="R225:R232" si="48">L225*Q225</f>
        <v>0</v>
      </c>
    </row>
    <row r="226" spans="1:18">
      <c r="A226" s="374"/>
      <c r="B226" s="42" t="s">
        <v>2442</v>
      </c>
      <c r="C226" s="42" t="s">
        <v>88</v>
      </c>
      <c r="D226" s="42" t="s">
        <v>16</v>
      </c>
      <c r="E226" s="42" t="s">
        <v>1815</v>
      </c>
      <c r="F226" s="42">
        <v>1723</v>
      </c>
      <c r="G226" s="42"/>
      <c r="H226" s="42">
        <v>16715</v>
      </c>
      <c r="I226" s="42">
        <v>294</v>
      </c>
      <c r="J226" s="42">
        <v>0.5</v>
      </c>
      <c r="K226" s="43">
        <f t="shared" si="43"/>
        <v>147</v>
      </c>
      <c r="L226" s="43">
        <f t="shared" si="44"/>
        <v>16568</v>
      </c>
      <c r="M226" s="43"/>
      <c r="N226" s="43">
        <f t="shared" si="45"/>
        <v>16568</v>
      </c>
      <c r="O226" s="43">
        <f t="shared" si="46"/>
        <v>1170.05</v>
      </c>
      <c r="P226" s="42">
        <v>19200</v>
      </c>
      <c r="Q226" s="42"/>
      <c r="R226" s="42">
        <f t="shared" si="48"/>
        <v>0</v>
      </c>
    </row>
    <row r="227" spans="1:18">
      <c r="A227" s="374"/>
      <c r="B227" s="42" t="s">
        <v>2442</v>
      </c>
      <c r="C227" s="42" t="s">
        <v>88</v>
      </c>
      <c r="D227" s="42" t="s">
        <v>16</v>
      </c>
      <c r="E227" s="42" t="s">
        <v>2455</v>
      </c>
      <c r="F227" s="42">
        <v>1725</v>
      </c>
      <c r="G227" s="42"/>
      <c r="H227" s="42">
        <v>16350</v>
      </c>
      <c r="I227" s="42">
        <v>300</v>
      </c>
      <c r="J227" s="42">
        <v>0.5</v>
      </c>
      <c r="K227" s="43">
        <f t="shared" si="43"/>
        <v>150</v>
      </c>
      <c r="L227" s="43">
        <f t="shared" si="44"/>
        <v>16200</v>
      </c>
      <c r="M227" s="43"/>
      <c r="N227" s="43">
        <f t="shared" si="45"/>
        <v>16200</v>
      </c>
      <c r="O227" s="43">
        <f t="shared" si="46"/>
        <v>1144.5</v>
      </c>
      <c r="P227" s="42">
        <v>18800</v>
      </c>
      <c r="Q227" s="42"/>
      <c r="R227" s="42">
        <f t="shared" si="48"/>
        <v>0</v>
      </c>
    </row>
    <row r="228" spans="1:18">
      <c r="A228" s="374"/>
      <c r="B228" s="42" t="s">
        <v>2442</v>
      </c>
      <c r="C228" s="42" t="s">
        <v>88</v>
      </c>
      <c r="D228" s="42" t="s">
        <v>16</v>
      </c>
      <c r="E228" s="42" t="s">
        <v>2456</v>
      </c>
      <c r="F228" s="42">
        <v>1728</v>
      </c>
      <c r="G228" s="42"/>
      <c r="H228" s="42">
        <v>17030</v>
      </c>
      <c r="I228" s="42">
        <v>300</v>
      </c>
      <c r="J228" s="42">
        <v>0.5</v>
      </c>
      <c r="K228" s="43">
        <f t="shared" si="43"/>
        <v>150</v>
      </c>
      <c r="L228" s="43">
        <f t="shared" si="44"/>
        <v>16880</v>
      </c>
      <c r="M228" s="43"/>
      <c r="N228" s="43">
        <f t="shared" si="45"/>
        <v>16880</v>
      </c>
      <c r="O228" s="43">
        <f t="shared" si="46"/>
        <v>1192.1000000000001</v>
      </c>
      <c r="P228" s="42">
        <v>19600</v>
      </c>
      <c r="Q228" s="42"/>
      <c r="R228" s="42">
        <f t="shared" si="48"/>
        <v>0</v>
      </c>
    </row>
    <row r="229" spans="1:18">
      <c r="A229" s="374"/>
      <c r="B229" s="42" t="s">
        <v>2442</v>
      </c>
      <c r="C229" s="42" t="s">
        <v>88</v>
      </c>
      <c r="D229" s="42" t="s">
        <v>16</v>
      </c>
      <c r="E229" s="42" t="s">
        <v>2457</v>
      </c>
      <c r="F229" s="42">
        <v>1717</v>
      </c>
      <c r="G229" s="42"/>
      <c r="H229" s="42">
        <v>17250</v>
      </c>
      <c r="I229" s="42">
        <v>295</v>
      </c>
      <c r="J229" s="42">
        <v>0.5</v>
      </c>
      <c r="K229" s="43">
        <f t="shared" si="43"/>
        <v>147.5</v>
      </c>
      <c r="L229" s="43">
        <f t="shared" si="44"/>
        <v>17102.5</v>
      </c>
      <c r="M229" s="43"/>
      <c r="N229" s="43">
        <f t="shared" si="45"/>
        <v>17102.5</v>
      </c>
      <c r="O229" s="43">
        <f t="shared" si="46"/>
        <v>1207.5</v>
      </c>
      <c r="P229" s="42">
        <v>19800</v>
      </c>
      <c r="Q229" s="42"/>
      <c r="R229" s="42">
        <f t="shared" si="48"/>
        <v>0</v>
      </c>
    </row>
    <row r="230" spans="1:18">
      <c r="A230" s="374"/>
      <c r="B230" s="42" t="s">
        <v>2442</v>
      </c>
      <c r="C230" s="42" t="s">
        <v>88</v>
      </c>
      <c r="D230" s="42" t="s">
        <v>16</v>
      </c>
      <c r="E230" s="42" t="s">
        <v>2458</v>
      </c>
      <c r="F230" s="42">
        <v>1716</v>
      </c>
      <c r="G230" s="42"/>
      <c r="H230" s="42">
        <v>17420</v>
      </c>
      <c r="I230" s="42">
        <v>300</v>
      </c>
      <c r="J230" s="42">
        <v>0.5</v>
      </c>
      <c r="K230" s="43">
        <f t="shared" si="43"/>
        <v>150</v>
      </c>
      <c r="L230" s="43">
        <f t="shared" si="44"/>
        <v>17270</v>
      </c>
      <c r="M230" s="43"/>
      <c r="N230" s="43">
        <f t="shared" si="45"/>
        <v>17270</v>
      </c>
      <c r="O230" s="43">
        <f t="shared" si="46"/>
        <v>1219.4000000000001</v>
      </c>
      <c r="P230" s="42">
        <v>20000</v>
      </c>
      <c r="Q230" s="42"/>
      <c r="R230" s="42">
        <f t="shared" si="48"/>
        <v>0</v>
      </c>
    </row>
    <row r="231" spans="1:18">
      <c r="A231" s="374"/>
      <c r="B231" s="42" t="s">
        <v>2442</v>
      </c>
      <c r="C231" s="42" t="s">
        <v>88</v>
      </c>
      <c r="D231" s="42" t="s">
        <v>16</v>
      </c>
      <c r="E231" s="42" t="s">
        <v>1891</v>
      </c>
      <c r="F231" s="42">
        <v>1718</v>
      </c>
      <c r="G231" s="42"/>
      <c r="H231" s="42">
        <v>16825</v>
      </c>
      <c r="I231" s="42">
        <v>295</v>
      </c>
      <c r="J231" s="42">
        <v>0.5</v>
      </c>
      <c r="K231" s="43">
        <f t="shared" si="43"/>
        <v>147.5</v>
      </c>
      <c r="L231" s="43">
        <f t="shared" si="44"/>
        <v>16677.5</v>
      </c>
      <c r="M231" s="43"/>
      <c r="N231" s="43">
        <f t="shared" si="45"/>
        <v>16677.5</v>
      </c>
      <c r="O231" s="43">
        <f t="shared" si="46"/>
        <v>1177.75</v>
      </c>
      <c r="P231" s="42">
        <v>19370</v>
      </c>
      <c r="Q231" s="42"/>
      <c r="R231" s="42">
        <f t="shared" si="48"/>
        <v>0</v>
      </c>
    </row>
    <row r="232" spans="1:18">
      <c r="A232" s="1" t="s">
        <v>2459</v>
      </c>
      <c r="B232" s="42" t="s">
        <v>2442</v>
      </c>
      <c r="C232" s="42" t="s">
        <v>88</v>
      </c>
      <c r="D232" s="42" t="s">
        <v>16</v>
      </c>
      <c r="E232" s="42" t="s">
        <v>1804</v>
      </c>
      <c r="F232" s="42">
        <v>1729</v>
      </c>
      <c r="G232" s="42"/>
      <c r="H232" s="42">
        <v>23200</v>
      </c>
      <c r="I232" s="42">
        <v>435</v>
      </c>
      <c r="J232" s="42">
        <v>0.5</v>
      </c>
      <c r="K232" s="43">
        <f t="shared" si="43"/>
        <v>217.5</v>
      </c>
      <c r="L232" s="43">
        <f t="shared" si="44"/>
        <v>22982.5</v>
      </c>
      <c r="M232" s="43">
        <f>L232*2%</f>
        <v>459.65000000000003</v>
      </c>
      <c r="N232" s="43">
        <f t="shared" si="45"/>
        <v>22522.85</v>
      </c>
      <c r="O232" s="43">
        <f t="shared" si="46"/>
        <v>1624</v>
      </c>
      <c r="P232" s="42">
        <v>27370</v>
      </c>
      <c r="Q232" s="42"/>
      <c r="R232" s="42">
        <f t="shared" si="48"/>
        <v>0</v>
      </c>
    </row>
    <row r="237" spans="1:18">
      <c r="H237" s="1">
        <f>SUM(H218:H236)</f>
        <v>260945</v>
      </c>
      <c r="I237" s="1">
        <f t="shared" ref="I237:P237" si="49">SUM(I218:I236)</f>
        <v>4643</v>
      </c>
      <c r="K237" s="1">
        <f t="shared" si="49"/>
        <v>2321.5</v>
      </c>
      <c r="L237" s="1">
        <f t="shared" si="49"/>
        <v>258623.5</v>
      </c>
      <c r="N237" s="1">
        <f t="shared" si="49"/>
        <v>257814.93000000002</v>
      </c>
      <c r="O237" s="1">
        <f t="shared" si="49"/>
        <v>18266.149999999998</v>
      </c>
      <c r="P237" s="1">
        <f t="shared" si="49"/>
        <v>300435</v>
      </c>
    </row>
  </sheetData>
  <mergeCells count="32">
    <mergeCell ref="A83:A85"/>
    <mergeCell ref="A80:A82"/>
    <mergeCell ref="A77:A79"/>
    <mergeCell ref="A121:A133"/>
    <mergeCell ref="A104:A120"/>
    <mergeCell ref="A159:A169"/>
    <mergeCell ref="A134:A158"/>
    <mergeCell ref="A95:A103"/>
    <mergeCell ref="A92:A94"/>
    <mergeCell ref="A86:A91"/>
    <mergeCell ref="A188:A194"/>
    <mergeCell ref="A185:A187"/>
    <mergeCell ref="A183:A184"/>
    <mergeCell ref="A181:A182"/>
    <mergeCell ref="A170:A180"/>
    <mergeCell ref="A219:A224"/>
    <mergeCell ref="A208:A211"/>
    <mergeCell ref="A200:A207"/>
    <mergeCell ref="A195:A199"/>
    <mergeCell ref="A225:A231"/>
    <mergeCell ref="A9:A11"/>
    <mergeCell ref="A13:A14"/>
    <mergeCell ref="A15:A20"/>
    <mergeCell ref="A21:A25"/>
    <mergeCell ref="A26:A30"/>
    <mergeCell ref="A32:A35"/>
    <mergeCell ref="A36:A38"/>
    <mergeCell ref="A69:A70"/>
    <mergeCell ref="A39:A42"/>
    <mergeCell ref="A46:A49"/>
    <mergeCell ref="A50:A56"/>
    <mergeCell ref="A57:A67"/>
  </mergeCells>
  <pageMargins left="0.7" right="0.7" top="0.75" bottom="0.75" header="0.3" footer="0.3"/>
  <pageSetup paperSize="9" orientation="landscape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5:W137"/>
  <sheetViews>
    <sheetView topLeftCell="A46" workbookViewId="0">
      <selection activeCell="A66" sqref="A66"/>
    </sheetView>
  </sheetViews>
  <sheetFormatPr defaultRowHeight="14.4"/>
  <cols>
    <col min="1" max="1" width="7.88671875" style="1" customWidth="1"/>
    <col min="2" max="2" width="22.5546875" style="1" customWidth="1"/>
    <col min="3" max="3" width="10.44140625" style="1" customWidth="1"/>
    <col min="4" max="4" width="4.77734375" style="1" customWidth="1"/>
    <col min="5" max="5" width="9.88671875" style="1" customWidth="1"/>
    <col min="6" max="6" width="7.6640625" style="1" customWidth="1"/>
    <col min="7" max="7" width="6.6640625" style="1" customWidth="1"/>
    <col min="8" max="8" width="7.44140625" style="1" customWidth="1"/>
    <col min="9" max="9" width="5.88671875" style="1" customWidth="1"/>
    <col min="10" max="10" width="6" style="1" customWidth="1"/>
    <col min="11" max="11" width="8.44140625" style="1" customWidth="1"/>
    <col min="12" max="12" width="8.21875" style="1" customWidth="1"/>
    <col min="13" max="13" width="7.33203125" style="1" customWidth="1"/>
    <col min="14" max="16384" width="8.88671875" style="1"/>
  </cols>
  <sheetData>
    <row r="5" spans="1:23" ht="20.399999999999999">
      <c r="A5" s="58" t="s">
        <v>3</v>
      </c>
      <c r="B5" s="58" t="s">
        <v>4</v>
      </c>
      <c r="C5" s="58" t="s">
        <v>5</v>
      </c>
      <c r="D5" s="58" t="s">
        <v>6</v>
      </c>
      <c r="E5" s="58" t="s">
        <v>37</v>
      </c>
      <c r="F5" s="58" t="s">
        <v>7</v>
      </c>
      <c r="G5" s="58" t="s">
        <v>8</v>
      </c>
      <c r="H5" s="58" t="s">
        <v>9</v>
      </c>
      <c r="I5" s="58" t="s">
        <v>10</v>
      </c>
      <c r="J5" s="59" t="s">
        <v>18</v>
      </c>
      <c r="K5" s="59" t="s">
        <v>17</v>
      </c>
      <c r="L5" s="58" t="s">
        <v>11</v>
      </c>
      <c r="M5" s="58" t="s">
        <v>36</v>
      </c>
      <c r="N5" s="58" t="s">
        <v>12</v>
      </c>
      <c r="O5" s="58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125</v>
      </c>
    </row>
    <row r="6" spans="1:23">
      <c r="A6" s="63"/>
      <c r="B6" s="155"/>
      <c r="C6" s="155"/>
      <c r="D6" s="155"/>
      <c r="E6" s="155"/>
      <c r="F6" s="155"/>
      <c r="G6" s="155"/>
      <c r="H6" s="155"/>
      <c r="I6" s="155"/>
      <c r="J6" s="155"/>
      <c r="K6" s="155"/>
      <c r="L6" s="61"/>
      <c r="M6" s="61"/>
      <c r="N6" s="155"/>
      <c r="O6" s="62"/>
      <c r="P6" s="62"/>
      <c r="Q6" s="62"/>
      <c r="R6" s="62"/>
      <c r="S6" s="62"/>
      <c r="U6" s="17"/>
    </row>
    <row r="7" spans="1:23">
      <c r="A7" s="63" t="s">
        <v>1194</v>
      </c>
      <c r="B7" s="42" t="s">
        <v>1195</v>
      </c>
      <c r="C7" s="42" t="s">
        <v>88</v>
      </c>
      <c r="D7" s="42" t="s">
        <v>16</v>
      </c>
      <c r="E7" s="42" t="s">
        <v>1196</v>
      </c>
      <c r="F7" s="42">
        <v>201</v>
      </c>
      <c r="G7" s="42"/>
      <c r="H7" s="42">
        <v>15200</v>
      </c>
      <c r="I7" s="42">
        <v>294</v>
      </c>
      <c r="J7" s="42">
        <v>0.13</v>
      </c>
      <c r="K7" s="42">
        <f t="shared" ref="K7:K8" si="0">I7*J7</f>
        <v>38.22</v>
      </c>
      <c r="L7" s="43">
        <f t="shared" ref="L7:L8" si="1">H7-K7</f>
        <v>15161.78</v>
      </c>
      <c r="M7" s="43"/>
      <c r="N7" s="43">
        <f t="shared" ref="N7:N8" si="2">L7-M7</f>
        <v>15161.78</v>
      </c>
      <c r="O7" s="43">
        <f t="shared" ref="O7:O8" si="3">H7/1000*70</f>
        <v>1064</v>
      </c>
      <c r="P7" s="42">
        <v>0</v>
      </c>
      <c r="Q7" s="42">
        <v>24.75</v>
      </c>
      <c r="R7" s="42">
        <f t="shared" ref="R7:R8" si="4">L7*Q7</f>
        <v>375254.05499999999</v>
      </c>
      <c r="S7" s="62"/>
      <c r="T7" s="62"/>
      <c r="U7" s="62"/>
      <c r="V7" s="62"/>
      <c r="W7" s="62"/>
    </row>
    <row r="8" spans="1:23">
      <c r="A8" s="63" t="s">
        <v>1202</v>
      </c>
      <c r="B8" s="42" t="s">
        <v>1203</v>
      </c>
      <c r="C8" s="42" t="s">
        <v>88</v>
      </c>
      <c r="D8" s="42" t="s">
        <v>16</v>
      </c>
      <c r="E8" s="42" t="s">
        <v>1196</v>
      </c>
      <c r="F8" s="42">
        <v>4</v>
      </c>
      <c r="G8" s="42"/>
      <c r="H8" s="42">
        <v>15320</v>
      </c>
      <c r="I8" s="42">
        <v>290</v>
      </c>
      <c r="J8" s="42">
        <v>0.5</v>
      </c>
      <c r="K8" s="42">
        <f t="shared" si="0"/>
        <v>145</v>
      </c>
      <c r="L8" s="43">
        <f t="shared" si="1"/>
        <v>15175</v>
      </c>
      <c r="M8" s="43"/>
      <c r="N8" s="43">
        <f t="shared" si="2"/>
        <v>15175</v>
      </c>
      <c r="O8" s="43">
        <f t="shared" si="3"/>
        <v>1072.4000000000001</v>
      </c>
      <c r="P8" s="42">
        <v>0</v>
      </c>
      <c r="Q8" s="42">
        <v>24.75</v>
      </c>
      <c r="R8" s="42">
        <f t="shared" si="4"/>
        <v>375581.25</v>
      </c>
      <c r="S8" s="62"/>
      <c r="T8" s="62"/>
      <c r="U8" s="62"/>
      <c r="V8" s="62"/>
      <c r="W8" s="62"/>
    </row>
    <row r="9" spans="1:23">
      <c r="A9" s="63"/>
      <c r="B9" s="67"/>
      <c r="C9" s="67"/>
      <c r="D9" s="67"/>
      <c r="E9" s="67"/>
      <c r="F9" s="67"/>
      <c r="G9" s="67"/>
      <c r="H9" s="67"/>
      <c r="I9" s="67"/>
      <c r="J9" s="67"/>
      <c r="K9" s="67"/>
      <c r="L9" s="68"/>
      <c r="M9" s="68"/>
      <c r="N9" s="68"/>
      <c r="O9" s="68"/>
      <c r="P9" s="67"/>
      <c r="Q9" s="67"/>
      <c r="R9" s="67"/>
      <c r="S9" s="62"/>
      <c r="T9" s="62"/>
      <c r="U9" s="62"/>
      <c r="V9" s="62"/>
      <c r="W9" s="62"/>
    </row>
    <row r="10" spans="1:23">
      <c r="A10" s="150" t="s">
        <v>1300</v>
      </c>
      <c r="B10" s="42" t="s">
        <v>681</v>
      </c>
      <c r="C10" s="42" t="s">
        <v>88</v>
      </c>
      <c r="D10" s="42" t="s">
        <v>16</v>
      </c>
      <c r="E10" s="42" t="s">
        <v>359</v>
      </c>
      <c r="F10" s="42"/>
      <c r="G10" s="42"/>
      <c r="H10" s="42">
        <v>15120</v>
      </c>
      <c r="I10" s="42">
        <v>300</v>
      </c>
      <c r="J10" s="42">
        <v>0.5</v>
      </c>
      <c r="K10" s="42">
        <f t="shared" ref="K10" si="5">I10*J10</f>
        <v>150</v>
      </c>
      <c r="L10" s="43">
        <f t="shared" ref="L10" si="6">H10-K10</f>
        <v>14970</v>
      </c>
      <c r="M10" s="43"/>
      <c r="N10" s="43">
        <f t="shared" ref="N10" si="7">L10-M10</f>
        <v>14970</v>
      </c>
      <c r="O10" s="43">
        <f t="shared" ref="O10" si="8">H10/1000*70</f>
        <v>1058.3999999999999</v>
      </c>
      <c r="P10" s="42">
        <v>5000</v>
      </c>
      <c r="Q10" s="42">
        <v>23</v>
      </c>
      <c r="R10" s="42">
        <f t="shared" ref="R10" si="9">L10*Q10</f>
        <v>344310</v>
      </c>
      <c r="S10" s="62"/>
      <c r="T10" s="62"/>
      <c r="U10" s="62"/>
      <c r="V10" s="62"/>
      <c r="W10" s="62"/>
    </row>
    <row r="11" spans="1:23">
      <c r="A11" s="63"/>
      <c r="B11" s="67"/>
      <c r="C11" s="67"/>
      <c r="D11" s="67"/>
      <c r="E11" s="67"/>
      <c r="F11" s="67"/>
      <c r="G11" s="67"/>
      <c r="H11" s="67"/>
      <c r="I11" s="67"/>
      <c r="J11" s="67"/>
      <c r="K11" s="67"/>
      <c r="L11" s="68"/>
      <c r="M11" s="68"/>
      <c r="N11" s="68"/>
      <c r="O11" s="68"/>
      <c r="P11" s="67"/>
      <c r="Q11" s="67"/>
      <c r="R11" s="67"/>
      <c r="S11" s="62"/>
      <c r="T11" s="62"/>
      <c r="U11" s="62"/>
      <c r="V11" s="62"/>
      <c r="W11" s="62"/>
    </row>
    <row r="12" spans="1:23">
      <c r="A12" s="150" t="s">
        <v>1326</v>
      </c>
      <c r="B12" s="42" t="s">
        <v>1327</v>
      </c>
      <c r="C12" s="42" t="s">
        <v>88</v>
      </c>
      <c r="D12" s="42" t="s">
        <v>16</v>
      </c>
      <c r="E12" s="42" t="s">
        <v>1328</v>
      </c>
      <c r="F12" s="42">
        <v>16</v>
      </c>
      <c r="G12" s="42"/>
      <c r="H12" s="42">
        <v>5000</v>
      </c>
      <c r="I12" s="42">
        <v>100</v>
      </c>
      <c r="J12" s="42"/>
      <c r="K12" s="42">
        <f t="shared" ref="K12" si="10">I12*J12</f>
        <v>0</v>
      </c>
      <c r="L12" s="43">
        <f t="shared" ref="L12" si="11">H12-K12</f>
        <v>5000</v>
      </c>
      <c r="M12" s="43"/>
      <c r="N12" s="43">
        <f t="shared" ref="N12" si="12">L12-M12</f>
        <v>5000</v>
      </c>
      <c r="O12" s="43">
        <f t="shared" ref="O12" si="13">H12/1000*70</f>
        <v>350</v>
      </c>
      <c r="P12" s="42">
        <v>0</v>
      </c>
      <c r="Q12" s="42">
        <v>23.5</v>
      </c>
      <c r="R12" s="42">
        <f t="shared" ref="R12" si="14">L12*Q12</f>
        <v>117500</v>
      </c>
      <c r="S12" s="62"/>
      <c r="T12" s="62"/>
      <c r="U12" s="62"/>
      <c r="V12" s="62"/>
      <c r="W12" s="62"/>
    </row>
    <row r="13" spans="1:23">
      <c r="A13" s="62"/>
      <c r="B13" s="67"/>
      <c r="C13" s="67"/>
      <c r="D13" s="67"/>
      <c r="E13" s="67"/>
      <c r="F13" s="67"/>
      <c r="G13" s="67"/>
      <c r="H13" s="67"/>
      <c r="I13" s="67"/>
      <c r="J13" s="67"/>
      <c r="K13" s="67"/>
      <c r="L13" s="68"/>
      <c r="M13" s="68"/>
      <c r="N13" s="68"/>
      <c r="O13" s="68"/>
      <c r="P13" s="67"/>
      <c r="Q13" s="67"/>
      <c r="R13" s="62"/>
      <c r="S13" s="62"/>
      <c r="T13" s="62"/>
      <c r="U13" s="62"/>
      <c r="V13" s="62"/>
      <c r="W13" s="62"/>
    </row>
    <row r="14" spans="1:23">
      <c r="A14" s="62" t="s">
        <v>1431</v>
      </c>
      <c r="B14" s="169" t="s">
        <v>1337</v>
      </c>
      <c r="C14" s="42" t="s">
        <v>24</v>
      </c>
      <c r="D14" s="42" t="s">
        <v>16</v>
      </c>
      <c r="E14" s="42" t="s">
        <v>383</v>
      </c>
      <c r="F14" s="42">
        <v>26</v>
      </c>
      <c r="G14" s="42"/>
      <c r="H14" s="42">
        <v>4990</v>
      </c>
      <c r="I14" s="42">
        <v>100</v>
      </c>
      <c r="J14" s="42">
        <v>0.13</v>
      </c>
      <c r="K14" s="42">
        <f t="shared" ref="K14" si="15">I14*J14</f>
        <v>13</v>
      </c>
      <c r="L14" s="43">
        <f t="shared" ref="L14" si="16">H14-K14</f>
        <v>4977</v>
      </c>
      <c r="M14" s="43"/>
      <c r="N14" s="43">
        <f t="shared" ref="N14" si="17">L14-M14</f>
        <v>4977</v>
      </c>
      <c r="O14" s="43">
        <f t="shared" ref="O14" si="18">H14/1000*70</f>
        <v>349.3</v>
      </c>
      <c r="P14" s="42">
        <v>0</v>
      </c>
      <c r="Q14" s="42">
        <v>38.75</v>
      </c>
      <c r="R14" s="42">
        <f t="shared" ref="R14" si="19">L14*Q14</f>
        <v>192858.75</v>
      </c>
      <c r="S14" s="62"/>
      <c r="T14" s="62"/>
      <c r="U14" s="62"/>
      <c r="V14" s="62"/>
      <c r="W14" s="62"/>
    </row>
    <row r="15" spans="1:23">
      <c r="A15" s="21"/>
      <c r="B15" s="67"/>
      <c r="C15" s="67"/>
      <c r="D15" s="67"/>
      <c r="E15" s="142"/>
      <c r="F15" s="67"/>
      <c r="G15" s="67"/>
      <c r="H15" s="67"/>
      <c r="I15" s="67"/>
      <c r="J15" s="67"/>
      <c r="K15" s="67"/>
      <c r="L15" s="68"/>
      <c r="M15" s="68"/>
      <c r="N15" s="68"/>
      <c r="O15" s="68"/>
      <c r="P15" s="67"/>
      <c r="Q15" s="62"/>
      <c r="R15" s="62"/>
      <c r="S15" s="62"/>
      <c r="T15" s="62"/>
      <c r="U15" s="62"/>
      <c r="V15" s="62"/>
      <c r="W15" s="62"/>
    </row>
    <row r="16" spans="1:23">
      <c r="A16" s="21" t="s">
        <v>1449</v>
      </c>
      <c r="B16" s="42" t="s">
        <v>1446</v>
      </c>
      <c r="C16" s="42" t="s">
        <v>88</v>
      </c>
      <c r="D16" s="42" t="s">
        <v>16</v>
      </c>
      <c r="E16" s="42" t="s">
        <v>1452</v>
      </c>
      <c r="F16" s="42">
        <v>15</v>
      </c>
      <c r="G16" s="42"/>
      <c r="H16" s="42">
        <v>8130</v>
      </c>
      <c r="I16" s="42">
        <v>160</v>
      </c>
      <c r="J16" s="42"/>
      <c r="K16" s="42">
        <f t="shared" ref="K16" si="20">I16*J16</f>
        <v>0</v>
      </c>
      <c r="L16" s="43">
        <f t="shared" ref="L16" si="21">H16-K16</f>
        <v>8130</v>
      </c>
      <c r="M16" s="43"/>
      <c r="N16" s="43">
        <f t="shared" ref="N16" si="22">L16-M16</f>
        <v>8130</v>
      </c>
      <c r="O16" s="43">
        <f t="shared" ref="O16" si="23">H16/1000*70</f>
        <v>569.1</v>
      </c>
      <c r="P16" s="42">
        <v>0</v>
      </c>
      <c r="Q16" s="42">
        <v>20</v>
      </c>
      <c r="R16" s="42">
        <f t="shared" ref="R16" si="24">L16*Q16</f>
        <v>162600</v>
      </c>
      <c r="S16" s="62"/>
      <c r="T16" s="62"/>
      <c r="U16" s="62"/>
      <c r="V16" s="62"/>
      <c r="W16" s="62"/>
    </row>
    <row r="17" spans="1:23">
      <c r="A17" s="63"/>
      <c r="B17" s="67"/>
      <c r="C17" s="67"/>
      <c r="D17" s="67"/>
      <c r="E17" s="142"/>
      <c r="F17" s="67"/>
      <c r="G17" s="67"/>
      <c r="H17" s="67"/>
      <c r="I17" s="67"/>
      <c r="J17" s="67"/>
      <c r="K17" s="68"/>
      <c r="L17" s="68"/>
      <c r="M17" s="68"/>
      <c r="N17" s="68"/>
      <c r="O17" s="68"/>
      <c r="P17" s="67"/>
      <c r="Q17" s="62"/>
      <c r="R17" s="62"/>
      <c r="S17" s="62"/>
      <c r="T17" s="62"/>
      <c r="U17" s="62"/>
      <c r="V17" s="62"/>
      <c r="W17" s="62"/>
    </row>
    <row r="18" spans="1:23">
      <c r="A18" s="63" t="s">
        <v>1699</v>
      </c>
      <c r="B18" s="169" t="s">
        <v>1701</v>
      </c>
      <c r="C18" s="42" t="s">
        <v>1377</v>
      </c>
      <c r="D18" s="42" t="s">
        <v>16</v>
      </c>
      <c r="E18" s="42" t="s">
        <v>1702</v>
      </c>
      <c r="F18" s="42">
        <v>70</v>
      </c>
      <c r="G18" s="42"/>
      <c r="H18" s="42">
        <v>2250</v>
      </c>
      <c r="I18" s="42">
        <f>H18/50</f>
        <v>45</v>
      </c>
      <c r="J18" s="42"/>
      <c r="K18" s="42">
        <f t="shared" ref="K18" si="25">I18*J18</f>
        <v>0</v>
      </c>
      <c r="L18" s="43">
        <f t="shared" ref="L18" si="26">H18-K18</f>
        <v>2250</v>
      </c>
      <c r="M18" s="43"/>
      <c r="N18" s="43">
        <f t="shared" ref="N18" si="27">L18-M18</f>
        <v>2250</v>
      </c>
      <c r="O18" s="43">
        <v>0</v>
      </c>
      <c r="P18" s="203">
        <v>0</v>
      </c>
      <c r="Q18" s="203">
        <v>17.600000000000001</v>
      </c>
      <c r="R18" s="42">
        <f t="shared" ref="R18" si="28">L18*Q18</f>
        <v>39600</v>
      </c>
      <c r="S18" s="62"/>
      <c r="T18" s="62"/>
      <c r="U18" s="62"/>
      <c r="V18" s="62"/>
      <c r="W18" s="62"/>
    </row>
    <row r="19" spans="1:23">
      <c r="A19" s="150"/>
      <c r="B19" s="67"/>
      <c r="C19" s="67"/>
      <c r="D19" s="67"/>
      <c r="E19" s="67"/>
      <c r="F19" s="67"/>
      <c r="G19" s="67"/>
      <c r="H19" s="67"/>
      <c r="I19" s="67"/>
      <c r="J19" s="67"/>
      <c r="K19" s="68"/>
      <c r="L19" s="68"/>
      <c r="M19" s="68"/>
      <c r="N19" s="68"/>
      <c r="O19" s="68"/>
      <c r="P19" s="67"/>
      <c r="Q19" s="67"/>
      <c r="R19" s="67"/>
      <c r="S19" s="62"/>
      <c r="T19" s="62"/>
      <c r="U19" s="62"/>
      <c r="V19" s="62"/>
      <c r="W19" s="62"/>
    </row>
    <row r="20" spans="1:23">
      <c r="A20" s="150" t="s">
        <v>2397</v>
      </c>
      <c r="B20" s="42" t="s">
        <v>1203</v>
      </c>
      <c r="C20" s="42" t="s">
        <v>88</v>
      </c>
      <c r="D20" s="42" t="s">
        <v>16</v>
      </c>
      <c r="E20" s="42" t="s">
        <v>2396</v>
      </c>
      <c r="F20" s="42">
        <v>181</v>
      </c>
      <c r="G20" s="42"/>
      <c r="H20" s="42">
        <v>16710</v>
      </c>
      <c r="I20" s="42">
        <v>334</v>
      </c>
      <c r="J20" s="42">
        <v>0.5</v>
      </c>
      <c r="K20" s="43">
        <f t="shared" ref="K20" si="29">I20*J20</f>
        <v>167</v>
      </c>
      <c r="L20" s="43">
        <f t="shared" ref="L20" si="30">H20-K20</f>
        <v>16543</v>
      </c>
      <c r="M20" s="43"/>
      <c r="N20" s="43">
        <f t="shared" ref="N20" si="31">L20-M20</f>
        <v>16543</v>
      </c>
      <c r="O20" s="43">
        <f t="shared" ref="O20" si="32">H20/1000*70</f>
        <v>1169.7</v>
      </c>
      <c r="P20" s="42"/>
      <c r="Q20" s="42">
        <v>19.7</v>
      </c>
      <c r="R20" s="42">
        <f t="shared" ref="R20" si="33">L20*Q20</f>
        <v>325897.09999999998</v>
      </c>
      <c r="S20" s="62"/>
      <c r="T20" s="62"/>
      <c r="U20" s="62"/>
      <c r="V20" s="62"/>
      <c r="W20" s="62"/>
    </row>
    <row r="21" spans="1:23">
      <c r="A21" s="21"/>
      <c r="B21" s="67"/>
      <c r="C21" s="67"/>
      <c r="D21" s="67"/>
      <c r="E21" s="67"/>
      <c r="F21" s="67"/>
      <c r="G21" s="67"/>
      <c r="H21" s="67"/>
      <c r="I21" s="67"/>
      <c r="J21" s="67"/>
      <c r="K21" s="67"/>
      <c r="L21" s="68"/>
      <c r="M21" s="68"/>
      <c r="N21" s="68"/>
      <c r="O21" s="68"/>
      <c r="P21" s="67"/>
      <c r="Q21" s="67"/>
      <c r="R21" s="62"/>
      <c r="S21" s="62"/>
      <c r="T21" s="62"/>
      <c r="U21" s="62"/>
      <c r="V21" s="62"/>
      <c r="W21" s="62"/>
    </row>
    <row r="22" spans="1:23">
      <c r="A22" s="62" t="s">
        <v>2493</v>
      </c>
      <c r="B22" s="42" t="s">
        <v>1203</v>
      </c>
      <c r="C22" s="42" t="s">
        <v>88</v>
      </c>
      <c r="D22" s="42" t="s">
        <v>16</v>
      </c>
      <c r="E22" s="42" t="s">
        <v>312</v>
      </c>
      <c r="F22" s="42"/>
      <c r="G22" s="42"/>
      <c r="H22" s="42">
        <v>2690</v>
      </c>
      <c r="I22" s="42">
        <v>50</v>
      </c>
      <c r="J22" s="42"/>
      <c r="K22" s="43">
        <f t="shared" ref="K22" si="34">I22*J22</f>
        <v>0</v>
      </c>
      <c r="L22" s="43">
        <f t="shared" ref="L22" si="35">H22-K22</f>
        <v>2690</v>
      </c>
      <c r="M22" s="43"/>
      <c r="N22" s="43">
        <f t="shared" ref="N22" si="36">L22-M22</f>
        <v>2690</v>
      </c>
      <c r="O22" s="43">
        <f t="shared" ref="O22" si="37">H22/1000*70</f>
        <v>188.29999999999998</v>
      </c>
      <c r="P22" s="42">
        <v>0</v>
      </c>
      <c r="Q22" s="42">
        <v>21.5</v>
      </c>
      <c r="R22" s="42">
        <f t="shared" ref="R22" si="38">L22*Q22</f>
        <v>57835</v>
      </c>
      <c r="S22" s="62"/>
      <c r="T22" s="62"/>
      <c r="U22" s="62"/>
      <c r="V22" s="62"/>
      <c r="W22" s="62"/>
    </row>
    <row r="23" spans="1:23">
      <c r="A23" s="63"/>
      <c r="B23" s="67"/>
      <c r="C23" s="67"/>
      <c r="D23" s="67"/>
      <c r="E23" s="67"/>
      <c r="F23" s="67"/>
      <c r="G23" s="67"/>
      <c r="H23" s="67"/>
      <c r="I23" s="67"/>
      <c r="J23" s="67"/>
      <c r="K23" s="68"/>
      <c r="L23" s="68">
        <f>SUM(L7:L22)</f>
        <v>84896.78</v>
      </c>
      <c r="M23" s="68"/>
      <c r="N23" s="68"/>
      <c r="O23" s="68"/>
      <c r="P23" s="67"/>
      <c r="Q23" s="62"/>
      <c r="R23" s="62"/>
      <c r="S23" s="62"/>
      <c r="T23" s="62"/>
      <c r="U23" s="62"/>
      <c r="V23" s="62"/>
      <c r="W23" s="62"/>
    </row>
    <row r="24" spans="1:23">
      <c r="A24" s="1" t="s">
        <v>1708</v>
      </c>
      <c r="B24" s="169" t="s">
        <v>1701</v>
      </c>
      <c r="C24" s="42" t="s">
        <v>1377</v>
      </c>
      <c r="D24" s="42" t="s">
        <v>16</v>
      </c>
      <c r="E24" s="42" t="s">
        <v>1712</v>
      </c>
      <c r="F24" s="42">
        <v>71</v>
      </c>
      <c r="G24" s="42"/>
      <c r="H24" s="42">
        <v>3000</v>
      </c>
      <c r="I24" s="42">
        <v>60</v>
      </c>
      <c r="J24" s="42"/>
      <c r="K24" s="42">
        <f>I24*J24</f>
        <v>0</v>
      </c>
      <c r="L24" s="43">
        <f>H24-K24</f>
        <v>3000</v>
      </c>
      <c r="M24" s="43"/>
      <c r="N24" s="43">
        <f>L24-M24</f>
        <v>3000</v>
      </c>
      <c r="O24" s="43">
        <v>0</v>
      </c>
      <c r="P24" s="204">
        <v>0</v>
      </c>
      <c r="Q24" s="204">
        <v>17.600000000000001</v>
      </c>
      <c r="R24" s="42">
        <f>L24*Q24</f>
        <v>52800.000000000007</v>
      </c>
    </row>
    <row r="25" spans="1:23">
      <c r="A25" s="63"/>
      <c r="B25" s="67"/>
      <c r="C25" s="67"/>
      <c r="D25" s="67"/>
      <c r="E25" s="67"/>
      <c r="F25" s="67"/>
      <c r="G25" s="67"/>
      <c r="H25" s="67"/>
      <c r="I25" s="67"/>
      <c r="J25" s="67"/>
      <c r="K25" s="68"/>
      <c r="L25" s="68"/>
      <c r="M25" s="68"/>
      <c r="N25" s="68"/>
      <c r="O25" s="68"/>
      <c r="P25" s="67"/>
      <c r="Q25" s="62"/>
      <c r="R25" s="62"/>
      <c r="S25" s="62"/>
      <c r="T25" s="62"/>
      <c r="U25" s="62"/>
      <c r="V25" s="62"/>
      <c r="W25" s="62"/>
    </row>
    <row r="26" spans="1:23">
      <c r="A26" s="63" t="s">
        <v>2690</v>
      </c>
      <c r="B26" s="42" t="s">
        <v>1203</v>
      </c>
      <c r="C26" s="42" t="s">
        <v>1252</v>
      </c>
      <c r="D26" s="42" t="s">
        <v>16</v>
      </c>
      <c r="E26" s="42" t="s">
        <v>835</v>
      </c>
      <c r="F26" s="42">
        <v>199</v>
      </c>
      <c r="G26" s="42"/>
      <c r="H26" s="42">
        <v>150</v>
      </c>
      <c r="I26" s="42">
        <v>6</v>
      </c>
      <c r="J26" s="42"/>
      <c r="K26" s="43">
        <f t="shared" ref="K26" si="39">I26*J26</f>
        <v>0</v>
      </c>
      <c r="L26" s="43">
        <f t="shared" ref="L26" si="40">H26-K26</f>
        <v>150</v>
      </c>
      <c r="M26" s="43"/>
      <c r="N26" s="43">
        <f t="shared" ref="N26" si="41">L26-M26</f>
        <v>150</v>
      </c>
      <c r="O26" s="43">
        <v>0</v>
      </c>
      <c r="P26" s="42">
        <v>300</v>
      </c>
      <c r="Q26" s="42">
        <v>290</v>
      </c>
      <c r="R26" s="42">
        <f t="shared" ref="R26" si="42">L26*Q26</f>
        <v>43500</v>
      </c>
      <c r="S26" s="62"/>
      <c r="T26" s="62"/>
      <c r="U26" s="62"/>
      <c r="V26" s="62"/>
      <c r="W26" s="62"/>
    </row>
    <row r="27" spans="1:23">
      <c r="A27" s="63"/>
      <c r="B27" s="67"/>
      <c r="C27" s="67"/>
      <c r="D27" s="67"/>
      <c r="E27" s="67"/>
      <c r="F27" s="67"/>
      <c r="G27" s="67"/>
      <c r="H27" s="67"/>
      <c r="I27" s="67"/>
      <c r="J27" s="67"/>
      <c r="K27" s="67"/>
      <c r="L27" s="68"/>
      <c r="M27" s="68"/>
      <c r="N27" s="68"/>
      <c r="O27" s="68"/>
      <c r="P27" s="67"/>
      <c r="Q27" s="62"/>
      <c r="R27" s="62"/>
      <c r="S27" s="62"/>
      <c r="T27" s="62"/>
      <c r="U27" s="62"/>
      <c r="V27" s="62"/>
      <c r="W27" s="62"/>
    </row>
    <row r="28" spans="1:23">
      <c r="A28" s="63" t="s">
        <v>3172</v>
      </c>
      <c r="B28" s="42" t="s">
        <v>3173</v>
      </c>
      <c r="C28" s="42" t="s">
        <v>88</v>
      </c>
      <c r="D28" s="42" t="s">
        <v>16</v>
      </c>
      <c r="E28" s="42" t="s">
        <v>3174</v>
      </c>
      <c r="F28" s="42">
        <v>308</v>
      </c>
      <c r="G28" s="42"/>
      <c r="H28" s="42">
        <v>16160</v>
      </c>
      <c r="I28" s="42">
        <v>323</v>
      </c>
      <c r="J28" s="42">
        <v>0.13</v>
      </c>
      <c r="K28" s="43">
        <f t="shared" ref="K28" si="43">I28*J28</f>
        <v>41.99</v>
      </c>
      <c r="L28" s="43">
        <f t="shared" ref="L28" si="44">H28-K28</f>
        <v>16118.01</v>
      </c>
      <c r="M28" s="43"/>
      <c r="N28" s="43">
        <f t="shared" ref="N28" si="45">L28-M28</f>
        <v>16118.01</v>
      </c>
      <c r="O28" s="43">
        <f t="shared" ref="O28" si="46">H28/1000*70</f>
        <v>1131.2</v>
      </c>
      <c r="P28" s="42">
        <v>0</v>
      </c>
      <c r="Q28" s="42">
        <v>16.5</v>
      </c>
      <c r="R28" s="42">
        <f t="shared" ref="R28" si="47">L28*Q28</f>
        <v>265947.16499999998</v>
      </c>
      <c r="S28" s="62"/>
      <c r="T28" s="62"/>
      <c r="U28" s="62"/>
      <c r="V28" s="62"/>
      <c r="W28" s="62"/>
    </row>
    <row r="29" spans="1:23">
      <c r="A29" s="63"/>
      <c r="B29" s="67"/>
      <c r="C29" s="67"/>
      <c r="D29" s="67"/>
      <c r="E29" s="67"/>
      <c r="F29" s="67"/>
      <c r="G29" s="67"/>
      <c r="H29" s="67"/>
      <c r="I29" s="67"/>
      <c r="J29" s="67"/>
      <c r="K29" s="67"/>
      <c r="L29" s="68"/>
      <c r="M29" s="68"/>
      <c r="N29" s="68"/>
      <c r="O29" s="68"/>
      <c r="P29" s="67"/>
      <c r="Q29" s="62"/>
      <c r="R29" s="62"/>
      <c r="S29" s="62"/>
      <c r="T29" s="62"/>
      <c r="U29" s="62"/>
      <c r="V29" s="62"/>
      <c r="W29" s="62"/>
    </row>
    <row r="30" spans="1:23">
      <c r="A30" s="374" t="s">
        <v>3178</v>
      </c>
      <c r="B30" s="42" t="s">
        <v>3173</v>
      </c>
      <c r="C30" s="42" t="s">
        <v>88</v>
      </c>
      <c r="D30" s="42" t="s">
        <v>16</v>
      </c>
      <c r="E30" s="42" t="s">
        <v>3176</v>
      </c>
      <c r="F30" s="42">
        <v>277</v>
      </c>
      <c r="G30" s="42"/>
      <c r="H30" s="42">
        <v>6000</v>
      </c>
      <c r="I30" s="42">
        <v>120</v>
      </c>
      <c r="J30" s="42">
        <v>0.5</v>
      </c>
      <c r="K30" s="43">
        <f t="shared" ref="K30:K37" si="48">I30*J30</f>
        <v>60</v>
      </c>
      <c r="L30" s="43">
        <f t="shared" ref="L30:L37" si="49">H30-K30</f>
        <v>5940</v>
      </c>
      <c r="M30" s="43"/>
      <c r="N30" s="43">
        <f t="shared" ref="N30:N37" si="50">L30-M30</f>
        <v>5940</v>
      </c>
      <c r="O30" s="43">
        <f t="shared" ref="O30:O32" si="51">H30/1000*70</f>
        <v>420</v>
      </c>
      <c r="P30" s="42">
        <v>0</v>
      </c>
      <c r="Q30" s="42">
        <v>16.5</v>
      </c>
      <c r="R30" s="42">
        <f t="shared" ref="R30:R37" si="52">L30*Q30</f>
        <v>98010</v>
      </c>
      <c r="S30" s="62"/>
      <c r="T30" s="62"/>
      <c r="U30" s="62"/>
      <c r="V30" s="62"/>
      <c r="W30" s="62"/>
    </row>
    <row r="31" spans="1:23">
      <c r="A31" s="374"/>
      <c r="B31" s="42" t="s">
        <v>3173</v>
      </c>
      <c r="C31" s="42" t="s">
        <v>88</v>
      </c>
      <c r="D31" s="42" t="s">
        <v>16</v>
      </c>
      <c r="E31" s="42" t="s">
        <v>2740</v>
      </c>
      <c r="F31" s="42">
        <v>275</v>
      </c>
      <c r="G31" s="42"/>
      <c r="H31" s="42">
        <v>6750</v>
      </c>
      <c r="I31" s="42">
        <v>135</v>
      </c>
      <c r="J31" s="42">
        <v>0.5</v>
      </c>
      <c r="K31" s="43">
        <f t="shared" si="48"/>
        <v>67.5</v>
      </c>
      <c r="L31" s="43">
        <f t="shared" si="49"/>
        <v>6682.5</v>
      </c>
      <c r="M31" s="43"/>
      <c r="N31" s="43">
        <f t="shared" si="50"/>
        <v>6682.5</v>
      </c>
      <c r="O31" s="43">
        <f t="shared" si="51"/>
        <v>472.5</v>
      </c>
      <c r="P31" s="42">
        <v>0</v>
      </c>
      <c r="Q31" s="42">
        <v>16.5</v>
      </c>
      <c r="R31" s="42">
        <f t="shared" si="52"/>
        <v>110261.25</v>
      </c>
      <c r="S31" s="62"/>
      <c r="T31" s="62"/>
      <c r="U31" s="62"/>
      <c r="V31" s="62"/>
      <c r="W31" s="62"/>
    </row>
    <row r="32" spans="1:23">
      <c r="A32" s="63" t="s">
        <v>3197</v>
      </c>
      <c r="B32" s="42" t="s">
        <v>3173</v>
      </c>
      <c r="C32" s="42" t="s">
        <v>88</v>
      </c>
      <c r="D32" s="42" t="s">
        <v>16</v>
      </c>
      <c r="E32" s="42" t="s">
        <v>3198</v>
      </c>
      <c r="F32" s="42">
        <v>285</v>
      </c>
      <c r="G32" s="42"/>
      <c r="H32" s="42">
        <v>9970</v>
      </c>
      <c r="I32" s="42">
        <v>200</v>
      </c>
      <c r="J32" s="42">
        <v>0.13</v>
      </c>
      <c r="K32" s="43">
        <f t="shared" si="48"/>
        <v>26</v>
      </c>
      <c r="L32" s="43">
        <f t="shared" si="49"/>
        <v>9944</v>
      </c>
      <c r="M32" s="43"/>
      <c r="N32" s="43">
        <f t="shared" si="50"/>
        <v>9944</v>
      </c>
      <c r="O32" s="43">
        <f t="shared" si="51"/>
        <v>697.90000000000009</v>
      </c>
      <c r="P32" s="42">
        <v>0</v>
      </c>
      <c r="Q32" s="42">
        <v>16.5</v>
      </c>
      <c r="R32" s="42">
        <f t="shared" si="52"/>
        <v>164076</v>
      </c>
      <c r="S32" s="62"/>
      <c r="T32" s="62"/>
      <c r="U32" s="62"/>
      <c r="V32" s="62"/>
      <c r="W32" s="62"/>
    </row>
    <row r="33" spans="1:23">
      <c r="A33" s="374" t="s">
        <v>3272</v>
      </c>
      <c r="B33" s="42" t="s">
        <v>3173</v>
      </c>
      <c r="C33" s="42" t="s">
        <v>88</v>
      </c>
      <c r="D33" s="42" t="s">
        <v>16</v>
      </c>
      <c r="E33" s="42" t="s">
        <v>3273</v>
      </c>
      <c r="F33" s="42">
        <v>311</v>
      </c>
      <c r="G33" s="42"/>
      <c r="H33" s="42">
        <v>2490</v>
      </c>
      <c r="I33" s="42">
        <v>50</v>
      </c>
      <c r="J33" s="42"/>
      <c r="K33" s="43">
        <f t="shared" si="48"/>
        <v>0</v>
      </c>
      <c r="L33" s="43">
        <f t="shared" si="49"/>
        <v>2490</v>
      </c>
      <c r="M33" s="43"/>
      <c r="N33" s="43">
        <f t="shared" si="50"/>
        <v>2490</v>
      </c>
      <c r="O33" s="43">
        <v>0</v>
      </c>
      <c r="P33" s="42">
        <v>0</v>
      </c>
      <c r="Q33" s="42">
        <v>17</v>
      </c>
      <c r="R33" s="42">
        <f t="shared" si="52"/>
        <v>42330</v>
      </c>
      <c r="S33" s="62"/>
      <c r="T33" s="62"/>
      <c r="U33" s="62"/>
      <c r="V33" s="62"/>
      <c r="W33" s="62"/>
    </row>
    <row r="34" spans="1:23">
      <c r="A34" s="374"/>
      <c r="B34" s="42" t="s">
        <v>3173</v>
      </c>
      <c r="C34" s="42" t="s">
        <v>88</v>
      </c>
      <c r="D34" s="42" t="s">
        <v>16</v>
      </c>
      <c r="E34" s="42" t="s">
        <v>1230</v>
      </c>
      <c r="F34" s="42">
        <v>310</v>
      </c>
      <c r="G34" s="42"/>
      <c r="H34" s="42">
        <v>3960</v>
      </c>
      <c r="I34" s="42">
        <v>80</v>
      </c>
      <c r="J34" s="42"/>
      <c r="K34" s="43">
        <f t="shared" si="48"/>
        <v>0</v>
      </c>
      <c r="L34" s="43">
        <f t="shared" si="49"/>
        <v>3960</v>
      </c>
      <c r="M34" s="43"/>
      <c r="N34" s="43">
        <f t="shared" si="50"/>
        <v>3960</v>
      </c>
      <c r="O34" s="43">
        <v>0</v>
      </c>
      <c r="P34" s="42">
        <v>0</v>
      </c>
      <c r="Q34" s="42">
        <v>17</v>
      </c>
      <c r="R34" s="42">
        <f t="shared" si="52"/>
        <v>67320</v>
      </c>
      <c r="S34" s="62"/>
      <c r="T34" s="62"/>
      <c r="U34" s="62"/>
      <c r="V34" s="62"/>
      <c r="W34" s="62"/>
    </row>
    <row r="35" spans="1:23">
      <c r="A35" s="63" t="s">
        <v>3284</v>
      </c>
      <c r="B35" s="42" t="s">
        <v>3173</v>
      </c>
      <c r="C35" s="42" t="s">
        <v>88</v>
      </c>
      <c r="D35" s="42" t="s">
        <v>16</v>
      </c>
      <c r="E35" s="47" t="s">
        <v>1196</v>
      </c>
      <c r="F35" s="47">
        <v>314</v>
      </c>
      <c r="G35" s="47"/>
      <c r="H35" s="47">
        <f>3780+4440+4790</f>
        <v>13010</v>
      </c>
      <c r="I35" s="47">
        <v>260</v>
      </c>
      <c r="J35" s="47"/>
      <c r="K35" s="43">
        <f t="shared" si="48"/>
        <v>0</v>
      </c>
      <c r="L35" s="43">
        <f t="shared" si="49"/>
        <v>13010</v>
      </c>
      <c r="M35" s="43"/>
      <c r="N35" s="43">
        <f t="shared" si="50"/>
        <v>13010</v>
      </c>
      <c r="O35" s="43">
        <v>0</v>
      </c>
      <c r="P35" s="42">
        <v>0</v>
      </c>
      <c r="Q35" s="42">
        <v>17</v>
      </c>
      <c r="R35" s="42">
        <f t="shared" si="52"/>
        <v>221170</v>
      </c>
      <c r="S35" s="62"/>
      <c r="T35" s="62"/>
      <c r="U35" s="62"/>
      <c r="V35" s="62"/>
      <c r="W35" s="62"/>
    </row>
    <row r="36" spans="1:23">
      <c r="A36" s="63" t="s">
        <v>3286</v>
      </c>
      <c r="B36" s="42" t="s">
        <v>3173</v>
      </c>
      <c r="C36" s="42" t="s">
        <v>88</v>
      </c>
      <c r="D36" s="42" t="s">
        <v>16</v>
      </c>
      <c r="E36" s="47" t="s">
        <v>312</v>
      </c>
      <c r="F36" s="47">
        <v>531</v>
      </c>
      <c r="G36" s="47"/>
      <c r="H36" s="47">
        <v>6010</v>
      </c>
      <c r="I36" s="47">
        <v>120</v>
      </c>
      <c r="J36" s="47"/>
      <c r="K36" s="43">
        <f t="shared" si="48"/>
        <v>0</v>
      </c>
      <c r="L36" s="43">
        <f t="shared" si="49"/>
        <v>6010</v>
      </c>
      <c r="M36" s="43"/>
      <c r="N36" s="43">
        <f t="shared" si="50"/>
        <v>6010</v>
      </c>
      <c r="O36" s="43">
        <v>0</v>
      </c>
      <c r="P36" s="42">
        <v>0</v>
      </c>
      <c r="Q36" s="42">
        <v>17</v>
      </c>
      <c r="R36" s="42">
        <f t="shared" si="52"/>
        <v>102170</v>
      </c>
      <c r="S36" s="62"/>
      <c r="T36" s="62"/>
      <c r="U36" s="62"/>
      <c r="V36" s="62"/>
      <c r="W36" s="62"/>
    </row>
    <row r="37" spans="1:23">
      <c r="A37" s="150" t="s">
        <v>3343</v>
      </c>
      <c r="B37" s="42" t="s">
        <v>3173</v>
      </c>
      <c r="C37" s="42" t="s">
        <v>24</v>
      </c>
      <c r="D37" s="42" t="s">
        <v>16</v>
      </c>
      <c r="E37" s="47" t="s">
        <v>3331</v>
      </c>
      <c r="F37" s="47">
        <v>548</v>
      </c>
      <c r="G37" s="47"/>
      <c r="H37" s="47">
        <f>1990+3970</f>
        <v>5960</v>
      </c>
      <c r="I37" s="47">
        <f>80+40</f>
        <v>120</v>
      </c>
      <c r="J37" s="47"/>
      <c r="K37" s="43">
        <f t="shared" si="48"/>
        <v>0</v>
      </c>
      <c r="L37" s="43">
        <f t="shared" si="49"/>
        <v>5960</v>
      </c>
      <c r="M37" s="43"/>
      <c r="N37" s="43">
        <f t="shared" si="50"/>
        <v>5960</v>
      </c>
      <c r="O37" s="43">
        <v>0</v>
      </c>
      <c r="P37" s="42">
        <v>0</v>
      </c>
      <c r="Q37" s="42">
        <v>34</v>
      </c>
      <c r="R37" s="42">
        <f t="shared" si="52"/>
        <v>202640</v>
      </c>
      <c r="S37" s="62"/>
      <c r="T37" s="62"/>
      <c r="U37" s="62"/>
      <c r="V37" s="62"/>
      <c r="W37" s="62"/>
    </row>
    <row r="38" spans="1:23">
      <c r="A38" s="53" t="s">
        <v>3404</v>
      </c>
      <c r="B38" s="42" t="s">
        <v>3173</v>
      </c>
      <c r="C38" s="42" t="s">
        <v>88</v>
      </c>
      <c r="D38" s="42" t="s">
        <v>16</v>
      </c>
      <c r="E38" s="42" t="s">
        <v>3176</v>
      </c>
      <c r="F38" s="47">
        <v>560</v>
      </c>
      <c r="G38" s="47"/>
      <c r="H38" s="47">
        <v>6010</v>
      </c>
      <c r="I38" s="47">
        <v>107</v>
      </c>
      <c r="J38" s="47"/>
      <c r="K38" s="43">
        <v>0</v>
      </c>
      <c r="L38" s="43">
        <v>6010</v>
      </c>
      <c r="M38" s="43"/>
      <c r="N38" s="43">
        <v>6010</v>
      </c>
      <c r="O38" s="43">
        <v>0</v>
      </c>
      <c r="P38" s="42">
        <v>0</v>
      </c>
      <c r="Q38" s="42">
        <v>17</v>
      </c>
      <c r="R38" s="42">
        <v>102170</v>
      </c>
      <c r="S38" s="62"/>
      <c r="T38" s="62"/>
      <c r="U38" s="62"/>
      <c r="V38" s="62"/>
      <c r="W38" s="62"/>
    </row>
    <row r="39" spans="1:23">
      <c r="A39" s="53" t="s">
        <v>3407</v>
      </c>
      <c r="B39" s="42" t="s">
        <v>3173</v>
      </c>
      <c r="C39" s="42" t="s">
        <v>88</v>
      </c>
      <c r="D39" s="42" t="s">
        <v>16</v>
      </c>
      <c r="E39" s="47" t="s">
        <v>3174</v>
      </c>
      <c r="F39" s="47">
        <v>562</v>
      </c>
      <c r="G39" s="47"/>
      <c r="H39" s="47">
        <v>11620</v>
      </c>
      <c r="I39" s="47">
        <v>232.4</v>
      </c>
      <c r="J39" s="47"/>
      <c r="K39" s="43">
        <v>0</v>
      </c>
      <c r="L39" s="43">
        <v>11620</v>
      </c>
      <c r="M39" s="43"/>
      <c r="N39" s="43">
        <v>11620</v>
      </c>
      <c r="O39" s="43">
        <v>0</v>
      </c>
      <c r="P39" s="42"/>
      <c r="Q39" s="42">
        <v>18.5</v>
      </c>
      <c r="R39" s="42">
        <v>214970</v>
      </c>
      <c r="S39" s="62"/>
      <c r="T39" s="62"/>
      <c r="U39" s="62"/>
      <c r="V39" s="62"/>
      <c r="W39" s="62"/>
    </row>
    <row r="40" spans="1:23">
      <c r="A40" s="181" t="s">
        <v>3425</v>
      </c>
      <c r="B40" s="42" t="s">
        <v>3173</v>
      </c>
      <c r="C40" s="42" t="s">
        <v>88</v>
      </c>
      <c r="D40" s="42" t="s">
        <v>16</v>
      </c>
      <c r="E40" s="47" t="s">
        <v>3174</v>
      </c>
      <c r="F40" s="47">
        <v>565</v>
      </c>
      <c r="G40" s="47"/>
      <c r="H40" s="47">
        <v>16940</v>
      </c>
      <c r="I40" s="47">
        <v>339</v>
      </c>
      <c r="J40" s="47"/>
      <c r="K40" s="43">
        <f t="shared" ref="K40:K41" si="53">I40*J40</f>
        <v>0</v>
      </c>
      <c r="L40" s="43">
        <f t="shared" ref="L40:L41" si="54">H40-K40</f>
        <v>16940</v>
      </c>
      <c r="M40" s="43"/>
      <c r="N40" s="43">
        <f t="shared" ref="N40:N41" si="55">L40-M40</f>
        <v>16940</v>
      </c>
      <c r="O40" s="43">
        <v>0</v>
      </c>
      <c r="P40" s="42">
        <v>0</v>
      </c>
      <c r="Q40" s="42">
        <v>18</v>
      </c>
      <c r="R40" s="42">
        <f t="shared" ref="R40:R41" si="56">L40*Q40</f>
        <v>304920</v>
      </c>
      <c r="S40" s="62"/>
      <c r="T40" s="62"/>
      <c r="U40" s="62"/>
      <c r="V40" s="62"/>
      <c r="W40" s="62"/>
    </row>
    <row r="41" spans="1:23">
      <c r="A41" s="181" t="s">
        <v>3434</v>
      </c>
      <c r="B41" s="42" t="s">
        <v>3173</v>
      </c>
      <c r="C41" s="42" t="s">
        <v>88</v>
      </c>
      <c r="D41" s="42" t="s">
        <v>16</v>
      </c>
      <c r="E41" s="47" t="s">
        <v>3176</v>
      </c>
      <c r="F41" s="47">
        <v>569</v>
      </c>
      <c r="G41" s="47"/>
      <c r="H41" s="47">
        <v>5170</v>
      </c>
      <c r="I41" s="47">
        <v>104</v>
      </c>
      <c r="J41" s="47"/>
      <c r="K41" s="43">
        <f t="shared" si="53"/>
        <v>0</v>
      </c>
      <c r="L41" s="43">
        <f t="shared" si="54"/>
        <v>5170</v>
      </c>
      <c r="M41" s="43"/>
      <c r="N41" s="43">
        <f t="shared" si="55"/>
        <v>5170</v>
      </c>
      <c r="O41" s="43">
        <v>0</v>
      </c>
      <c r="P41" s="42">
        <v>0</v>
      </c>
      <c r="Q41" s="42">
        <v>18.5</v>
      </c>
      <c r="R41" s="42">
        <f t="shared" si="56"/>
        <v>95645</v>
      </c>
      <c r="S41" s="62"/>
      <c r="T41" s="62"/>
      <c r="U41" s="62"/>
      <c r="V41" s="62"/>
      <c r="W41" s="62"/>
    </row>
    <row r="42" spans="1:23">
      <c r="A42" s="63"/>
      <c r="B42" s="67"/>
      <c r="C42" s="67"/>
      <c r="D42" s="67"/>
      <c r="E42" s="67"/>
      <c r="F42" s="67"/>
      <c r="G42" s="67"/>
      <c r="H42" s="67"/>
      <c r="I42" s="67"/>
      <c r="J42" s="67"/>
      <c r="K42" s="68"/>
      <c r="L42" s="68"/>
      <c r="M42" s="68"/>
      <c r="N42" s="68"/>
      <c r="O42" s="68"/>
      <c r="P42" s="67"/>
      <c r="Q42" s="62"/>
      <c r="R42" s="62"/>
      <c r="S42" s="62"/>
      <c r="T42" s="62"/>
      <c r="U42" s="62"/>
      <c r="V42" s="62"/>
      <c r="W42" s="62"/>
    </row>
    <row r="43" spans="1:23">
      <c r="A43" s="150" t="s">
        <v>3482</v>
      </c>
      <c r="B43" s="42" t="s">
        <v>3173</v>
      </c>
      <c r="C43" s="42" t="s">
        <v>24</v>
      </c>
      <c r="D43" s="42" t="s">
        <v>16</v>
      </c>
      <c r="E43" s="47" t="s">
        <v>3176</v>
      </c>
      <c r="F43" s="47">
        <v>577</v>
      </c>
      <c r="G43" s="47"/>
      <c r="H43" s="47">
        <v>5940</v>
      </c>
      <c r="I43" s="47">
        <v>120</v>
      </c>
      <c r="J43" s="47"/>
      <c r="K43" s="43">
        <f t="shared" ref="K43" si="57">I43*J43</f>
        <v>0</v>
      </c>
      <c r="L43" s="43">
        <f t="shared" ref="L43" si="58">H43-K43</f>
        <v>5940</v>
      </c>
      <c r="M43" s="43"/>
      <c r="N43" s="43">
        <f t="shared" ref="N43" si="59">L43-M43</f>
        <v>5940</v>
      </c>
      <c r="O43" s="43">
        <v>0</v>
      </c>
      <c r="P43" s="42">
        <v>0</v>
      </c>
      <c r="Q43" s="42">
        <v>35.5</v>
      </c>
      <c r="R43" s="42">
        <f t="shared" ref="R43" si="60">L43*Q43</f>
        <v>210870</v>
      </c>
      <c r="S43" s="42"/>
      <c r="T43" s="62"/>
      <c r="U43" s="62"/>
      <c r="V43" s="62"/>
      <c r="W43" s="62"/>
    </row>
    <row r="44" spans="1:23">
      <c r="A44" s="63"/>
      <c r="B44" s="67"/>
      <c r="C44" s="67"/>
      <c r="D44" s="67"/>
      <c r="E44" s="67"/>
      <c r="F44" s="67"/>
      <c r="G44" s="67"/>
      <c r="H44" s="67"/>
      <c r="I44" s="67"/>
      <c r="J44" s="67"/>
      <c r="K44" s="68"/>
      <c r="L44" s="68"/>
      <c r="M44" s="68"/>
      <c r="N44" s="68"/>
      <c r="O44" s="68"/>
      <c r="P44" s="67"/>
      <c r="Q44" s="62"/>
      <c r="R44" s="62"/>
      <c r="S44" s="62"/>
      <c r="T44" s="62"/>
      <c r="U44" s="62"/>
      <c r="V44" s="62"/>
      <c r="W44" s="62"/>
    </row>
    <row r="45" spans="1:23">
      <c r="A45" s="150" t="s">
        <v>3510</v>
      </c>
      <c r="B45" s="42" t="s">
        <v>3173</v>
      </c>
      <c r="C45" s="42" t="s">
        <v>1377</v>
      </c>
      <c r="D45" s="42" t="s">
        <v>16</v>
      </c>
      <c r="E45" s="47" t="s">
        <v>2740</v>
      </c>
      <c r="F45" s="47">
        <v>566</v>
      </c>
      <c r="G45" s="47"/>
      <c r="H45" s="47">
        <v>6050</v>
      </c>
      <c r="I45" s="47">
        <v>111</v>
      </c>
      <c r="J45" s="47"/>
      <c r="K45" s="43">
        <f t="shared" ref="K45:K46" si="61">I45*J45</f>
        <v>0</v>
      </c>
      <c r="L45" s="43">
        <f t="shared" ref="L45:L46" si="62">H45-K45</f>
        <v>6050</v>
      </c>
      <c r="M45" s="43"/>
      <c r="N45" s="43">
        <f t="shared" ref="N45:N46" si="63">L45-M45</f>
        <v>6050</v>
      </c>
      <c r="O45" s="43">
        <v>0</v>
      </c>
      <c r="P45" s="42">
        <v>0</v>
      </c>
      <c r="Q45" s="42"/>
      <c r="R45" s="42">
        <f t="shared" ref="R45:R46" si="64">L45*Q45</f>
        <v>0</v>
      </c>
      <c r="S45" s="62"/>
      <c r="T45" s="62"/>
      <c r="U45" s="62"/>
      <c r="V45" s="62"/>
      <c r="W45" s="62"/>
    </row>
    <row r="46" spans="1:23">
      <c r="A46" s="150" t="s">
        <v>3571</v>
      </c>
      <c r="B46" s="42" t="s">
        <v>3173</v>
      </c>
      <c r="C46" s="42" t="s">
        <v>88</v>
      </c>
      <c r="D46" s="42" t="s">
        <v>16</v>
      </c>
      <c r="E46" s="47" t="s">
        <v>2955</v>
      </c>
      <c r="F46" s="47">
        <v>599</v>
      </c>
      <c r="G46" s="47"/>
      <c r="H46" s="47">
        <v>5970</v>
      </c>
      <c r="I46" s="47">
        <v>120</v>
      </c>
      <c r="J46" s="47"/>
      <c r="K46" s="43">
        <f t="shared" si="61"/>
        <v>0</v>
      </c>
      <c r="L46" s="43">
        <f t="shared" si="62"/>
        <v>5970</v>
      </c>
      <c r="M46" s="43"/>
      <c r="N46" s="43">
        <f t="shared" si="63"/>
        <v>5970</v>
      </c>
      <c r="O46" s="43">
        <v>0</v>
      </c>
      <c r="P46" s="42">
        <v>0</v>
      </c>
      <c r="Q46" s="42">
        <v>19.5</v>
      </c>
      <c r="R46" s="42">
        <f t="shared" si="64"/>
        <v>116415</v>
      </c>
      <c r="S46" s="42"/>
      <c r="T46" s="62"/>
      <c r="U46" s="62"/>
      <c r="V46" s="62"/>
      <c r="W46" s="62"/>
    </row>
    <row r="47" spans="1:23">
      <c r="A47" s="374" t="s">
        <v>3603</v>
      </c>
      <c r="B47" s="42" t="s">
        <v>3602</v>
      </c>
      <c r="C47" s="42" t="s">
        <v>91</v>
      </c>
      <c r="D47" s="42" t="s">
        <v>16</v>
      </c>
      <c r="E47" s="47" t="s">
        <v>2740</v>
      </c>
      <c r="F47" s="47">
        <v>408</v>
      </c>
      <c r="G47" s="47"/>
      <c r="H47" s="47">
        <v>8280</v>
      </c>
      <c r="I47" s="47">
        <v>165</v>
      </c>
      <c r="J47" s="47"/>
      <c r="K47" s="43">
        <v>0</v>
      </c>
      <c r="L47" s="43">
        <v>8280</v>
      </c>
      <c r="M47" s="43"/>
      <c r="N47" s="43">
        <v>8280</v>
      </c>
      <c r="O47" s="43">
        <v>0</v>
      </c>
      <c r="P47" s="42">
        <v>0</v>
      </c>
      <c r="Q47" s="42">
        <v>20.5</v>
      </c>
      <c r="R47" s="42">
        <v>169740</v>
      </c>
      <c r="S47" s="62"/>
      <c r="T47" s="62"/>
      <c r="U47" s="62"/>
      <c r="V47" s="62"/>
      <c r="W47" s="62"/>
    </row>
    <row r="48" spans="1:23">
      <c r="A48" s="374"/>
      <c r="B48" s="42" t="s">
        <v>3602</v>
      </c>
      <c r="C48" s="42" t="s">
        <v>91</v>
      </c>
      <c r="D48" s="42" t="s">
        <v>16</v>
      </c>
      <c r="E48" s="47" t="s">
        <v>2957</v>
      </c>
      <c r="F48" s="47">
        <v>407</v>
      </c>
      <c r="G48" s="47"/>
      <c r="H48" s="47">
        <v>11800</v>
      </c>
      <c r="I48" s="47">
        <v>236</v>
      </c>
      <c r="J48" s="47"/>
      <c r="K48" s="43">
        <v>0</v>
      </c>
      <c r="L48" s="43">
        <v>11800</v>
      </c>
      <c r="M48" s="43"/>
      <c r="N48" s="43">
        <v>11800</v>
      </c>
      <c r="O48" s="43">
        <v>0</v>
      </c>
      <c r="P48" s="42">
        <v>0</v>
      </c>
      <c r="Q48" s="42">
        <v>20.5</v>
      </c>
      <c r="R48" s="42">
        <v>241900</v>
      </c>
      <c r="S48" s="62"/>
      <c r="T48" s="62"/>
      <c r="U48" s="62"/>
      <c r="V48" s="62"/>
      <c r="W48" s="62"/>
    </row>
    <row r="49" spans="1:23">
      <c r="A49" s="63"/>
      <c r="B49" s="67"/>
      <c r="C49" s="67"/>
      <c r="D49" s="67"/>
      <c r="E49" s="67"/>
      <c r="F49" s="67"/>
      <c r="G49" s="67"/>
      <c r="H49" s="67"/>
      <c r="I49" s="67"/>
      <c r="J49" s="67"/>
      <c r="K49" s="68"/>
      <c r="L49" s="68"/>
      <c r="M49" s="68"/>
      <c r="N49" s="68"/>
      <c r="O49" s="68"/>
      <c r="P49" s="67"/>
      <c r="Q49" s="62"/>
      <c r="R49" s="62"/>
      <c r="S49" s="62"/>
      <c r="T49" s="62"/>
      <c r="U49" s="62"/>
      <c r="V49" s="62"/>
      <c r="W49" s="62"/>
    </row>
    <row r="50" spans="1:23">
      <c r="A50" s="63" t="s">
        <v>3648</v>
      </c>
      <c r="B50" s="42" t="s">
        <v>3173</v>
      </c>
      <c r="C50" s="42" t="s">
        <v>91</v>
      </c>
      <c r="D50" s="42" t="s">
        <v>16</v>
      </c>
      <c r="E50" s="47" t="s">
        <v>3649</v>
      </c>
      <c r="F50" s="47">
        <v>321</v>
      </c>
      <c r="G50" s="47"/>
      <c r="H50" s="47">
        <v>14970</v>
      </c>
      <c r="I50" s="47">
        <f>300</f>
        <v>300</v>
      </c>
      <c r="J50" s="47"/>
      <c r="K50" s="43">
        <f t="shared" ref="K50" si="65">I50*J50</f>
        <v>0</v>
      </c>
      <c r="L50" s="43">
        <f t="shared" ref="L50" si="66">H50-K50</f>
        <v>14970</v>
      </c>
      <c r="M50" s="43"/>
      <c r="N50" s="43">
        <f t="shared" ref="N50" si="67">L50-M50</f>
        <v>14970</v>
      </c>
      <c r="O50" s="43">
        <v>0</v>
      </c>
      <c r="P50" s="42">
        <v>0</v>
      </c>
      <c r="Q50" s="42">
        <v>21.5</v>
      </c>
      <c r="R50" s="42">
        <f t="shared" ref="R50" si="68">L50*Q50</f>
        <v>321855</v>
      </c>
      <c r="S50" s="62"/>
      <c r="T50" s="62"/>
      <c r="U50" s="62"/>
      <c r="V50" s="62"/>
      <c r="W50" s="62"/>
    </row>
    <row r="51" spans="1:23">
      <c r="A51" s="63"/>
      <c r="B51" s="67"/>
      <c r="C51" s="67"/>
      <c r="D51" s="67"/>
      <c r="E51" s="67"/>
      <c r="F51" s="67"/>
      <c r="G51" s="67"/>
      <c r="H51" s="67"/>
      <c r="I51" s="67"/>
      <c r="J51" s="67"/>
      <c r="K51" s="68"/>
      <c r="L51" s="68"/>
      <c r="M51" s="68"/>
      <c r="N51" s="68"/>
      <c r="O51" s="68"/>
      <c r="P51" s="67"/>
      <c r="Q51" s="62"/>
      <c r="R51" s="62"/>
      <c r="S51" s="62"/>
      <c r="T51" s="62"/>
      <c r="U51" s="62"/>
      <c r="V51" s="62"/>
      <c r="W51" s="62"/>
    </row>
    <row r="52" spans="1:23">
      <c r="A52" s="63" t="s">
        <v>3652</v>
      </c>
      <c r="B52" s="42" t="s">
        <v>3173</v>
      </c>
      <c r="C52" s="42" t="s">
        <v>91</v>
      </c>
      <c r="D52" s="42" t="s">
        <v>16</v>
      </c>
      <c r="E52" s="47" t="s">
        <v>2957</v>
      </c>
      <c r="F52" s="47">
        <v>418</v>
      </c>
      <c r="G52" s="47"/>
      <c r="H52" s="47">
        <v>12050</v>
      </c>
      <c r="I52" s="47">
        <v>240</v>
      </c>
      <c r="J52" s="47">
        <v>0.13</v>
      </c>
      <c r="K52" s="43">
        <f t="shared" ref="K52" si="69">I52*J52</f>
        <v>31.200000000000003</v>
      </c>
      <c r="L52" s="43">
        <f t="shared" ref="L52" si="70">H52-K52</f>
        <v>12018.8</v>
      </c>
      <c r="M52" s="43"/>
      <c r="N52" s="43">
        <f t="shared" ref="N52" si="71">L52-M52</f>
        <v>12018.8</v>
      </c>
      <c r="O52" s="43">
        <f t="shared" ref="O52" si="72">H52/1000*70</f>
        <v>843.5</v>
      </c>
      <c r="P52" s="42">
        <v>0</v>
      </c>
      <c r="Q52" s="42">
        <v>20.5</v>
      </c>
      <c r="R52" s="42">
        <f t="shared" ref="R52" si="73">L52*Q52</f>
        <v>246385.4</v>
      </c>
      <c r="S52" s="62"/>
      <c r="T52" s="62"/>
      <c r="U52" s="62"/>
      <c r="V52" s="62"/>
      <c r="W52" s="62"/>
    </row>
    <row r="53" spans="1:23">
      <c r="A53" s="63"/>
      <c r="B53" s="67"/>
      <c r="C53" s="67"/>
      <c r="D53" s="67"/>
      <c r="E53" s="67"/>
      <c r="F53" s="67"/>
      <c r="G53" s="67"/>
      <c r="H53" s="67"/>
      <c r="I53" s="67"/>
      <c r="J53" s="67"/>
      <c r="K53" s="68"/>
      <c r="L53" s="68"/>
      <c r="M53" s="68"/>
      <c r="N53" s="68"/>
      <c r="O53" s="68"/>
      <c r="P53" s="149"/>
      <c r="Q53" s="62"/>
      <c r="R53" s="62"/>
      <c r="S53" s="62"/>
      <c r="T53" s="62"/>
      <c r="U53" s="62"/>
      <c r="V53" s="62"/>
      <c r="W53" s="62"/>
    </row>
    <row r="54" spans="1:23">
      <c r="A54" s="374" t="s">
        <v>3666</v>
      </c>
      <c r="B54" s="42" t="s">
        <v>3173</v>
      </c>
      <c r="C54" s="42" t="s">
        <v>24</v>
      </c>
      <c r="D54" s="42" t="s">
        <v>16</v>
      </c>
      <c r="E54" s="47" t="s">
        <v>3664</v>
      </c>
      <c r="F54" s="47">
        <v>421</v>
      </c>
      <c r="G54" s="47"/>
      <c r="H54" s="47">
        <v>3000</v>
      </c>
      <c r="I54" s="47">
        <v>60</v>
      </c>
      <c r="J54" s="47"/>
      <c r="K54" s="43">
        <f t="shared" ref="K54:K65" si="74">I54*J54</f>
        <v>0</v>
      </c>
      <c r="L54" s="43">
        <f t="shared" ref="L54:L65" si="75">H54-K54</f>
        <v>3000</v>
      </c>
      <c r="M54" s="43"/>
      <c r="N54" s="43">
        <f t="shared" ref="N54:N65" si="76">L54-M54</f>
        <v>3000</v>
      </c>
      <c r="O54" s="43">
        <v>0</v>
      </c>
      <c r="P54" s="42">
        <v>0</v>
      </c>
      <c r="Q54" s="42"/>
      <c r="R54" s="42">
        <f t="shared" ref="R54:R65" si="77">L54*Q54</f>
        <v>0</v>
      </c>
      <c r="S54" s="62"/>
      <c r="T54" s="62"/>
      <c r="U54" s="62"/>
      <c r="V54" s="62"/>
      <c r="W54" s="62"/>
    </row>
    <row r="55" spans="1:23">
      <c r="A55" s="374"/>
      <c r="B55" s="42" t="s">
        <v>3173</v>
      </c>
      <c r="C55" s="42" t="s">
        <v>24</v>
      </c>
      <c r="D55" s="42" t="s">
        <v>16</v>
      </c>
      <c r="E55" s="47" t="s">
        <v>3665</v>
      </c>
      <c r="F55" s="47">
        <v>422</v>
      </c>
      <c r="G55" s="47"/>
      <c r="H55" s="47">
        <v>2000</v>
      </c>
      <c r="I55" s="47">
        <v>40</v>
      </c>
      <c r="J55" s="47"/>
      <c r="K55" s="43">
        <f t="shared" si="74"/>
        <v>0</v>
      </c>
      <c r="L55" s="43">
        <f t="shared" si="75"/>
        <v>2000</v>
      </c>
      <c r="M55" s="43"/>
      <c r="N55" s="43">
        <f t="shared" si="76"/>
        <v>2000</v>
      </c>
      <c r="O55" s="43">
        <v>0</v>
      </c>
      <c r="P55" s="42">
        <v>0</v>
      </c>
      <c r="Q55" s="42"/>
      <c r="R55" s="42">
        <f t="shared" si="77"/>
        <v>0</v>
      </c>
      <c r="S55" s="62"/>
      <c r="T55" s="62"/>
      <c r="U55" s="62"/>
      <c r="V55" s="62"/>
      <c r="W55" s="62"/>
    </row>
    <row r="56" spans="1:23">
      <c r="A56" s="374"/>
      <c r="B56" s="42" t="s">
        <v>3173</v>
      </c>
      <c r="C56" s="42" t="s">
        <v>91</v>
      </c>
      <c r="D56" s="42" t="s">
        <v>16</v>
      </c>
      <c r="E56" s="47" t="s">
        <v>3665</v>
      </c>
      <c r="F56" s="47">
        <v>422</v>
      </c>
      <c r="G56" s="47"/>
      <c r="H56" s="47">
        <v>5000</v>
      </c>
      <c r="I56" s="47">
        <v>100</v>
      </c>
      <c r="J56" s="47"/>
      <c r="K56" s="43">
        <f t="shared" si="74"/>
        <v>0</v>
      </c>
      <c r="L56" s="43">
        <f t="shared" si="75"/>
        <v>5000</v>
      </c>
      <c r="M56" s="43"/>
      <c r="N56" s="43">
        <f t="shared" si="76"/>
        <v>5000</v>
      </c>
      <c r="O56" s="43">
        <v>0</v>
      </c>
      <c r="P56" s="42">
        <v>0</v>
      </c>
      <c r="Q56" s="42"/>
      <c r="R56" s="42">
        <f t="shared" si="77"/>
        <v>0</v>
      </c>
      <c r="S56" s="62"/>
      <c r="T56" s="62"/>
      <c r="U56" s="62"/>
      <c r="V56" s="62"/>
      <c r="W56" s="62"/>
    </row>
    <row r="57" spans="1:23">
      <c r="A57" s="63" t="s">
        <v>3751</v>
      </c>
      <c r="B57" s="42" t="s">
        <v>3173</v>
      </c>
      <c r="C57" s="42" t="s">
        <v>1377</v>
      </c>
      <c r="D57" s="42" t="s">
        <v>16</v>
      </c>
      <c r="E57" s="47" t="s">
        <v>3754</v>
      </c>
      <c r="F57" s="47">
        <v>432</v>
      </c>
      <c r="G57" s="47"/>
      <c r="H57" s="47">
        <v>5420</v>
      </c>
      <c r="I57" s="47">
        <v>100</v>
      </c>
      <c r="J57" s="47"/>
      <c r="K57" s="43">
        <f t="shared" si="74"/>
        <v>0</v>
      </c>
      <c r="L57" s="43">
        <f t="shared" si="75"/>
        <v>5420</v>
      </c>
      <c r="M57" s="43"/>
      <c r="N57" s="43">
        <f t="shared" si="76"/>
        <v>5420</v>
      </c>
      <c r="O57" s="43">
        <v>0</v>
      </c>
      <c r="P57" s="42">
        <v>0</v>
      </c>
      <c r="Q57" s="42"/>
      <c r="R57" s="42">
        <f t="shared" si="77"/>
        <v>0</v>
      </c>
      <c r="S57" s="85"/>
      <c r="T57" s="62"/>
      <c r="U57" s="62"/>
      <c r="V57" s="62"/>
      <c r="W57" s="62"/>
    </row>
    <row r="58" spans="1:23">
      <c r="A58" s="63" t="s">
        <v>3757</v>
      </c>
      <c r="B58" s="42" t="s">
        <v>3173</v>
      </c>
      <c r="C58" s="42" t="s">
        <v>88</v>
      </c>
      <c r="D58" s="42" t="s">
        <v>16</v>
      </c>
      <c r="E58" s="47" t="s">
        <v>3758</v>
      </c>
      <c r="F58" s="47">
        <v>434</v>
      </c>
      <c r="G58" s="47"/>
      <c r="H58" s="47">
        <v>10120</v>
      </c>
      <c r="I58" s="47">
        <v>190</v>
      </c>
      <c r="J58" s="47"/>
      <c r="K58" s="43">
        <f t="shared" si="74"/>
        <v>0</v>
      </c>
      <c r="L58" s="43">
        <f t="shared" si="75"/>
        <v>10120</v>
      </c>
      <c r="M58" s="43"/>
      <c r="N58" s="43">
        <f t="shared" si="76"/>
        <v>10120</v>
      </c>
      <c r="O58" s="43">
        <v>0</v>
      </c>
      <c r="P58" s="42">
        <v>0</v>
      </c>
      <c r="Q58" s="42">
        <v>20</v>
      </c>
      <c r="R58" s="42">
        <f t="shared" si="77"/>
        <v>202400</v>
      </c>
      <c r="S58" s="62"/>
      <c r="T58" s="62"/>
      <c r="U58" s="62"/>
      <c r="V58" s="62"/>
      <c r="W58" s="62"/>
    </row>
    <row r="59" spans="1:23">
      <c r="A59" s="150" t="s">
        <v>3960</v>
      </c>
      <c r="B59" s="338" t="s">
        <v>3173</v>
      </c>
      <c r="C59" s="338" t="s">
        <v>24</v>
      </c>
      <c r="D59" s="42" t="s">
        <v>16</v>
      </c>
      <c r="E59" s="338" t="s">
        <v>2111</v>
      </c>
      <c r="F59" s="338">
        <v>452</v>
      </c>
      <c r="G59" s="338"/>
      <c r="H59" s="338">
        <v>5990</v>
      </c>
      <c r="I59" s="338">
        <v>120</v>
      </c>
      <c r="J59" s="338"/>
      <c r="K59" s="43">
        <f t="shared" si="74"/>
        <v>0</v>
      </c>
      <c r="L59" s="43">
        <f t="shared" si="75"/>
        <v>5990</v>
      </c>
      <c r="M59" s="43"/>
      <c r="N59" s="43">
        <f t="shared" si="76"/>
        <v>5990</v>
      </c>
      <c r="O59" s="43">
        <v>0</v>
      </c>
      <c r="P59" s="42">
        <v>0</v>
      </c>
      <c r="Q59" s="42">
        <v>36</v>
      </c>
      <c r="R59" s="42">
        <f t="shared" si="77"/>
        <v>215640</v>
      </c>
      <c r="S59" s="62"/>
      <c r="T59" s="62"/>
      <c r="U59" s="62"/>
      <c r="V59" s="62"/>
      <c r="W59" s="62"/>
    </row>
    <row r="60" spans="1:23">
      <c r="A60" s="374" t="s">
        <v>3968</v>
      </c>
      <c r="B60" s="341" t="s">
        <v>3173</v>
      </c>
      <c r="C60" s="341" t="s">
        <v>88</v>
      </c>
      <c r="D60" s="42" t="s">
        <v>16</v>
      </c>
      <c r="E60" s="341" t="s">
        <v>2740</v>
      </c>
      <c r="F60" s="341">
        <v>453</v>
      </c>
      <c r="G60" s="341"/>
      <c r="H60" s="341">
        <v>9940</v>
      </c>
      <c r="I60" s="341">
        <v>200</v>
      </c>
      <c r="J60" s="341"/>
      <c r="K60" s="43">
        <f t="shared" si="74"/>
        <v>0</v>
      </c>
      <c r="L60" s="43">
        <f t="shared" si="75"/>
        <v>9940</v>
      </c>
      <c r="M60" s="43"/>
      <c r="N60" s="43">
        <f t="shared" si="76"/>
        <v>9940</v>
      </c>
      <c r="O60" s="43">
        <v>0</v>
      </c>
      <c r="P60" s="42">
        <v>0</v>
      </c>
      <c r="Q60" s="42">
        <v>22.5</v>
      </c>
      <c r="R60" s="42">
        <f t="shared" si="77"/>
        <v>223650</v>
      </c>
      <c r="S60" s="62"/>
      <c r="T60" s="62"/>
      <c r="U60" s="62"/>
      <c r="V60" s="62"/>
      <c r="W60" s="62"/>
    </row>
    <row r="61" spans="1:23">
      <c r="A61" s="374"/>
      <c r="B61" s="341" t="s">
        <v>3173</v>
      </c>
      <c r="C61" s="341" t="s">
        <v>24</v>
      </c>
      <c r="D61" s="42" t="s">
        <v>16</v>
      </c>
      <c r="E61" s="344" t="s">
        <v>3969</v>
      </c>
      <c r="F61" s="341">
        <v>455</v>
      </c>
      <c r="G61" s="341"/>
      <c r="H61" s="341">
        <f>1500+1500</f>
        <v>3000</v>
      </c>
      <c r="I61" s="341">
        <v>60</v>
      </c>
      <c r="J61" s="341"/>
      <c r="K61" s="43">
        <f t="shared" si="74"/>
        <v>0</v>
      </c>
      <c r="L61" s="43">
        <f t="shared" si="75"/>
        <v>3000</v>
      </c>
      <c r="M61" s="43"/>
      <c r="N61" s="43">
        <f t="shared" si="76"/>
        <v>3000</v>
      </c>
      <c r="O61" s="43">
        <v>0</v>
      </c>
      <c r="P61" s="42">
        <v>0</v>
      </c>
      <c r="Q61" s="42">
        <v>36</v>
      </c>
      <c r="R61" s="42">
        <f t="shared" si="77"/>
        <v>108000</v>
      </c>
      <c r="S61" s="62"/>
      <c r="T61" s="62"/>
      <c r="U61" s="62"/>
      <c r="V61" s="62"/>
      <c r="W61" s="62"/>
    </row>
    <row r="62" spans="1:23">
      <c r="A62" s="150" t="s">
        <v>3970</v>
      </c>
      <c r="B62" s="342" t="s">
        <v>3173</v>
      </c>
      <c r="C62" s="342" t="s">
        <v>88</v>
      </c>
      <c r="D62" s="42" t="s">
        <v>16</v>
      </c>
      <c r="E62" s="342" t="s">
        <v>666</v>
      </c>
      <c r="F62" s="342">
        <v>457</v>
      </c>
      <c r="G62" s="342"/>
      <c r="H62" s="342">
        <v>9980</v>
      </c>
      <c r="I62" s="342">
        <v>200</v>
      </c>
      <c r="J62" s="342"/>
      <c r="K62" s="43">
        <f t="shared" si="74"/>
        <v>0</v>
      </c>
      <c r="L62" s="43">
        <f t="shared" si="75"/>
        <v>9980</v>
      </c>
      <c r="M62" s="43"/>
      <c r="N62" s="43">
        <f t="shared" si="76"/>
        <v>9980</v>
      </c>
      <c r="O62" s="43">
        <v>0</v>
      </c>
      <c r="P62" s="42">
        <v>0</v>
      </c>
      <c r="Q62" s="42">
        <v>22.5</v>
      </c>
      <c r="R62" s="42">
        <f t="shared" si="77"/>
        <v>224550</v>
      </c>
      <c r="S62" s="62"/>
      <c r="T62" s="62"/>
      <c r="U62" s="62"/>
      <c r="V62" s="62"/>
      <c r="W62" s="62"/>
    </row>
    <row r="63" spans="1:23">
      <c r="A63" s="150" t="s">
        <v>3975</v>
      </c>
      <c r="B63" s="345" t="s">
        <v>3173</v>
      </c>
      <c r="C63" s="345" t="s">
        <v>88</v>
      </c>
      <c r="D63" s="42" t="s">
        <v>16</v>
      </c>
      <c r="E63" s="345" t="s">
        <v>3983</v>
      </c>
      <c r="F63" s="345">
        <v>458</v>
      </c>
      <c r="G63" s="345"/>
      <c r="H63" s="345">
        <v>10010</v>
      </c>
      <c r="I63" s="345">
        <v>175</v>
      </c>
      <c r="J63" s="345"/>
      <c r="K63" s="43">
        <f t="shared" si="74"/>
        <v>0</v>
      </c>
      <c r="L63" s="43">
        <f t="shared" si="75"/>
        <v>10010</v>
      </c>
      <c r="M63" s="43"/>
      <c r="N63" s="43">
        <f t="shared" si="76"/>
        <v>10010</v>
      </c>
      <c r="O63" s="43">
        <v>0</v>
      </c>
      <c r="P63" s="42">
        <v>0</v>
      </c>
      <c r="Q63" s="42">
        <v>22.5</v>
      </c>
      <c r="R63" s="42">
        <f t="shared" si="77"/>
        <v>225225</v>
      </c>
      <c r="S63" s="62"/>
      <c r="T63" s="62"/>
      <c r="U63" s="62"/>
      <c r="V63" s="62"/>
      <c r="W63" s="62"/>
    </row>
    <row r="64" spans="1:23">
      <c r="A64" s="374" t="s">
        <v>4070</v>
      </c>
      <c r="B64" s="360" t="s">
        <v>3173</v>
      </c>
      <c r="C64" s="360" t="s">
        <v>88</v>
      </c>
      <c r="D64" s="42" t="s">
        <v>16</v>
      </c>
      <c r="E64" s="360" t="s">
        <v>3176</v>
      </c>
      <c r="F64" s="360">
        <v>467</v>
      </c>
      <c r="G64" s="360"/>
      <c r="H64" s="360">
        <v>5980</v>
      </c>
      <c r="I64" s="360">
        <v>120</v>
      </c>
      <c r="J64" s="360"/>
      <c r="K64" s="43">
        <f t="shared" si="74"/>
        <v>0</v>
      </c>
      <c r="L64" s="43">
        <f t="shared" si="75"/>
        <v>5980</v>
      </c>
      <c r="M64" s="43"/>
      <c r="N64" s="43">
        <f t="shared" si="76"/>
        <v>5980</v>
      </c>
      <c r="O64" s="43">
        <v>0</v>
      </c>
      <c r="P64" s="42">
        <v>2000</v>
      </c>
      <c r="Q64" s="42">
        <v>22.5</v>
      </c>
      <c r="R64" s="42">
        <f t="shared" si="77"/>
        <v>134550</v>
      </c>
      <c r="S64" s="62"/>
      <c r="T64" s="62"/>
      <c r="U64" s="62"/>
      <c r="V64" s="62"/>
      <c r="W64" s="62"/>
    </row>
    <row r="65" spans="1:23">
      <c r="A65" s="374"/>
      <c r="B65" s="360" t="s">
        <v>3173</v>
      </c>
      <c r="C65" s="360" t="s">
        <v>88</v>
      </c>
      <c r="D65" s="42" t="s">
        <v>16</v>
      </c>
      <c r="E65" s="360" t="s">
        <v>2957</v>
      </c>
      <c r="F65" s="360">
        <v>466</v>
      </c>
      <c r="G65" s="360"/>
      <c r="H65" s="360">
        <v>9370</v>
      </c>
      <c r="I65" s="360">
        <v>188</v>
      </c>
      <c r="J65" s="360"/>
      <c r="K65" s="43">
        <f t="shared" si="74"/>
        <v>0</v>
      </c>
      <c r="L65" s="43">
        <f t="shared" si="75"/>
        <v>9370</v>
      </c>
      <c r="M65" s="43"/>
      <c r="N65" s="43">
        <f t="shared" si="76"/>
        <v>9370</v>
      </c>
      <c r="O65" s="43">
        <v>0</v>
      </c>
      <c r="P65" s="42">
        <v>0</v>
      </c>
      <c r="Q65" s="42">
        <v>22.5</v>
      </c>
      <c r="R65" s="42">
        <f t="shared" si="77"/>
        <v>210825</v>
      </c>
      <c r="S65" s="62"/>
      <c r="T65" s="62"/>
      <c r="U65" s="62"/>
      <c r="V65" s="62"/>
      <c r="W65" s="62"/>
    </row>
    <row r="66" spans="1:23">
      <c r="A66" s="63"/>
      <c r="B66" s="67"/>
      <c r="C66" s="67"/>
      <c r="D66" s="67"/>
      <c r="E66" s="67"/>
      <c r="F66" s="67"/>
      <c r="G66" s="67"/>
      <c r="H66" s="67"/>
      <c r="I66" s="67"/>
      <c r="J66" s="67"/>
      <c r="K66" s="67"/>
      <c r="L66" s="68"/>
      <c r="M66" s="68"/>
      <c r="N66" s="68"/>
      <c r="O66" s="68"/>
      <c r="P66" s="67"/>
      <c r="Q66" s="67"/>
      <c r="R66" s="67"/>
      <c r="S66" s="62"/>
      <c r="T66" s="62"/>
      <c r="U66" s="62"/>
      <c r="V66" s="62"/>
      <c r="W66" s="62"/>
    </row>
    <row r="67" spans="1:23">
      <c r="A67" s="63"/>
      <c r="B67" s="67"/>
      <c r="C67" s="67"/>
      <c r="D67" s="67"/>
      <c r="E67" s="67"/>
      <c r="F67" s="67"/>
      <c r="G67" s="67"/>
      <c r="H67" s="67"/>
      <c r="I67" s="67"/>
      <c r="J67" s="67"/>
      <c r="K67" s="67"/>
      <c r="L67" s="68"/>
      <c r="M67" s="68"/>
      <c r="N67" s="68"/>
      <c r="O67" s="68"/>
      <c r="P67" s="67"/>
      <c r="Q67" s="67"/>
      <c r="R67" s="67"/>
      <c r="S67" s="62"/>
      <c r="T67" s="62"/>
      <c r="U67" s="62"/>
      <c r="V67" s="62"/>
      <c r="W67" s="62"/>
    </row>
    <row r="68" spans="1:23">
      <c r="A68" s="63"/>
      <c r="B68" s="67"/>
      <c r="C68" s="67"/>
      <c r="D68" s="67"/>
      <c r="E68" s="67"/>
      <c r="F68" s="67"/>
      <c r="G68" s="67"/>
      <c r="H68" s="67"/>
      <c r="I68" s="67"/>
      <c r="J68" s="67"/>
      <c r="K68" s="67"/>
      <c r="L68" s="68"/>
      <c r="M68" s="68"/>
      <c r="N68" s="68"/>
      <c r="O68" s="68"/>
      <c r="P68" s="67"/>
      <c r="Q68" s="67"/>
      <c r="R68" s="67"/>
      <c r="S68" s="62"/>
      <c r="T68" s="62"/>
      <c r="U68" s="62"/>
      <c r="V68" s="62"/>
      <c r="W68" s="62"/>
    </row>
    <row r="69" spans="1:23">
      <c r="A69" s="63"/>
      <c r="B69" s="67"/>
      <c r="C69" s="67"/>
      <c r="D69" s="67"/>
      <c r="E69" s="67"/>
      <c r="F69" s="67"/>
      <c r="G69" s="67"/>
      <c r="H69" s="67"/>
      <c r="I69" s="67"/>
      <c r="J69" s="67"/>
      <c r="K69" s="67"/>
      <c r="L69" s="68"/>
      <c r="M69" s="68"/>
      <c r="N69" s="68"/>
      <c r="O69" s="68"/>
      <c r="P69" s="67"/>
      <c r="Q69" s="67"/>
      <c r="R69" s="67"/>
      <c r="S69" s="62"/>
      <c r="T69" s="62"/>
      <c r="U69" s="62"/>
      <c r="V69" s="62"/>
      <c r="W69" s="62"/>
    </row>
    <row r="70" spans="1:23">
      <c r="A70" s="63"/>
      <c r="B70" s="67"/>
      <c r="C70" s="67"/>
      <c r="D70" s="67"/>
      <c r="E70" s="67"/>
      <c r="F70" s="67"/>
      <c r="G70" s="67"/>
      <c r="H70" s="67"/>
      <c r="I70" s="67"/>
      <c r="J70" s="67"/>
      <c r="K70" s="67"/>
      <c r="L70" s="68"/>
      <c r="M70" s="68"/>
      <c r="N70" s="68"/>
      <c r="O70" s="68"/>
      <c r="P70" s="67"/>
      <c r="Q70" s="67"/>
      <c r="R70" s="67"/>
      <c r="S70" s="62"/>
      <c r="T70" s="62"/>
      <c r="U70" s="62"/>
      <c r="V70" s="62"/>
      <c r="W70" s="62"/>
    </row>
    <row r="71" spans="1:23">
      <c r="A71" s="63"/>
      <c r="B71" s="67"/>
      <c r="C71" s="67"/>
      <c r="D71" s="67"/>
      <c r="E71" s="67"/>
      <c r="F71" s="67"/>
      <c r="G71" s="67"/>
      <c r="H71" s="67"/>
      <c r="I71" s="67"/>
      <c r="J71" s="67"/>
      <c r="K71" s="67"/>
      <c r="L71" s="68"/>
      <c r="M71" s="68"/>
      <c r="N71" s="68"/>
      <c r="O71" s="68"/>
      <c r="P71" s="67"/>
      <c r="Q71" s="67"/>
      <c r="R71" s="67"/>
      <c r="S71" s="62"/>
      <c r="T71" s="62"/>
      <c r="U71" s="62"/>
      <c r="V71" s="62"/>
      <c r="W71" s="62"/>
    </row>
    <row r="72" spans="1:23">
      <c r="A72" s="63"/>
      <c r="B72" s="67"/>
      <c r="C72" s="67"/>
      <c r="D72" s="67"/>
      <c r="E72" s="67"/>
      <c r="F72" s="67"/>
      <c r="G72" s="67"/>
      <c r="H72" s="67"/>
      <c r="I72" s="67"/>
      <c r="J72" s="67"/>
      <c r="K72" s="67"/>
      <c r="L72" s="68"/>
      <c r="M72" s="68"/>
      <c r="N72" s="68"/>
      <c r="O72" s="68"/>
      <c r="P72" s="67"/>
      <c r="Q72" s="67"/>
      <c r="R72" s="67"/>
      <c r="S72" s="62"/>
      <c r="T72" s="62"/>
      <c r="U72" s="62"/>
      <c r="V72" s="62"/>
      <c r="W72" s="62"/>
    </row>
    <row r="73" spans="1:23">
      <c r="A73" s="62"/>
      <c r="B73" s="67"/>
      <c r="C73" s="67"/>
      <c r="D73" s="67"/>
      <c r="E73" s="67"/>
      <c r="F73" s="67"/>
      <c r="G73" s="67"/>
      <c r="H73" s="67"/>
      <c r="I73" s="67"/>
      <c r="J73" s="67"/>
      <c r="K73" s="67"/>
      <c r="L73" s="68"/>
      <c r="M73" s="68"/>
      <c r="N73" s="68"/>
      <c r="O73" s="68"/>
      <c r="P73" s="67"/>
      <c r="Q73" s="67"/>
      <c r="R73" s="67"/>
      <c r="S73" s="62"/>
      <c r="T73" s="62"/>
      <c r="U73" s="62"/>
      <c r="V73" s="62"/>
      <c r="W73" s="62"/>
    </row>
    <row r="74" spans="1:23">
      <c r="A74" s="63"/>
      <c r="B74" s="67"/>
      <c r="C74" s="67"/>
      <c r="D74" s="67"/>
      <c r="E74" s="67"/>
      <c r="F74" s="67"/>
      <c r="G74" s="67"/>
      <c r="H74" s="67"/>
      <c r="I74" s="67"/>
      <c r="J74" s="67"/>
      <c r="K74" s="67"/>
      <c r="L74" s="68"/>
      <c r="M74" s="68"/>
      <c r="N74" s="68"/>
      <c r="O74" s="68"/>
      <c r="P74" s="67"/>
      <c r="Q74" s="67"/>
      <c r="R74" s="67"/>
      <c r="S74" s="62"/>
      <c r="T74" s="62"/>
      <c r="U74" s="62"/>
      <c r="V74" s="62"/>
      <c r="W74" s="62"/>
    </row>
    <row r="75" spans="1:23">
      <c r="A75" s="63"/>
      <c r="B75" s="67"/>
      <c r="C75" s="67"/>
      <c r="D75" s="67"/>
      <c r="E75" s="67"/>
      <c r="F75" s="67"/>
      <c r="G75" s="67"/>
      <c r="H75" s="67"/>
      <c r="I75" s="67"/>
      <c r="J75" s="67"/>
      <c r="K75" s="67"/>
      <c r="L75" s="68"/>
      <c r="M75" s="68"/>
      <c r="N75" s="68"/>
      <c r="O75" s="68"/>
      <c r="P75" s="67"/>
      <c r="Q75" s="67"/>
      <c r="R75" s="67"/>
      <c r="S75" s="62"/>
      <c r="T75" s="62"/>
      <c r="U75" s="62"/>
      <c r="V75" s="62"/>
      <c r="W75" s="62"/>
    </row>
    <row r="76" spans="1:23">
      <c r="A76" s="63"/>
      <c r="B76" s="67"/>
      <c r="C76" s="67"/>
      <c r="D76" s="67"/>
      <c r="E76" s="67"/>
      <c r="F76" s="67"/>
      <c r="G76" s="67"/>
      <c r="H76" s="67"/>
      <c r="I76" s="67"/>
      <c r="J76" s="67"/>
      <c r="K76" s="67"/>
      <c r="L76" s="68"/>
      <c r="M76" s="68"/>
      <c r="N76" s="68"/>
      <c r="O76" s="68"/>
      <c r="P76" s="67"/>
      <c r="Q76" s="67"/>
      <c r="R76" s="67"/>
      <c r="S76" s="62"/>
      <c r="T76" s="62"/>
      <c r="U76" s="62"/>
      <c r="V76" s="62"/>
      <c r="W76" s="62"/>
    </row>
    <row r="77" spans="1:23">
      <c r="A77" s="63"/>
      <c r="B77" s="67"/>
      <c r="C77" s="67"/>
      <c r="D77" s="67"/>
      <c r="E77" s="67"/>
      <c r="F77" s="67"/>
      <c r="G77" s="67"/>
      <c r="H77" s="67"/>
      <c r="I77" s="67"/>
      <c r="J77" s="67"/>
      <c r="K77" s="67"/>
      <c r="L77" s="68"/>
      <c r="M77" s="68"/>
      <c r="N77" s="68"/>
      <c r="O77" s="68"/>
      <c r="P77" s="67"/>
      <c r="Q77" s="67"/>
      <c r="R77" s="67"/>
      <c r="S77" s="62"/>
      <c r="T77" s="62"/>
      <c r="U77" s="62"/>
      <c r="V77" s="62"/>
      <c r="W77" s="62"/>
    </row>
    <row r="78" spans="1:23">
      <c r="A78" s="63"/>
      <c r="B78" s="67"/>
      <c r="C78" s="67"/>
      <c r="D78" s="67"/>
      <c r="E78" s="67"/>
      <c r="F78" s="67"/>
      <c r="G78" s="67"/>
      <c r="H78" s="67"/>
      <c r="I78" s="67"/>
      <c r="J78" s="67"/>
      <c r="K78" s="67"/>
      <c r="L78" s="68"/>
      <c r="M78" s="68"/>
      <c r="N78" s="68"/>
      <c r="O78" s="68"/>
      <c r="P78" s="67"/>
      <c r="Q78" s="67"/>
      <c r="R78" s="67"/>
      <c r="S78" s="62"/>
      <c r="T78" s="62"/>
      <c r="U78" s="62"/>
      <c r="V78" s="62"/>
      <c r="W78" s="62"/>
    </row>
    <row r="79" spans="1:23">
      <c r="A79" s="63"/>
      <c r="B79" s="67"/>
      <c r="C79" s="67"/>
      <c r="D79" s="67"/>
      <c r="E79" s="67"/>
      <c r="F79" s="67"/>
      <c r="G79" s="67"/>
      <c r="H79" s="67"/>
      <c r="I79" s="67"/>
      <c r="J79" s="67"/>
      <c r="K79" s="67"/>
      <c r="L79" s="68"/>
      <c r="M79" s="68"/>
      <c r="N79" s="68"/>
      <c r="O79" s="68"/>
      <c r="P79" s="67"/>
      <c r="Q79" s="67"/>
      <c r="R79" s="67"/>
      <c r="S79" s="62"/>
      <c r="T79" s="62"/>
      <c r="U79" s="62"/>
      <c r="V79" s="62"/>
      <c r="W79" s="62"/>
    </row>
    <row r="80" spans="1:23">
      <c r="A80" s="63"/>
      <c r="B80" s="67"/>
      <c r="C80" s="67"/>
      <c r="D80" s="67"/>
      <c r="E80" s="67"/>
      <c r="F80" s="67"/>
      <c r="G80" s="67"/>
      <c r="H80" s="67"/>
      <c r="I80" s="67"/>
      <c r="J80" s="67"/>
      <c r="K80" s="67"/>
      <c r="L80" s="68"/>
      <c r="M80" s="68"/>
      <c r="N80" s="68"/>
      <c r="O80" s="68"/>
      <c r="P80" s="67"/>
      <c r="Q80" s="67"/>
      <c r="R80" s="67"/>
      <c r="S80" s="62"/>
      <c r="T80" s="62"/>
      <c r="U80" s="62"/>
      <c r="V80" s="62"/>
      <c r="W80" s="62"/>
    </row>
    <row r="81" spans="1:23">
      <c r="A81" s="63"/>
      <c r="B81" s="67"/>
      <c r="C81" s="67"/>
      <c r="D81" s="67"/>
      <c r="E81" s="67"/>
      <c r="F81" s="67"/>
      <c r="G81" s="67"/>
      <c r="H81" s="67"/>
      <c r="I81" s="67"/>
      <c r="J81" s="67"/>
      <c r="K81" s="67"/>
      <c r="L81" s="68"/>
      <c r="M81" s="68"/>
      <c r="N81" s="68"/>
      <c r="O81" s="68"/>
      <c r="P81" s="67"/>
      <c r="Q81" s="67"/>
      <c r="R81" s="67"/>
      <c r="S81" s="62"/>
      <c r="T81" s="62"/>
      <c r="U81" s="62"/>
      <c r="V81" s="62"/>
      <c r="W81" s="62"/>
    </row>
    <row r="82" spans="1:23">
      <c r="A82" s="63"/>
      <c r="B82" s="67"/>
      <c r="C82" s="67"/>
      <c r="D82" s="67"/>
      <c r="E82" s="67"/>
      <c r="F82" s="67"/>
      <c r="G82" s="67"/>
      <c r="H82" s="67"/>
      <c r="I82" s="67"/>
      <c r="J82" s="67"/>
      <c r="K82" s="67"/>
      <c r="L82" s="68"/>
      <c r="M82" s="68"/>
      <c r="N82" s="68"/>
      <c r="O82" s="68"/>
      <c r="P82" s="67"/>
      <c r="Q82" s="67"/>
      <c r="R82" s="67"/>
      <c r="S82" s="62"/>
      <c r="T82" s="62"/>
      <c r="U82" s="62"/>
      <c r="V82" s="62"/>
      <c r="W82" s="62"/>
    </row>
    <row r="83" spans="1:23">
      <c r="A83" s="62"/>
      <c r="B83" s="67"/>
      <c r="C83" s="67"/>
      <c r="D83" s="67"/>
      <c r="E83" s="67"/>
      <c r="F83" s="67"/>
      <c r="G83" s="67"/>
      <c r="H83" s="67"/>
      <c r="I83" s="67"/>
      <c r="J83" s="67"/>
      <c r="K83" s="67"/>
      <c r="L83" s="68"/>
      <c r="M83" s="68"/>
      <c r="N83" s="68"/>
      <c r="O83" s="68"/>
      <c r="P83" s="67"/>
      <c r="Q83" s="67"/>
      <c r="R83" s="67"/>
      <c r="S83" s="62"/>
      <c r="T83" s="62"/>
      <c r="U83" s="62"/>
      <c r="V83" s="62"/>
      <c r="W83" s="62"/>
    </row>
    <row r="84" spans="1:23">
      <c r="A84" s="63"/>
      <c r="B84" s="142"/>
      <c r="C84" s="142"/>
      <c r="D84" s="67"/>
      <c r="E84" s="67"/>
      <c r="F84" s="67"/>
      <c r="G84" s="67"/>
      <c r="H84" s="67"/>
      <c r="I84" s="67"/>
      <c r="J84" s="67"/>
      <c r="K84" s="67"/>
      <c r="L84" s="68"/>
      <c r="M84" s="68"/>
      <c r="N84" s="68"/>
      <c r="O84" s="68"/>
      <c r="P84" s="67"/>
      <c r="Q84" s="67"/>
      <c r="R84" s="67"/>
      <c r="S84" s="62"/>
      <c r="T84" s="62"/>
      <c r="U84" s="62"/>
      <c r="V84" s="62"/>
      <c r="W84" s="62"/>
    </row>
    <row r="85" spans="1:23">
      <c r="A85" s="63"/>
      <c r="B85" s="142"/>
      <c r="C85" s="142"/>
      <c r="D85" s="67"/>
      <c r="E85" s="67"/>
      <c r="F85" s="67"/>
      <c r="G85" s="67"/>
      <c r="H85" s="67"/>
      <c r="I85" s="67"/>
      <c r="J85" s="67"/>
      <c r="K85" s="67"/>
      <c r="L85" s="68"/>
      <c r="M85" s="68"/>
      <c r="N85" s="68"/>
      <c r="O85" s="68"/>
      <c r="P85" s="67"/>
      <c r="Q85" s="67"/>
      <c r="R85" s="67"/>
      <c r="S85" s="62"/>
      <c r="T85" s="62"/>
      <c r="U85" s="62"/>
      <c r="V85" s="62"/>
      <c r="W85" s="62"/>
    </row>
    <row r="86" spans="1:23">
      <c r="A86" s="63"/>
      <c r="B86" s="142"/>
      <c r="C86" s="142"/>
      <c r="D86" s="67"/>
      <c r="E86" s="67"/>
      <c r="F86" s="67"/>
      <c r="G86" s="67"/>
      <c r="H86" s="67"/>
      <c r="I86" s="67"/>
      <c r="J86" s="67"/>
      <c r="K86" s="67"/>
      <c r="L86" s="68"/>
      <c r="M86" s="68"/>
      <c r="N86" s="68"/>
      <c r="O86" s="68"/>
      <c r="P86" s="67"/>
      <c r="Q86" s="67"/>
      <c r="R86" s="67"/>
      <c r="S86" s="62"/>
      <c r="T86" s="62"/>
      <c r="U86" s="62"/>
      <c r="V86" s="62"/>
      <c r="W86" s="62"/>
    </row>
    <row r="87" spans="1:23">
      <c r="A87" s="63"/>
      <c r="B87" s="142"/>
      <c r="C87" s="142"/>
      <c r="D87" s="67"/>
      <c r="E87" s="67"/>
      <c r="F87" s="67"/>
      <c r="G87" s="67"/>
      <c r="H87" s="67"/>
      <c r="I87" s="67"/>
      <c r="J87" s="67"/>
      <c r="K87" s="67"/>
      <c r="L87" s="68"/>
      <c r="M87" s="68"/>
      <c r="N87" s="68"/>
      <c r="O87" s="68"/>
      <c r="P87" s="67"/>
      <c r="Q87" s="67"/>
      <c r="R87" s="67"/>
      <c r="S87" s="62"/>
      <c r="T87" s="62"/>
      <c r="U87" s="62"/>
      <c r="V87" s="62"/>
      <c r="W87" s="62"/>
    </row>
    <row r="88" spans="1:23">
      <c r="A88" s="63"/>
      <c r="B88" s="142"/>
      <c r="C88" s="142"/>
      <c r="D88" s="67"/>
      <c r="E88" s="67"/>
      <c r="F88" s="67"/>
      <c r="G88" s="67"/>
      <c r="H88" s="67"/>
      <c r="I88" s="67"/>
      <c r="J88" s="67"/>
      <c r="K88" s="67"/>
      <c r="L88" s="68"/>
      <c r="M88" s="68"/>
      <c r="N88" s="68"/>
      <c r="O88" s="68"/>
      <c r="P88" s="67"/>
      <c r="Q88" s="67"/>
      <c r="R88" s="67"/>
      <c r="S88" s="62"/>
      <c r="T88" s="62"/>
      <c r="U88" s="62"/>
      <c r="V88" s="62"/>
      <c r="W88" s="62"/>
    </row>
    <row r="89" spans="1:23">
      <c r="A89" s="63"/>
      <c r="B89" s="142"/>
      <c r="C89" s="142"/>
      <c r="D89" s="67"/>
      <c r="E89" s="67"/>
      <c r="F89" s="67"/>
      <c r="G89" s="67"/>
      <c r="H89" s="67"/>
      <c r="I89" s="67"/>
      <c r="J89" s="67"/>
      <c r="K89" s="67"/>
      <c r="L89" s="68"/>
      <c r="M89" s="68"/>
      <c r="N89" s="68"/>
      <c r="O89" s="68"/>
      <c r="P89" s="67"/>
      <c r="Q89" s="67"/>
      <c r="R89" s="67"/>
      <c r="S89" s="62"/>
      <c r="T89" s="62"/>
      <c r="U89" s="62"/>
      <c r="V89" s="62"/>
      <c r="W89" s="62"/>
    </row>
    <row r="90" spans="1:23">
      <c r="A90" s="63"/>
      <c r="B90" s="142"/>
      <c r="C90" s="142"/>
      <c r="D90" s="67"/>
      <c r="E90" s="67"/>
      <c r="F90" s="67"/>
      <c r="G90" s="67"/>
      <c r="H90" s="67"/>
      <c r="I90" s="67"/>
      <c r="J90" s="67"/>
      <c r="K90" s="67"/>
      <c r="L90" s="68"/>
      <c r="M90" s="68"/>
      <c r="N90" s="68"/>
      <c r="O90" s="68"/>
      <c r="P90" s="67"/>
      <c r="Q90" s="67"/>
      <c r="R90" s="67"/>
      <c r="S90" s="62"/>
      <c r="T90" s="62"/>
      <c r="U90" s="62"/>
      <c r="V90" s="62"/>
      <c r="W90" s="62"/>
    </row>
    <row r="91" spans="1:23">
      <c r="A91" s="63"/>
      <c r="B91" s="142"/>
      <c r="C91" s="142"/>
      <c r="D91" s="67"/>
      <c r="E91" s="67"/>
      <c r="F91" s="67"/>
      <c r="G91" s="67"/>
      <c r="H91" s="67"/>
      <c r="I91" s="67"/>
      <c r="J91" s="67"/>
      <c r="K91" s="67"/>
      <c r="L91" s="68"/>
      <c r="M91" s="68"/>
      <c r="N91" s="68"/>
      <c r="O91" s="68"/>
      <c r="P91" s="67"/>
      <c r="Q91" s="67"/>
      <c r="R91" s="67"/>
      <c r="S91" s="62"/>
      <c r="T91" s="62"/>
      <c r="U91" s="62"/>
      <c r="V91" s="62"/>
      <c r="W91" s="62"/>
    </row>
    <row r="92" spans="1:23">
      <c r="A92" s="63"/>
      <c r="B92" s="142"/>
      <c r="C92" s="142"/>
      <c r="D92" s="67"/>
      <c r="E92" s="67"/>
      <c r="F92" s="67"/>
      <c r="G92" s="67"/>
      <c r="H92" s="67"/>
      <c r="I92" s="67"/>
      <c r="J92" s="67"/>
      <c r="K92" s="67"/>
      <c r="L92" s="68"/>
      <c r="M92" s="68"/>
      <c r="N92" s="68"/>
      <c r="O92" s="68"/>
      <c r="P92" s="67"/>
      <c r="Q92" s="67"/>
      <c r="R92" s="67"/>
      <c r="S92" s="62"/>
      <c r="T92" s="62"/>
      <c r="U92" s="62"/>
      <c r="V92" s="62"/>
      <c r="W92" s="62"/>
    </row>
    <row r="93" spans="1:23">
      <c r="A93" s="63"/>
      <c r="B93" s="142"/>
      <c r="C93" s="142"/>
      <c r="D93" s="67"/>
      <c r="E93" s="67"/>
      <c r="F93" s="67"/>
      <c r="G93" s="67"/>
      <c r="H93" s="67"/>
      <c r="I93" s="67"/>
      <c r="J93" s="67"/>
      <c r="K93" s="67"/>
      <c r="L93" s="68"/>
      <c r="M93" s="68"/>
      <c r="N93" s="68"/>
      <c r="O93" s="68"/>
      <c r="P93" s="67"/>
      <c r="Q93" s="67"/>
      <c r="R93" s="67"/>
      <c r="S93" s="62"/>
      <c r="T93" s="62"/>
      <c r="U93" s="62"/>
      <c r="V93" s="62"/>
      <c r="W93" s="62"/>
    </row>
    <row r="94" spans="1:23">
      <c r="A94" s="63"/>
      <c r="B94" s="142"/>
      <c r="C94" s="142"/>
      <c r="D94" s="67"/>
      <c r="E94" s="67"/>
      <c r="F94" s="67"/>
      <c r="G94" s="67"/>
      <c r="H94" s="67"/>
      <c r="I94" s="67"/>
      <c r="J94" s="67"/>
      <c r="K94" s="67"/>
      <c r="L94" s="68"/>
      <c r="M94" s="68"/>
      <c r="N94" s="68"/>
      <c r="O94" s="68"/>
      <c r="P94" s="67"/>
      <c r="Q94" s="67"/>
      <c r="R94" s="67"/>
      <c r="S94" s="62"/>
      <c r="T94" s="62"/>
      <c r="U94" s="62"/>
      <c r="V94" s="62"/>
      <c r="W94" s="62"/>
    </row>
    <row r="95" spans="1:23">
      <c r="A95" s="63"/>
      <c r="B95" s="142"/>
      <c r="C95" s="142"/>
      <c r="D95" s="67"/>
      <c r="E95" s="67"/>
      <c r="F95" s="67"/>
      <c r="G95" s="67"/>
      <c r="H95" s="67"/>
      <c r="I95" s="67"/>
      <c r="J95" s="67"/>
      <c r="K95" s="67"/>
      <c r="L95" s="68"/>
      <c r="M95" s="68"/>
      <c r="N95" s="68"/>
      <c r="O95" s="68"/>
      <c r="P95" s="67"/>
      <c r="Q95" s="67"/>
      <c r="R95" s="67"/>
      <c r="S95" s="62"/>
      <c r="T95" s="62"/>
      <c r="U95" s="62"/>
      <c r="V95" s="62"/>
      <c r="W95" s="62"/>
    </row>
    <row r="96" spans="1:23">
      <c r="A96" s="63"/>
      <c r="B96" s="142"/>
      <c r="C96" s="142"/>
      <c r="D96" s="67"/>
      <c r="E96" s="67"/>
      <c r="F96" s="67"/>
      <c r="G96" s="67"/>
      <c r="H96" s="67"/>
      <c r="I96" s="67"/>
      <c r="J96" s="67"/>
      <c r="K96" s="67"/>
      <c r="L96" s="68"/>
      <c r="M96" s="68"/>
      <c r="N96" s="68"/>
      <c r="O96" s="68"/>
      <c r="P96" s="67"/>
      <c r="Q96" s="67"/>
      <c r="R96" s="67"/>
      <c r="S96" s="62"/>
      <c r="T96" s="62"/>
      <c r="U96" s="62"/>
      <c r="V96" s="62"/>
      <c r="W96" s="62"/>
    </row>
    <row r="97" spans="1:23">
      <c r="A97" s="63"/>
      <c r="B97" s="142"/>
      <c r="C97" s="142"/>
      <c r="D97" s="67"/>
      <c r="E97" s="67"/>
      <c r="F97" s="67"/>
      <c r="G97" s="67"/>
      <c r="H97" s="67"/>
      <c r="I97" s="67"/>
      <c r="J97" s="67"/>
      <c r="K97" s="67"/>
      <c r="L97" s="68"/>
      <c r="M97" s="68"/>
      <c r="N97" s="68"/>
      <c r="O97" s="68"/>
      <c r="P97" s="67"/>
      <c r="Q97" s="67"/>
      <c r="R97" s="67"/>
      <c r="S97" s="62"/>
      <c r="T97" s="62"/>
      <c r="U97" s="62"/>
      <c r="V97" s="62"/>
      <c r="W97" s="62"/>
    </row>
    <row r="98" spans="1:23">
      <c r="A98" s="63"/>
      <c r="B98" s="142"/>
      <c r="C98" s="142"/>
      <c r="D98" s="67"/>
      <c r="E98" s="67"/>
      <c r="F98" s="67"/>
      <c r="G98" s="67"/>
      <c r="H98" s="67"/>
      <c r="I98" s="67"/>
      <c r="J98" s="67"/>
      <c r="K98" s="67"/>
      <c r="L98" s="68"/>
      <c r="M98" s="68"/>
      <c r="N98" s="68"/>
      <c r="O98" s="68"/>
      <c r="P98" s="67"/>
      <c r="Q98" s="67"/>
      <c r="R98" s="67"/>
      <c r="S98" s="62"/>
      <c r="T98" s="62"/>
      <c r="U98" s="62"/>
      <c r="V98" s="62"/>
      <c r="W98" s="62"/>
    </row>
    <row r="99" spans="1:23">
      <c r="A99" s="63"/>
      <c r="B99" s="142"/>
      <c r="C99" s="142"/>
      <c r="D99" s="67"/>
      <c r="E99" s="67"/>
      <c r="F99" s="67"/>
      <c r="G99" s="67"/>
      <c r="H99" s="67"/>
      <c r="I99" s="67"/>
      <c r="J99" s="67"/>
      <c r="K99" s="67"/>
      <c r="L99" s="68"/>
      <c r="M99" s="68"/>
      <c r="N99" s="68"/>
      <c r="O99" s="68"/>
      <c r="P99" s="67"/>
      <c r="Q99" s="67"/>
      <c r="R99" s="67"/>
      <c r="S99" s="62"/>
      <c r="T99" s="62"/>
      <c r="U99" s="62"/>
      <c r="V99" s="62"/>
      <c r="W99" s="62"/>
    </row>
    <row r="100" spans="1:23">
      <c r="A100" s="63"/>
      <c r="B100" s="142"/>
      <c r="C100" s="142"/>
      <c r="D100" s="67"/>
      <c r="E100" s="67"/>
      <c r="F100" s="67"/>
      <c r="G100" s="67"/>
      <c r="H100" s="67"/>
      <c r="I100" s="67"/>
      <c r="J100" s="67"/>
      <c r="K100" s="67"/>
      <c r="L100" s="68"/>
      <c r="M100" s="68"/>
      <c r="N100" s="68"/>
      <c r="O100" s="68"/>
      <c r="P100" s="67"/>
      <c r="Q100" s="67"/>
      <c r="R100" s="67"/>
      <c r="S100" s="62"/>
      <c r="T100" s="62"/>
      <c r="U100" s="62"/>
      <c r="V100" s="62"/>
      <c r="W100" s="62"/>
    </row>
    <row r="101" spans="1:23">
      <c r="A101" s="63"/>
      <c r="B101" s="142"/>
      <c r="C101" s="142"/>
      <c r="D101" s="67"/>
      <c r="E101" s="67"/>
      <c r="F101" s="67"/>
      <c r="G101" s="67"/>
      <c r="H101" s="67"/>
      <c r="I101" s="67"/>
      <c r="J101" s="67"/>
      <c r="K101" s="67"/>
      <c r="L101" s="68"/>
      <c r="M101" s="68"/>
      <c r="N101" s="68"/>
      <c r="O101" s="68"/>
      <c r="P101" s="67"/>
      <c r="Q101" s="67"/>
      <c r="R101" s="67"/>
      <c r="S101" s="62"/>
      <c r="T101" s="62"/>
      <c r="U101" s="62"/>
      <c r="V101" s="62"/>
      <c r="W101" s="62"/>
    </row>
    <row r="102" spans="1:23">
      <c r="A102" s="63"/>
      <c r="B102" s="142"/>
      <c r="C102" s="142"/>
      <c r="D102" s="67"/>
      <c r="E102" s="67"/>
      <c r="F102" s="67"/>
      <c r="G102" s="67"/>
      <c r="H102" s="67"/>
      <c r="I102" s="67"/>
      <c r="J102" s="67"/>
      <c r="K102" s="67"/>
      <c r="L102" s="68"/>
      <c r="M102" s="68"/>
      <c r="N102" s="68"/>
      <c r="O102" s="68"/>
      <c r="P102" s="67"/>
      <c r="Q102" s="67"/>
      <c r="R102" s="67"/>
      <c r="S102" s="62"/>
      <c r="T102" s="62"/>
      <c r="U102" s="62"/>
      <c r="V102" s="62"/>
      <c r="W102" s="62"/>
    </row>
    <row r="103" spans="1:23">
      <c r="A103" s="63"/>
      <c r="B103" s="142"/>
      <c r="C103" s="142"/>
      <c r="D103" s="67"/>
      <c r="E103" s="67"/>
      <c r="F103" s="67"/>
      <c r="G103" s="67"/>
      <c r="H103" s="67"/>
      <c r="I103" s="67"/>
      <c r="J103" s="67"/>
      <c r="K103" s="67"/>
      <c r="L103" s="68"/>
      <c r="M103" s="68"/>
      <c r="N103" s="68"/>
      <c r="O103" s="68"/>
      <c r="P103" s="67"/>
      <c r="Q103" s="67"/>
      <c r="R103" s="67"/>
      <c r="S103" s="62"/>
      <c r="T103" s="62"/>
      <c r="U103" s="62"/>
      <c r="V103" s="62"/>
      <c r="W103" s="62"/>
    </row>
    <row r="104" spans="1:23">
      <c r="A104" s="63"/>
      <c r="B104" s="142"/>
      <c r="C104" s="142"/>
      <c r="D104" s="67"/>
      <c r="E104" s="67"/>
      <c r="F104" s="67"/>
      <c r="G104" s="67"/>
      <c r="H104" s="67"/>
      <c r="I104" s="67"/>
      <c r="J104" s="67"/>
      <c r="K104" s="67"/>
      <c r="L104" s="68"/>
      <c r="M104" s="68"/>
      <c r="N104" s="68"/>
      <c r="O104" s="68"/>
      <c r="P104" s="67"/>
      <c r="Q104" s="67"/>
      <c r="R104" s="67"/>
      <c r="S104" s="62"/>
      <c r="T104" s="62"/>
      <c r="U104" s="62"/>
      <c r="V104" s="62"/>
      <c r="W104" s="62"/>
    </row>
    <row r="105" spans="1:23">
      <c r="A105" s="63"/>
      <c r="B105" s="142"/>
      <c r="C105" s="142"/>
      <c r="D105" s="67"/>
      <c r="E105" s="67"/>
      <c r="F105" s="67"/>
      <c r="G105" s="67"/>
      <c r="H105" s="67"/>
      <c r="I105" s="67"/>
      <c r="J105" s="67"/>
      <c r="K105" s="67"/>
      <c r="L105" s="68"/>
      <c r="M105" s="68"/>
      <c r="N105" s="68"/>
      <c r="O105" s="68"/>
      <c r="P105" s="67"/>
      <c r="Q105" s="67"/>
      <c r="R105" s="67"/>
      <c r="S105" s="62"/>
      <c r="T105" s="62"/>
      <c r="U105" s="62"/>
      <c r="V105" s="62"/>
      <c r="W105" s="62"/>
    </row>
    <row r="106" spans="1:23">
      <c r="A106" s="63"/>
      <c r="B106" s="142"/>
      <c r="C106" s="142"/>
      <c r="D106" s="67"/>
      <c r="E106" s="67"/>
      <c r="F106" s="67"/>
      <c r="G106" s="67"/>
      <c r="H106" s="67"/>
      <c r="I106" s="67"/>
      <c r="J106" s="67"/>
      <c r="K106" s="67"/>
      <c r="L106" s="68"/>
      <c r="M106" s="68"/>
      <c r="N106" s="68"/>
      <c r="O106" s="68"/>
      <c r="P106" s="67"/>
      <c r="Q106" s="67"/>
      <c r="R106" s="67"/>
      <c r="S106" s="62"/>
      <c r="T106" s="62"/>
      <c r="U106" s="62"/>
      <c r="V106" s="62"/>
      <c r="W106" s="62"/>
    </row>
    <row r="107" spans="1:23">
      <c r="A107" s="63"/>
      <c r="B107" s="142"/>
      <c r="C107" s="142"/>
      <c r="D107" s="67"/>
      <c r="E107" s="67"/>
      <c r="F107" s="67"/>
      <c r="G107" s="67"/>
      <c r="H107" s="67"/>
      <c r="I107" s="67"/>
      <c r="J107" s="67"/>
      <c r="K107" s="67"/>
      <c r="L107" s="68"/>
      <c r="M107" s="68"/>
      <c r="N107" s="68"/>
      <c r="O107" s="68"/>
      <c r="P107" s="67"/>
      <c r="Q107" s="67"/>
      <c r="R107" s="67"/>
      <c r="S107" s="62"/>
      <c r="T107" s="62"/>
      <c r="U107" s="62"/>
      <c r="V107" s="62"/>
      <c r="W107" s="62"/>
    </row>
    <row r="108" spans="1:23">
      <c r="A108" s="63"/>
      <c r="B108" s="142"/>
      <c r="C108" s="142"/>
      <c r="D108" s="67"/>
      <c r="E108" s="67"/>
      <c r="F108" s="67"/>
      <c r="G108" s="67"/>
      <c r="H108" s="67"/>
      <c r="I108" s="67"/>
      <c r="J108" s="67"/>
      <c r="K108" s="67"/>
      <c r="L108" s="68"/>
      <c r="M108" s="68"/>
      <c r="N108" s="68"/>
      <c r="O108" s="68"/>
      <c r="P108" s="67"/>
      <c r="Q108" s="67"/>
      <c r="R108" s="67"/>
      <c r="S108" s="62"/>
      <c r="T108" s="62"/>
      <c r="U108" s="62"/>
      <c r="V108" s="62"/>
      <c r="W108" s="62"/>
    </row>
    <row r="109" spans="1:23">
      <c r="A109" s="63"/>
      <c r="B109" s="142"/>
      <c r="C109" s="142"/>
      <c r="D109" s="67"/>
      <c r="E109" s="67"/>
      <c r="F109" s="67"/>
      <c r="G109" s="67"/>
      <c r="H109" s="67"/>
      <c r="I109" s="67"/>
      <c r="J109" s="67"/>
      <c r="K109" s="67"/>
      <c r="L109" s="68"/>
      <c r="M109" s="68"/>
      <c r="N109" s="68"/>
      <c r="O109" s="68"/>
      <c r="P109" s="67"/>
      <c r="Q109" s="67"/>
      <c r="R109" s="67"/>
      <c r="S109" s="62"/>
      <c r="T109" s="62"/>
      <c r="U109" s="62"/>
      <c r="V109" s="62"/>
      <c r="W109" s="62"/>
    </row>
    <row r="110" spans="1:23">
      <c r="A110" s="62"/>
      <c r="B110" s="142"/>
      <c r="C110" s="142"/>
      <c r="D110" s="67"/>
      <c r="E110" s="67"/>
      <c r="F110" s="67"/>
      <c r="G110" s="67"/>
      <c r="H110" s="67"/>
      <c r="I110" s="67"/>
      <c r="J110" s="67"/>
      <c r="K110" s="67"/>
      <c r="L110" s="68"/>
      <c r="M110" s="68"/>
      <c r="N110" s="68"/>
      <c r="O110" s="68"/>
      <c r="P110" s="67"/>
      <c r="Q110" s="67"/>
      <c r="R110" s="67"/>
      <c r="S110" s="62"/>
      <c r="T110" s="62"/>
      <c r="U110" s="62"/>
      <c r="V110" s="62"/>
      <c r="W110" s="62"/>
    </row>
    <row r="111" spans="1:23">
      <c r="A111" s="62"/>
      <c r="B111" s="62"/>
      <c r="C111" s="62"/>
      <c r="D111" s="62"/>
      <c r="E111" s="62"/>
      <c r="F111" s="62"/>
      <c r="G111" s="62"/>
      <c r="H111" s="62"/>
      <c r="I111" s="62"/>
      <c r="J111" s="62"/>
      <c r="K111" s="62"/>
      <c r="L111" s="62"/>
      <c r="M111" s="62"/>
      <c r="N111" s="62"/>
      <c r="O111" s="62"/>
      <c r="P111" s="62"/>
      <c r="Q111" s="62"/>
      <c r="R111" s="62"/>
      <c r="S111" s="62"/>
      <c r="T111" s="62"/>
      <c r="U111" s="62"/>
      <c r="V111" s="62"/>
      <c r="W111" s="62"/>
    </row>
    <row r="112" spans="1:23">
      <c r="A112" s="62"/>
      <c r="B112" s="62"/>
      <c r="C112" s="62"/>
      <c r="D112" s="62"/>
      <c r="E112" s="62"/>
      <c r="F112" s="62"/>
      <c r="G112" s="62"/>
      <c r="H112" s="62"/>
      <c r="I112" s="62"/>
      <c r="J112" s="62"/>
      <c r="K112" s="62"/>
      <c r="L112" s="62"/>
      <c r="M112" s="62"/>
      <c r="N112" s="62"/>
      <c r="O112" s="62"/>
      <c r="P112" s="62"/>
      <c r="Q112" s="62"/>
      <c r="R112" s="62"/>
      <c r="S112" s="62"/>
      <c r="T112" s="62"/>
      <c r="U112" s="62"/>
      <c r="V112" s="62"/>
      <c r="W112" s="62"/>
    </row>
    <row r="113" spans="1:23">
      <c r="A113" s="62"/>
      <c r="B113" s="62"/>
      <c r="C113" s="62"/>
      <c r="D113" s="62"/>
      <c r="E113" s="62"/>
      <c r="F113" s="62"/>
      <c r="G113" s="62"/>
      <c r="H113" s="62"/>
      <c r="I113" s="62"/>
      <c r="J113" s="62"/>
      <c r="K113" s="62"/>
      <c r="L113" s="62"/>
      <c r="M113" s="62"/>
      <c r="N113" s="62"/>
      <c r="O113" s="62"/>
      <c r="P113" s="62"/>
      <c r="Q113" s="62"/>
      <c r="R113" s="62"/>
      <c r="S113" s="62"/>
      <c r="T113" s="62"/>
      <c r="U113" s="62"/>
      <c r="V113" s="62"/>
      <c r="W113" s="62"/>
    </row>
    <row r="114" spans="1:23">
      <c r="A114" s="62"/>
      <c r="B114" s="62"/>
      <c r="C114" s="62"/>
      <c r="D114" s="62"/>
      <c r="E114" s="62"/>
      <c r="F114" s="62"/>
      <c r="G114" s="62"/>
      <c r="H114" s="62"/>
      <c r="I114" s="62"/>
      <c r="J114" s="62"/>
      <c r="K114" s="62"/>
      <c r="L114" s="62"/>
      <c r="M114" s="62"/>
      <c r="N114" s="62"/>
      <c r="O114" s="62"/>
      <c r="P114" s="62"/>
      <c r="Q114" s="62"/>
      <c r="R114" s="62"/>
      <c r="S114" s="62"/>
      <c r="T114" s="62"/>
      <c r="U114" s="62"/>
      <c r="V114" s="62"/>
      <c r="W114" s="62"/>
    </row>
    <row r="115" spans="1:23">
      <c r="A115" s="62"/>
      <c r="B115" s="62"/>
      <c r="C115" s="62"/>
      <c r="D115" s="62"/>
      <c r="E115" s="62"/>
      <c r="F115" s="62"/>
      <c r="G115" s="62"/>
      <c r="H115" s="62"/>
      <c r="I115" s="62"/>
      <c r="J115" s="62"/>
      <c r="K115" s="62"/>
      <c r="L115" s="62"/>
      <c r="M115" s="62"/>
      <c r="N115" s="62"/>
      <c r="O115" s="62"/>
      <c r="P115" s="62"/>
      <c r="Q115" s="62"/>
      <c r="R115" s="62"/>
      <c r="S115" s="62"/>
      <c r="T115" s="62"/>
      <c r="U115" s="62"/>
      <c r="V115" s="62"/>
      <c r="W115" s="62"/>
    </row>
    <row r="137" spans="12:12">
      <c r="L137" s="16">
        <f>SUM(L15:L136)</f>
        <v>372353.09</v>
      </c>
    </row>
  </sheetData>
  <mergeCells count="6">
    <mergeCell ref="A64:A65"/>
    <mergeCell ref="A30:A31"/>
    <mergeCell ref="A33:A34"/>
    <mergeCell ref="A47:A48"/>
    <mergeCell ref="A54:A56"/>
    <mergeCell ref="A60:A61"/>
  </mergeCells>
  <pageMargins left="0.7" right="0.7" top="0.75" bottom="0.75" header="0.3" footer="0.3"/>
  <pageSetup paperSize="9" orientation="landscape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5:W136"/>
  <sheetViews>
    <sheetView topLeftCell="A70" workbookViewId="0">
      <selection activeCell="A84" sqref="A84"/>
    </sheetView>
  </sheetViews>
  <sheetFormatPr defaultRowHeight="14.4"/>
  <cols>
    <col min="1" max="1" width="7.88671875" style="1" customWidth="1"/>
    <col min="2" max="2" width="23.5546875" style="1" customWidth="1"/>
    <col min="3" max="3" width="7.77734375" style="1" customWidth="1"/>
    <col min="4" max="4" width="4.77734375" style="1" customWidth="1"/>
    <col min="5" max="5" width="9.88671875" style="1" customWidth="1"/>
    <col min="6" max="6" width="7.6640625" style="1" customWidth="1"/>
    <col min="7" max="7" width="6.6640625" style="1" customWidth="1"/>
    <col min="8" max="8" width="7.44140625" style="1" customWidth="1"/>
    <col min="9" max="9" width="5.88671875" style="1" customWidth="1"/>
    <col min="10" max="10" width="6" style="1" customWidth="1"/>
    <col min="11" max="11" width="8.44140625" style="1" customWidth="1"/>
    <col min="12" max="12" width="8.21875" style="1" customWidth="1"/>
    <col min="13" max="13" width="7.33203125" style="1" customWidth="1"/>
    <col min="14" max="16384" width="8.88671875" style="1"/>
  </cols>
  <sheetData>
    <row r="5" spans="1:23" ht="20.399999999999999">
      <c r="A5" s="58" t="s">
        <v>3</v>
      </c>
      <c r="B5" s="58" t="s">
        <v>4</v>
      </c>
      <c r="C5" s="58" t="s">
        <v>5</v>
      </c>
      <c r="D5" s="58" t="s">
        <v>6</v>
      </c>
      <c r="E5" s="58" t="s">
        <v>37</v>
      </c>
      <c r="F5" s="58" t="s">
        <v>7</v>
      </c>
      <c r="G5" s="58" t="s">
        <v>8</v>
      </c>
      <c r="H5" s="58" t="s">
        <v>9</v>
      </c>
      <c r="I5" s="58" t="s">
        <v>10</v>
      </c>
      <c r="J5" s="59" t="s">
        <v>18</v>
      </c>
      <c r="K5" s="59" t="s">
        <v>17</v>
      </c>
      <c r="L5" s="58" t="s">
        <v>11</v>
      </c>
      <c r="M5" s="58" t="s">
        <v>36</v>
      </c>
      <c r="N5" s="58" t="s">
        <v>12</v>
      </c>
      <c r="O5" s="58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125</v>
      </c>
    </row>
    <row r="6" spans="1:23">
      <c r="A6" s="63"/>
      <c r="B6" s="162"/>
      <c r="C6" s="162"/>
      <c r="D6" s="162"/>
      <c r="E6" s="162"/>
      <c r="F6" s="162"/>
      <c r="G6" s="162"/>
      <c r="H6" s="162"/>
      <c r="I6" s="162"/>
      <c r="J6" s="162"/>
      <c r="K6" s="162"/>
      <c r="L6" s="61"/>
      <c r="M6" s="61"/>
      <c r="N6" s="162"/>
      <c r="O6" s="62"/>
      <c r="P6" s="62"/>
      <c r="Q6" s="62"/>
      <c r="R6" s="62"/>
      <c r="S6" s="62"/>
      <c r="U6" s="17"/>
    </row>
    <row r="7" spans="1:23">
      <c r="A7" s="63" t="s">
        <v>1372</v>
      </c>
      <c r="B7" s="42" t="s">
        <v>684</v>
      </c>
      <c r="C7" s="42" t="s">
        <v>88</v>
      </c>
      <c r="D7" s="42" t="s">
        <v>16</v>
      </c>
      <c r="E7" s="42" t="s">
        <v>1376</v>
      </c>
      <c r="F7" s="42">
        <v>786</v>
      </c>
      <c r="G7" s="42"/>
      <c r="H7" s="42">
        <v>16980</v>
      </c>
      <c r="I7" s="42">
        <v>284</v>
      </c>
      <c r="J7" s="42">
        <v>0.13</v>
      </c>
      <c r="K7" s="42">
        <v>37</v>
      </c>
      <c r="L7" s="43">
        <f t="shared" ref="L7:L12" si="0">H7-K7</f>
        <v>16943</v>
      </c>
      <c r="M7" s="43">
        <f>H7*0.19%</f>
        <v>32.262</v>
      </c>
      <c r="N7" s="43">
        <f t="shared" ref="N7:N12" si="1">L7-M7</f>
        <v>16910.738000000001</v>
      </c>
      <c r="O7" s="43">
        <f t="shared" ref="O7:O12" si="2">H7/1000*70</f>
        <v>1188.6000000000001</v>
      </c>
      <c r="P7" s="42">
        <v>10000</v>
      </c>
      <c r="Q7" s="42">
        <v>22.75</v>
      </c>
      <c r="R7" s="42">
        <f t="shared" ref="R7:R12" si="3">L7*Q7</f>
        <v>385453.25</v>
      </c>
      <c r="S7" s="42" t="s">
        <v>1324</v>
      </c>
      <c r="T7" s="62"/>
      <c r="U7" s="62"/>
      <c r="V7" s="62"/>
      <c r="W7" s="62"/>
    </row>
    <row r="8" spans="1:23">
      <c r="A8" s="63" t="s">
        <v>1391</v>
      </c>
      <c r="B8" s="42" t="s">
        <v>684</v>
      </c>
      <c r="C8" s="42" t="s">
        <v>88</v>
      </c>
      <c r="D8" s="42" t="s">
        <v>16</v>
      </c>
      <c r="E8" s="42" t="s">
        <v>1268</v>
      </c>
      <c r="F8" s="42">
        <v>462</v>
      </c>
      <c r="G8" s="42"/>
      <c r="H8" s="42">
        <v>16055</v>
      </c>
      <c r="I8" s="42">
        <v>260</v>
      </c>
      <c r="J8" s="42">
        <v>0.13</v>
      </c>
      <c r="K8" s="42">
        <v>34</v>
      </c>
      <c r="L8" s="43">
        <f t="shared" si="0"/>
        <v>16021</v>
      </c>
      <c r="M8" s="43"/>
      <c r="N8" s="43">
        <f t="shared" si="1"/>
        <v>16021</v>
      </c>
      <c r="O8" s="43">
        <f t="shared" si="2"/>
        <v>1123.8499999999999</v>
      </c>
      <c r="P8" s="42">
        <v>13300</v>
      </c>
      <c r="Q8" s="42">
        <v>22.75</v>
      </c>
      <c r="R8" s="42">
        <f t="shared" si="3"/>
        <v>364477.75</v>
      </c>
      <c r="S8" s="62"/>
      <c r="T8" s="62"/>
      <c r="U8" s="62"/>
      <c r="V8" s="62"/>
      <c r="W8" s="62"/>
    </row>
    <row r="9" spans="1:23">
      <c r="A9" s="150" t="s">
        <v>1400</v>
      </c>
      <c r="B9" s="42" t="s">
        <v>684</v>
      </c>
      <c r="C9" s="42" t="s">
        <v>88</v>
      </c>
      <c r="D9" s="42" t="s">
        <v>16</v>
      </c>
      <c r="E9" s="42" t="s">
        <v>1401</v>
      </c>
      <c r="F9" s="42">
        <v>1455</v>
      </c>
      <c r="G9" s="42"/>
      <c r="H9" s="42">
        <v>16210</v>
      </c>
      <c r="I9" s="42">
        <v>275</v>
      </c>
      <c r="J9" s="42">
        <v>0.13</v>
      </c>
      <c r="K9" s="42">
        <v>36</v>
      </c>
      <c r="L9" s="43">
        <f t="shared" si="0"/>
        <v>16174</v>
      </c>
      <c r="M9" s="43"/>
      <c r="N9" s="43">
        <f t="shared" si="1"/>
        <v>16174</v>
      </c>
      <c r="O9" s="43">
        <f t="shared" si="2"/>
        <v>1134.7</v>
      </c>
      <c r="P9" s="42">
        <v>13000</v>
      </c>
      <c r="Q9" s="42">
        <v>22.5</v>
      </c>
      <c r="R9" s="42">
        <f t="shared" si="3"/>
        <v>363915</v>
      </c>
      <c r="S9" s="62"/>
      <c r="T9" s="62"/>
      <c r="U9" s="62"/>
      <c r="V9" s="62"/>
      <c r="W9" s="62"/>
    </row>
    <row r="10" spans="1:23">
      <c r="A10" s="150" t="s">
        <v>1404</v>
      </c>
      <c r="B10" s="42" t="s">
        <v>684</v>
      </c>
      <c r="C10" s="42" t="s">
        <v>88</v>
      </c>
      <c r="D10" s="42" t="s">
        <v>16</v>
      </c>
      <c r="E10" s="42" t="s">
        <v>1405</v>
      </c>
      <c r="F10" s="42">
        <v>5780</v>
      </c>
      <c r="G10" s="42">
        <v>975</v>
      </c>
      <c r="H10" s="42">
        <v>23280</v>
      </c>
      <c r="I10" s="42">
        <v>388</v>
      </c>
      <c r="J10" s="42">
        <v>0.5</v>
      </c>
      <c r="K10" s="42">
        <f t="shared" ref="K10:K11" si="4">I10*J10</f>
        <v>194</v>
      </c>
      <c r="L10" s="43">
        <f t="shared" si="0"/>
        <v>23086</v>
      </c>
      <c r="M10" s="43"/>
      <c r="N10" s="43">
        <f t="shared" si="1"/>
        <v>23086</v>
      </c>
      <c r="O10" s="43">
        <f t="shared" si="2"/>
        <v>1629.6000000000001</v>
      </c>
      <c r="P10" s="42">
        <v>0</v>
      </c>
      <c r="Q10" s="42">
        <v>22.5</v>
      </c>
      <c r="R10" s="42">
        <f t="shared" si="3"/>
        <v>519435</v>
      </c>
      <c r="S10" s="62"/>
      <c r="T10" s="62"/>
      <c r="U10" s="62"/>
      <c r="V10" s="62"/>
      <c r="W10" s="62"/>
    </row>
    <row r="11" spans="1:23">
      <c r="A11" s="150" t="s">
        <v>1414</v>
      </c>
      <c r="B11" s="42" t="s">
        <v>684</v>
      </c>
      <c r="C11" s="42" t="s">
        <v>88</v>
      </c>
      <c r="D11" s="42" t="s">
        <v>16</v>
      </c>
      <c r="E11" s="42" t="s">
        <v>1417</v>
      </c>
      <c r="F11" s="42">
        <v>1403</v>
      </c>
      <c r="G11" s="42"/>
      <c r="H11" s="42">
        <v>15750</v>
      </c>
      <c r="I11" s="42">
        <v>280</v>
      </c>
      <c r="J11" s="42">
        <v>0.5</v>
      </c>
      <c r="K11" s="42">
        <f t="shared" si="4"/>
        <v>140</v>
      </c>
      <c r="L11" s="43">
        <f t="shared" si="0"/>
        <v>15610</v>
      </c>
      <c r="M11" s="43"/>
      <c r="N11" s="43">
        <f t="shared" si="1"/>
        <v>15610</v>
      </c>
      <c r="O11" s="43">
        <f t="shared" si="2"/>
        <v>1102.5</v>
      </c>
      <c r="P11" s="42">
        <v>12500</v>
      </c>
      <c r="Q11" s="42">
        <v>22.5</v>
      </c>
      <c r="R11" s="42">
        <f t="shared" si="3"/>
        <v>351225</v>
      </c>
      <c r="S11" s="62"/>
      <c r="T11" s="62"/>
      <c r="U11" s="62"/>
      <c r="V11" s="62"/>
      <c r="W11" s="62"/>
    </row>
    <row r="12" spans="1:23">
      <c r="A12" s="150" t="s">
        <v>1425</v>
      </c>
      <c r="B12" s="42" t="s">
        <v>684</v>
      </c>
      <c r="C12" s="42" t="s">
        <v>88</v>
      </c>
      <c r="D12" s="42" t="s">
        <v>16</v>
      </c>
      <c r="E12" s="42" t="s">
        <v>1424</v>
      </c>
      <c r="F12" s="42">
        <v>1356</v>
      </c>
      <c r="G12" s="42"/>
      <c r="H12" s="42">
        <v>18450</v>
      </c>
      <c r="I12" s="42">
        <v>257</v>
      </c>
      <c r="J12" s="42">
        <v>0.13</v>
      </c>
      <c r="K12" s="42">
        <v>34</v>
      </c>
      <c r="L12" s="43">
        <f t="shared" si="0"/>
        <v>18416</v>
      </c>
      <c r="M12" s="43"/>
      <c r="N12" s="43">
        <f t="shared" si="1"/>
        <v>18416</v>
      </c>
      <c r="O12" s="43">
        <f t="shared" si="2"/>
        <v>1291.5</v>
      </c>
      <c r="P12" s="42">
        <v>14000</v>
      </c>
      <c r="Q12" s="42">
        <v>20.5</v>
      </c>
      <c r="R12" s="42">
        <f t="shared" si="3"/>
        <v>377528</v>
      </c>
      <c r="S12" s="42" t="s">
        <v>1324</v>
      </c>
      <c r="T12" s="62"/>
      <c r="U12" s="62"/>
      <c r="V12" s="62"/>
      <c r="W12" s="62"/>
    </row>
    <row r="13" spans="1:23">
      <c r="A13" s="62"/>
      <c r="B13" s="67"/>
      <c r="C13" s="67"/>
      <c r="D13" s="67"/>
      <c r="E13" s="67"/>
      <c r="F13" s="67"/>
      <c r="G13" s="67"/>
      <c r="H13" s="67"/>
      <c r="I13" s="67"/>
      <c r="J13" s="67"/>
      <c r="K13" s="67"/>
      <c r="L13" s="68"/>
      <c r="M13" s="68"/>
      <c r="N13" s="68"/>
      <c r="O13" s="68"/>
      <c r="P13" s="67"/>
      <c r="Q13" s="67"/>
      <c r="R13" s="62"/>
      <c r="S13" s="62"/>
      <c r="T13" s="62"/>
      <c r="U13" s="62"/>
      <c r="V13" s="62"/>
      <c r="W13" s="62"/>
    </row>
    <row r="14" spans="1:23">
      <c r="A14" s="21" t="s">
        <v>1433</v>
      </c>
      <c r="B14" s="42" t="s">
        <v>684</v>
      </c>
      <c r="C14" s="42" t="s">
        <v>88</v>
      </c>
      <c r="D14" s="42" t="s">
        <v>16</v>
      </c>
      <c r="E14" s="42" t="s">
        <v>1432</v>
      </c>
      <c r="F14" s="42">
        <v>76</v>
      </c>
      <c r="G14" s="42"/>
      <c r="H14" s="42">
        <v>22060</v>
      </c>
      <c r="I14" s="42">
        <v>413</v>
      </c>
      <c r="J14" s="42">
        <v>0.5</v>
      </c>
      <c r="K14" s="42">
        <v>207</v>
      </c>
      <c r="L14" s="43">
        <f t="shared" ref="L14:L16" si="5">H14-K14</f>
        <v>21853</v>
      </c>
      <c r="M14" s="43"/>
      <c r="N14" s="43">
        <f t="shared" ref="N14:N16" si="6">L14-M14</f>
        <v>21853</v>
      </c>
      <c r="O14" s="43">
        <f t="shared" ref="O14:O16" si="7">H14/1000*70</f>
        <v>1544.1999999999998</v>
      </c>
      <c r="P14" s="42">
        <f>N14*800/1000</f>
        <v>17482.400000000001</v>
      </c>
      <c r="Q14" s="42">
        <v>20.5</v>
      </c>
      <c r="R14" s="42">
        <f t="shared" ref="R14:R16" si="8">L14*Q14</f>
        <v>447986.5</v>
      </c>
      <c r="S14" s="62"/>
      <c r="T14" s="62"/>
      <c r="U14" s="62"/>
      <c r="V14" s="62"/>
      <c r="W14" s="62"/>
    </row>
    <row r="15" spans="1:23">
      <c r="A15" s="21" t="s">
        <v>1437</v>
      </c>
      <c r="B15" s="42" t="s">
        <v>684</v>
      </c>
      <c r="C15" s="42" t="s">
        <v>88</v>
      </c>
      <c r="D15" s="42" t="s">
        <v>16</v>
      </c>
      <c r="E15" s="42" t="s">
        <v>1438</v>
      </c>
      <c r="F15" s="42">
        <v>77</v>
      </c>
      <c r="G15" s="42"/>
      <c r="H15" s="42">
        <v>21710</v>
      </c>
      <c r="I15" s="42">
        <v>414</v>
      </c>
      <c r="J15" s="42">
        <v>0.5</v>
      </c>
      <c r="K15" s="42">
        <f t="shared" ref="K15:K16" si="9">I15*J15</f>
        <v>207</v>
      </c>
      <c r="L15" s="43">
        <f t="shared" si="5"/>
        <v>21503</v>
      </c>
      <c r="M15" s="43"/>
      <c r="N15" s="43">
        <f t="shared" si="6"/>
        <v>21503</v>
      </c>
      <c r="O15" s="43">
        <f t="shared" si="7"/>
        <v>1519.7</v>
      </c>
      <c r="P15" s="42">
        <f>N15/1000*800</f>
        <v>17202.400000000001</v>
      </c>
      <c r="Q15" s="42">
        <v>20.5</v>
      </c>
      <c r="R15" s="42">
        <f t="shared" si="8"/>
        <v>440811.5</v>
      </c>
      <c r="S15" s="62"/>
      <c r="T15" s="62"/>
      <c r="U15" s="62"/>
      <c r="V15" s="62"/>
      <c r="W15" s="62"/>
    </row>
    <row r="16" spans="1:23">
      <c r="A16" s="21" t="s">
        <v>1440</v>
      </c>
      <c r="B16" s="169" t="s">
        <v>1443</v>
      </c>
      <c r="C16" s="42" t="s">
        <v>88</v>
      </c>
      <c r="D16" s="42" t="s">
        <v>16</v>
      </c>
      <c r="E16" s="42" t="s">
        <v>1442</v>
      </c>
      <c r="F16" s="42">
        <v>614</v>
      </c>
      <c r="G16" s="42"/>
      <c r="H16" s="42">
        <v>5900</v>
      </c>
      <c r="I16" s="42">
        <v>118</v>
      </c>
      <c r="J16" s="42">
        <v>0.5</v>
      </c>
      <c r="K16" s="42">
        <f t="shared" si="9"/>
        <v>59</v>
      </c>
      <c r="L16" s="43">
        <f t="shared" si="5"/>
        <v>5841</v>
      </c>
      <c r="M16" s="43"/>
      <c r="N16" s="43">
        <f t="shared" si="6"/>
        <v>5841</v>
      </c>
      <c r="O16" s="43">
        <f t="shared" si="7"/>
        <v>413</v>
      </c>
      <c r="P16" s="42">
        <v>0</v>
      </c>
      <c r="Q16" s="42">
        <v>19</v>
      </c>
      <c r="R16" s="42">
        <f t="shared" si="8"/>
        <v>110979</v>
      </c>
      <c r="S16" s="62"/>
      <c r="T16" s="62"/>
      <c r="U16" s="62"/>
      <c r="V16" s="62"/>
      <c r="W16" s="62"/>
    </row>
    <row r="17" spans="1:23">
      <c r="A17" s="63"/>
      <c r="B17" s="67"/>
      <c r="C17" s="67"/>
      <c r="D17" s="67"/>
      <c r="E17" s="142"/>
      <c r="F17" s="67"/>
      <c r="G17" s="67"/>
      <c r="H17" s="67"/>
      <c r="I17" s="67"/>
      <c r="J17" s="67"/>
      <c r="K17" s="68"/>
      <c r="L17" s="68"/>
      <c r="M17" s="68"/>
      <c r="N17" s="68"/>
      <c r="O17" s="68"/>
      <c r="P17" s="67"/>
      <c r="Q17" s="62"/>
      <c r="R17" s="62"/>
      <c r="S17" s="62"/>
      <c r="T17" s="62"/>
      <c r="U17" s="62"/>
      <c r="V17" s="62"/>
      <c r="W17" s="62"/>
    </row>
    <row r="18" spans="1:23">
      <c r="A18" s="150" t="s">
        <v>1445</v>
      </c>
      <c r="B18" s="42" t="s">
        <v>1447</v>
      </c>
      <c r="C18" s="42" t="s">
        <v>88</v>
      </c>
      <c r="D18" s="42" t="s">
        <v>16</v>
      </c>
      <c r="E18" s="42" t="s">
        <v>1424</v>
      </c>
      <c r="F18" s="42">
        <v>1357</v>
      </c>
      <c r="G18" s="42"/>
      <c r="H18" s="42">
        <v>22640</v>
      </c>
      <c r="I18" s="42">
        <v>321</v>
      </c>
      <c r="J18" s="42">
        <v>0.13</v>
      </c>
      <c r="K18" s="42">
        <v>42</v>
      </c>
      <c r="L18" s="43">
        <f t="shared" ref="L18" si="10">H18-K18</f>
        <v>22598</v>
      </c>
      <c r="M18" s="43"/>
      <c r="N18" s="43">
        <f t="shared" ref="N18" si="11">L18-M18</f>
        <v>22598</v>
      </c>
      <c r="O18" s="43">
        <f t="shared" ref="O18" si="12">H18/1000*70</f>
        <v>1584.8</v>
      </c>
      <c r="P18" s="42">
        <v>14500</v>
      </c>
      <c r="Q18" s="42">
        <v>20.5</v>
      </c>
      <c r="R18" s="42">
        <f t="shared" ref="R18" si="13">L18*Q18</f>
        <v>463259</v>
      </c>
      <c r="S18" s="62"/>
      <c r="T18" s="62"/>
      <c r="U18" s="62"/>
      <c r="V18" s="62"/>
      <c r="W18" s="62"/>
    </row>
    <row r="19" spans="1:23">
      <c r="A19" s="150"/>
      <c r="B19" s="67"/>
      <c r="C19" s="67"/>
      <c r="D19" s="67"/>
      <c r="E19" s="67"/>
      <c r="F19" s="67"/>
      <c r="G19" s="67"/>
      <c r="H19" s="67"/>
      <c r="I19" s="67"/>
      <c r="J19" s="67"/>
      <c r="K19" s="68"/>
      <c r="L19" s="68"/>
      <c r="M19" s="68"/>
      <c r="N19" s="68"/>
      <c r="O19" s="68"/>
      <c r="P19" s="67"/>
      <c r="Q19" s="67"/>
      <c r="R19" s="67"/>
      <c r="S19" s="62"/>
      <c r="T19" s="62"/>
      <c r="U19" s="62"/>
      <c r="V19" s="62"/>
      <c r="W19" s="62"/>
    </row>
    <row r="20" spans="1:23">
      <c r="A20" s="150" t="s">
        <v>1456</v>
      </c>
      <c r="B20" s="42" t="s">
        <v>1447</v>
      </c>
      <c r="C20" s="42" t="s">
        <v>88</v>
      </c>
      <c r="D20" s="42" t="s">
        <v>16</v>
      </c>
      <c r="E20" s="42" t="s">
        <v>1450</v>
      </c>
      <c r="F20" s="42">
        <v>1359</v>
      </c>
      <c r="G20" s="42"/>
      <c r="H20" s="42">
        <v>21760</v>
      </c>
      <c r="I20" s="42">
        <v>323</v>
      </c>
      <c r="J20" s="42">
        <v>0.13</v>
      </c>
      <c r="K20" s="42">
        <v>42</v>
      </c>
      <c r="L20" s="43">
        <f t="shared" ref="L20" si="14">H20-K20</f>
        <v>21718</v>
      </c>
      <c r="M20" s="43"/>
      <c r="N20" s="43">
        <f t="shared" ref="N20" si="15">L20-M20</f>
        <v>21718</v>
      </c>
      <c r="O20" s="43">
        <f t="shared" ref="O20" si="16">H20/1000*70</f>
        <v>1523.2</v>
      </c>
      <c r="P20" s="42">
        <v>14000</v>
      </c>
      <c r="Q20" s="42">
        <v>20.5</v>
      </c>
      <c r="R20" s="42">
        <f t="shared" ref="R20" si="17">L20*Q20</f>
        <v>445219</v>
      </c>
      <c r="S20" s="42" t="s">
        <v>1324</v>
      </c>
      <c r="T20" s="62"/>
      <c r="U20" s="62"/>
      <c r="V20" s="62"/>
      <c r="W20" s="62"/>
    </row>
    <row r="21" spans="1:23">
      <c r="A21" s="21"/>
      <c r="B21" s="67"/>
      <c r="C21" s="67"/>
      <c r="D21" s="67"/>
      <c r="E21" s="67"/>
      <c r="F21" s="67"/>
      <c r="G21" s="67"/>
      <c r="H21" s="67"/>
      <c r="I21" s="67"/>
      <c r="J21" s="67"/>
      <c r="K21" s="67"/>
      <c r="L21" s="68"/>
      <c r="M21" s="68"/>
      <c r="N21" s="68"/>
      <c r="O21" s="68"/>
      <c r="P21" s="67"/>
      <c r="Q21" s="67"/>
      <c r="R21" s="62"/>
      <c r="S21" s="62"/>
      <c r="T21" s="62"/>
      <c r="U21" s="62"/>
      <c r="V21" s="62"/>
      <c r="W21" s="62"/>
    </row>
    <row r="22" spans="1:23">
      <c r="A22" s="62" t="s">
        <v>1490</v>
      </c>
      <c r="B22" s="42" t="s">
        <v>864</v>
      </c>
      <c r="C22" s="42" t="s">
        <v>88</v>
      </c>
      <c r="D22" s="42" t="s">
        <v>16</v>
      </c>
      <c r="E22" s="42" t="s">
        <v>1496</v>
      </c>
      <c r="F22" s="42">
        <v>8</v>
      </c>
      <c r="G22" s="42"/>
      <c r="H22" s="42">
        <v>22850</v>
      </c>
      <c r="I22" s="42">
        <v>428</v>
      </c>
      <c r="J22" s="42">
        <v>0.5</v>
      </c>
      <c r="K22" s="42">
        <f t="shared" ref="K22" si="18">I22*J22</f>
        <v>214</v>
      </c>
      <c r="L22" s="43">
        <f t="shared" ref="L22" si="19">H22-K22</f>
        <v>22636</v>
      </c>
      <c r="M22" s="43"/>
      <c r="N22" s="43">
        <f t="shared" ref="N22" si="20">L22-M22</f>
        <v>22636</v>
      </c>
      <c r="O22" s="43">
        <f t="shared" ref="O22" si="21">H22/1000*70</f>
        <v>1599.5</v>
      </c>
      <c r="P22" s="42">
        <v>17135</v>
      </c>
      <c r="Q22" s="42"/>
      <c r="R22" s="42">
        <f t="shared" ref="R22" si="22">L22*Q22</f>
        <v>0</v>
      </c>
      <c r="S22" s="62"/>
      <c r="T22" s="62"/>
      <c r="U22" s="62"/>
      <c r="V22" s="62"/>
      <c r="W22" s="62"/>
    </row>
    <row r="23" spans="1:23">
      <c r="A23" s="63"/>
      <c r="B23" s="67"/>
      <c r="C23" s="67"/>
      <c r="D23" s="67"/>
      <c r="E23" s="67"/>
      <c r="F23" s="67"/>
      <c r="G23" s="67"/>
      <c r="H23" s="67"/>
      <c r="I23" s="67"/>
      <c r="J23" s="67"/>
      <c r="K23" s="68"/>
      <c r="L23" s="68">
        <f>SUM(L7:L22)</f>
        <v>222399</v>
      </c>
      <c r="M23" s="68"/>
      <c r="N23" s="68"/>
      <c r="O23" s="68"/>
      <c r="P23" s="67"/>
      <c r="Q23" s="62"/>
      <c r="R23" s="62"/>
      <c r="S23" s="62"/>
      <c r="T23" s="62"/>
      <c r="U23" s="62"/>
      <c r="V23" s="62"/>
      <c r="W23" s="62"/>
    </row>
    <row r="24" spans="1:23">
      <c r="A24" s="63" t="s">
        <v>1499</v>
      </c>
      <c r="B24" s="42" t="s">
        <v>864</v>
      </c>
      <c r="C24" s="42" t="s">
        <v>88</v>
      </c>
      <c r="D24" s="42" t="s">
        <v>16</v>
      </c>
      <c r="E24" s="42" t="s">
        <v>1503</v>
      </c>
      <c r="F24" s="42">
        <v>81</v>
      </c>
      <c r="G24" s="42"/>
      <c r="H24" s="42">
        <v>16460</v>
      </c>
      <c r="I24" s="42">
        <v>312</v>
      </c>
      <c r="J24" s="42">
        <v>0.5</v>
      </c>
      <c r="K24" s="42">
        <f t="shared" ref="K24" si="23">I24*J24</f>
        <v>156</v>
      </c>
      <c r="L24" s="43">
        <f t="shared" ref="L24" si="24">H24-K24</f>
        <v>16304</v>
      </c>
      <c r="M24" s="43"/>
      <c r="N24" s="43">
        <f t="shared" ref="N24" si="25">L24-M24</f>
        <v>16304</v>
      </c>
      <c r="O24" s="43">
        <f t="shared" ref="O24" si="26">H24/1000*70</f>
        <v>1152.2</v>
      </c>
      <c r="P24" s="42">
        <v>12345</v>
      </c>
      <c r="Q24" s="42">
        <v>19.5</v>
      </c>
      <c r="R24" s="42">
        <f t="shared" ref="R24" si="27">L24*Q24</f>
        <v>317928</v>
      </c>
      <c r="S24" s="62"/>
      <c r="T24" s="62"/>
      <c r="U24" s="62"/>
      <c r="V24" s="62"/>
      <c r="W24" s="62"/>
    </row>
    <row r="25" spans="1:23">
      <c r="A25" s="63"/>
      <c r="B25" s="67"/>
      <c r="C25" s="67"/>
      <c r="D25" s="67"/>
      <c r="E25" s="67"/>
      <c r="F25" s="67"/>
      <c r="G25" s="67"/>
      <c r="H25" s="67"/>
      <c r="I25" s="67"/>
      <c r="J25" s="67"/>
      <c r="K25" s="68"/>
      <c r="L25" s="68"/>
      <c r="M25" s="68"/>
      <c r="N25" s="68"/>
      <c r="O25" s="68"/>
      <c r="P25" s="67"/>
      <c r="Q25" s="62"/>
      <c r="R25" s="62"/>
      <c r="S25" s="62"/>
      <c r="T25" s="62"/>
      <c r="U25" s="62"/>
      <c r="V25" s="62"/>
      <c r="W25" s="62"/>
    </row>
    <row r="26" spans="1:23">
      <c r="A26" s="63" t="s">
        <v>1542</v>
      </c>
      <c r="B26" s="42" t="s">
        <v>864</v>
      </c>
      <c r="C26" s="42" t="s">
        <v>88</v>
      </c>
      <c r="D26" s="42" t="s">
        <v>16</v>
      </c>
      <c r="E26" s="42" t="s">
        <v>1544</v>
      </c>
      <c r="F26" s="42">
        <v>83</v>
      </c>
      <c r="G26" s="42"/>
      <c r="H26" s="42">
        <v>17470</v>
      </c>
      <c r="I26" s="42">
        <v>346</v>
      </c>
      <c r="J26" s="42">
        <v>0.5</v>
      </c>
      <c r="K26" s="42">
        <f t="shared" ref="K26" si="28">I26*J26</f>
        <v>173</v>
      </c>
      <c r="L26" s="43">
        <f t="shared" ref="L26:L31" si="29">H26-K26</f>
        <v>17297</v>
      </c>
      <c r="M26" s="43"/>
      <c r="N26" s="43">
        <f t="shared" ref="N26:N31" si="30">L26-M26</f>
        <v>17297</v>
      </c>
      <c r="O26" s="43">
        <f t="shared" ref="O26:O31" si="31">H26/1000*70</f>
        <v>1222.8999999999999</v>
      </c>
      <c r="P26" s="42">
        <v>15676</v>
      </c>
      <c r="Q26" s="42">
        <v>19.600000000000001</v>
      </c>
      <c r="R26" s="42">
        <f t="shared" ref="R26:R31" si="32">L26*Q26</f>
        <v>339021.2</v>
      </c>
      <c r="S26" s="62"/>
      <c r="T26" s="62"/>
      <c r="U26" s="62"/>
      <c r="V26" s="62"/>
      <c r="W26" s="62"/>
    </row>
    <row r="27" spans="1:23">
      <c r="A27" s="150" t="s">
        <v>1664</v>
      </c>
      <c r="B27" s="42" t="s">
        <v>1665</v>
      </c>
      <c r="C27" s="42" t="s">
        <v>88</v>
      </c>
      <c r="D27" s="42" t="s">
        <v>16</v>
      </c>
      <c r="E27" s="42" t="s">
        <v>1666</v>
      </c>
      <c r="F27" s="42">
        <v>1301</v>
      </c>
      <c r="G27" s="42"/>
      <c r="H27" s="42">
        <v>23460</v>
      </c>
      <c r="I27" s="42">
        <v>304</v>
      </c>
      <c r="J27" s="42">
        <v>0.13</v>
      </c>
      <c r="K27" s="42">
        <v>40</v>
      </c>
      <c r="L27" s="43">
        <f t="shared" si="29"/>
        <v>23420</v>
      </c>
      <c r="M27" s="43"/>
      <c r="N27" s="43">
        <f t="shared" si="30"/>
        <v>23420</v>
      </c>
      <c r="O27" s="43">
        <f t="shared" si="31"/>
        <v>1642.2</v>
      </c>
      <c r="P27" s="194">
        <v>12500</v>
      </c>
      <c r="Q27" s="194">
        <v>19.899999999999999</v>
      </c>
      <c r="R27" s="42">
        <f t="shared" si="32"/>
        <v>466057.99999999994</v>
      </c>
      <c r="S27" s="62"/>
      <c r="T27" s="62"/>
      <c r="U27" s="62"/>
      <c r="V27" s="62"/>
      <c r="W27" s="62"/>
    </row>
    <row r="28" spans="1:23">
      <c r="A28" s="374" t="s">
        <v>1678</v>
      </c>
      <c r="B28" s="42" t="s">
        <v>1665</v>
      </c>
      <c r="C28" s="42" t="s">
        <v>88</v>
      </c>
      <c r="D28" s="42" t="s">
        <v>16</v>
      </c>
      <c r="E28" s="42" t="s">
        <v>1679</v>
      </c>
      <c r="F28" s="42">
        <v>1377</v>
      </c>
      <c r="G28" s="42"/>
      <c r="H28" s="42">
        <v>22540</v>
      </c>
      <c r="I28" s="42">
        <v>320</v>
      </c>
      <c r="J28" s="42">
        <v>0.13</v>
      </c>
      <c r="K28" s="42">
        <v>42</v>
      </c>
      <c r="L28" s="43">
        <f t="shared" si="29"/>
        <v>22498</v>
      </c>
      <c r="M28" s="43"/>
      <c r="N28" s="43">
        <f t="shared" si="30"/>
        <v>22498</v>
      </c>
      <c r="O28" s="43">
        <f t="shared" si="31"/>
        <v>1577.8</v>
      </c>
      <c r="P28" s="198">
        <v>13000</v>
      </c>
      <c r="Q28" s="198">
        <v>19.899999999999999</v>
      </c>
      <c r="R28" s="42">
        <f t="shared" si="32"/>
        <v>447710.19999999995</v>
      </c>
      <c r="S28" s="62"/>
      <c r="T28" s="62"/>
      <c r="U28" s="62"/>
      <c r="V28" s="62"/>
      <c r="W28" s="62"/>
    </row>
    <row r="29" spans="1:23">
      <c r="A29" s="374"/>
      <c r="B29" s="42" t="s">
        <v>1665</v>
      </c>
      <c r="C29" s="42" t="s">
        <v>88</v>
      </c>
      <c r="D29" s="42" t="s">
        <v>16</v>
      </c>
      <c r="E29" s="42" t="s">
        <v>1588</v>
      </c>
      <c r="F29" s="42">
        <v>1375</v>
      </c>
      <c r="G29" s="42"/>
      <c r="H29" s="42">
        <v>21310</v>
      </c>
      <c r="I29" s="42">
        <v>297</v>
      </c>
      <c r="J29" s="42">
        <v>0.13</v>
      </c>
      <c r="K29" s="42">
        <v>39</v>
      </c>
      <c r="L29" s="43">
        <f t="shared" si="29"/>
        <v>21271</v>
      </c>
      <c r="M29" s="43"/>
      <c r="N29" s="43">
        <f t="shared" si="30"/>
        <v>21271</v>
      </c>
      <c r="O29" s="43">
        <f t="shared" si="31"/>
        <v>1491.6999999999998</v>
      </c>
      <c r="P29" s="198">
        <v>13500</v>
      </c>
      <c r="Q29" s="198">
        <v>19.899999999999999</v>
      </c>
      <c r="R29" s="42">
        <f t="shared" si="32"/>
        <v>423292.89999999997</v>
      </c>
      <c r="S29" s="62"/>
      <c r="T29" s="62"/>
      <c r="U29" s="62"/>
      <c r="V29" s="62"/>
      <c r="W29" s="62"/>
    </row>
    <row r="30" spans="1:23">
      <c r="A30" s="374"/>
      <c r="B30" s="42" t="s">
        <v>1665</v>
      </c>
      <c r="C30" s="42" t="s">
        <v>88</v>
      </c>
      <c r="D30" s="42" t="s">
        <v>16</v>
      </c>
      <c r="E30" s="42" t="s">
        <v>1680</v>
      </c>
      <c r="F30" s="42">
        <v>2317</v>
      </c>
      <c r="G30" s="42"/>
      <c r="H30" s="42">
        <v>19470</v>
      </c>
      <c r="I30" s="42">
        <v>300</v>
      </c>
      <c r="J30" s="42">
        <v>0.13</v>
      </c>
      <c r="K30" s="42">
        <f t="shared" ref="K30" si="33">I30*J30</f>
        <v>39</v>
      </c>
      <c r="L30" s="43">
        <f t="shared" si="29"/>
        <v>19431</v>
      </c>
      <c r="M30" s="43">
        <f>L30*3%</f>
        <v>582.92999999999995</v>
      </c>
      <c r="N30" s="43">
        <f t="shared" si="30"/>
        <v>18848.07</v>
      </c>
      <c r="O30" s="43">
        <f t="shared" si="31"/>
        <v>1362.8999999999999</v>
      </c>
      <c r="P30" s="198">
        <v>20500</v>
      </c>
      <c r="Q30" s="198">
        <v>19.899999999999999</v>
      </c>
      <c r="R30" s="42">
        <f t="shared" si="32"/>
        <v>386676.89999999997</v>
      </c>
      <c r="S30" s="62"/>
      <c r="T30" s="62"/>
      <c r="U30" s="62"/>
      <c r="V30" s="62"/>
      <c r="W30" s="62"/>
    </row>
    <row r="31" spans="1:23">
      <c r="A31" s="150" t="s">
        <v>1681</v>
      </c>
      <c r="B31" s="42" t="s">
        <v>1665</v>
      </c>
      <c r="C31" s="42" t="s">
        <v>88</v>
      </c>
      <c r="D31" s="42" t="s">
        <v>16</v>
      </c>
      <c r="E31" s="42" t="s">
        <v>1682</v>
      </c>
      <c r="F31" s="42">
        <v>1374</v>
      </c>
      <c r="G31" s="42"/>
      <c r="H31" s="42">
        <v>22440</v>
      </c>
      <c r="I31" s="42">
        <v>291</v>
      </c>
      <c r="J31" s="42">
        <v>0.13</v>
      </c>
      <c r="K31" s="42">
        <v>38</v>
      </c>
      <c r="L31" s="43">
        <f t="shared" si="29"/>
        <v>22402</v>
      </c>
      <c r="M31" s="43">
        <f>L31*1%</f>
        <v>224.02</v>
      </c>
      <c r="N31" s="43">
        <f t="shared" si="30"/>
        <v>22177.98</v>
      </c>
      <c r="O31" s="43">
        <f t="shared" si="31"/>
        <v>1570.8000000000002</v>
      </c>
      <c r="P31" s="199">
        <v>13500</v>
      </c>
      <c r="Q31" s="199">
        <v>19.899999999999999</v>
      </c>
      <c r="R31" s="42">
        <f t="shared" si="32"/>
        <v>445799.8</v>
      </c>
      <c r="S31" s="62"/>
      <c r="T31" s="62"/>
      <c r="U31" s="62"/>
      <c r="V31" s="62"/>
      <c r="W31" s="62"/>
    </row>
    <row r="32" spans="1:23">
      <c r="A32" s="63"/>
      <c r="B32" s="67"/>
      <c r="C32" s="67"/>
      <c r="D32" s="67"/>
      <c r="E32" s="67"/>
      <c r="F32" s="67"/>
      <c r="G32" s="67"/>
      <c r="H32" s="67"/>
      <c r="I32" s="67"/>
      <c r="J32" s="67"/>
      <c r="K32" s="68"/>
      <c r="L32" s="68"/>
      <c r="M32" s="68"/>
      <c r="N32" s="68"/>
      <c r="O32" s="68"/>
      <c r="P32" s="67"/>
      <c r="Q32" s="62"/>
      <c r="R32" s="62"/>
      <c r="S32" s="62"/>
      <c r="T32" s="62"/>
      <c r="U32" s="62"/>
      <c r="V32" s="62"/>
      <c r="W32" s="62"/>
    </row>
    <row r="33" spans="1:23">
      <c r="A33" s="150" t="s">
        <v>2397</v>
      </c>
      <c r="B33" s="42" t="s">
        <v>2398</v>
      </c>
      <c r="C33" s="42" t="s">
        <v>88</v>
      </c>
      <c r="D33" s="42" t="s">
        <v>16</v>
      </c>
      <c r="E33" s="42" t="s">
        <v>2396</v>
      </c>
      <c r="F33" s="42">
        <v>181</v>
      </c>
      <c r="G33" s="42"/>
      <c r="H33" s="42">
        <v>16710</v>
      </c>
      <c r="I33" s="42">
        <v>334</v>
      </c>
      <c r="J33" s="42">
        <v>0.5</v>
      </c>
      <c r="K33" s="43">
        <f t="shared" ref="K33" si="34">I33*J33</f>
        <v>167</v>
      </c>
      <c r="L33" s="43">
        <f t="shared" ref="L33" si="35">H33-K33</f>
        <v>16543</v>
      </c>
      <c r="M33" s="43"/>
      <c r="N33" s="43">
        <f t="shared" ref="N33" si="36">L33-M33</f>
        <v>16543</v>
      </c>
      <c r="O33" s="43">
        <f t="shared" ref="O33" si="37">H33/1000*70</f>
        <v>1169.7</v>
      </c>
      <c r="P33" s="42"/>
      <c r="Q33" s="42">
        <v>20.3</v>
      </c>
      <c r="R33" s="42">
        <f t="shared" ref="R33" si="38">L33*Q33</f>
        <v>335822.9</v>
      </c>
      <c r="S33" s="62"/>
      <c r="T33" s="62"/>
      <c r="U33" s="62"/>
      <c r="V33" s="62"/>
      <c r="W33" s="62"/>
    </row>
    <row r="34" spans="1:23">
      <c r="A34" s="63"/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8"/>
      <c r="M34" s="68"/>
      <c r="N34" s="68"/>
      <c r="O34" s="68"/>
      <c r="P34" s="67"/>
      <c r="Q34" s="62"/>
      <c r="R34" s="62"/>
      <c r="S34" s="62"/>
      <c r="T34" s="62"/>
      <c r="U34" s="62"/>
      <c r="V34" s="62"/>
      <c r="W34" s="62"/>
    </row>
    <row r="35" spans="1:23">
      <c r="A35" s="374" t="s">
        <v>2536</v>
      </c>
      <c r="B35" s="42" t="s">
        <v>2543</v>
      </c>
      <c r="C35" s="42" t="s">
        <v>88</v>
      </c>
      <c r="D35" s="42" t="s">
        <v>16</v>
      </c>
      <c r="E35" s="42" t="s">
        <v>2537</v>
      </c>
      <c r="F35" s="42">
        <v>1969</v>
      </c>
      <c r="G35" s="42"/>
      <c r="H35" s="42">
        <v>15000</v>
      </c>
      <c r="I35" s="42">
        <v>300</v>
      </c>
      <c r="J35" s="42">
        <v>0.13</v>
      </c>
      <c r="K35" s="43">
        <f t="shared" ref="K35:K56" si="39">I35*J35</f>
        <v>39</v>
      </c>
      <c r="L35" s="43">
        <f t="shared" ref="L35:L56" si="40">H35-K35</f>
        <v>14961</v>
      </c>
      <c r="M35" s="43"/>
      <c r="N35" s="43">
        <f t="shared" ref="N35:N56" si="41">L35-M35</f>
        <v>14961</v>
      </c>
      <c r="O35" s="43">
        <f t="shared" ref="O35:O56" si="42">H35/1000*70</f>
        <v>1050</v>
      </c>
      <c r="P35" s="42">
        <v>9000</v>
      </c>
      <c r="Q35" s="42">
        <v>21.5</v>
      </c>
      <c r="R35" s="42">
        <f t="shared" ref="R35:R56" si="43">L35*Q35</f>
        <v>321661.5</v>
      </c>
      <c r="S35" s="62"/>
      <c r="T35" s="62"/>
      <c r="U35" s="62"/>
      <c r="V35" s="62"/>
      <c r="W35" s="62"/>
    </row>
    <row r="36" spans="1:23">
      <c r="A36" s="374"/>
      <c r="B36" s="42" t="s">
        <v>2543</v>
      </c>
      <c r="C36" s="42" t="s">
        <v>88</v>
      </c>
      <c r="D36" s="42" t="s">
        <v>16</v>
      </c>
      <c r="E36" s="42" t="s">
        <v>2538</v>
      </c>
      <c r="F36" s="42">
        <v>1974</v>
      </c>
      <c r="G36" s="42"/>
      <c r="H36" s="42">
        <v>14980</v>
      </c>
      <c r="I36" s="42">
        <v>300</v>
      </c>
      <c r="J36" s="42">
        <v>0.13</v>
      </c>
      <c r="K36" s="43">
        <f t="shared" si="39"/>
        <v>39</v>
      </c>
      <c r="L36" s="43">
        <f t="shared" si="40"/>
        <v>14941</v>
      </c>
      <c r="M36" s="43"/>
      <c r="N36" s="43">
        <f t="shared" si="41"/>
        <v>14941</v>
      </c>
      <c r="O36" s="43">
        <f t="shared" si="42"/>
        <v>1048.6000000000001</v>
      </c>
      <c r="P36" s="42">
        <v>9000</v>
      </c>
      <c r="Q36" s="42">
        <v>21.5</v>
      </c>
      <c r="R36" s="42">
        <f t="shared" si="43"/>
        <v>321231.5</v>
      </c>
      <c r="S36" s="62"/>
      <c r="T36" s="62"/>
      <c r="U36" s="62"/>
      <c r="V36" s="62"/>
      <c r="W36" s="62"/>
    </row>
    <row r="37" spans="1:23">
      <c r="A37" s="374"/>
      <c r="B37" s="42" t="s">
        <v>2543</v>
      </c>
      <c r="C37" s="42" t="s">
        <v>88</v>
      </c>
      <c r="D37" s="42" t="s">
        <v>16</v>
      </c>
      <c r="E37" s="42" t="s">
        <v>2539</v>
      </c>
      <c r="F37" s="42">
        <v>1973</v>
      </c>
      <c r="G37" s="42"/>
      <c r="H37" s="42">
        <v>14990</v>
      </c>
      <c r="I37" s="42">
        <v>300</v>
      </c>
      <c r="J37" s="42">
        <v>0.13</v>
      </c>
      <c r="K37" s="43">
        <f t="shared" si="39"/>
        <v>39</v>
      </c>
      <c r="L37" s="43">
        <f t="shared" si="40"/>
        <v>14951</v>
      </c>
      <c r="M37" s="43"/>
      <c r="N37" s="43">
        <f t="shared" si="41"/>
        <v>14951</v>
      </c>
      <c r="O37" s="43">
        <f t="shared" si="42"/>
        <v>1049.3</v>
      </c>
      <c r="P37" s="42">
        <v>9000</v>
      </c>
      <c r="Q37" s="42">
        <v>21.5</v>
      </c>
      <c r="R37" s="42">
        <f t="shared" si="43"/>
        <v>321446.5</v>
      </c>
      <c r="S37" s="62"/>
      <c r="T37" s="62"/>
      <c r="U37" s="62"/>
      <c r="V37" s="62"/>
      <c r="W37" s="62"/>
    </row>
    <row r="38" spans="1:23">
      <c r="A38" s="374"/>
      <c r="B38" s="42" t="s">
        <v>2543</v>
      </c>
      <c r="C38" s="42" t="s">
        <v>88</v>
      </c>
      <c r="D38" s="42" t="s">
        <v>16</v>
      </c>
      <c r="E38" s="42" t="s">
        <v>2540</v>
      </c>
      <c r="F38" s="42">
        <v>1968</v>
      </c>
      <c r="G38" s="42"/>
      <c r="H38" s="42">
        <v>14980</v>
      </c>
      <c r="I38" s="42">
        <v>300</v>
      </c>
      <c r="J38" s="42">
        <v>0.13</v>
      </c>
      <c r="K38" s="43">
        <f t="shared" si="39"/>
        <v>39</v>
      </c>
      <c r="L38" s="43">
        <f t="shared" si="40"/>
        <v>14941</v>
      </c>
      <c r="M38" s="43"/>
      <c r="N38" s="43">
        <f t="shared" si="41"/>
        <v>14941</v>
      </c>
      <c r="O38" s="43">
        <f t="shared" si="42"/>
        <v>1048.6000000000001</v>
      </c>
      <c r="P38" s="42">
        <v>9000</v>
      </c>
      <c r="Q38" s="42">
        <v>21.5</v>
      </c>
      <c r="R38" s="42">
        <f t="shared" si="43"/>
        <v>321231.5</v>
      </c>
      <c r="S38" s="62"/>
      <c r="T38" s="62"/>
      <c r="U38" s="62"/>
      <c r="V38" s="62"/>
      <c r="W38" s="62"/>
    </row>
    <row r="39" spans="1:23">
      <c r="A39" s="374"/>
      <c r="B39" s="42" t="s">
        <v>2543</v>
      </c>
      <c r="C39" s="42" t="s">
        <v>88</v>
      </c>
      <c r="D39" s="42" t="s">
        <v>16</v>
      </c>
      <c r="E39" s="42" t="s">
        <v>2541</v>
      </c>
      <c r="F39" s="42">
        <v>1975</v>
      </c>
      <c r="G39" s="42"/>
      <c r="H39" s="42">
        <v>14970</v>
      </c>
      <c r="I39" s="42">
        <v>300</v>
      </c>
      <c r="J39" s="42">
        <v>0.13</v>
      </c>
      <c r="K39" s="43">
        <f t="shared" si="39"/>
        <v>39</v>
      </c>
      <c r="L39" s="43">
        <f t="shared" si="40"/>
        <v>14931</v>
      </c>
      <c r="M39" s="43"/>
      <c r="N39" s="43">
        <f t="shared" si="41"/>
        <v>14931</v>
      </c>
      <c r="O39" s="43">
        <f t="shared" si="42"/>
        <v>1047.9000000000001</v>
      </c>
      <c r="P39" s="42">
        <v>9000</v>
      </c>
      <c r="Q39" s="42">
        <v>21.5</v>
      </c>
      <c r="R39" s="42">
        <f t="shared" si="43"/>
        <v>321016.5</v>
      </c>
      <c r="S39" s="62"/>
      <c r="T39" s="62"/>
      <c r="U39" s="62"/>
      <c r="V39" s="62"/>
      <c r="W39" s="62"/>
    </row>
    <row r="40" spans="1:23">
      <c r="A40" s="374"/>
      <c r="B40" s="42" t="s">
        <v>2543</v>
      </c>
      <c r="C40" s="42" t="s">
        <v>88</v>
      </c>
      <c r="D40" s="42" t="s">
        <v>16</v>
      </c>
      <c r="E40" s="42" t="s">
        <v>1574</v>
      </c>
      <c r="F40" s="42">
        <v>1970</v>
      </c>
      <c r="G40" s="42"/>
      <c r="H40" s="42">
        <v>14980</v>
      </c>
      <c r="I40" s="42">
        <v>300</v>
      </c>
      <c r="J40" s="42">
        <v>0.13</v>
      </c>
      <c r="K40" s="43">
        <f t="shared" si="39"/>
        <v>39</v>
      </c>
      <c r="L40" s="43">
        <f t="shared" si="40"/>
        <v>14941</v>
      </c>
      <c r="M40" s="43"/>
      <c r="N40" s="43">
        <f t="shared" si="41"/>
        <v>14941</v>
      </c>
      <c r="O40" s="43">
        <f t="shared" si="42"/>
        <v>1048.6000000000001</v>
      </c>
      <c r="P40" s="42">
        <v>9000</v>
      </c>
      <c r="Q40" s="42">
        <v>21.5</v>
      </c>
      <c r="R40" s="42">
        <f t="shared" si="43"/>
        <v>321231.5</v>
      </c>
      <c r="S40" s="62"/>
      <c r="T40" s="62"/>
      <c r="U40" s="62"/>
      <c r="V40" s="62"/>
      <c r="W40" s="62"/>
    </row>
    <row r="41" spans="1:23">
      <c r="A41" s="63" t="s">
        <v>2544</v>
      </c>
      <c r="B41" s="42" t="s">
        <v>2543</v>
      </c>
      <c r="C41" s="42" t="s">
        <v>88</v>
      </c>
      <c r="D41" s="42" t="s">
        <v>16</v>
      </c>
      <c r="E41" s="42" t="s">
        <v>2224</v>
      </c>
      <c r="F41" s="42">
        <v>1971</v>
      </c>
      <c r="G41" s="42"/>
      <c r="H41" s="42">
        <v>14990</v>
      </c>
      <c r="I41" s="42">
        <v>300</v>
      </c>
      <c r="J41" s="42">
        <v>0.13</v>
      </c>
      <c r="K41" s="43">
        <f t="shared" si="39"/>
        <v>39</v>
      </c>
      <c r="L41" s="43">
        <f t="shared" si="40"/>
        <v>14951</v>
      </c>
      <c r="M41" s="43"/>
      <c r="N41" s="43">
        <f t="shared" si="41"/>
        <v>14951</v>
      </c>
      <c r="O41" s="43">
        <f t="shared" si="42"/>
        <v>1049.3</v>
      </c>
      <c r="P41" s="42">
        <v>9000</v>
      </c>
      <c r="Q41" s="42">
        <v>21.5</v>
      </c>
      <c r="R41" s="42">
        <f t="shared" si="43"/>
        <v>321446.5</v>
      </c>
      <c r="S41" s="62"/>
      <c r="T41" s="62"/>
      <c r="U41" s="62"/>
      <c r="V41" s="62"/>
      <c r="W41" s="62"/>
    </row>
    <row r="42" spans="1:23">
      <c r="A42" s="374" t="s">
        <v>2553</v>
      </c>
      <c r="B42" s="42" t="s">
        <v>2543</v>
      </c>
      <c r="C42" s="42" t="s">
        <v>88</v>
      </c>
      <c r="D42" s="42" t="s">
        <v>16</v>
      </c>
      <c r="E42" s="42" t="s">
        <v>2554</v>
      </c>
      <c r="F42" s="42">
        <v>110</v>
      </c>
      <c r="G42" s="42"/>
      <c r="H42" s="42">
        <v>20000</v>
      </c>
      <c r="I42" s="42">
        <v>400</v>
      </c>
      <c r="J42" s="42">
        <v>0.13</v>
      </c>
      <c r="K42" s="43">
        <f t="shared" si="39"/>
        <v>52</v>
      </c>
      <c r="L42" s="43">
        <f t="shared" si="40"/>
        <v>19948</v>
      </c>
      <c r="M42" s="43"/>
      <c r="N42" s="43">
        <f t="shared" si="41"/>
        <v>19948</v>
      </c>
      <c r="O42" s="43">
        <f t="shared" si="42"/>
        <v>1400</v>
      </c>
      <c r="P42" s="42">
        <v>11000</v>
      </c>
      <c r="Q42" s="42">
        <v>21.5</v>
      </c>
      <c r="R42" s="42">
        <f t="shared" si="43"/>
        <v>428882</v>
      </c>
      <c r="S42" s="62"/>
      <c r="T42" s="62"/>
      <c r="U42" s="62"/>
      <c r="V42" s="62"/>
      <c r="W42" s="62"/>
    </row>
    <row r="43" spans="1:23">
      <c r="A43" s="374"/>
      <c r="B43" s="42" t="s">
        <v>2543</v>
      </c>
      <c r="C43" s="42" t="s">
        <v>88</v>
      </c>
      <c r="D43" s="42" t="s">
        <v>16</v>
      </c>
      <c r="E43" s="42" t="s">
        <v>2555</v>
      </c>
      <c r="F43" s="42">
        <v>111</v>
      </c>
      <c r="G43" s="42"/>
      <c r="H43" s="42">
        <v>15000</v>
      </c>
      <c r="I43" s="42">
        <v>300</v>
      </c>
      <c r="J43" s="42">
        <v>0.13</v>
      </c>
      <c r="K43" s="43">
        <f t="shared" si="39"/>
        <v>39</v>
      </c>
      <c r="L43" s="43">
        <f t="shared" si="40"/>
        <v>14961</v>
      </c>
      <c r="M43" s="43"/>
      <c r="N43" s="43">
        <f t="shared" si="41"/>
        <v>14961</v>
      </c>
      <c r="O43" s="43">
        <f t="shared" si="42"/>
        <v>1050</v>
      </c>
      <c r="P43" s="42">
        <v>9000</v>
      </c>
      <c r="Q43" s="42">
        <v>21.5</v>
      </c>
      <c r="R43" s="42">
        <f t="shared" si="43"/>
        <v>321661.5</v>
      </c>
      <c r="S43" s="62"/>
      <c r="T43" s="62"/>
      <c r="U43" s="62"/>
      <c r="V43" s="62"/>
      <c r="W43" s="62"/>
    </row>
    <row r="44" spans="1:23">
      <c r="A44" s="63" t="s">
        <v>2556</v>
      </c>
      <c r="B44" s="42" t="s">
        <v>2543</v>
      </c>
      <c r="C44" s="42" t="s">
        <v>88</v>
      </c>
      <c r="D44" s="42" t="s">
        <v>16</v>
      </c>
      <c r="E44" s="42" t="s">
        <v>2495</v>
      </c>
      <c r="F44" s="42">
        <v>1980</v>
      </c>
      <c r="G44" s="42"/>
      <c r="H44" s="42">
        <v>15000</v>
      </c>
      <c r="I44" s="42">
        <v>300</v>
      </c>
      <c r="J44" s="42">
        <v>0.13</v>
      </c>
      <c r="K44" s="43">
        <f t="shared" si="39"/>
        <v>39</v>
      </c>
      <c r="L44" s="43">
        <f t="shared" si="40"/>
        <v>14961</v>
      </c>
      <c r="M44" s="43"/>
      <c r="N44" s="43">
        <f t="shared" si="41"/>
        <v>14961</v>
      </c>
      <c r="O44" s="43">
        <f t="shared" si="42"/>
        <v>1050</v>
      </c>
      <c r="P44" s="42">
        <v>9000</v>
      </c>
      <c r="Q44" s="42">
        <v>21.5</v>
      </c>
      <c r="R44" s="42">
        <f t="shared" si="43"/>
        <v>321661.5</v>
      </c>
      <c r="S44" s="62"/>
      <c r="T44" s="62"/>
      <c r="U44" s="62"/>
      <c r="V44" s="62"/>
      <c r="W44" s="62"/>
    </row>
    <row r="45" spans="1:23">
      <c r="A45" s="374" t="s">
        <v>2557</v>
      </c>
      <c r="B45" s="42" t="s">
        <v>2543</v>
      </c>
      <c r="C45" s="42" t="s">
        <v>88</v>
      </c>
      <c r="D45" s="42" t="s">
        <v>16</v>
      </c>
      <c r="E45" s="42" t="s">
        <v>2496</v>
      </c>
      <c r="F45" s="42">
        <v>1984</v>
      </c>
      <c r="G45" s="42"/>
      <c r="H45" s="42">
        <v>14980</v>
      </c>
      <c r="I45" s="42">
        <v>300</v>
      </c>
      <c r="J45" s="42">
        <v>0.13</v>
      </c>
      <c r="K45" s="43">
        <f t="shared" si="39"/>
        <v>39</v>
      </c>
      <c r="L45" s="43">
        <f t="shared" si="40"/>
        <v>14941</v>
      </c>
      <c r="M45" s="43"/>
      <c r="N45" s="43">
        <f t="shared" si="41"/>
        <v>14941</v>
      </c>
      <c r="O45" s="43">
        <f t="shared" si="42"/>
        <v>1048.6000000000001</v>
      </c>
      <c r="P45" s="42">
        <v>9000</v>
      </c>
      <c r="Q45" s="42">
        <v>21.5</v>
      </c>
      <c r="R45" s="42">
        <f t="shared" si="43"/>
        <v>321231.5</v>
      </c>
      <c r="S45" s="62"/>
      <c r="T45" s="62"/>
      <c r="U45" s="62"/>
      <c r="V45" s="62"/>
      <c r="W45" s="62"/>
    </row>
    <row r="46" spans="1:23">
      <c r="A46" s="374"/>
      <c r="B46" s="42" t="s">
        <v>2543</v>
      </c>
      <c r="C46" s="42" t="s">
        <v>88</v>
      </c>
      <c r="D46" s="42" t="s">
        <v>16</v>
      </c>
      <c r="E46" s="42" t="s">
        <v>2562</v>
      </c>
      <c r="F46" s="42">
        <v>1983</v>
      </c>
      <c r="G46" s="42"/>
      <c r="H46" s="42">
        <v>19990</v>
      </c>
      <c r="I46" s="42">
        <v>400</v>
      </c>
      <c r="J46" s="42">
        <v>0.13</v>
      </c>
      <c r="K46" s="43">
        <f t="shared" si="39"/>
        <v>52</v>
      </c>
      <c r="L46" s="43">
        <f t="shared" si="40"/>
        <v>19938</v>
      </c>
      <c r="M46" s="43"/>
      <c r="N46" s="43">
        <f t="shared" si="41"/>
        <v>19938</v>
      </c>
      <c r="O46" s="43">
        <f t="shared" si="42"/>
        <v>1399.3</v>
      </c>
      <c r="P46" s="42">
        <v>11000</v>
      </c>
      <c r="Q46" s="42">
        <v>21.5</v>
      </c>
      <c r="R46" s="42">
        <f t="shared" si="43"/>
        <v>428667</v>
      </c>
      <c r="S46" s="62"/>
      <c r="T46" s="62"/>
      <c r="U46" s="62"/>
      <c r="V46" s="62"/>
      <c r="W46" s="62"/>
    </row>
    <row r="47" spans="1:23">
      <c r="A47" s="63" t="s">
        <v>2567</v>
      </c>
      <c r="B47" s="42" t="s">
        <v>2543</v>
      </c>
      <c r="C47" s="42" t="s">
        <v>88</v>
      </c>
      <c r="D47" s="42" t="s">
        <v>16</v>
      </c>
      <c r="E47" s="42" t="s">
        <v>2495</v>
      </c>
      <c r="F47" s="42">
        <v>1985</v>
      </c>
      <c r="G47" s="42"/>
      <c r="H47" s="42">
        <v>14980</v>
      </c>
      <c r="I47" s="42">
        <v>300</v>
      </c>
      <c r="J47" s="42">
        <v>0.13</v>
      </c>
      <c r="K47" s="43">
        <f t="shared" si="39"/>
        <v>39</v>
      </c>
      <c r="L47" s="43">
        <f t="shared" si="40"/>
        <v>14941</v>
      </c>
      <c r="M47" s="43"/>
      <c r="N47" s="43">
        <f t="shared" si="41"/>
        <v>14941</v>
      </c>
      <c r="O47" s="43">
        <f t="shared" si="42"/>
        <v>1048.6000000000001</v>
      </c>
      <c r="P47" s="42">
        <v>9000</v>
      </c>
      <c r="Q47" s="42">
        <v>21.5</v>
      </c>
      <c r="R47" s="42">
        <f t="shared" si="43"/>
        <v>321231.5</v>
      </c>
      <c r="S47" s="62"/>
      <c r="T47" s="62"/>
      <c r="U47" s="62"/>
      <c r="V47" s="62"/>
      <c r="W47" s="62"/>
    </row>
    <row r="48" spans="1:23">
      <c r="A48" s="150" t="s">
        <v>2627</v>
      </c>
      <c r="B48" s="42" t="s">
        <v>864</v>
      </c>
      <c r="C48" s="42" t="s">
        <v>88</v>
      </c>
      <c r="D48" s="42" t="s">
        <v>16</v>
      </c>
      <c r="E48" s="42" t="s">
        <v>2554</v>
      </c>
      <c r="F48" s="42">
        <v>617</v>
      </c>
      <c r="G48" s="42"/>
      <c r="H48" s="42">
        <v>20000</v>
      </c>
      <c r="I48" s="42">
        <v>400</v>
      </c>
      <c r="J48" s="42">
        <v>0.13</v>
      </c>
      <c r="K48" s="43">
        <f t="shared" si="39"/>
        <v>52</v>
      </c>
      <c r="L48" s="43">
        <f t="shared" si="40"/>
        <v>19948</v>
      </c>
      <c r="M48" s="43"/>
      <c r="N48" s="43">
        <f t="shared" si="41"/>
        <v>19948</v>
      </c>
      <c r="O48" s="43">
        <f t="shared" si="42"/>
        <v>1400</v>
      </c>
      <c r="P48" s="42">
        <v>11500</v>
      </c>
      <c r="Q48" s="42">
        <v>21.5</v>
      </c>
      <c r="R48" s="42">
        <f t="shared" si="43"/>
        <v>428882</v>
      </c>
      <c r="S48" s="62"/>
      <c r="T48" s="62"/>
      <c r="U48" s="62"/>
      <c r="V48" s="62"/>
      <c r="W48" s="62"/>
    </row>
    <row r="49" spans="1:23">
      <c r="A49" s="374" t="s">
        <v>2674</v>
      </c>
      <c r="B49" s="42" t="s">
        <v>2675</v>
      </c>
      <c r="C49" s="42" t="s">
        <v>88</v>
      </c>
      <c r="D49" s="42" t="s">
        <v>16</v>
      </c>
      <c r="E49" s="42" t="s">
        <v>1280</v>
      </c>
      <c r="F49" s="42">
        <v>5914</v>
      </c>
      <c r="G49" s="42"/>
      <c r="H49" s="42">
        <v>23805</v>
      </c>
      <c r="I49" s="42">
        <v>490</v>
      </c>
      <c r="J49" s="42">
        <v>0.13</v>
      </c>
      <c r="K49" s="43">
        <f t="shared" si="39"/>
        <v>63.7</v>
      </c>
      <c r="L49" s="43">
        <f t="shared" si="40"/>
        <v>23741.3</v>
      </c>
      <c r="M49" s="43"/>
      <c r="N49" s="43">
        <f t="shared" si="41"/>
        <v>23741.3</v>
      </c>
      <c r="O49" s="43">
        <f t="shared" si="42"/>
        <v>1666.35</v>
      </c>
      <c r="P49" s="42">
        <v>12000</v>
      </c>
      <c r="Q49" s="42">
        <v>21.5</v>
      </c>
      <c r="R49" s="42">
        <f t="shared" si="43"/>
        <v>510437.95</v>
      </c>
      <c r="S49" s="62"/>
      <c r="T49" s="62"/>
      <c r="U49" s="62"/>
      <c r="V49" s="62"/>
      <c r="W49" s="62"/>
    </row>
    <row r="50" spans="1:23">
      <c r="A50" s="374"/>
      <c r="B50" s="42" t="s">
        <v>2675</v>
      </c>
      <c r="C50" s="42" t="s">
        <v>88</v>
      </c>
      <c r="D50" s="42" t="s">
        <v>16</v>
      </c>
      <c r="E50" s="42" t="s">
        <v>2676</v>
      </c>
      <c r="F50" s="42">
        <v>5915</v>
      </c>
      <c r="G50" s="42"/>
      <c r="H50" s="42">
        <v>22640</v>
      </c>
      <c r="I50" s="42">
        <v>450</v>
      </c>
      <c r="J50" s="42">
        <v>0.13</v>
      </c>
      <c r="K50" s="43">
        <f t="shared" si="39"/>
        <v>58.5</v>
      </c>
      <c r="L50" s="43">
        <f t="shared" si="40"/>
        <v>22581.5</v>
      </c>
      <c r="M50" s="43"/>
      <c r="N50" s="43">
        <f t="shared" si="41"/>
        <v>22581.5</v>
      </c>
      <c r="O50" s="43">
        <f t="shared" si="42"/>
        <v>1584.8</v>
      </c>
      <c r="P50" s="42">
        <v>12000</v>
      </c>
      <c r="Q50" s="42">
        <v>21.5</v>
      </c>
      <c r="R50" s="42">
        <f t="shared" si="43"/>
        <v>485502.25</v>
      </c>
      <c r="S50" s="62"/>
      <c r="T50" s="62"/>
      <c r="U50" s="62"/>
      <c r="V50" s="62"/>
      <c r="W50" s="62"/>
    </row>
    <row r="51" spans="1:23">
      <c r="A51" s="374" t="s">
        <v>2684</v>
      </c>
      <c r="B51" s="42" t="s">
        <v>684</v>
      </c>
      <c r="C51" s="42" t="s">
        <v>88</v>
      </c>
      <c r="D51" s="42" t="s">
        <v>16</v>
      </c>
      <c r="E51" s="42" t="s">
        <v>1280</v>
      </c>
      <c r="F51" s="42">
        <v>503</v>
      </c>
      <c r="G51" s="42"/>
      <c r="H51" s="42">
        <v>20000</v>
      </c>
      <c r="I51" s="42">
        <v>400</v>
      </c>
      <c r="J51" s="42">
        <v>0.13</v>
      </c>
      <c r="K51" s="43">
        <f t="shared" si="39"/>
        <v>52</v>
      </c>
      <c r="L51" s="43">
        <f t="shared" si="40"/>
        <v>19948</v>
      </c>
      <c r="M51" s="43"/>
      <c r="N51" s="43">
        <f t="shared" si="41"/>
        <v>19948</v>
      </c>
      <c r="O51" s="43">
        <f t="shared" si="42"/>
        <v>1400</v>
      </c>
      <c r="P51" s="42">
        <v>13000</v>
      </c>
      <c r="Q51" s="42">
        <v>21.5</v>
      </c>
      <c r="R51" s="42">
        <f t="shared" si="43"/>
        <v>428882</v>
      </c>
      <c r="S51" s="62"/>
      <c r="T51" s="62"/>
      <c r="U51" s="62"/>
      <c r="V51" s="62"/>
      <c r="W51" s="62"/>
    </row>
    <row r="52" spans="1:23">
      <c r="A52" s="374"/>
      <c r="B52" s="42" t="s">
        <v>684</v>
      </c>
      <c r="C52" s="42" t="s">
        <v>88</v>
      </c>
      <c r="D52" s="42" t="s">
        <v>16</v>
      </c>
      <c r="E52" s="42" t="s">
        <v>2595</v>
      </c>
      <c r="F52" s="42">
        <v>502</v>
      </c>
      <c r="G52" s="42"/>
      <c r="H52" s="42">
        <v>20000</v>
      </c>
      <c r="I52" s="42">
        <v>400</v>
      </c>
      <c r="J52" s="42">
        <v>0.13</v>
      </c>
      <c r="K52" s="43">
        <f t="shared" si="39"/>
        <v>52</v>
      </c>
      <c r="L52" s="43">
        <f t="shared" si="40"/>
        <v>19948</v>
      </c>
      <c r="M52" s="43"/>
      <c r="N52" s="43">
        <f t="shared" si="41"/>
        <v>19948</v>
      </c>
      <c r="O52" s="43">
        <f t="shared" si="42"/>
        <v>1400</v>
      </c>
      <c r="P52" s="42">
        <v>13000</v>
      </c>
      <c r="Q52" s="42">
        <v>21.5</v>
      </c>
      <c r="R52" s="42">
        <f t="shared" si="43"/>
        <v>428882</v>
      </c>
      <c r="S52" s="62"/>
      <c r="T52" s="62"/>
      <c r="U52" s="62"/>
      <c r="V52" s="62"/>
      <c r="W52" s="62"/>
    </row>
    <row r="53" spans="1:23">
      <c r="A53" s="63" t="s">
        <v>2687</v>
      </c>
      <c r="B53" s="42" t="s">
        <v>684</v>
      </c>
      <c r="C53" s="42" t="s">
        <v>88</v>
      </c>
      <c r="D53" s="42" t="s">
        <v>16</v>
      </c>
      <c r="E53" s="42" t="s">
        <v>1784</v>
      </c>
      <c r="F53" s="42">
        <v>12827</v>
      </c>
      <c r="G53" s="42"/>
      <c r="H53" s="42">
        <v>630</v>
      </c>
      <c r="I53" s="42">
        <v>12</v>
      </c>
      <c r="J53" s="42">
        <v>0.13</v>
      </c>
      <c r="K53" s="43">
        <f t="shared" si="39"/>
        <v>1.56</v>
      </c>
      <c r="L53" s="43">
        <f t="shared" si="40"/>
        <v>628.44000000000005</v>
      </c>
      <c r="M53" s="43"/>
      <c r="N53" s="43">
        <f t="shared" si="41"/>
        <v>628.44000000000005</v>
      </c>
      <c r="O53" s="43">
        <f t="shared" si="42"/>
        <v>44.1</v>
      </c>
      <c r="P53" s="42">
        <v>0</v>
      </c>
      <c r="Q53" s="42">
        <v>21.5</v>
      </c>
      <c r="R53" s="42">
        <f t="shared" si="43"/>
        <v>13511.460000000001</v>
      </c>
      <c r="S53" s="62"/>
      <c r="T53" s="62"/>
      <c r="U53" s="62"/>
      <c r="V53" s="62"/>
      <c r="W53" s="62"/>
    </row>
    <row r="54" spans="1:23">
      <c r="A54" s="374" t="s">
        <v>2690</v>
      </c>
      <c r="B54" s="42" t="s">
        <v>684</v>
      </c>
      <c r="C54" s="42" t="s">
        <v>88</v>
      </c>
      <c r="D54" s="42" t="s">
        <v>16</v>
      </c>
      <c r="E54" s="42" t="s">
        <v>1736</v>
      </c>
      <c r="F54" s="42">
        <v>638</v>
      </c>
      <c r="G54" s="42"/>
      <c r="H54" s="42">
        <v>20000</v>
      </c>
      <c r="I54" s="42">
        <v>400</v>
      </c>
      <c r="J54" s="42">
        <v>0.13</v>
      </c>
      <c r="K54" s="43">
        <f t="shared" si="39"/>
        <v>52</v>
      </c>
      <c r="L54" s="43">
        <f t="shared" si="40"/>
        <v>19948</v>
      </c>
      <c r="M54" s="43"/>
      <c r="N54" s="43">
        <f t="shared" si="41"/>
        <v>19948</v>
      </c>
      <c r="O54" s="43">
        <f t="shared" si="42"/>
        <v>1400</v>
      </c>
      <c r="P54" s="42">
        <v>11000</v>
      </c>
      <c r="Q54" s="42">
        <v>21.5</v>
      </c>
      <c r="R54" s="42">
        <f t="shared" si="43"/>
        <v>428882</v>
      </c>
      <c r="S54" s="62"/>
      <c r="T54" s="62"/>
      <c r="U54" s="62"/>
      <c r="V54" s="62"/>
      <c r="W54" s="62"/>
    </row>
    <row r="55" spans="1:23">
      <c r="A55" s="374"/>
      <c r="B55" s="42" t="s">
        <v>684</v>
      </c>
      <c r="C55" s="42" t="s">
        <v>88</v>
      </c>
      <c r="D55" s="42" t="s">
        <v>16</v>
      </c>
      <c r="E55" s="42" t="s">
        <v>1736</v>
      </c>
      <c r="F55" s="42">
        <v>638</v>
      </c>
      <c r="G55" s="42"/>
      <c r="H55" s="42">
        <v>19980</v>
      </c>
      <c r="I55" s="42">
        <v>400</v>
      </c>
      <c r="J55" s="42">
        <v>0.13</v>
      </c>
      <c r="K55" s="43">
        <f t="shared" si="39"/>
        <v>52</v>
      </c>
      <c r="L55" s="43">
        <f t="shared" si="40"/>
        <v>19928</v>
      </c>
      <c r="M55" s="43"/>
      <c r="N55" s="43">
        <f t="shared" si="41"/>
        <v>19928</v>
      </c>
      <c r="O55" s="43">
        <f t="shared" si="42"/>
        <v>1398.6000000000001</v>
      </c>
      <c r="P55" s="42">
        <v>11000</v>
      </c>
      <c r="Q55" s="42">
        <v>21.5</v>
      </c>
      <c r="R55" s="42">
        <f t="shared" si="43"/>
        <v>428452</v>
      </c>
      <c r="S55" s="62"/>
      <c r="T55" s="62"/>
      <c r="U55" s="62"/>
      <c r="V55" s="62"/>
      <c r="W55" s="62"/>
    </row>
    <row r="56" spans="1:23">
      <c r="A56" s="374"/>
      <c r="B56" s="42" t="s">
        <v>684</v>
      </c>
      <c r="C56" s="42" t="s">
        <v>88</v>
      </c>
      <c r="D56" s="42" t="s">
        <v>16</v>
      </c>
      <c r="E56" s="42" t="s">
        <v>2565</v>
      </c>
      <c r="F56" s="42">
        <v>641</v>
      </c>
      <c r="G56" s="42"/>
      <c r="H56" s="42">
        <v>15000</v>
      </c>
      <c r="I56" s="42">
        <v>300</v>
      </c>
      <c r="J56" s="42">
        <v>0.13</v>
      </c>
      <c r="K56" s="43">
        <f t="shared" si="39"/>
        <v>39</v>
      </c>
      <c r="L56" s="43">
        <f t="shared" si="40"/>
        <v>14961</v>
      </c>
      <c r="M56" s="43"/>
      <c r="N56" s="43">
        <f t="shared" si="41"/>
        <v>14961</v>
      </c>
      <c r="O56" s="43">
        <f t="shared" si="42"/>
        <v>1050</v>
      </c>
      <c r="P56" s="42">
        <v>9000</v>
      </c>
      <c r="Q56" s="42">
        <v>21.5</v>
      </c>
      <c r="R56" s="42">
        <f t="shared" si="43"/>
        <v>321661.5</v>
      </c>
      <c r="S56" s="62"/>
      <c r="T56" s="62"/>
      <c r="U56" s="62"/>
      <c r="V56" s="62"/>
      <c r="W56" s="62"/>
    </row>
    <row r="57" spans="1:23">
      <c r="A57" s="63"/>
      <c r="B57" s="67"/>
      <c r="C57" s="67"/>
      <c r="D57" s="67"/>
      <c r="E57" s="67"/>
      <c r="F57" s="67"/>
      <c r="G57" s="67"/>
      <c r="H57" s="67"/>
      <c r="I57" s="67"/>
      <c r="J57" s="67"/>
      <c r="K57" s="68"/>
      <c r="L57" s="68"/>
      <c r="M57" s="68"/>
      <c r="N57" s="68"/>
      <c r="O57" s="68"/>
      <c r="P57" s="67"/>
      <c r="Q57" s="67"/>
      <c r="R57" s="67"/>
      <c r="S57" s="62"/>
      <c r="T57" s="62"/>
      <c r="U57" s="62"/>
      <c r="V57" s="62"/>
      <c r="W57" s="62"/>
    </row>
    <row r="58" spans="1:23">
      <c r="A58" s="63" t="s">
        <v>2727</v>
      </c>
      <c r="B58" s="42" t="s">
        <v>684</v>
      </c>
      <c r="C58" s="42" t="s">
        <v>88</v>
      </c>
      <c r="D58" s="42" t="s">
        <v>16</v>
      </c>
      <c r="E58" s="42" t="s">
        <v>2730</v>
      </c>
      <c r="F58" s="42">
        <v>815</v>
      </c>
      <c r="G58" s="42"/>
      <c r="H58" s="42">
        <v>19980</v>
      </c>
      <c r="I58" s="42">
        <v>400</v>
      </c>
      <c r="J58" s="42">
        <v>0.13</v>
      </c>
      <c r="K58" s="43">
        <f t="shared" ref="K58" si="44">I58*J58</f>
        <v>52</v>
      </c>
      <c r="L58" s="43">
        <f t="shared" ref="L58" si="45">H58-K58</f>
        <v>19928</v>
      </c>
      <c r="M58" s="43"/>
      <c r="N58" s="43">
        <f t="shared" ref="N58" si="46">L58-M58</f>
        <v>19928</v>
      </c>
      <c r="O58" s="43">
        <f t="shared" ref="O58" si="47">H58/1000*70</f>
        <v>1398.6000000000001</v>
      </c>
      <c r="P58" s="42">
        <v>11000</v>
      </c>
      <c r="Q58" s="42">
        <v>20.8</v>
      </c>
      <c r="R58" s="42">
        <f t="shared" ref="R58" si="48">L58*Q58</f>
        <v>414502.40000000002</v>
      </c>
      <c r="S58" s="62"/>
      <c r="T58" s="62"/>
      <c r="U58" s="62"/>
      <c r="V58" s="62"/>
      <c r="W58" s="62"/>
    </row>
    <row r="59" spans="1:23">
      <c r="A59" s="63"/>
      <c r="B59" s="67"/>
      <c r="C59" s="67"/>
      <c r="D59" s="67"/>
      <c r="E59" s="67"/>
      <c r="F59" s="67"/>
      <c r="G59" s="67"/>
      <c r="H59" s="67"/>
      <c r="I59" s="67"/>
      <c r="J59" s="67"/>
      <c r="K59" s="68"/>
      <c r="L59" s="68"/>
      <c r="M59" s="68"/>
      <c r="N59" s="68"/>
      <c r="O59" s="68"/>
      <c r="P59" s="67"/>
      <c r="Q59" s="67"/>
      <c r="R59" s="67"/>
      <c r="S59" s="62"/>
      <c r="T59" s="62"/>
      <c r="U59" s="62"/>
      <c r="V59" s="62"/>
      <c r="W59" s="62"/>
    </row>
    <row r="60" spans="1:23">
      <c r="A60" s="63" t="s">
        <v>3017</v>
      </c>
      <c r="B60" s="42" t="s">
        <v>3018</v>
      </c>
      <c r="C60" s="42" t="s">
        <v>88</v>
      </c>
      <c r="D60" s="42" t="s">
        <v>16</v>
      </c>
      <c r="E60" s="42" t="s">
        <v>3019</v>
      </c>
      <c r="F60" s="42">
        <v>0</v>
      </c>
      <c r="G60" s="42"/>
      <c r="H60" s="42">
        <v>19920</v>
      </c>
      <c r="I60" s="42">
        <v>498</v>
      </c>
      <c r="J60" s="42">
        <v>0.13</v>
      </c>
      <c r="K60" s="43">
        <f t="shared" ref="K60" si="49">I60*J60</f>
        <v>64.740000000000009</v>
      </c>
      <c r="L60" s="43">
        <f t="shared" ref="L60" si="50">H60-K60</f>
        <v>19855.259999999998</v>
      </c>
      <c r="M60" s="43"/>
      <c r="N60" s="43">
        <f t="shared" ref="N60" si="51">L60-M60</f>
        <v>19855.259999999998</v>
      </c>
      <c r="O60" s="43">
        <f t="shared" ref="O60" si="52">H60/1000*70</f>
        <v>1394.4</v>
      </c>
      <c r="P60" s="42">
        <v>17000</v>
      </c>
      <c r="Q60" s="42">
        <v>17.5</v>
      </c>
      <c r="R60" s="42">
        <f t="shared" ref="R60" si="53">L60*Q60</f>
        <v>347467.05</v>
      </c>
      <c r="S60" s="62"/>
      <c r="T60" s="62"/>
      <c r="U60" s="62"/>
      <c r="V60" s="62"/>
      <c r="W60" s="62"/>
    </row>
    <row r="61" spans="1:23">
      <c r="A61" s="63"/>
      <c r="B61" s="67"/>
      <c r="C61" s="67"/>
      <c r="D61" s="67"/>
      <c r="E61" s="67"/>
      <c r="F61" s="67"/>
      <c r="G61" s="67"/>
      <c r="H61" s="67"/>
      <c r="I61" s="67"/>
      <c r="J61" s="67"/>
      <c r="K61" s="68"/>
      <c r="L61" s="68"/>
      <c r="M61" s="68"/>
      <c r="N61" s="68"/>
      <c r="O61" s="68"/>
      <c r="P61" s="67"/>
      <c r="Q61" s="67"/>
      <c r="R61" s="67"/>
      <c r="S61" s="62"/>
      <c r="T61" s="62"/>
      <c r="U61" s="62"/>
      <c r="V61" s="62"/>
      <c r="W61" s="62"/>
    </row>
    <row r="62" spans="1:23">
      <c r="A62" s="374" t="s">
        <v>3080</v>
      </c>
      <c r="B62" s="42" t="s">
        <v>3081</v>
      </c>
      <c r="C62" s="42" t="s">
        <v>88</v>
      </c>
      <c r="D62" s="42" t="s">
        <v>16</v>
      </c>
      <c r="E62" s="42" t="s">
        <v>3082</v>
      </c>
      <c r="F62" s="42">
        <v>843</v>
      </c>
      <c r="G62" s="42"/>
      <c r="H62" s="42">
        <v>14740</v>
      </c>
      <c r="I62" s="42">
        <v>250</v>
      </c>
      <c r="J62" s="42">
        <v>0.5</v>
      </c>
      <c r="K62" s="43">
        <f t="shared" ref="K62:K71" si="54">I62*J62</f>
        <v>125</v>
      </c>
      <c r="L62" s="43">
        <f t="shared" ref="L62:L71" si="55">H62-K62</f>
        <v>14615</v>
      </c>
      <c r="M62" s="43"/>
      <c r="N62" s="43">
        <f t="shared" ref="N62:N71" si="56">L62-M62</f>
        <v>14615</v>
      </c>
      <c r="O62" s="43">
        <f t="shared" ref="O62:O71" si="57">H62/1000*70</f>
        <v>1031.8</v>
      </c>
      <c r="P62" s="42">
        <v>15000</v>
      </c>
      <c r="Q62" s="42">
        <v>17.5</v>
      </c>
      <c r="R62" s="42">
        <f t="shared" ref="R62:R71" si="58">L62*Q62</f>
        <v>255762.5</v>
      </c>
      <c r="S62" s="62"/>
      <c r="T62" s="62"/>
      <c r="U62" s="62"/>
      <c r="V62" s="62"/>
      <c r="W62" s="62"/>
    </row>
    <row r="63" spans="1:23">
      <c r="A63" s="374"/>
      <c r="B63" s="42" t="s">
        <v>3081</v>
      </c>
      <c r="C63" s="42" t="s">
        <v>88</v>
      </c>
      <c r="D63" s="42" t="s">
        <v>16</v>
      </c>
      <c r="E63" s="42" t="s">
        <v>3083</v>
      </c>
      <c r="F63" s="42">
        <v>845</v>
      </c>
      <c r="G63" s="42"/>
      <c r="H63" s="42">
        <v>15550</v>
      </c>
      <c r="I63" s="42">
        <v>270</v>
      </c>
      <c r="J63" s="42">
        <v>0.5</v>
      </c>
      <c r="K63" s="43">
        <f t="shared" si="54"/>
        <v>135</v>
      </c>
      <c r="L63" s="43">
        <f t="shared" si="55"/>
        <v>15415</v>
      </c>
      <c r="M63" s="43"/>
      <c r="N63" s="43">
        <f t="shared" si="56"/>
        <v>15415</v>
      </c>
      <c r="O63" s="43">
        <f t="shared" si="57"/>
        <v>1088.5</v>
      </c>
      <c r="P63" s="42">
        <v>15800</v>
      </c>
      <c r="Q63" s="42">
        <v>17.5</v>
      </c>
      <c r="R63" s="42">
        <f t="shared" si="58"/>
        <v>269762.5</v>
      </c>
      <c r="S63" s="62"/>
      <c r="T63" s="62"/>
      <c r="U63" s="62"/>
      <c r="V63" s="62"/>
      <c r="W63" s="62"/>
    </row>
    <row r="64" spans="1:23">
      <c r="A64" s="63" t="s">
        <v>3106</v>
      </c>
      <c r="B64" s="42" t="s">
        <v>3108</v>
      </c>
      <c r="C64" s="42" t="s">
        <v>88</v>
      </c>
      <c r="D64" s="42" t="s">
        <v>16</v>
      </c>
      <c r="E64" s="42" t="s">
        <v>3107</v>
      </c>
      <c r="F64" s="42">
        <v>4025</v>
      </c>
      <c r="G64" s="42"/>
      <c r="H64" s="42">
        <v>22360</v>
      </c>
      <c r="I64" s="42">
        <v>373</v>
      </c>
      <c r="J64" s="42">
        <v>0.5</v>
      </c>
      <c r="K64" s="43">
        <f t="shared" si="54"/>
        <v>186.5</v>
      </c>
      <c r="L64" s="43">
        <f t="shared" si="55"/>
        <v>22173.5</v>
      </c>
      <c r="M64" s="43"/>
      <c r="N64" s="43">
        <f t="shared" si="56"/>
        <v>22173.5</v>
      </c>
      <c r="O64" s="43">
        <f t="shared" si="57"/>
        <v>1565.2</v>
      </c>
      <c r="P64" s="42">
        <v>16500</v>
      </c>
      <c r="Q64" s="42">
        <v>17.5</v>
      </c>
      <c r="R64" s="42">
        <f t="shared" si="58"/>
        <v>388036.25</v>
      </c>
      <c r="S64" s="62"/>
      <c r="T64" s="62"/>
      <c r="U64" s="62"/>
      <c r="V64" s="62"/>
      <c r="W64" s="62"/>
    </row>
    <row r="65" spans="1:23">
      <c r="A65" s="63" t="s">
        <v>3154</v>
      </c>
      <c r="B65" s="42" t="s">
        <v>684</v>
      </c>
      <c r="C65" s="42" t="s">
        <v>88</v>
      </c>
      <c r="D65" s="42" t="s">
        <v>16</v>
      </c>
      <c r="E65" s="42" t="s">
        <v>3134</v>
      </c>
      <c r="F65" s="42">
        <v>530</v>
      </c>
      <c r="G65" s="42"/>
      <c r="H65" s="42">
        <v>15800</v>
      </c>
      <c r="I65" s="42">
        <v>265</v>
      </c>
      <c r="J65" s="42">
        <v>0.13</v>
      </c>
      <c r="K65" s="43">
        <f t="shared" si="54"/>
        <v>34.450000000000003</v>
      </c>
      <c r="L65" s="43">
        <f t="shared" si="55"/>
        <v>15765.55</v>
      </c>
      <c r="M65" s="43">
        <f>L65*1.5%</f>
        <v>236.48324999999997</v>
      </c>
      <c r="N65" s="43">
        <f t="shared" si="56"/>
        <v>15529.06675</v>
      </c>
      <c r="O65" s="43">
        <f t="shared" si="57"/>
        <v>1106</v>
      </c>
      <c r="P65" s="42">
        <v>11200</v>
      </c>
      <c r="Q65" s="42">
        <v>17.5</v>
      </c>
      <c r="R65" s="42">
        <f t="shared" si="58"/>
        <v>275897.125</v>
      </c>
      <c r="S65" s="62"/>
      <c r="T65" s="62"/>
      <c r="U65" s="62"/>
      <c r="V65" s="62"/>
      <c r="W65" s="62"/>
    </row>
    <row r="66" spans="1:23">
      <c r="A66" s="150" t="s">
        <v>3183</v>
      </c>
      <c r="B66" s="42" t="s">
        <v>684</v>
      </c>
      <c r="C66" s="42" t="s">
        <v>88</v>
      </c>
      <c r="D66" s="42" t="s">
        <v>16</v>
      </c>
      <c r="E66" s="42" t="s">
        <v>3186</v>
      </c>
      <c r="F66" s="42">
        <v>0</v>
      </c>
      <c r="G66" s="42"/>
      <c r="H66" s="42">
        <v>21080</v>
      </c>
      <c r="I66" s="42">
        <v>350</v>
      </c>
      <c r="J66" s="42">
        <v>0.13</v>
      </c>
      <c r="K66" s="43">
        <f t="shared" si="54"/>
        <v>45.5</v>
      </c>
      <c r="L66" s="43">
        <f t="shared" si="55"/>
        <v>21034.5</v>
      </c>
      <c r="M66" s="43"/>
      <c r="N66" s="43">
        <f t="shared" si="56"/>
        <v>21034.5</v>
      </c>
      <c r="O66" s="43">
        <f t="shared" si="57"/>
        <v>1475.6</v>
      </c>
      <c r="P66" s="42">
        <v>23400</v>
      </c>
      <c r="Q66" s="42">
        <v>17</v>
      </c>
      <c r="R66" s="42">
        <f t="shared" si="58"/>
        <v>357586.5</v>
      </c>
      <c r="S66" s="62"/>
      <c r="T66" s="62"/>
      <c r="U66" s="62"/>
      <c r="V66" s="62"/>
      <c r="W66" s="62"/>
    </row>
    <row r="67" spans="1:23">
      <c r="A67" s="150" t="s">
        <v>3217</v>
      </c>
      <c r="B67" s="42" t="s">
        <v>3221</v>
      </c>
      <c r="C67" s="42" t="s">
        <v>88</v>
      </c>
      <c r="D67" s="42" t="s">
        <v>16</v>
      </c>
      <c r="E67" s="42" t="s">
        <v>3222</v>
      </c>
      <c r="F67" s="42">
        <v>501</v>
      </c>
      <c r="G67" s="42"/>
      <c r="H67" s="42">
        <v>15290</v>
      </c>
      <c r="I67" s="42">
        <v>257</v>
      </c>
      <c r="J67" s="42">
        <v>0.5</v>
      </c>
      <c r="K67" s="43">
        <f t="shared" si="54"/>
        <v>128.5</v>
      </c>
      <c r="L67" s="43">
        <f t="shared" si="55"/>
        <v>15161.5</v>
      </c>
      <c r="M67" s="43"/>
      <c r="N67" s="43">
        <f t="shared" si="56"/>
        <v>15161.5</v>
      </c>
      <c r="O67" s="43">
        <f t="shared" si="57"/>
        <v>1070.3</v>
      </c>
      <c r="P67" s="42">
        <v>22500</v>
      </c>
      <c r="Q67" s="42">
        <v>17</v>
      </c>
      <c r="R67" s="42">
        <f t="shared" si="58"/>
        <v>257745.5</v>
      </c>
      <c r="S67" s="62"/>
      <c r="T67" s="62"/>
      <c r="U67" s="62"/>
      <c r="V67" s="62"/>
      <c r="W67" s="62"/>
    </row>
    <row r="68" spans="1:23">
      <c r="A68" s="374" t="s">
        <v>3438</v>
      </c>
      <c r="B68" s="42" t="s">
        <v>3441</v>
      </c>
      <c r="C68" s="42" t="s">
        <v>88</v>
      </c>
      <c r="D68" s="42" t="s">
        <v>16</v>
      </c>
      <c r="E68" s="47" t="s">
        <v>3439</v>
      </c>
      <c r="F68" s="47">
        <v>629</v>
      </c>
      <c r="G68" s="47"/>
      <c r="H68" s="47">
        <v>19180</v>
      </c>
      <c r="I68" s="47">
        <v>275</v>
      </c>
      <c r="J68" s="47">
        <v>0.13</v>
      </c>
      <c r="K68" s="43">
        <f t="shared" si="54"/>
        <v>35.75</v>
      </c>
      <c r="L68" s="43">
        <f t="shared" si="55"/>
        <v>19144.25</v>
      </c>
      <c r="M68" s="43"/>
      <c r="N68" s="43">
        <f t="shared" si="56"/>
        <v>19144.25</v>
      </c>
      <c r="O68" s="43">
        <f t="shared" si="57"/>
        <v>1342.6</v>
      </c>
      <c r="P68" s="42">
        <v>11500</v>
      </c>
      <c r="Q68" s="42">
        <v>20</v>
      </c>
      <c r="R68" s="42">
        <f t="shared" si="58"/>
        <v>382885</v>
      </c>
      <c r="S68" s="42"/>
      <c r="T68" s="62"/>
      <c r="U68" s="62"/>
      <c r="V68" s="62"/>
      <c r="W68" s="62"/>
    </row>
    <row r="69" spans="1:23">
      <c r="A69" s="374"/>
      <c r="B69" s="42" t="s">
        <v>3441</v>
      </c>
      <c r="C69" s="42" t="s">
        <v>88</v>
      </c>
      <c r="D69" s="42" t="s">
        <v>16</v>
      </c>
      <c r="E69" s="47" t="s">
        <v>3440</v>
      </c>
      <c r="F69" s="47">
        <v>633</v>
      </c>
      <c r="G69" s="47"/>
      <c r="H69" s="47">
        <v>21430</v>
      </c>
      <c r="I69" s="47">
        <v>315</v>
      </c>
      <c r="J69" s="47">
        <v>0.13</v>
      </c>
      <c r="K69" s="43">
        <f t="shared" si="54"/>
        <v>40.950000000000003</v>
      </c>
      <c r="L69" s="43">
        <f t="shared" si="55"/>
        <v>21389.05</v>
      </c>
      <c r="M69" s="43"/>
      <c r="N69" s="43">
        <f t="shared" si="56"/>
        <v>21389.05</v>
      </c>
      <c r="O69" s="43">
        <f t="shared" si="57"/>
        <v>1500.1</v>
      </c>
      <c r="P69" s="42">
        <v>11500</v>
      </c>
      <c r="Q69" s="42">
        <v>20</v>
      </c>
      <c r="R69" s="42">
        <f t="shared" si="58"/>
        <v>427781</v>
      </c>
      <c r="S69" s="48"/>
      <c r="T69" s="62"/>
      <c r="U69" s="62"/>
      <c r="V69" s="62"/>
      <c r="W69" s="62"/>
    </row>
    <row r="70" spans="1:23">
      <c r="A70" s="374" t="s">
        <v>3454</v>
      </c>
      <c r="B70" s="42" t="s">
        <v>3441</v>
      </c>
      <c r="C70" s="42" t="s">
        <v>88</v>
      </c>
      <c r="D70" s="42" t="s">
        <v>16</v>
      </c>
      <c r="E70" s="47" t="s">
        <v>2927</v>
      </c>
      <c r="F70" s="47">
        <v>645</v>
      </c>
      <c r="G70" s="47"/>
      <c r="H70" s="47">
        <v>20940</v>
      </c>
      <c r="I70" s="47">
        <v>304</v>
      </c>
      <c r="J70" s="47">
        <v>0.13</v>
      </c>
      <c r="K70" s="43">
        <f t="shared" si="54"/>
        <v>39.520000000000003</v>
      </c>
      <c r="L70" s="43">
        <f t="shared" si="55"/>
        <v>20900.48</v>
      </c>
      <c r="M70" s="43"/>
      <c r="N70" s="43">
        <f t="shared" si="56"/>
        <v>20900.48</v>
      </c>
      <c r="O70" s="43">
        <f t="shared" si="57"/>
        <v>1465.8000000000002</v>
      </c>
      <c r="P70" s="42">
        <v>13000</v>
      </c>
      <c r="Q70" s="42">
        <v>20</v>
      </c>
      <c r="R70" s="42">
        <f t="shared" si="58"/>
        <v>418009.59999999998</v>
      </c>
      <c r="S70" s="62"/>
      <c r="T70" s="62"/>
      <c r="U70" s="62"/>
      <c r="V70" s="62"/>
      <c r="W70" s="62"/>
    </row>
    <row r="71" spans="1:23">
      <c r="A71" s="374"/>
      <c r="B71" s="42" t="s">
        <v>3441</v>
      </c>
      <c r="C71" s="42" t="s">
        <v>88</v>
      </c>
      <c r="D71" s="42" t="s">
        <v>16</v>
      </c>
      <c r="E71" s="47" t="s">
        <v>3455</v>
      </c>
      <c r="F71" s="47">
        <v>419</v>
      </c>
      <c r="G71" s="47"/>
      <c r="H71" s="47">
        <v>18780</v>
      </c>
      <c r="I71" s="47">
        <v>235</v>
      </c>
      <c r="J71" s="47">
        <v>0.13</v>
      </c>
      <c r="K71" s="43">
        <f t="shared" si="54"/>
        <v>30.55</v>
      </c>
      <c r="L71" s="43">
        <f t="shared" si="55"/>
        <v>18749.45</v>
      </c>
      <c r="M71" s="43"/>
      <c r="N71" s="43">
        <f t="shared" si="56"/>
        <v>18749.45</v>
      </c>
      <c r="O71" s="43">
        <f t="shared" si="57"/>
        <v>1314.6000000000001</v>
      </c>
      <c r="P71" s="42">
        <v>12000</v>
      </c>
      <c r="Q71" s="42">
        <v>20</v>
      </c>
      <c r="R71" s="42">
        <f t="shared" si="58"/>
        <v>374989</v>
      </c>
      <c r="S71" s="62"/>
      <c r="T71" s="62"/>
      <c r="U71" s="62"/>
      <c r="V71" s="62"/>
      <c r="W71" s="62"/>
    </row>
    <row r="72" spans="1:23">
      <c r="A72" s="62"/>
      <c r="B72" s="67"/>
      <c r="C72" s="67"/>
      <c r="D72" s="67"/>
      <c r="E72" s="67"/>
      <c r="F72" s="67"/>
      <c r="G72" s="67"/>
      <c r="H72" s="67"/>
      <c r="I72" s="67"/>
      <c r="J72" s="67"/>
      <c r="K72" s="67"/>
      <c r="L72" s="68"/>
      <c r="M72" s="68"/>
      <c r="N72" s="68"/>
      <c r="O72" s="68"/>
      <c r="P72" s="67"/>
      <c r="Q72" s="67"/>
      <c r="R72" s="67"/>
      <c r="S72" s="62"/>
      <c r="T72" s="62"/>
      <c r="U72" s="62"/>
      <c r="V72" s="62"/>
      <c r="W72" s="62"/>
    </row>
    <row r="73" spans="1:23">
      <c r="A73" s="63" t="s">
        <v>3461</v>
      </c>
      <c r="B73" s="42" t="s">
        <v>3441</v>
      </c>
      <c r="C73" s="42" t="s">
        <v>88</v>
      </c>
      <c r="D73" s="42" t="s">
        <v>16</v>
      </c>
      <c r="E73" s="47" t="s">
        <v>3463</v>
      </c>
      <c r="F73" s="47">
        <v>278</v>
      </c>
      <c r="G73" s="47"/>
      <c r="H73" s="47">
        <v>19070</v>
      </c>
      <c r="I73" s="47">
        <v>236</v>
      </c>
      <c r="J73" s="47">
        <v>0.13</v>
      </c>
      <c r="K73" s="43">
        <f t="shared" ref="K73" si="59">I73*J73</f>
        <v>30.68</v>
      </c>
      <c r="L73" s="43">
        <f t="shared" ref="L73" si="60">H73-K73</f>
        <v>19039.32</v>
      </c>
      <c r="M73" s="43">
        <f>L73*0.7%</f>
        <v>133.27524</v>
      </c>
      <c r="N73" s="43">
        <f t="shared" ref="N73" si="61">L73-M73</f>
        <v>18906.044760000001</v>
      </c>
      <c r="O73" s="43">
        <f t="shared" ref="O73" si="62">H73/1000*70</f>
        <v>1334.9</v>
      </c>
      <c r="P73" s="42">
        <v>11500</v>
      </c>
      <c r="Q73" s="42">
        <v>20</v>
      </c>
      <c r="R73" s="42">
        <f t="shared" ref="R73" si="63">L73*Q73</f>
        <v>380786.4</v>
      </c>
      <c r="S73" s="62"/>
      <c r="T73" s="62"/>
      <c r="U73" s="62"/>
      <c r="V73" s="62"/>
      <c r="W73" s="62"/>
    </row>
    <row r="74" spans="1:23">
      <c r="A74" s="63"/>
      <c r="B74" s="67"/>
      <c r="C74" s="67"/>
      <c r="D74" s="67"/>
      <c r="E74" s="67"/>
      <c r="F74" s="67"/>
      <c r="G74" s="67"/>
      <c r="H74" s="67"/>
      <c r="I74" s="67"/>
      <c r="J74" s="67"/>
      <c r="K74" s="67"/>
      <c r="L74" s="68"/>
      <c r="M74" s="68"/>
      <c r="N74" s="68"/>
      <c r="O74" s="68"/>
      <c r="P74" s="67"/>
      <c r="Q74" s="67"/>
      <c r="R74" s="67"/>
      <c r="S74" s="62"/>
      <c r="T74" s="62"/>
      <c r="U74" s="62"/>
      <c r="V74" s="62"/>
      <c r="W74" s="62"/>
    </row>
    <row r="75" spans="1:23">
      <c r="A75" s="63"/>
      <c r="B75" s="67"/>
      <c r="C75" s="67"/>
      <c r="D75" s="67"/>
      <c r="E75" s="67"/>
      <c r="F75" s="67"/>
      <c r="G75" s="67"/>
      <c r="H75" s="67"/>
      <c r="I75" s="67"/>
      <c r="J75" s="67"/>
      <c r="K75" s="67"/>
      <c r="L75" s="68"/>
      <c r="M75" s="68"/>
      <c r="N75" s="68"/>
      <c r="O75" s="68"/>
      <c r="P75" s="67"/>
      <c r="Q75" s="67"/>
      <c r="R75" s="67"/>
      <c r="S75" s="62"/>
      <c r="T75" s="62"/>
      <c r="U75" s="62"/>
      <c r="V75" s="62"/>
      <c r="W75" s="62"/>
    </row>
    <row r="76" spans="1:23">
      <c r="A76" s="374" t="s">
        <v>3631</v>
      </c>
      <c r="B76" s="42" t="s">
        <v>3629</v>
      </c>
      <c r="C76" s="42" t="s">
        <v>88</v>
      </c>
      <c r="D76" s="42" t="s">
        <v>16</v>
      </c>
      <c r="E76" s="47" t="s">
        <v>3612</v>
      </c>
      <c r="F76" s="47">
        <v>7802</v>
      </c>
      <c r="G76" s="47">
        <v>2612</v>
      </c>
      <c r="H76" s="47">
        <v>16070</v>
      </c>
      <c r="I76" s="47">
        <v>296</v>
      </c>
      <c r="J76" s="47">
        <v>0.5</v>
      </c>
      <c r="K76" s="43">
        <v>148</v>
      </c>
      <c r="L76" s="43">
        <v>15922</v>
      </c>
      <c r="M76" s="43"/>
      <c r="N76" s="43">
        <v>15922</v>
      </c>
      <c r="O76" s="43">
        <v>1124.9000000000001</v>
      </c>
      <c r="P76" s="42">
        <v>25000</v>
      </c>
      <c r="Q76" s="42">
        <v>20</v>
      </c>
      <c r="R76" s="42">
        <v>318440</v>
      </c>
      <c r="S76" s="62"/>
      <c r="T76" s="62"/>
      <c r="U76" s="62"/>
      <c r="V76" s="62"/>
      <c r="W76" s="62"/>
    </row>
    <row r="77" spans="1:23">
      <c r="A77" s="374"/>
      <c r="B77" s="42" t="s">
        <v>3629</v>
      </c>
      <c r="C77" s="42" t="s">
        <v>88</v>
      </c>
      <c r="D77" s="42" t="s">
        <v>16</v>
      </c>
      <c r="E77" s="47" t="s">
        <v>3613</v>
      </c>
      <c r="F77" s="47">
        <v>7803</v>
      </c>
      <c r="G77" s="47">
        <v>2613</v>
      </c>
      <c r="H77" s="47">
        <v>16210</v>
      </c>
      <c r="I77" s="47">
        <v>296</v>
      </c>
      <c r="J77" s="47">
        <v>0.5</v>
      </c>
      <c r="K77" s="43">
        <v>148</v>
      </c>
      <c r="L77" s="43">
        <v>16062</v>
      </c>
      <c r="M77" s="43"/>
      <c r="N77" s="43">
        <v>16062</v>
      </c>
      <c r="O77" s="43">
        <v>1134.7</v>
      </c>
      <c r="P77" s="42">
        <v>25000</v>
      </c>
      <c r="Q77" s="42">
        <v>20</v>
      </c>
      <c r="R77" s="42">
        <v>321240</v>
      </c>
      <c r="S77" s="62"/>
      <c r="T77" s="62"/>
      <c r="U77" s="62"/>
      <c r="V77" s="62"/>
      <c r="W77" s="62"/>
    </row>
    <row r="78" spans="1:23">
      <c r="A78" s="374" t="s">
        <v>3632</v>
      </c>
      <c r="B78" s="42" t="s">
        <v>3629</v>
      </c>
      <c r="C78" s="42" t="s">
        <v>88</v>
      </c>
      <c r="D78" s="42" t="s">
        <v>16</v>
      </c>
      <c r="E78" s="47" t="s">
        <v>3619</v>
      </c>
      <c r="F78" s="47">
        <v>10622</v>
      </c>
      <c r="G78" s="47">
        <v>2618</v>
      </c>
      <c r="H78" s="47">
        <v>15900</v>
      </c>
      <c r="I78" s="47">
        <v>274</v>
      </c>
      <c r="J78" s="47">
        <v>0.5</v>
      </c>
      <c r="K78" s="43">
        <v>137</v>
      </c>
      <c r="L78" s="43">
        <v>15763</v>
      </c>
      <c r="M78" s="43"/>
      <c r="N78" s="43">
        <v>15763</v>
      </c>
      <c r="O78" s="43">
        <v>1113</v>
      </c>
      <c r="P78" s="42">
        <v>11000</v>
      </c>
      <c r="Q78" s="42">
        <v>20</v>
      </c>
      <c r="R78" s="42">
        <v>315260</v>
      </c>
      <c r="S78" s="62"/>
      <c r="T78" s="62"/>
      <c r="U78" s="62"/>
      <c r="V78" s="62"/>
      <c r="W78" s="62"/>
    </row>
    <row r="79" spans="1:23">
      <c r="A79" s="374"/>
      <c r="B79" s="42" t="s">
        <v>3629</v>
      </c>
      <c r="C79" s="42" t="s">
        <v>88</v>
      </c>
      <c r="D79" s="42" t="s">
        <v>16</v>
      </c>
      <c r="E79" s="47" t="s">
        <v>3620</v>
      </c>
      <c r="F79" s="47">
        <v>11708</v>
      </c>
      <c r="G79" s="47">
        <v>2619</v>
      </c>
      <c r="H79" s="47">
        <v>15470</v>
      </c>
      <c r="I79" s="47">
        <v>282</v>
      </c>
      <c r="J79" s="47">
        <v>0.5</v>
      </c>
      <c r="K79" s="43">
        <v>141</v>
      </c>
      <c r="L79" s="43">
        <v>15329</v>
      </c>
      <c r="M79" s="43"/>
      <c r="N79" s="43">
        <v>15329</v>
      </c>
      <c r="O79" s="43">
        <v>1082.9000000000001</v>
      </c>
      <c r="P79" s="42">
        <v>6000</v>
      </c>
      <c r="Q79" s="42">
        <v>20</v>
      </c>
      <c r="R79" s="42">
        <v>306580</v>
      </c>
      <c r="S79" s="62"/>
      <c r="T79" s="62"/>
      <c r="U79" s="62"/>
      <c r="V79" s="62"/>
      <c r="W79" s="62"/>
    </row>
    <row r="80" spans="1:23">
      <c r="A80" s="374"/>
      <c r="B80" s="42" t="s">
        <v>3629</v>
      </c>
      <c r="C80" s="42" t="s">
        <v>88</v>
      </c>
      <c r="D80" s="42" t="s">
        <v>16</v>
      </c>
      <c r="E80" s="47" t="s">
        <v>3622</v>
      </c>
      <c r="F80" s="47">
        <v>5894</v>
      </c>
      <c r="G80" s="47">
        <v>2621</v>
      </c>
      <c r="H80" s="47">
        <v>16680</v>
      </c>
      <c r="I80" s="47">
        <v>278</v>
      </c>
      <c r="J80" s="47">
        <v>0.5</v>
      </c>
      <c r="K80" s="43">
        <v>139</v>
      </c>
      <c r="L80" s="43">
        <v>16541</v>
      </c>
      <c r="M80" s="43"/>
      <c r="N80" s="43">
        <v>16541</v>
      </c>
      <c r="O80" s="43">
        <v>1167.5999999999999</v>
      </c>
      <c r="P80" s="42">
        <v>18300</v>
      </c>
      <c r="Q80" s="42">
        <v>20</v>
      </c>
      <c r="R80" s="42">
        <v>330820</v>
      </c>
      <c r="S80" s="62"/>
      <c r="T80" s="62"/>
      <c r="U80" s="62"/>
      <c r="V80" s="62"/>
      <c r="W80" s="62"/>
    </row>
    <row r="81" spans="1:23">
      <c r="A81" s="374"/>
      <c r="B81" s="42" t="s">
        <v>3629</v>
      </c>
      <c r="C81" s="42" t="s">
        <v>88</v>
      </c>
      <c r="D81" s="42" t="s">
        <v>16</v>
      </c>
      <c r="E81" s="47" t="s">
        <v>3623</v>
      </c>
      <c r="F81" s="47">
        <v>5895</v>
      </c>
      <c r="G81" s="47">
        <v>2622</v>
      </c>
      <c r="H81" s="47">
        <v>17090</v>
      </c>
      <c r="I81" s="47">
        <v>287</v>
      </c>
      <c r="J81" s="47">
        <v>0.5</v>
      </c>
      <c r="K81" s="43">
        <v>143.5</v>
      </c>
      <c r="L81" s="43">
        <v>16946.5</v>
      </c>
      <c r="M81" s="43"/>
      <c r="N81" s="43">
        <v>16946.5</v>
      </c>
      <c r="O81" s="43">
        <v>1196.3</v>
      </c>
      <c r="P81" s="42">
        <v>16100</v>
      </c>
      <c r="Q81" s="42">
        <v>20</v>
      </c>
      <c r="R81" s="42">
        <v>338930</v>
      </c>
      <c r="S81" s="62"/>
      <c r="T81" s="62"/>
      <c r="U81" s="62"/>
      <c r="V81" s="62"/>
      <c r="W81" s="62"/>
    </row>
    <row r="82" spans="1:23">
      <c r="A82" s="62" t="s">
        <v>3995</v>
      </c>
      <c r="B82" s="348" t="s">
        <v>3999</v>
      </c>
      <c r="C82" s="348" t="s">
        <v>88</v>
      </c>
      <c r="D82" s="42" t="s">
        <v>16</v>
      </c>
      <c r="E82" s="348" t="s">
        <v>4000</v>
      </c>
      <c r="F82" s="348">
        <v>77</v>
      </c>
      <c r="G82" s="348"/>
      <c r="H82" s="348">
        <v>17090</v>
      </c>
      <c r="I82" s="348">
        <v>257</v>
      </c>
      <c r="J82" s="348">
        <v>0.13</v>
      </c>
      <c r="K82" s="43">
        <f t="shared" ref="K82:K83" si="64">I82*J82</f>
        <v>33.410000000000004</v>
      </c>
      <c r="L82" s="43">
        <f t="shared" ref="L82:L83" si="65">H82-K82</f>
        <v>17056.59</v>
      </c>
      <c r="M82" s="43"/>
      <c r="N82" s="43">
        <f t="shared" ref="N82:N83" si="66">L82-M82</f>
        <v>17056.59</v>
      </c>
      <c r="O82" s="43">
        <f t="shared" ref="O82:O83" si="67">H82/1000*70</f>
        <v>1196.3</v>
      </c>
      <c r="P82" s="42">
        <v>9700</v>
      </c>
      <c r="Q82" s="42"/>
      <c r="R82" s="42">
        <f t="shared" ref="R82:R83" si="68">L82*Q82</f>
        <v>0</v>
      </c>
      <c r="S82" s="62"/>
      <c r="T82" s="62"/>
      <c r="U82" s="62"/>
      <c r="V82" s="62"/>
      <c r="W82" s="62"/>
    </row>
    <row r="83" spans="1:23">
      <c r="A83" s="63" t="s">
        <v>4062</v>
      </c>
      <c r="B83" s="359" t="s">
        <v>4063</v>
      </c>
      <c r="C83" s="359" t="s">
        <v>88</v>
      </c>
      <c r="D83" s="42" t="s">
        <v>16</v>
      </c>
      <c r="E83" s="359" t="s">
        <v>4064</v>
      </c>
      <c r="F83" s="359">
        <v>47</v>
      </c>
      <c r="G83" s="359"/>
      <c r="H83" s="359">
        <v>16505</v>
      </c>
      <c r="I83" s="359">
        <v>240</v>
      </c>
      <c r="J83" s="359">
        <v>0.13</v>
      </c>
      <c r="K83" s="43">
        <f t="shared" si="64"/>
        <v>31.200000000000003</v>
      </c>
      <c r="L83" s="43">
        <f t="shared" si="65"/>
        <v>16473.8</v>
      </c>
      <c r="M83" s="43"/>
      <c r="N83" s="43">
        <f t="shared" si="66"/>
        <v>16473.8</v>
      </c>
      <c r="O83" s="43">
        <f t="shared" si="67"/>
        <v>1155.3499999999999</v>
      </c>
      <c r="P83" s="42">
        <v>12000</v>
      </c>
      <c r="Q83" s="42"/>
      <c r="R83" s="42">
        <f t="shared" si="68"/>
        <v>0</v>
      </c>
      <c r="S83" s="85"/>
      <c r="T83" s="62"/>
      <c r="U83" s="62"/>
      <c r="V83" s="62"/>
      <c r="W83" s="62"/>
    </row>
    <row r="84" spans="1:23">
      <c r="A84" s="63"/>
      <c r="B84" s="142"/>
      <c r="C84" s="142"/>
      <c r="D84" s="67"/>
      <c r="E84" s="67"/>
      <c r="F84" s="67"/>
      <c r="G84" s="67"/>
      <c r="H84" s="67"/>
      <c r="I84" s="67"/>
      <c r="J84" s="67"/>
      <c r="K84" s="67"/>
      <c r="L84" s="68"/>
      <c r="M84" s="68"/>
      <c r="N84" s="68"/>
      <c r="O84" s="68"/>
      <c r="P84" s="67"/>
      <c r="Q84" s="67"/>
      <c r="R84" s="67"/>
      <c r="S84" s="62"/>
      <c r="T84" s="62"/>
      <c r="U84" s="62"/>
      <c r="V84" s="62"/>
      <c r="W84" s="62"/>
    </row>
    <row r="85" spans="1:23">
      <c r="A85" s="63"/>
      <c r="B85" s="142"/>
      <c r="C85" s="142"/>
      <c r="D85" s="67"/>
      <c r="E85" s="67"/>
      <c r="F85" s="67"/>
      <c r="G85" s="67"/>
      <c r="H85" s="67"/>
      <c r="I85" s="67"/>
      <c r="J85" s="67"/>
      <c r="K85" s="67"/>
      <c r="L85" s="68"/>
      <c r="M85" s="68"/>
      <c r="N85" s="68"/>
      <c r="O85" s="68"/>
      <c r="P85" s="67"/>
      <c r="Q85" s="67"/>
      <c r="R85" s="67"/>
      <c r="S85" s="62"/>
      <c r="T85" s="62"/>
      <c r="U85" s="62"/>
      <c r="V85" s="62"/>
      <c r="W85" s="62"/>
    </row>
    <row r="86" spans="1:23">
      <c r="A86" s="63"/>
      <c r="B86" s="142"/>
      <c r="C86" s="142"/>
      <c r="D86" s="67"/>
      <c r="E86" s="67"/>
      <c r="F86" s="67"/>
      <c r="G86" s="67"/>
      <c r="H86" s="67"/>
      <c r="I86" s="67"/>
      <c r="J86" s="67"/>
      <c r="K86" s="67"/>
      <c r="L86" s="68"/>
      <c r="M86" s="68"/>
      <c r="N86" s="68"/>
      <c r="O86" s="68"/>
      <c r="P86" s="67"/>
      <c r="Q86" s="67"/>
      <c r="R86" s="67"/>
      <c r="S86" s="62"/>
      <c r="T86" s="62"/>
      <c r="U86" s="62"/>
      <c r="V86" s="62"/>
      <c r="W86" s="62"/>
    </row>
    <row r="87" spans="1:23">
      <c r="A87" s="63"/>
      <c r="B87" s="142"/>
      <c r="C87" s="142"/>
      <c r="D87" s="67"/>
      <c r="E87" s="67"/>
      <c r="F87" s="67"/>
      <c r="G87" s="67"/>
      <c r="H87" s="67"/>
      <c r="I87" s="67"/>
      <c r="J87" s="67"/>
      <c r="K87" s="67"/>
      <c r="L87" s="68"/>
      <c r="M87" s="68"/>
      <c r="N87" s="68"/>
      <c r="O87" s="68"/>
      <c r="P87" s="67"/>
      <c r="Q87" s="67"/>
      <c r="R87" s="67"/>
      <c r="S87" s="62"/>
      <c r="T87" s="62"/>
      <c r="U87" s="62"/>
      <c r="V87" s="62"/>
      <c r="W87" s="62"/>
    </row>
    <row r="88" spans="1:23">
      <c r="A88" s="63"/>
      <c r="B88" s="142"/>
      <c r="C88" s="142"/>
      <c r="D88" s="67"/>
      <c r="E88" s="67"/>
      <c r="F88" s="67"/>
      <c r="G88" s="67"/>
      <c r="H88" s="67"/>
      <c r="I88" s="67"/>
      <c r="J88" s="67"/>
      <c r="K88" s="67"/>
      <c r="L88" s="68"/>
      <c r="M88" s="68"/>
      <c r="N88" s="68"/>
      <c r="O88" s="68"/>
      <c r="P88" s="67"/>
      <c r="Q88" s="67"/>
      <c r="R88" s="67"/>
      <c r="S88" s="62"/>
      <c r="T88" s="62"/>
      <c r="U88" s="62"/>
      <c r="V88" s="62"/>
      <c r="W88" s="62"/>
    </row>
    <row r="89" spans="1:23">
      <c r="A89" s="63"/>
      <c r="B89" s="142"/>
      <c r="C89" s="142"/>
      <c r="D89" s="67"/>
      <c r="E89" s="67"/>
      <c r="F89" s="67"/>
      <c r="G89" s="67"/>
      <c r="H89" s="67"/>
      <c r="I89" s="67"/>
      <c r="J89" s="67"/>
      <c r="K89" s="67"/>
      <c r="L89" s="68"/>
      <c r="M89" s="68"/>
      <c r="N89" s="68"/>
      <c r="O89" s="68"/>
      <c r="P89" s="67"/>
      <c r="Q89" s="67"/>
      <c r="R89" s="67"/>
      <c r="S89" s="62"/>
      <c r="T89" s="62"/>
      <c r="U89" s="62"/>
      <c r="V89" s="62"/>
      <c r="W89" s="62"/>
    </row>
    <row r="90" spans="1:23">
      <c r="A90" s="63"/>
      <c r="B90" s="142"/>
      <c r="C90" s="142"/>
      <c r="D90" s="67"/>
      <c r="E90" s="67"/>
      <c r="F90" s="67"/>
      <c r="G90" s="67"/>
      <c r="H90" s="67"/>
      <c r="I90" s="67"/>
      <c r="J90" s="67"/>
      <c r="K90" s="67"/>
      <c r="L90" s="68"/>
      <c r="M90" s="68"/>
      <c r="N90" s="68"/>
      <c r="O90" s="68"/>
      <c r="P90" s="67"/>
      <c r="Q90" s="67"/>
      <c r="R90" s="67"/>
      <c r="S90" s="62"/>
      <c r="T90" s="62"/>
      <c r="U90" s="62"/>
      <c r="V90" s="62"/>
      <c r="W90" s="62"/>
    </row>
    <row r="91" spans="1:23">
      <c r="A91" s="63"/>
      <c r="B91" s="142"/>
      <c r="C91" s="142"/>
      <c r="D91" s="67"/>
      <c r="E91" s="67"/>
      <c r="F91" s="67"/>
      <c r="G91" s="67"/>
      <c r="H91" s="67"/>
      <c r="I91" s="67"/>
      <c r="J91" s="67"/>
      <c r="K91" s="67"/>
      <c r="L91" s="68"/>
      <c r="M91" s="68"/>
      <c r="N91" s="68"/>
      <c r="O91" s="68"/>
      <c r="P91" s="67"/>
      <c r="Q91" s="67"/>
      <c r="R91" s="67"/>
      <c r="S91" s="62"/>
      <c r="T91" s="62"/>
      <c r="U91" s="62"/>
      <c r="V91" s="62"/>
      <c r="W91" s="62"/>
    </row>
    <row r="92" spans="1:23">
      <c r="A92" s="63"/>
      <c r="B92" s="142"/>
      <c r="C92" s="142"/>
      <c r="D92" s="67"/>
      <c r="E92" s="67"/>
      <c r="F92" s="67"/>
      <c r="G92" s="67"/>
      <c r="H92" s="67"/>
      <c r="I92" s="67"/>
      <c r="J92" s="67"/>
      <c r="K92" s="67"/>
      <c r="L92" s="68"/>
      <c r="M92" s="68"/>
      <c r="N92" s="68"/>
      <c r="O92" s="68"/>
      <c r="P92" s="67"/>
      <c r="Q92" s="67"/>
      <c r="R92" s="67"/>
      <c r="S92" s="62"/>
      <c r="T92" s="62"/>
      <c r="U92" s="62"/>
      <c r="V92" s="62"/>
      <c r="W92" s="62"/>
    </row>
    <row r="93" spans="1:23">
      <c r="A93" s="63"/>
      <c r="B93" s="142"/>
      <c r="C93" s="142"/>
      <c r="D93" s="67"/>
      <c r="E93" s="67"/>
      <c r="F93" s="67"/>
      <c r="G93" s="67"/>
      <c r="H93" s="67"/>
      <c r="I93" s="67"/>
      <c r="J93" s="67"/>
      <c r="K93" s="67"/>
      <c r="L93" s="68"/>
      <c r="M93" s="68"/>
      <c r="N93" s="68"/>
      <c r="O93" s="68"/>
      <c r="P93" s="67"/>
      <c r="Q93" s="67"/>
      <c r="R93" s="67"/>
      <c r="S93" s="62"/>
      <c r="T93" s="62"/>
      <c r="U93" s="62"/>
      <c r="V93" s="62"/>
      <c r="W93" s="62"/>
    </row>
    <row r="94" spans="1:23">
      <c r="A94" s="63"/>
      <c r="B94" s="142"/>
      <c r="C94" s="142"/>
      <c r="D94" s="67"/>
      <c r="E94" s="67"/>
      <c r="F94" s="67"/>
      <c r="G94" s="67"/>
      <c r="H94" s="67"/>
      <c r="I94" s="67"/>
      <c r="J94" s="67"/>
      <c r="K94" s="67"/>
      <c r="L94" s="68"/>
      <c r="M94" s="68"/>
      <c r="N94" s="68"/>
      <c r="O94" s="68"/>
      <c r="P94" s="67"/>
      <c r="Q94" s="67"/>
      <c r="R94" s="67"/>
      <c r="S94" s="62"/>
      <c r="T94" s="62"/>
      <c r="U94" s="62"/>
      <c r="V94" s="62"/>
      <c r="W94" s="62"/>
    </row>
    <row r="95" spans="1:23">
      <c r="A95" s="63"/>
      <c r="B95" s="142"/>
      <c r="C95" s="142"/>
      <c r="D95" s="67"/>
      <c r="E95" s="67"/>
      <c r="F95" s="67"/>
      <c r="G95" s="67"/>
      <c r="H95" s="67"/>
      <c r="I95" s="67"/>
      <c r="J95" s="67"/>
      <c r="K95" s="67"/>
      <c r="L95" s="68"/>
      <c r="M95" s="68"/>
      <c r="N95" s="68"/>
      <c r="O95" s="68"/>
      <c r="P95" s="67"/>
      <c r="Q95" s="67"/>
      <c r="R95" s="67"/>
      <c r="S95" s="62"/>
      <c r="T95" s="62"/>
      <c r="U95" s="62"/>
      <c r="V95" s="62"/>
      <c r="W95" s="62"/>
    </row>
    <row r="96" spans="1:23">
      <c r="A96" s="63"/>
      <c r="B96" s="142"/>
      <c r="C96" s="142"/>
      <c r="D96" s="67"/>
      <c r="E96" s="67"/>
      <c r="F96" s="67"/>
      <c r="G96" s="67"/>
      <c r="H96" s="67"/>
      <c r="I96" s="67"/>
      <c r="J96" s="67"/>
      <c r="K96" s="67"/>
      <c r="L96" s="68"/>
      <c r="M96" s="68"/>
      <c r="N96" s="68"/>
      <c r="O96" s="68"/>
      <c r="P96" s="67"/>
      <c r="Q96" s="67"/>
      <c r="R96" s="67"/>
      <c r="S96" s="62"/>
      <c r="T96" s="62"/>
      <c r="U96" s="62"/>
      <c r="V96" s="62"/>
      <c r="W96" s="62"/>
    </row>
    <row r="97" spans="1:23">
      <c r="A97" s="63"/>
      <c r="B97" s="142"/>
      <c r="C97" s="142"/>
      <c r="D97" s="67"/>
      <c r="E97" s="67"/>
      <c r="F97" s="67"/>
      <c r="G97" s="67"/>
      <c r="H97" s="67"/>
      <c r="I97" s="67"/>
      <c r="J97" s="67"/>
      <c r="K97" s="67"/>
      <c r="L97" s="68"/>
      <c r="M97" s="68"/>
      <c r="N97" s="68"/>
      <c r="O97" s="68"/>
      <c r="P97" s="67"/>
      <c r="Q97" s="67"/>
      <c r="R97" s="67"/>
      <c r="S97" s="62"/>
      <c r="T97" s="62"/>
      <c r="U97" s="62"/>
      <c r="V97" s="62"/>
      <c r="W97" s="62"/>
    </row>
    <row r="98" spans="1:23">
      <c r="A98" s="63"/>
      <c r="B98" s="142"/>
      <c r="C98" s="142"/>
      <c r="D98" s="67"/>
      <c r="E98" s="67"/>
      <c r="F98" s="67"/>
      <c r="G98" s="67"/>
      <c r="H98" s="67"/>
      <c r="I98" s="67"/>
      <c r="J98" s="67"/>
      <c r="K98" s="67"/>
      <c r="L98" s="68"/>
      <c r="M98" s="68"/>
      <c r="N98" s="68"/>
      <c r="O98" s="68"/>
      <c r="P98" s="67"/>
      <c r="Q98" s="67"/>
      <c r="R98" s="67"/>
      <c r="S98" s="62"/>
      <c r="T98" s="62"/>
      <c r="U98" s="62"/>
      <c r="V98" s="62"/>
      <c r="W98" s="62"/>
    </row>
    <row r="99" spans="1:23">
      <c r="A99" s="63"/>
      <c r="B99" s="142"/>
      <c r="C99" s="142"/>
      <c r="D99" s="67"/>
      <c r="E99" s="67"/>
      <c r="F99" s="67"/>
      <c r="G99" s="67"/>
      <c r="H99" s="67"/>
      <c r="I99" s="67"/>
      <c r="J99" s="67"/>
      <c r="K99" s="67"/>
      <c r="L99" s="68"/>
      <c r="M99" s="68"/>
      <c r="N99" s="68"/>
      <c r="O99" s="68"/>
      <c r="P99" s="67"/>
      <c r="Q99" s="67"/>
      <c r="R99" s="67"/>
      <c r="S99" s="62"/>
      <c r="T99" s="62"/>
      <c r="U99" s="62"/>
      <c r="V99" s="62"/>
      <c r="W99" s="62"/>
    </row>
    <row r="100" spans="1:23">
      <c r="A100" s="63"/>
      <c r="B100" s="142"/>
      <c r="C100" s="142"/>
      <c r="D100" s="67"/>
      <c r="E100" s="67"/>
      <c r="F100" s="67"/>
      <c r="G100" s="67"/>
      <c r="H100" s="67"/>
      <c r="I100" s="67"/>
      <c r="J100" s="67"/>
      <c r="K100" s="67"/>
      <c r="L100" s="68"/>
      <c r="M100" s="68"/>
      <c r="N100" s="68"/>
      <c r="O100" s="68"/>
      <c r="P100" s="67"/>
      <c r="Q100" s="67"/>
      <c r="R100" s="67"/>
      <c r="S100" s="62"/>
      <c r="T100" s="62"/>
      <c r="U100" s="62"/>
      <c r="V100" s="62"/>
      <c r="W100" s="62"/>
    </row>
    <row r="101" spans="1:23">
      <c r="A101" s="63"/>
      <c r="B101" s="142"/>
      <c r="C101" s="142"/>
      <c r="D101" s="67"/>
      <c r="E101" s="67"/>
      <c r="F101" s="67"/>
      <c r="G101" s="67"/>
      <c r="H101" s="67"/>
      <c r="I101" s="67"/>
      <c r="J101" s="67"/>
      <c r="K101" s="67"/>
      <c r="L101" s="68"/>
      <c r="M101" s="68"/>
      <c r="N101" s="68"/>
      <c r="O101" s="68"/>
      <c r="P101" s="67"/>
      <c r="Q101" s="67"/>
      <c r="R101" s="67"/>
      <c r="S101" s="62"/>
      <c r="T101" s="62"/>
      <c r="U101" s="62"/>
      <c r="V101" s="62"/>
      <c r="W101" s="62"/>
    </row>
    <row r="102" spans="1:23">
      <c r="A102" s="63"/>
      <c r="B102" s="142"/>
      <c r="C102" s="142"/>
      <c r="D102" s="67"/>
      <c r="E102" s="67"/>
      <c r="F102" s="67"/>
      <c r="G102" s="67"/>
      <c r="H102" s="67"/>
      <c r="I102" s="67"/>
      <c r="J102" s="67"/>
      <c r="K102" s="67"/>
      <c r="L102" s="68"/>
      <c r="M102" s="68"/>
      <c r="N102" s="68"/>
      <c r="O102" s="68"/>
      <c r="P102" s="67"/>
      <c r="Q102" s="67"/>
      <c r="R102" s="67"/>
      <c r="S102" s="62"/>
      <c r="T102" s="62"/>
      <c r="U102" s="62"/>
      <c r="V102" s="62"/>
      <c r="W102" s="62"/>
    </row>
    <row r="103" spans="1:23">
      <c r="A103" s="63"/>
      <c r="B103" s="142"/>
      <c r="C103" s="142"/>
      <c r="D103" s="67"/>
      <c r="E103" s="67"/>
      <c r="F103" s="67"/>
      <c r="G103" s="67"/>
      <c r="H103" s="67"/>
      <c r="I103" s="67"/>
      <c r="J103" s="67"/>
      <c r="K103" s="67"/>
      <c r="L103" s="68"/>
      <c r="M103" s="68"/>
      <c r="N103" s="68"/>
      <c r="O103" s="68"/>
      <c r="P103" s="67"/>
      <c r="Q103" s="67"/>
      <c r="R103" s="67"/>
      <c r="S103" s="62"/>
      <c r="T103" s="62"/>
      <c r="U103" s="62"/>
      <c r="V103" s="62"/>
      <c r="W103" s="62"/>
    </row>
    <row r="104" spans="1:23">
      <c r="A104" s="63"/>
      <c r="B104" s="142"/>
      <c r="C104" s="142"/>
      <c r="D104" s="67"/>
      <c r="E104" s="67"/>
      <c r="F104" s="67"/>
      <c r="G104" s="67"/>
      <c r="H104" s="67"/>
      <c r="I104" s="67"/>
      <c r="J104" s="67"/>
      <c r="K104" s="67"/>
      <c r="L104" s="68"/>
      <c r="M104" s="68"/>
      <c r="N104" s="68"/>
      <c r="O104" s="68"/>
      <c r="P104" s="67"/>
      <c r="Q104" s="67"/>
      <c r="R104" s="67"/>
      <c r="S104" s="62"/>
      <c r="T104" s="62"/>
      <c r="U104" s="62"/>
      <c r="V104" s="62"/>
      <c r="W104" s="62"/>
    </row>
    <row r="105" spans="1:23">
      <c r="A105" s="63"/>
      <c r="B105" s="142"/>
      <c r="C105" s="142"/>
      <c r="D105" s="67"/>
      <c r="E105" s="67"/>
      <c r="F105" s="67"/>
      <c r="G105" s="67"/>
      <c r="H105" s="67"/>
      <c r="I105" s="67"/>
      <c r="J105" s="67"/>
      <c r="K105" s="67"/>
      <c r="L105" s="68"/>
      <c r="M105" s="68"/>
      <c r="N105" s="68"/>
      <c r="O105" s="68"/>
      <c r="P105" s="67"/>
      <c r="Q105" s="67"/>
      <c r="R105" s="67"/>
      <c r="S105" s="62"/>
      <c r="T105" s="62"/>
      <c r="U105" s="62"/>
      <c r="V105" s="62"/>
      <c r="W105" s="62"/>
    </row>
    <row r="106" spans="1:23">
      <c r="A106" s="63"/>
      <c r="B106" s="142"/>
      <c r="C106" s="142"/>
      <c r="D106" s="67"/>
      <c r="E106" s="67"/>
      <c r="F106" s="67"/>
      <c r="G106" s="67"/>
      <c r="H106" s="67"/>
      <c r="I106" s="67"/>
      <c r="J106" s="67"/>
      <c r="K106" s="67"/>
      <c r="L106" s="68"/>
      <c r="M106" s="68"/>
      <c r="N106" s="68"/>
      <c r="O106" s="68"/>
      <c r="P106" s="67"/>
      <c r="Q106" s="67"/>
      <c r="R106" s="67"/>
      <c r="S106" s="62"/>
      <c r="T106" s="62"/>
      <c r="U106" s="62"/>
      <c r="V106" s="62"/>
      <c r="W106" s="62"/>
    </row>
    <row r="107" spans="1:23">
      <c r="A107" s="63"/>
      <c r="B107" s="142"/>
      <c r="C107" s="142"/>
      <c r="D107" s="67"/>
      <c r="E107" s="67"/>
      <c r="F107" s="67"/>
      <c r="G107" s="67"/>
      <c r="H107" s="67"/>
      <c r="I107" s="67"/>
      <c r="J107" s="67"/>
      <c r="K107" s="67"/>
      <c r="L107" s="68"/>
      <c r="M107" s="68"/>
      <c r="N107" s="68"/>
      <c r="O107" s="68"/>
      <c r="P107" s="67"/>
      <c r="Q107" s="67"/>
      <c r="R107" s="67"/>
      <c r="S107" s="62"/>
      <c r="T107" s="62"/>
      <c r="U107" s="62"/>
      <c r="V107" s="62"/>
      <c r="W107" s="62"/>
    </row>
    <row r="108" spans="1:23">
      <c r="A108" s="63"/>
      <c r="B108" s="142"/>
      <c r="C108" s="142"/>
      <c r="D108" s="67"/>
      <c r="E108" s="67"/>
      <c r="F108" s="67"/>
      <c r="G108" s="67"/>
      <c r="H108" s="67"/>
      <c r="I108" s="67"/>
      <c r="J108" s="67"/>
      <c r="K108" s="67"/>
      <c r="L108" s="68"/>
      <c r="M108" s="68"/>
      <c r="N108" s="68"/>
      <c r="O108" s="68"/>
      <c r="P108" s="67"/>
      <c r="Q108" s="67"/>
      <c r="R108" s="67"/>
      <c r="S108" s="62"/>
      <c r="T108" s="62"/>
      <c r="U108" s="62"/>
      <c r="V108" s="62"/>
      <c r="W108" s="62"/>
    </row>
    <row r="109" spans="1:23">
      <c r="A109" s="62"/>
      <c r="B109" s="142"/>
      <c r="C109" s="142"/>
      <c r="D109" s="67"/>
      <c r="E109" s="67"/>
      <c r="F109" s="67"/>
      <c r="G109" s="67"/>
      <c r="H109" s="67"/>
      <c r="I109" s="67"/>
      <c r="J109" s="67"/>
      <c r="K109" s="67"/>
      <c r="L109" s="68"/>
      <c r="M109" s="68"/>
      <c r="N109" s="68"/>
      <c r="O109" s="68"/>
      <c r="P109" s="67"/>
      <c r="Q109" s="67"/>
      <c r="R109" s="67"/>
      <c r="S109" s="62"/>
      <c r="T109" s="62"/>
      <c r="U109" s="62"/>
      <c r="V109" s="62"/>
      <c r="W109" s="62"/>
    </row>
    <row r="110" spans="1:23">
      <c r="A110" s="62"/>
      <c r="B110" s="62"/>
      <c r="C110" s="62"/>
      <c r="D110" s="62"/>
      <c r="E110" s="62"/>
      <c r="F110" s="62"/>
      <c r="G110" s="62"/>
      <c r="H110" s="62"/>
      <c r="I110" s="62"/>
      <c r="J110" s="62"/>
      <c r="K110" s="62"/>
      <c r="L110" s="62"/>
      <c r="M110" s="62"/>
      <c r="N110" s="62"/>
      <c r="O110" s="62"/>
      <c r="P110" s="62"/>
      <c r="Q110" s="62"/>
      <c r="R110" s="62"/>
      <c r="S110" s="62"/>
      <c r="T110" s="62"/>
      <c r="U110" s="62"/>
      <c r="V110" s="62"/>
      <c r="W110" s="62"/>
    </row>
    <row r="111" spans="1:23">
      <c r="A111" s="62"/>
      <c r="B111" s="62"/>
      <c r="C111" s="62"/>
      <c r="D111" s="62"/>
      <c r="E111" s="62"/>
      <c r="F111" s="62"/>
      <c r="G111" s="62"/>
      <c r="H111" s="62"/>
      <c r="I111" s="62"/>
      <c r="J111" s="62"/>
      <c r="K111" s="62"/>
      <c r="L111" s="62"/>
      <c r="M111" s="62"/>
      <c r="N111" s="62"/>
      <c r="O111" s="62"/>
      <c r="P111" s="62"/>
      <c r="Q111" s="62"/>
      <c r="R111" s="62"/>
      <c r="S111" s="62"/>
      <c r="T111" s="62"/>
      <c r="U111" s="62"/>
      <c r="V111" s="62"/>
      <c r="W111" s="62"/>
    </row>
    <row r="112" spans="1:23">
      <c r="A112" s="62"/>
      <c r="B112" s="62"/>
      <c r="C112" s="62"/>
      <c r="D112" s="62"/>
      <c r="E112" s="62"/>
      <c r="F112" s="62"/>
      <c r="G112" s="62"/>
      <c r="H112" s="62"/>
      <c r="I112" s="62"/>
      <c r="J112" s="62"/>
      <c r="K112" s="62"/>
      <c r="L112" s="62"/>
      <c r="M112" s="62"/>
      <c r="N112" s="62"/>
      <c r="O112" s="62"/>
      <c r="P112" s="62"/>
      <c r="Q112" s="62"/>
      <c r="R112" s="62"/>
      <c r="S112" s="62"/>
      <c r="T112" s="62"/>
      <c r="U112" s="62"/>
      <c r="V112" s="62"/>
      <c r="W112" s="62"/>
    </row>
    <row r="113" spans="1:23">
      <c r="A113" s="62"/>
      <c r="B113" s="62"/>
      <c r="C113" s="62"/>
      <c r="D113" s="62"/>
      <c r="E113" s="62"/>
      <c r="F113" s="62"/>
      <c r="G113" s="62"/>
      <c r="H113" s="62"/>
      <c r="I113" s="62"/>
      <c r="J113" s="62"/>
      <c r="K113" s="62"/>
      <c r="L113" s="62"/>
      <c r="M113" s="62"/>
      <c r="N113" s="62"/>
      <c r="O113" s="62"/>
      <c r="P113" s="62"/>
      <c r="Q113" s="62"/>
      <c r="R113" s="62"/>
      <c r="S113" s="62"/>
      <c r="T113" s="62"/>
      <c r="U113" s="62"/>
      <c r="V113" s="62"/>
      <c r="W113" s="62"/>
    </row>
    <row r="114" spans="1:23">
      <c r="A114" s="62"/>
      <c r="B114" s="62"/>
      <c r="C114" s="62"/>
      <c r="D114" s="62"/>
      <c r="E114" s="62"/>
      <c r="F114" s="62"/>
      <c r="G114" s="62"/>
      <c r="H114" s="62"/>
      <c r="I114" s="62"/>
      <c r="J114" s="62"/>
      <c r="K114" s="62"/>
      <c r="L114" s="62"/>
      <c r="M114" s="62"/>
      <c r="N114" s="62"/>
      <c r="O114" s="62"/>
      <c r="P114" s="62"/>
      <c r="Q114" s="62"/>
      <c r="R114" s="62"/>
      <c r="S114" s="62"/>
      <c r="T114" s="62"/>
      <c r="U114" s="62"/>
      <c r="V114" s="62"/>
      <c r="W114" s="62"/>
    </row>
    <row r="136" spans="12:12">
      <c r="L136" s="16">
        <f>SUM(L15:L135)</f>
        <v>1215064.9900000002</v>
      </c>
    </row>
  </sheetData>
  <mergeCells count="12">
    <mergeCell ref="A76:A77"/>
    <mergeCell ref="A78:A81"/>
    <mergeCell ref="A70:A71"/>
    <mergeCell ref="A68:A69"/>
    <mergeCell ref="A62:A63"/>
    <mergeCell ref="A54:A56"/>
    <mergeCell ref="A51:A52"/>
    <mergeCell ref="A28:A30"/>
    <mergeCell ref="A35:A40"/>
    <mergeCell ref="A42:A43"/>
    <mergeCell ref="A45:A46"/>
    <mergeCell ref="A49:A50"/>
  </mergeCells>
  <pageMargins left="0.7" right="0.7" top="0.75" bottom="0.75" header="0.3" footer="0.3"/>
  <pageSetup paperSize="9" orientation="landscape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5:W137"/>
  <sheetViews>
    <sheetView topLeftCell="A19" workbookViewId="0">
      <selection activeCell="A34" sqref="A34"/>
    </sheetView>
  </sheetViews>
  <sheetFormatPr defaultRowHeight="14.4"/>
  <cols>
    <col min="1" max="1" width="7.88671875" style="1" customWidth="1"/>
    <col min="2" max="2" width="18.5546875" style="1" customWidth="1"/>
    <col min="3" max="3" width="7.77734375" style="1" customWidth="1"/>
    <col min="4" max="4" width="4.77734375" style="1" customWidth="1"/>
    <col min="5" max="5" width="9.88671875" style="1" customWidth="1"/>
    <col min="6" max="6" width="7.6640625" style="1" customWidth="1"/>
    <col min="7" max="7" width="6.6640625" style="1" customWidth="1"/>
    <col min="8" max="8" width="7.44140625" style="1" customWidth="1"/>
    <col min="9" max="9" width="5.88671875" style="1" customWidth="1"/>
    <col min="10" max="10" width="6" style="1" customWidth="1"/>
    <col min="11" max="11" width="8.44140625" style="1" customWidth="1"/>
    <col min="12" max="12" width="8.21875" style="1" customWidth="1"/>
    <col min="13" max="13" width="7.33203125" style="1" customWidth="1"/>
    <col min="14" max="16384" width="8.88671875" style="1"/>
  </cols>
  <sheetData>
    <row r="5" spans="1:23" ht="20.399999999999999">
      <c r="A5" s="58" t="s">
        <v>3</v>
      </c>
      <c r="B5" s="58" t="s">
        <v>4</v>
      </c>
      <c r="C5" s="58" t="s">
        <v>5</v>
      </c>
      <c r="D5" s="58" t="s">
        <v>6</v>
      </c>
      <c r="E5" s="58" t="s">
        <v>37</v>
      </c>
      <c r="F5" s="58" t="s">
        <v>7</v>
      </c>
      <c r="G5" s="58" t="s">
        <v>8</v>
      </c>
      <c r="H5" s="58" t="s">
        <v>9</v>
      </c>
      <c r="I5" s="58" t="s">
        <v>10</v>
      </c>
      <c r="J5" s="59" t="s">
        <v>18</v>
      </c>
      <c r="K5" s="59" t="s">
        <v>17</v>
      </c>
      <c r="L5" s="58" t="s">
        <v>11</v>
      </c>
      <c r="M5" s="58" t="s">
        <v>36</v>
      </c>
      <c r="N5" s="58" t="s">
        <v>12</v>
      </c>
      <c r="O5" s="58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125</v>
      </c>
    </row>
    <row r="6" spans="1:23">
      <c r="A6" s="63"/>
      <c r="B6" s="165"/>
      <c r="C6" s="165"/>
      <c r="D6" s="165"/>
      <c r="E6" s="165"/>
      <c r="F6" s="165"/>
      <c r="G6" s="165"/>
      <c r="H6" s="165"/>
      <c r="I6" s="165"/>
      <c r="J6" s="165"/>
      <c r="K6" s="165"/>
      <c r="L6" s="61"/>
      <c r="M6" s="61"/>
      <c r="N6" s="165"/>
      <c r="O6" s="62"/>
      <c r="P6" s="62"/>
      <c r="Q6" s="62"/>
      <c r="R6" s="62"/>
      <c r="S6" s="62"/>
      <c r="U6" s="17"/>
    </row>
    <row r="7" spans="1:23">
      <c r="A7" s="63" t="s">
        <v>1394</v>
      </c>
      <c r="B7" s="42" t="s">
        <v>356</v>
      </c>
      <c r="C7" s="42" t="s">
        <v>88</v>
      </c>
      <c r="D7" s="42" t="s">
        <v>16</v>
      </c>
      <c r="E7" s="42" t="s">
        <v>1399</v>
      </c>
      <c r="F7" s="42">
        <v>301</v>
      </c>
      <c r="G7" s="42"/>
      <c r="H7" s="42">
        <v>21100</v>
      </c>
      <c r="I7" s="42">
        <v>344</v>
      </c>
      <c r="J7" s="42">
        <v>0.13</v>
      </c>
      <c r="K7" s="42">
        <v>45</v>
      </c>
      <c r="L7" s="43">
        <f t="shared" ref="L7" si="0">H7-K7</f>
        <v>21055</v>
      </c>
      <c r="M7" s="43"/>
      <c r="N7" s="43">
        <f t="shared" ref="N7" si="1">L7-M7</f>
        <v>21055</v>
      </c>
      <c r="O7" s="43">
        <f t="shared" ref="O7" si="2">H7/1000*70</f>
        <v>1477</v>
      </c>
      <c r="P7" s="42">
        <v>0</v>
      </c>
      <c r="Q7" s="42">
        <v>22.5</v>
      </c>
      <c r="R7" s="42">
        <f t="shared" ref="R7" si="3">L7*Q7</f>
        <v>473737.5</v>
      </c>
      <c r="S7" s="42"/>
      <c r="T7" s="62"/>
      <c r="U7" s="62"/>
      <c r="V7" s="62"/>
      <c r="W7" s="62"/>
    </row>
    <row r="8" spans="1:23">
      <c r="A8" s="63"/>
      <c r="B8" s="42"/>
      <c r="C8" s="42"/>
      <c r="D8" s="42"/>
      <c r="E8" s="42"/>
      <c r="F8" s="42"/>
      <c r="G8" s="42"/>
      <c r="H8" s="42"/>
      <c r="I8" s="42"/>
      <c r="J8" s="42"/>
      <c r="K8" s="42"/>
      <c r="L8" s="43"/>
      <c r="M8" s="43"/>
      <c r="N8" s="43"/>
      <c r="O8" s="43"/>
      <c r="P8" s="42"/>
      <c r="Q8" s="42"/>
      <c r="R8" s="42"/>
      <c r="S8" s="62"/>
      <c r="T8" s="62"/>
      <c r="U8" s="62"/>
      <c r="V8" s="62"/>
      <c r="W8" s="62"/>
    </row>
    <row r="9" spans="1:23">
      <c r="A9" s="374" t="s">
        <v>2385</v>
      </c>
      <c r="B9" s="42" t="s">
        <v>356</v>
      </c>
      <c r="C9" s="42" t="s">
        <v>88</v>
      </c>
      <c r="D9" s="42" t="s">
        <v>16</v>
      </c>
      <c r="E9" s="42" t="s">
        <v>2386</v>
      </c>
      <c r="F9" s="42">
        <v>85</v>
      </c>
      <c r="G9" s="42"/>
      <c r="H9" s="42">
        <v>19980</v>
      </c>
      <c r="I9" s="42">
        <v>400</v>
      </c>
      <c r="J9" s="42">
        <v>0.13</v>
      </c>
      <c r="K9" s="43">
        <f t="shared" ref="K9:K10" si="4">I9*J9</f>
        <v>52</v>
      </c>
      <c r="L9" s="43">
        <f t="shared" ref="L9:L10" si="5">H9-K9</f>
        <v>19928</v>
      </c>
      <c r="M9" s="43"/>
      <c r="N9" s="43">
        <f t="shared" ref="N9:N10" si="6">L9-M9</f>
        <v>19928</v>
      </c>
      <c r="O9" s="43">
        <f t="shared" ref="O9:O10" si="7">H9/1000*70</f>
        <v>1398.6000000000001</v>
      </c>
      <c r="P9" s="42">
        <v>11800</v>
      </c>
      <c r="Q9" s="42">
        <v>20.5</v>
      </c>
      <c r="R9" s="42">
        <f t="shared" ref="R9:R10" si="8">L9*Q9</f>
        <v>408524</v>
      </c>
      <c r="S9" s="42" t="s">
        <v>2387</v>
      </c>
      <c r="T9" s="62"/>
      <c r="U9" s="62"/>
      <c r="V9" s="62"/>
      <c r="W9" s="62"/>
    </row>
    <row r="10" spans="1:23">
      <c r="A10" s="374"/>
      <c r="B10" s="42" t="s">
        <v>356</v>
      </c>
      <c r="C10" s="42" t="s">
        <v>88</v>
      </c>
      <c r="D10" s="42" t="s">
        <v>16</v>
      </c>
      <c r="E10" s="42" t="s">
        <v>2388</v>
      </c>
      <c r="F10" s="42">
        <v>86</v>
      </c>
      <c r="G10" s="42"/>
      <c r="H10" s="42">
        <v>20000</v>
      </c>
      <c r="I10" s="42">
        <v>400</v>
      </c>
      <c r="J10" s="42">
        <v>0.13</v>
      </c>
      <c r="K10" s="43">
        <f t="shared" si="4"/>
        <v>52</v>
      </c>
      <c r="L10" s="43">
        <f t="shared" si="5"/>
        <v>19948</v>
      </c>
      <c r="M10" s="43"/>
      <c r="N10" s="43">
        <f t="shared" si="6"/>
        <v>19948</v>
      </c>
      <c r="O10" s="43">
        <f t="shared" si="7"/>
        <v>1400</v>
      </c>
      <c r="P10" s="42">
        <v>11800</v>
      </c>
      <c r="Q10" s="42">
        <v>20.5</v>
      </c>
      <c r="R10" s="42">
        <f t="shared" si="8"/>
        <v>408934</v>
      </c>
      <c r="S10" s="42"/>
      <c r="T10" s="62"/>
      <c r="U10" s="62"/>
      <c r="V10" s="62"/>
      <c r="W10" s="62"/>
    </row>
    <row r="11" spans="1:23">
      <c r="A11" s="63"/>
      <c r="B11" s="67"/>
      <c r="C11" s="67"/>
      <c r="D11" s="67"/>
      <c r="E11" s="67"/>
      <c r="F11" s="67"/>
      <c r="G11" s="67"/>
      <c r="H11" s="67"/>
      <c r="I11" s="67"/>
      <c r="J11" s="67"/>
      <c r="K11" s="67"/>
      <c r="L11" s="68"/>
      <c r="M11" s="68"/>
      <c r="N11" s="68"/>
      <c r="O11" s="68"/>
      <c r="P11" s="67"/>
      <c r="Q11" s="67"/>
      <c r="R11" s="67"/>
      <c r="S11" s="62"/>
      <c r="T11" s="62"/>
      <c r="U11" s="62"/>
      <c r="V11" s="62"/>
      <c r="W11" s="62"/>
    </row>
    <row r="12" spans="1:23">
      <c r="A12" s="150" t="s">
        <v>2393</v>
      </c>
      <c r="B12" s="42" t="s">
        <v>356</v>
      </c>
      <c r="C12" s="42" t="s">
        <v>88</v>
      </c>
      <c r="D12" s="42" t="s">
        <v>16</v>
      </c>
      <c r="E12" s="42" t="s">
        <v>2394</v>
      </c>
      <c r="F12" s="42">
        <v>114</v>
      </c>
      <c r="G12" s="42"/>
      <c r="H12" s="42">
        <v>19960</v>
      </c>
      <c r="I12" s="42">
        <v>400</v>
      </c>
      <c r="J12" s="42">
        <v>0.5</v>
      </c>
      <c r="K12" s="43">
        <f t="shared" ref="K12" si="9">I12*J12</f>
        <v>200</v>
      </c>
      <c r="L12" s="43">
        <f t="shared" ref="L12" si="10">H12-K12</f>
        <v>19760</v>
      </c>
      <c r="M12" s="43"/>
      <c r="N12" s="43">
        <f t="shared" ref="N12" si="11">L12-M12</f>
        <v>19760</v>
      </c>
      <c r="O12" s="43">
        <f t="shared" ref="O12" si="12">H12/1000*70</f>
        <v>1397.2</v>
      </c>
      <c r="P12" s="42">
        <v>11000</v>
      </c>
      <c r="Q12" s="42">
        <v>20.5</v>
      </c>
      <c r="R12" s="42">
        <f t="shared" ref="R12" si="13">L12*Q12</f>
        <v>405080</v>
      </c>
      <c r="S12" s="62"/>
      <c r="T12" s="62"/>
      <c r="U12" s="62"/>
      <c r="V12" s="62"/>
      <c r="W12" s="62"/>
    </row>
    <row r="13" spans="1:23">
      <c r="A13" s="62"/>
      <c r="B13" s="67"/>
      <c r="C13" s="67"/>
      <c r="D13" s="67"/>
      <c r="E13" s="67"/>
      <c r="F13" s="67"/>
      <c r="G13" s="67"/>
      <c r="H13" s="67"/>
      <c r="I13" s="67"/>
      <c r="J13" s="67"/>
      <c r="K13" s="67"/>
      <c r="L13" s="68"/>
      <c r="M13" s="68"/>
      <c r="N13" s="68"/>
      <c r="O13" s="68"/>
      <c r="P13" s="67"/>
      <c r="Q13" s="67"/>
      <c r="R13" s="62"/>
      <c r="S13" s="62"/>
      <c r="T13" s="62"/>
      <c r="U13" s="62"/>
      <c r="V13" s="62"/>
      <c r="W13" s="62"/>
    </row>
    <row r="14" spans="1:23">
      <c r="A14" s="62" t="s">
        <v>2415</v>
      </c>
      <c r="B14" s="42" t="s">
        <v>356</v>
      </c>
      <c r="C14" s="42" t="s">
        <v>88</v>
      </c>
      <c r="D14" s="42" t="s">
        <v>16</v>
      </c>
      <c r="E14" s="42" t="s">
        <v>2418</v>
      </c>
      <c r="F14" s="42">
        <v>16</v>
      </c>
      <c r="G14" s="42"/>
      <c r="H14" s="42">
        <v>19990</v>
      </c>
      <c r="I14" s="42">
        <v>400</v>
      </c>
      <c r="J14" s="42">
        <v>0.13</v>
      </c>
      <c r="K14" s="43">
        <f t="shared" ref="K14:K16" si="14">I14*J14</f>
        <v>52</v>
      </c>
      <c r="L14" s="43">
        <f t="shared" ref="L14:L16" si="15">H14-K14</f>
        <v>19938</v>
      </c>
      <c r="M14" s="43"/>
      <c r="N14" s="43">
        <f t="shared" ref="N14:N16" si="16">L14-M14</f>
        <v>19938</v>
      </c>
      <c r="O14" s="43">
        <f t="shared" ref="O14:O16" si="17">H14/1000*70</f>
        <v>1399.3</v>
      </c>
      <c r="P14" s="42">
        <v>10700</v>
      </c>
      <c r="Q14" s="42">
        <v>20.5</v>
      </c>
      <c r="R14" s="42">
        <f t="shared" ref="R14:R16" si="18">L14*Q14</f>
        <v>408729</v>
      </c>
      <c r="S14" s="62"/>
      <c r="T14" s="62"/>
      <c r="U14" s="62"/>
      <c r="V14" s="62"/>
      <c r="W14" s="62"/>
    </row>
    <row r="15" spans="1:23">
      <c r="A15" s="377" t="s">
        <v>2421</v>
      </c>
      <c r="B15" s="42" t="s">
        <v>356</v>
      </c>
      <c r="C15" s="42" t="s">
        <v>88</v>
      </c>
      <c r="D15" s="42" t="s">
        <v>16</v>
      </c>
      <c r="E15" s="42" t="s">
        <v>2424</v>
      </c>
      <c r="F15" s="42">
        <v>19</v>
      </c>
      <c r="G15" s="42"/>
      <c r="H15" s="42">
        <v>19980</v>
      </c>
      <c r="I15" s="42">
        <v>400</v>
      </c>
      <c r="J15" s="42">
        <v>0.13</v>
      </c>
      <c r="K15" s="43">
        <f t="shared" si="14"/>
        <v>52</v>
      </c>
      <c r="L15" s="43">
        <f t="shared" si="15"/>
        <v>19928</v>
      </c>
      <c r="M15" s="43"/>
      <c r="N15" s="43">
        <f t="shared" si="16"/>
        <v>19928</v>
      </c>
      <c r="O15" s="43">
        <f t="shared" si="17"/>
        <v>1398.6000000000001</v>
      </c>
      <c r="P15" s="42">
        <v>10500</v>
      </c>
      <c r="Q15" s="42">
        <v>20.5</v>
      </c>
      <c r="R15" s="42">
        <f t="shared" si="18"/>
        <v>408524</v>
      </c>
      <c r="S15" s="62"/>
      <c r="T15" s="62"/>
      <c r="U15" s="62"/>
      <c r="V15" s="62"/>
      <c r="W15" s="62"/>
    </row>
    <row r="16" spans="1:23">
      <c r="A16" s="377"/>
      <c r="B16" s="42" t="s">
        <v>356</v>
      </c>
      <c r="C16" s="42" t="s">
        <v>88</v>
      </c>
      <c r="D16" s="42" t="s">
        <v>16</v>
      </c>
      <c r="E16" s="42" t="s">
        <v>2425</v>
      </c>
      <c r="F16" s="42">
        <v>119</v>
      </c>
      <c r="G16" s="42"/>
      <c r="H16" s="42">
        <v>19960</v>
      </c>
      <c r="I16" s="42">
        <v>400</v>
      </c>
      <c r="J16" s="42">
        <v>0.13</v>
      </c>
      <c r="K16" s="43">
        <f t="shared" si="14"/>
        <v>52</v>
      </c>
      <c r="L16" s="43">
        <f t="shared" si="15"/>
        <v>19908</v>
      </c>
      <c r="M16" s="43"/>
      <c r="N16" s="43">
        <f t="shared" si="16"/>
        <v>19908</v>
      </c>
      <c r="O16" s="43">
        <f t="shared" si="17"/>
        <v>1397.2</v>
      </c>
      <c r="P16" s="42">
        <v>10500</v>
      </c>
      <c r="Q16" s="42">
        <v>20.5</v>
      </c>
      <c r="R16" s="42">
        <f t="shared" si="18"/>
        <v>408114</v>
      </c>
      <c r="S16" s="62"/>
      <c r="T16" s="62"/>
      <c r="U16" s="62"/>
      <c r="V16" s="62"/>
      <c r="W16" s="62"/>
    </row>
    <row r="17" spans="1:23">
      <c r="A17" s="63"/>
      <c r="B17" s="67"/>
      <c r="C17" s="67"/>
      <c r="D17" s="67"/>
      <c r="E17" s="142"/>
      <c r="F17" s="67"/>
      <c r="G17" s="67"/>
      <c r="H17" s="67"/>
      <c r="I17" s="67"/>
      <c r="J17" s="67"/>
      <c r="K17" s="68"/>
      <c r="L17" s="68"/>
      <c r="M17" s="68"/>
      <c r="N17" s="68"/>
      <c r="O17" s="68"/>
      <c r="P17" s="67"/>
      <c r="Q17" s="62"/>
      <c r="R17" s="62"/>
      <c r="S17" s="62"/>
      <c r="T17" s="62"/>
      <c r="U17" s="62"/>
      <c r="V17" s="62"/>
      <c r="W17" s="62"/>
    </row>
    <row r="18" spans="1:23">
      <c r="A18" s="63" t="s">
        <v>2605</v>
      </c>
      <c r="B18" s="42" t="s">
        <v>356</v>
      </c>
      <c r="C18" s="42" t="s">
        <v>88</v>
      </c>
      <c r="D18" s="42" t="s">
        <v>16</v>
      </c>
      <c r="E18" s="42" t="s">
        <v>2607</v>
      </c>
      <c r="F18" s="42">
        <v>157</v>
      </c>
      <c r="G18" s="42"/>
      <c r="H18" s="42">
        <v>20000</v>
      </c>
      <c r="I18" s="42">
        <v>400</v>
      </c>
      <c r="J18" s="42">
        <v>0.13</v>
      </c>
      <c r="K18" s="43">
        <f t="shared" ref="K18" si="19">I18*J18</f>
        <v>52</v>
      </c>
      <c r="L18" s="43">
        <f t="shared" ref="L18" si="20">H18-K18</f>
        <v>19948</v>
      </c>
      <c r="M18" s="43"/>
      <c r="N18" s="43">
        <f t="shared" ref="N18" si="21">L18-M18</f>
        <v>19948</v>
      </c>
      <c r="O18" s="43">
        <f t="shared" ref="O18" si="22">H18/1000*70</f>
        <v>1400</v>
      </c>
      <c r="P18" s="42">
        <v>10100</v>
      </c>
      <c r="Q18" s="42">
        <v>21.6</v>
      </c>
      <c r="R18" s="42">
        <f t="shared" ref="R18" si="23">L18*Q18</f>
        <v>430876.80000000005</v>
      </c>
      <c r="S18" s="62"/>
      <c r="T18" s="62"/>
      <c r="U18" s="62"/>
      <c r="V18" s="62"/>
      <c r="W18" s="62"/>
    </row>
    <row r="19" spans="1:23">
      <c r="A19" s="150"/>
      <c r="B19" s="67"/>
      <c r="C19" s="67"/>
      <c r="D19" s="67"/>
      <c r="E19" s="67"/>
      <c r="F19" s="67"/>
      <c r="G19" s="67"/>
      <c r="H19" s="67"/>
      <c r="I19" s="67"/>
      <c r="J19" s="67"/>
      <c r="K19" s="68"/>
      <c r="L19" s="68"/>
      <c r="M19" s="68"/>
      <c r="N19" s="68"/>
      <c r="O19" s="68"/>
      <c r="P19" s="67"/>
      <c r="Q19" s="67"/>
      <c r="R19" s="67"/>
      <c r="S19" s="62"/>
      <c r="T19" s="62"/>
      <c r="U19" s="62"/>
      <c r="V19" s="62"/>
      <c r="W19" s="62"/>
    </row>
    <row r="20" spans="1:23">
      <c r="A20" s="150" t="s">
        <v>2645</v>
      </c>
      <c r="B20" s="42" t="s">
        <v>356</v>
      </c>
      <c r="C20" s="42" t="s">
        <v>88</v>
      </c>
      <c r="D20" s="42" t="s">
        <v>16</v>
      </c>
      <c r="E20" s="42" t="s">
        <v>2651</v>
      </c>
      <c r="F20" s="42">
        <v>168</v>
      </c>
      <c r="G20" s="42"/>
      <c r="H20" s="42">
        <v>19990</v>
      </c>
      <c r="I20" s="42">
        <v>400</v>
      </c>
      <c r="J20" s="42">
        <v>0.13</v>
      </c>
      <c r="K20" s="43">
        <f t="shared" ref="K20:K33" si="24">I20*J20</f>
        <v>52</v>
      </c>
      <c r="L20" s="43">
        <f t="shared" ref="L20:L33" si="25">H20-K20</f>
        <v>19938</v>
      </c>
      <c r="M20" s="43"/>
      <c r="N20" s="43">
        <f t="shared" ref="N20:N33" si="26">L20-M20</f>
        <v>19938</v>
      </c>
      <c r="O20" s="43">
        <f t="shared" ref="O20:O33" si="27">H20/1000*70</f>
        <v>1399.3</v>
      </c>
      <c r="P20" s="42">
        <v>10700</v>
      </c>
      <c r="Q20" s="42">
        <v>21.6</v>
      </c>
      <c r="R20" s="42">
        <f t="shared" ref="R20:R33" si="28">L20*Q20</f>
        <v>430660.80000000005</v>
      </c>
      <c r="S20" s="62"/>
      <c r="T20" s="62"/>
      <c r="U20" s="62"/>
      <c r="V20" s="62"/>
      <c r="W20" s="62"/>
    </row>
    <row r="21" spans="1:23">
      <c r="A21" s="377" t="s">
        <v>3807</v>
      </c>
      <c r="B21" s="42" t="s">
        <v>356</v>
      </c>
      <c r="C21" s="42" t="s">
        <v>88</v>
      </c>
      <c r="D21" s="42" t="s">
        <v>16</v>
      </c>
      <c r="E21" s="47" t="s">
        <v>3808</v>
      </c>
      <c r="F21" s="47">
        <v>962</v>
      </c>
      <c r="G21" s="47"/>
      <c r="H21" s="47">
        <v>21005</v>
      </c>
      <c r="I21" s="47">
        <v>337</v>
      </c>
      <c r="J21" s="47">
        <v>0.13</v>
      </c>
      <c r="K21" s="43">
        <f t="shared" si="24"/>
        <v>43.81</v>
      </c>
      <c r="L21" s="43">
        <f t="shared" si="25"/>
        <v>20961.189999999999</v>
      </c>
      <c r="M21" s="43"/>
      <c r="N21" s="43">
        <f t="shared" si="26"/>
        <v>20961.189999999999</v>
      </c>
      <c r="O21" s="43">
        <f t="shared" si="27"/>
        <v>1470.35</v>
      </c>
      <c r="P21" s="42">
        <v>11000</v>
      </c>
      <c r="Q21" s="42"/>
      <c r="R21" s="42">
        <f t="shared" si="28"/>
        <v>0</v>
      </c>
      <c r="S21" s="85"/>
      <c r="T21" s="62"/>
      <c r="U21" s="62"/>
      <c r="V21" s="62"/>
      <c r="W21" s="62"/>
    </row>
    <row r="22" spans="1:23">
      <c r="A22" s="377"/>
      <c r="B22" s="42" t="s">
        <v>356</v>
      </c>
      <c r="C22" s="42" t="s">
        <v>88</v>
      </c>
      <c r="D22" s="42" t="s">
        <v>16</v>
      </c>
      <c r="E22" s="47" t="s">
        <v>3809</v>
      </c>
      <c r="F22" s="47">
        <v>958</v>
      </c>
      <c r="G22" s="47"/>
      <c r="H22" s="47">
        <v>20650</v>
      </c>
      <c r="I22" s="47">
        <f>H22/50</f>
        <v>413</v>
      </c>
      <c r="J22" s="47">
        <v>0.13</v>
      </c>
      <c r="K22" s="43">
        <f t="shared" si="24"/>
        <v>53.690000000000005</v>
      </c>
      <c r="L22" s="43">
        <f t="shared" si="25"/>
        <v>20596.310000000001</v>
      </c>
      <c r="M22" s="43"/>
      <c r="N22" s="43">
        <f t="shared" si="26"/>
        <v>20596.310000000001</v>
      </c>
      <c r="O22" s="43">
        <f t="shared" si="27"/>
        <v>1445.5</v>
      </c>
      <c r="P22" s="42">
        <v>10800</v>
      </c>
      <c r="Q22" s="42"/>
      <c r="R22" s="42">
        <f t="shared" si="28"/>
        <v>0</v>
      </c>
      <c r="S22" s="85"/>
      <c r="T22" s="62"/>
      <c r="U22" s="62"/>
      <c r="V22" s="62"/>
      <c r="W22" s="62"/>
    </row>
    <row r="23" spans="1:23">
      <c r="A23" s="377"/>
      <c r="B23" s="42" t="s">
        <v>356</v>
      </c>
      <c r="C23" s="42" t="s">
        <v>88</v>
      </c>
      <c r="D23" s="42" t="s">
        <v>16</v>
      </c>
      <c r="E23" s="47" t="s">
        <v>3634</v>
      </c>
      <c r="F23" s="47">
        <v>959</v>
      </c>
      <c r="G23" s="47"/>
      <c r="H23" s="47">
        <v>19530</v>
      </c>
      <c r="I23" s="47">
        <v>391</v>
      </c>
      <c r="J23" s="47">
        <v>0.13</v>
      </c>
      <c r="K23" s="43">
        <f t="shared" si="24"/>
        <v>50.83</v>
      </c>
      <c r="L23" s="43">
        <f t="shared" si="25"/>
        <v>19479.169999999998</v>
      </c>
      <c r="M23" s="43"/>
      <c r="N23" s="43">
        <f t="shared" si="26"/>
        <v>19479.169999999998</v>
      </c>
      <c r="O23" s="43">
        <f t="shared" si="27"/>
        <v>1367.1000000000001</v>
      </c>
      <c r="P23" s="42">
        <v>10800</v>
      </c>
      <c r="Q23" s="42"/>
      <c r="R23" s="42">
        <f t="shared" si="28"/>
        <v>0</v>
      </c>
      <c r="S23" s="85"/>
      <c r="T23" s="62"/>
      <c r="U23" s="62"/>
      <c r="V23" s="62"/>
      <c r="W23" s="62"/>
    </row>
    <row r="24" spans="1:23">
      <c r="A24" s="63" t="s">
        <v>3815</v>
      </c>
      <c r="B24" s="42" t="s">
        <v>356</v>
      </c>
      <c r="C24" s="42" t="s">
        <v>88</v>
      </c>
      <c r="D24" s="42" t="s">
        <v>16</v>
      </c>
      <c r="E24" s="47" t="s">
        <v>3816</v>
      </c>
      <c r="F24" s="47">
        <v>967</v>
      </c>
      <c r="G24" s="47"/>
      <c r="H24" s="47">
        <v>19850</v>
      </c>
      <c r="I24" s="47">
        <f>H24/50</f>
        <v>397</v>
      </c>
      <c r="J24" s="47">
        <v>0.13</v>
      </c>
      <c r="K24" s="43">
        <f t="shared" si="24"/>
        <v>51.61</v>
      </c>
      <c r="L24" s="43">
        <f t="shared" si="25"/>
        <v>19798.39</v>
      </c>
      <c r="M24" s="43"/>
      <c r="N24" s="43">
        <f t="shared" si="26"/>
        <v>19798.39</v>
      </c>
      <c r="O24" s="43">
        <f t="shared" si="27"/>
        <v>1389.5</v>
      </c>
      <c r="P24" s="42">
        <v>10700</v>
      </c>
      <c r="Q24" s="42"/>
      <c r="R24" s="42">
        <f t="shared" si="28"/>
        <v>0</v>
      </c>
      <c r="S24" s="62"/>
      <c r="T24" s="62"/>
      <c r="U24" s="62"/>
      <c r="V24" s="62"/>
      <c r="W24" s="62"/>
    </row>
    <row r="25" spans="1:23">
      <c r="A25" s="374" t="s">
        <v>3892</v>
      </c>
      <c r="B25" s="47" t="s">
        <v>356</v>
      </c>
      <c r="C25" s="47" t="s">
        <v>88</v>
      </c>
      <c r="D25" s="42" t="s">
        <v>16</v>
      </c>
      <c r="E25" s="47" t="s">
        <v>3893</v>
      </c>
      <c r="F25" s="47">
        <v>1606</v>
      </c>
      <c r="G25" s="47"/>
      <c r="H25" s="47">
        <v>22745</v>
      </c>
      <c r="I25" s="47">
        <v>350</v>
      </c>
      <c r="J25" s="47">
        <v>0.13</v>
      </c>
      <c r="K25" s="43">
        <f t="shared" si="24"/>
        <v>45.5</v>
      </c>
      <c r="L25" s="43">
        <f t="shared" si="25"/>
        <v>22699.5</v>
      </c>
      <c r="M25" s="43"/>
      <c r="N25" s="43">
        <f t="shared" si="26"/>
        <v>22699.5</v>
      </c>
      <c r="O25" s="43">
        <f t="shared" si="27"/>
        <v>1592.15</v>
      </c>
      <c r="P25" s="42">
        <v>11950</v>
      </c>
      <c r="Q25" s="42"/>
      <c r="R25" s="42">
        <f t="shared" si="28"/>
        <v>0</v>
      </c>
      <c r="S25" s="62"/>
      <c r="T25" s="62"/>
      <c r="U25" s="62"/>
      <c r="V25" s="62"/>
      <c r="W25" s="62"/>
    </row>
    <row r="26" spans="1:23">
      <c r="A26" s="374"/>
      <c r="B26" s="47" t="s">
        <v>356</v>
      </c>
      <c r="C26" s="47" t="s">
        <v>88</v>
      </c>
      <c r="D26" s="42" t="s">
        <v>16</v>
      </c>
      <c r="E26" s="47" t="s">
        <v>3894</v>
      </c>
      <c r="F26" s="47">
        <v>1605</v>
      </c>
      <c r="G26" s="47"/>
      <c r="H26" s="47">
        <v>22790</v>
      </c>
      <c r="I26" s="47">
        <v>373</v>
      </c>
      <c r="J26" s="47">
        <v>0.13</v>
      </c>
      <c r="K26" s="43">
        <f t="shared" si="24"/>
        <v>48.49</v>
      </c>
      <c r="L26" s="43">
        <f t="shared" si="25"/>
        <v>22741.51</v>
      </c>
      <c r="M26" s="43"/>
      <c r="N26" s="43">
        <f t="shared" si="26"/>
        <v>22741.51</v>
      </c>
      <c r="O26" s="43">
        <f t="shared" si="27"/>
        <v>1595.3</v>
      </c>
      <c r="P26" s="42">
        <v>12000</v>
      </c>
      <c r="Q26" s="42"/>
      <c r="R26" s="42">
        <f t="shared" si="28"/>
        <v>0</v>
      </c>
      <c r="S26" s="62"/>
      <c r="T26" s="62"/>
      <c r="U26" s="62"/>
      <c r="V26" s="62"/>
      <c r="W26" s="62"/>
    </row>
    <row r="27" spans="1:23">
      <c r="A27" s="374" t="s">
        <v>3975</v>
      </c>
      <c r="B27" s="345" t="s">
        <v>356</v>
      </c>
      <c r="C27" s="345" t="s">
        <v>88</v>
      </c>
      <c r="D27" s="42" t="s">
        <v>16</v>
      </c>
      <c r="E27" s="345" t="s">
        <v>3982</v>
      </c>
      <c r="F27" s="345">
        <v>1069</v>
      </c>
      <c r="G27" s="345"/>
      <c r="H27" s="345">
        <v>21730</v>
      </c>
      <c r="I27" s="345">
        <v>338</v>
      </c>
      <c r="J27" s="345">
        <v>0.13</v>
      </c>
      <c r="K27" s="43">
        <f t="shared" si="24"/>
        <v>43.940000000000005</v>
      </c>
      <c r="L27" s="43">
        <f t="shared" si="25"/>
        <v>21686.06</v>
      </c>
      <c r="M27" s="43"/>
      <c r="N27" s="43">
        <f t="shared" si="26"/>
        <v>21686.06</v>
      </c>
      <c r="O27" s="43">
        <f t="shared" si="27"/>
        <v>1521.1000000000001</v>
      </c>
      <c r="P27" s="42">
        <v>11900</v>
      </c>
      <c r="Q27" s="42"/>
      <c r="R27" s="42">
        <f t="shared" si="28"/>
        <v>0</v>
      </c>
      <c r="S27" s="62"/>
      <c r="T27" s="62"/>
      <c r="U27" s="62"/>
      <c r="V27" s="62"/>
      <c r="W27" s="62"/>
    </row>
    <row r="28" spans="1:23">
      <c r="A28" s="374"/>
      <c r="B28" s="345" t="s">
        <v>356</v>
      </c>
      <c r="C28" s="345" t="s">
        <v>88</v>
      </c>
      <c r="D28" s="42" t="s">
        <v>16</v>
      </c>
      <c r="E28" s="345" t="s">
        <v>2860</v>
      </c>
      <c r="F28" s="345">
        <v>1068</v>
      </c>
      <c r="G28" s="345"/>
      <c r="H28" s="345">
        <v>19600</v>
      </c>
      <c r="I28" s="345">
        <v>340</v>
      </c>
      <c r="J28" s="345">
        <v>0.13</v>
      </c>
      <c r="K28" s="43">
        <f t="shared" si="24"/>
        <v>44.2</v>
      </c>
      <c r="L28" s="43">
        <f t="shared" si="25"/>
        <v>19555.8</v>
      </c>
      <c r="M28" s="43"/>
      <c r="N28" s="43">
        <f t="shared" si="26"/>
        <v>19555.8</v>
      </c>
      <c r="O28" s="43">
        <f t="shared" si="27"/>
        <v>1372</v>
      </c>
      <c r="P28" s="42">
        <v>11100</v>
      </c>
      <c r="Q28" s="42"/>
      <c r="R28" s="42">
        <f t="shared" si="28"/>
        <v>0</v>
      </c>
      <c r="S28" s="62"/>
      <c r="T28" s="62"/>
      <c r="U28" s="62"/>
      <c r="V28" s="62"/>
      <c r="W28" s="62"/>
    </row>
    <row r="29" spans="1:23">
      <c r="A29" s="374" t="s">
        <v>4026</v>
      </c>
      <c r="B29" s="352" t="s">
        <v>356</v>
      </c>
      <c r="C29" s="352" t="s">
        <v>88</v>
      </c>
      <c r="D29" s="42" t="s">
        <v>16</v>
      </c>
      <c r="E29" s="352" t="s">
        <v>4028</v>
      </c>
      <c r="F29" s="352">
        <v>1098</v>
      </c>
      <c r="G29" s="352"/>
      <c r="H29" s="352">
        <v>22420</v>
      </c>
      <c r="I29" s="352">
        <v>360</v>
      </c>
      <c r="J29" s="352">
        <v>0.13</v>
      </c>
      <c r="K29" s="43">
        <f t="shared" si="24"/>
        <v>46.800000000000004</v>
      </c>
      <c r="L29" s="43">
        <f t="shared" si="25"/>
        <v>22373.200000000001</v>
      </c>
      <c r="M29" s="43"/>
      <c r="N29" s="43">
        <f t="shared" si="26"/>
        <v>22373.200000000001</v>
      </c>
      <c r="O29" s="43">
        <f t="shared" si="27"/>
        <v>1569.4</v>
      </c>
      <c r="P29" s="42">
        <v>12300</v>
      </c>
      <c r="Q29" s="42"/>
      <c r="R29" s="42">
        <f t="shared" si="28"/>
        <v>0</v>
      </c>
      <c r="S29" s="85"/>
      <c r="T29" s="62"/>
      <c r="U29" s="62"/>
      <c r="V29" s="62"/>
      <c r="W29" s="62"/>
    </row>
    <row r="30" spans="1:23">
      <c r="A30" s="374"/>
      <c r="B30" s="352" t="s">
        <v>356</v>
      </c>
      <c r="C30" s="352" t="s">
        <v>88</v>
      </c>
      <c r="D30" s="42" t="s">
        <v>16</v>
      </c>
      <c r="E30" s="352" t="s">
        <v>3828</v>
      </c>
      <c r="F30" s="352">
        <v>1096</v>
      </c>
      <c r="G30" s="352"/>
      <c r="H30" s="352">
        <v>24130</v>
      </c>
      <c r="I30" s="352">
        <v>395</v>
      </c>
      <c r="J30" s="352">
        <v>0.13</v>
      </c>
      <c r="K30" s="43">
        <f t="shared" si="24"/>
        <v>51.35</v>
      </c>
      <c r="L30" s="43">
        <f t="shared" si="25"/>
        <v>24078.65</v>
      </c>
      <c r="M30" s="43"/>
      <c r="N30" s="43">
        <f t="shared" si="26"/>
        <v>24078.65</v>
      </c>
      <c r="O30" s="43">
        <f t="shared" si="27"/>
        <v>1689.1</v>
      </c>
      <c r="P30" s="42">
        <v>12950</v>
      </c>
      <c r="Q30" s="42"/>
      <c r="R30" s="42">
        <f t="shared" si="28"/>
        <v>0</v>
      </c>
      <c r="S30" s="85"/>
      <c r="T30" s="62"/>
      <c r="U30" s="62"/>
      <c r="V30" s="62"/>
      <c r="W30" s="62"/>
    </row>
    <row r="31" spans="1:23">
      <c r="A31" s="374" t="s">
        <v>4076</v>
      </c>
      <c r="B31" s="366" t="s">
        <v>356</v>
      </c>
      <c r="C31" s="366" t="s">
        <v>88</v>
      </c>
      <c r="D31" s="42" t="s">
        <v>16</v>
      </c>
      <c r="E31" s="366" t="s">
        <v>4077</v>
      </c>
      <c r="F31" s="366">
        <v>1157</v>
      </c>
      <c r="G31" s="366"/>
      <c r="H31" s="366">
        <v>19030</v>
      </c>
      <c r="I31" s="366">
        <v>320</v>
      </c>
      <c r="J31" s="366">
        <v>0.13</v>
      </c>
      <c r="K31" s="366">
        <f t="shared" si="24"/>
        <v>41.6</v>
      </c>
      <c r="L31" s="364">
        <f t="shared" si="25"/>
        <v>18988.400000000001</v>
      </c>
      <c r="M31" s="364"/>
      <c r="N31" s="364">
        <f t="shared" si="26"/>
        <v>18988.400000000001</v>
      </c>
      <c r="O31" s="43">
        <f t="shared" si="27"/>
        <v>1332.1000000000001</v>
      </c>
      <c r="P31" s="366">
        <v>12300</v>
      </c>
      <c r="Q31" s="190"/>
      <c r="R31" s="366">
        <f t="shared" si="28"/>
        <v>0</v>
      </c>
      <c r="S31" s="366"/>
      <c r="T31" s="62"/>
      <c r="U31" s="62"/>
      <c r="V31" s="62"/>
      <c r="W31" s="62"/>
    </row>
    <row r="32" spans="1:23">
      <c r="A32" s="374"/>
      <c r="B32" s="366" t="s">
        <v>356</v>
      </c>
      <c r="C32" s="366" t="s">
        <v>88</v>
      </c>
      <c r="D32" s="42" t="s">
        <v>16</v>
      </c>
      <c r="E32" s="366" t="s">
        <v>4078</v>
      </c>
      <c r="F32" s="366">
        <v>1156</v>
      </c>
      <c r="G32" s="366"/>
      <c r="H32" s="366">
        <v>31030</v>
      </c>
      <c r="I32" s="366">
        <v>475</v>
      </c>
      <c r="J32" s="366">
        <v>0.13</v>
      </c>
      <c r="K32" s="366">
        <f t="shared" si="24"/>
        <v>61.75</v>
      </c>
      <c r="L32" s="364">
        <f t="shared" si="25"/>
        <v>30968.25</v>
      </c>
      <c r="M32" s="364"/>
      <c r="N32" s="364">
        <f t="shared" si="26"/>
        <v>30968.25</v>
      </c>
      <c r="O32" s="43">
        <f t="shared" si="27"/>
        <v>2172.1</v>
      </c>
      <c r="P32" s="366">
        <v>19000</v>
      </c>
      <c r="Q32" s="190"/>
      <c r="R32" s="366">
        <f t="shared" si="28"/>
        <v>0</v>
      </c>
      <c r="S32" s="366"/>
      <c r="T32" s="62"/>
      <c r="U32" s="62"/>
      <c r="V32" s="62"/>
      <c r="W32" s="62"/>
    </row>
    <row r="33" spans="1:23">
      <c r="A33" s="374"/>
      <c r="B33" s="366" t="s">
        <v>356</v>
      </c>
      <c r="C33" s="366" t="s">
        <v>88</v>
      </c>
      <c r="D33" s="42" t="s">
        <v>16</v>
      </c>
      <c r="E33" s="366" t="s">
        <v>3982</v>
      </c>
      <c r="F33" s="366">
        <v>1152</v>
      </c>
      <c r="G33" s="366"/>
      <c r="H33" s="366">
        <v>25720</v>
      </c>
      <c r="I33" s="366">
        <v>353</v>
      </c>
      <c r="J33" s="366">
        <v>0.13</v>
      </c>
      <c r="K33" s="366">
        <f t="shared" si="24"/>
        <v>45.89</v>
      </c>
      <c r="L33" s="364">
        <f t="shared" si="25"/>
        <v>25674.11</v>
      </c>
      <c r="M33" s="364"/>
      <c r="N33" s="364">
        <f t="shared" si="26"/>
        <v>25674.11</v>
      </c>
      <c r="O33" s="43">
        <f t="shared" si="27"/>
        <v>1800.3999999999999</v>
      </c>
      <c r="P33" s="366">
        <v>17500</v>
      </c>
      <c r="Q33" s="190"/>
      <c r="R33" s="366">
        <f t="shared" si="28"/>
        <v>0</v>
      </c>
      <c r="S33" s="366"/>
      <c r="T33" s="62"/>
      <c r="U33" s="62"/>
      <c r="V33" s="62"/>
      <c r="W33" s="62"/>
    </row>
    <row r="34" spans="1:23">
      <c r="A34" s="63"/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8"/>
      <c r="M34" s="68"/>
      <c r="N34" s="68"/>
      <c r="O34" s="68"/>
      <c r="P34" s="67"/>
      <c r="Q34" s="62"/>
      <c r="R34" s="62"/>
      <c r="S34" s="62"/>
      <c r="T34" s="62"/>
      <c r="U34" s="62"/>
      <c r="V34" s="62"/>
      <c r="W34" s="62"/>
    </row>
    <row r="35" spans="1:23">
      <c r="A35" s="63"/>
      <c r="B35" s="67"/>
      <c r="C35" s="67"/>
      <c r="D35" s="67"/>
      <c r="E35" s="67"/>
      <c r="F35" s="67"/>
      <c r="G35" s="67"/>
      <c r="H35" s="67"/>
      <c r="I35" s="67"/>
      <c r="J35" s="67"/>
      <c r="K35" s="68"/>
      <c r="L35" s="68"/>
      <c r="M35" s="68"/>
      <c r="N35" s="68"/>
      <c r="O35" s="68"/>
      <c r="P35" s="67"/>
      <c r="Q35" s="62"/>
      <c r="R35" s="62"/>
      <c r="S35" s="62"/>
      <c r="T35" s="62"/>
      <c r="U35" s="62"/>
      <c r="V35" s="62"/>
      <c r="W35" s="62"/>
    </row>
    <row r="36" spans="1:23">
      <c r="A36" s="63"/>
      <c r="B36" s="67"/>
      <c r="C36" s="67"/>
      <c r="D36" s="67"/>
      <c r="E36" s="67"/>
      <c r="F36" s="67"/>
      <c r="G36" s="67"/>
      <c r="H36" s="67"/>
      <c r="I36" s="67"/>
      <c r="J36" s="67"/>
      <c r="K36" s="68"/>
      <c r="L36" s="68"/>
      <c r="M36" s="68"/>
      <c r="N36" s="68"/>
      <c r="O36" s="68"/>
      <c r="P36" s="67"/>
      <c r="Q36" s="62"/>
      <c r="R36" s="62"/>
      <c r="S36" s="62"/>
      <c r="T36" s="62"/>
      <c r="U36" s="62"/>
      <c r="V36" s="62"/>
      <c r="W36" s="62"/>
    </row>
    <row r="37" spans="1:23">
      <c r="A37" s="63"/>
      <c r="B37" s="67"/>
      <c r="C37" s="67"/>
      <c r="D37" s="67"/>
      <c r="E37" s="67"/>
      <c r="F37" s="67"/>
      <c r="G37" s="67"/>
      <c r="H37" s="67"/>
      <c r="I37" s="67"/>
      <c r="J37" s="67"/>
      <c r="K37" s="68"/>
      <c r="L37" s="68"/>
      <c r="M37" s="68"/>
      <c r="N37" s="68"/>
      <c r="O37" s="68"/>
      <c r="P37" s="67"/>
      <c r="Q37" s="62"/>
      <c r="R37" s="62"/>
      <c r="S37" s="62"/>
      <c r="T37" s="62"/>
      <c r="U37" s="62"/>
      <c r="V37" s="62"/>
      <c r="W37" s="62"/>
    </row>
    <row r="38" spans="1:23">
      <c r="A38" s="63"/>
      <c r="B38" s="67"/>
      <c r="C38" s="67"/>
      <c r="D38" s="67"/>
      <c r="E38" s="67"/>
      <c r="F38" s="67"/>
      <c r="G38" s="67"/>
      <c r="H38" s="67"/>
      <c r="I38" s="67"/>
      <c r="J38" s="67"/>
      <c r="K38" s="68"/>
      <c r="L38" s="68"/>
      <c r="M38" s="68"/>
      <c r="N38" s="68"/>
      <c r="O38" s="68"/>
      <c r="P38" s="67"/>
      <c r="Q38" s="62"/>
      <c r="R38" s="62"/>
      <c r="S38" s="62"/>
      <c r="T38" s="62"/>
      <c r="U38" s="62"/>
      <c r="V38" s="62"/>
      <c r="W38" s="62"/>
    </row>
    <row r="39" spans="1:23">
      <c r="A39" s="63"/>
      <c r="B39" s="67"/>
      <c r="C39" s="67"/>
      <c r="D39" s="67"/>
      <c r="E39" s="67"/>
      <c r="F39" s="67"/>
      <c r="G39" s="67"/>
      <c r="H39" s="67"/>
      <c r="I39" s="67"/>
      <c r="J39" s="67"/>
      <c r="K39" s="68"/>
      <c r="L39" s="68"/>
      <c r="M39" s="68"/>
      <c r="N39" s="68"/>
      <c r="O39" s="68"/>
      <c r="P39" s="67"/>
      <c r="Q39" s="62"/>
      <c r="R39" s="62"/>
      <c r="S39" s="62"/>
      <c r="T39" s="62"/>
      <c r="U39" s="62"/>
      <c r="V39" s="62"/>
      <c r="W39" s="62"/>
    </row>
    <row r="40" spans="1:23">
      <c r="A40" s="63"/>
      <c r="B40" s="67"/>
      <c r="C40" s="67"/>
      <c r="D40" s="67"/>
      <c r="E40" s="67"/>
      <c r="F40" s="67"/>
      <c r="G40" s="67"/>
      <c r="H40" s="67"/>
      <c r="I40" s="67"/>
      <c r="J40" s="67"/>
      <c r="K40" s="68"/>
      <c r="L40" s="68"/>
      <c r="M40" s="68"/>
      <c r="N40" s="68"/>
      <c r="O40" s="68"/>
      <c r="P40" s="67"/>
      <c r="Q40" s="62"/>
      <c r="R40" s="62"/>
      <c r="S40" s="62"/>
      <c r="T40" s="62"/>
      <c r="U40" s="62"/>
      <c r="V40" s="62"/>
      <c r="W40" s="62"/>
    </row>
    <row r="41" spans="1:23">
      <c r="A41" s="63"/>
      <c r="B41" s="67"/>
      <c r="C41" s="67"/>
      <c r="D41" s="67"/>
      <c r="E41" s="67"/>
      <c r="F41" s="67"/>
      <c r="G41" s="67"/>
      <c r="H41" s="67"/>
      <c r="I41" s="67"/>
      <c r="J41" s="67"/>
      <c r="K41" s="68"/>
      <c r="L41" s="68"/>
      <c r="M41" s="68"/>
      <c r="N41" s="68"/>
      <c r="O41" s="68"/>
      <c r="P41" s="67"/>
      <c r="Q41" s="62"/>
      <c r="R41" s="62"/>
      <c r="S41" s="62"/>
      <c r="T41" s="62"/>
      <c r="U41" s="62"/>
      <c r="V41" s="62"/>
      <c r="W41" s="62"/>
    </row>
    <row r="42" spans="1:23">
      <c r="A42" s="63"/>
      <c r="B42" s="67"/>
      <c r="C42" s="67"/>
      <c r="D42" s="67"/>
      <c r="E42" s="67"/>
      <c r="F42" s="67"/>
      <c r="G42" s="67"/>
      <c r="H42" s="67"/>
      <c r="I42" s="67"/>
      <c r="J42" s="67"/>
      <c r="K42" s="68"/>
      <c r="L42" s="68"/>
      <c r="M42" s="68"/>
      <c r="N42" s="68"/>
      <c r="O42" s="68"/>
      <c r="P42" s="67"/>
      <c r="Q42" s="62"/>
      <c r="R42" s="62"/>
      <c r="S42" s="62"/>
      <c r="T42" s="62"/>
      <c r="U42" s="62"/>
      <c r="V42" s="62"/>
      <c r="W42" s="62"/>
    </row>
    <row r="43" spans="1:23">
      <c r="A43" s="63"/>
      <c r="B43" s="67"/>
      <c r="C43" s="67"/>
      <c r="D43" s="67"/>
      <c r="E43" s="67"/>
      <c r="F43" s="67"/>
      <c r="G43" s="67"/>
      <c r="H43" s="67"/>
      <c r="I43" s="67"/>
      <c r="J43" s="67"/>
      <c r="K43" s="68"/>
      <c r="L43" s="68"/>
      <c r="M43" s="68"/>
      <c r="N43" s="68"/>
      <c r="O43" s="68"/>
      <c r="P43" s="67"/>
      <c r="Q43" s="62"/>
      <c r="R43" s="62"/>
      <c r="S43" s="62"/>
      <c r="T43" s="62"/>
      <c r="U43" s="62"/>
      <c r="V43" s="62"/>
      <c r="W43" s="62"/>
    </row>
    <row r="44" spans="1:23">
      <c r="A44" s="63"/>
      <c r="B44" s="67"/>
      <c r="C44" s="67"/>
      <c r="D44" s="67"/>
      <c r="E44" s="67"/>
      <c r="F44" s="67"/>
      <c r="G44" s="67"/>
      <c r="H44" s="67"/>
      <c r="I44" s="67"/>
      <c r="J44" s="67"/>
      <c r="K44" s="68"/>
      <c r="L44" s="68"/>
      <c r="M44" s="68"/>
      <c r="N44" s="68"/>
      <c r="O44" s="68"/>
      <c r="P44" s="67"/>
      <c r="Q44" s="62"/>
      <c r="R44" s="62"/>
      <c r="S44" s="62"/>
      <c r="T44" s="62"/>
      <c r="U44" s="62"/>
      <c r="V44" s="62"/>
      <c r="W44" s="62"/>
    </row>
    <row r="45" spans="1:23">
      <c r="A45" s="63"/>
      <c r="B45" s="67"/>
      <c r="C45" s="67"/>
      <c r="D45" s="67"/>
      <c r="E45" s="67"/>
      <c r="F45" s="98"/>
      <c r="G45" s="98"/>
      <c r="H45" s="98"/>
      <c r="I45" s="98"/>
      <c r="J45" s="98"/>
      <c r="K45" s="68"/>
      <c r="L45" s="68"/>
      <c r="M45" s="68"/>
      <c r="N45" s="68"/>
      <c r="O45" s="68"/>
      <c r="P45" s="99"/>
      <c r="Q45" s="62"/>
      <c r="R45" s="62"/>
      <c r="S45" s="62"/>
      <c r="T45" s="62"/>
      <c r="U45" s="62"/>
      <c r="V45" s="62"/>
      <c r="W45" s="62"/>
    </row>
    <row r="46" spans="1:23">
      <c r="A46" s="63"/>
      <c r="B46" s="67"/>
      <c r="C46" s="67"/>
      <c r="D46" s="67"/>
      <c r="E46" s="67"/>
      <c r="F46" s="67"/>
      <c r="G46" s="67"/>
      <c r="H46" s="67"/>
      <c r="I46" s="67"/>
      <c r="J46" s="67"/>
      <c r="K46" s="68"/>
      <c r="L46" s="68"/>
      <c r="M46" s="68"/>
      <c r="N46" s="68"/>
      <c r="O46" s="68"/>
      <c r="P46" s="67"/>
      <c r="Q46" s="62"/>
      <c r="R46" s="62"/>
      <c r="S46" s="62"/>
      <c r="T46" s="62"/>
      <c r="U46" s="62"/>
      <c r="V46" s="62"/>
      <c r="W46" s="62"/>
    </row>
    <row r="47" spans="1:23">
      <c r="A47" s="63"/>
      <c r="B47" s="67"/>
      <c r="C47" s="67"/>
      <c r="D47" s="67"/>
      <c r="E47" s="67"/>
      <c r="F47" s="67"/>
      <c r="G47" s="67"/>
      <c r="H47" s="67"/>
      <c r="I47" s="67"/>
      <c r="J47" s="67"/>
      <c r="K47" s="68"/>
      <c r="L47" s="68"/>
      <c r="M47" s="68"/>
      <c r="N47" s="68"/>
      <c r="O47" s="68"/>
      <c r="P47" s="67"/>
      <c r="Q47" s="62"/>
      <c r="R47" s="62"/>
      <c r="S47" s="62"/>
      <c r="T47" s="62"/>
      <c r="U47" s="62"/>
      <c r="V47" s="62"/>
      <c r="W47" s="62"/>
    </row>
    <row r="48" spans="1:23">
      <c r="A48" s="63"/>
      <c r="B48" s="67"/>
      <c r="C48" s="67"/>
      <c r="D48" s="67"/>
      <c r="E48" s="67"/>
      <c r="F48" s="67"/>
      <c r="G48" s="67"/>
      <c r="H48" s="67"/>
      <c r="I48" s="67"/>
      <c r="J48" s="67"/>
      <c r="K48" s="68"/>
      <c r="L48" s="68"/>
      <c r="M48" s="68"/>
      <c r="N48" s="68"/>
      <c r="O48" s="68"/>
      <c r="P48" s="67"/>
      <c r="Q48" s="62"/>
      <c r="R48" s="62"/>
      <c r="S48" s="62"/>
      <c r="T48" s="62"/>
      <c r="U48" s="62"/>
      <c r="V48" s="62"/>
      <c r="W48" s="62"/>
    </row>
    <row r="49" spans="1:23">
      <c r="A49" s="63"/>
      <c r="B49" s="67"/>
      <c r="C49" s="67"/>
      <c r="D49" s="67"/>
      <c r="E49" s="67"/>
      <c r="F49" s="67"/>
      <c r="G49" s="67"/>
      <c r="H49" s="67"/>
      <c r="I49" s="67"/>
      <c r="J49" s="67"/>
      <c r="K49" s="68"/>
      <c r="L49" s="68"/>
      <c r="M49" s="68"/>
      <c r="N49" s="68"/>
      <c r="O49" s="68"/>
      <c r="P49" s="67"/>
      <c r="Q49" s="62"/>
      <c r="R49" s="62"/>
      <c r="S49" s="62"/>
      <c r="T49" s="62"/>
      <c r="U49" s="62"/>
      <c r="V49" s="62"/>
      <c r="W49" s="62"/>
    </row>
    <row r="50" spans="1:23">
      <c r="A50" s="63"/>
      <c r="B50" s="67"/>
      <c r="C50" s="67"/>
      <c r="D50" s="67"/>
      <c r="E50" s="67"/>
      <c r="F50" s="67"/>
      <c r="G50" s="67"/>
      <c r="H50" s="67"/>
      <c r="I50" s="67"/>
      <c r="J50" s="67"/>
      <c r="K50" s="68"/>
      <c r="L50" s="68"/>
      <c r="M50" s="68"/>
      <c r="N50" s="68"/>
      <c r="O50" s="68"/>
      <c r="P50" s="67"/>
      <c r="Q50" s="62"/>
      <c r="R50" s="62"/>
      <c r="S50" s="62"/>
      <c r="T50" s="62"/>
      <c r="U50" s="62"/>
      <c r="V50" s="62"/>
      <c r="W50" s="62"/>
    </row>
    <row r="51" spans="1:23">
      <c r="A51" s="63"/>
      <c r="B51" s="67"/>
      <c r="C51" s="67"/>
      <c r="D51" s="67"/>
      <c r="E51" s="67"/>
      <c r="F51" s="67"/>
      <c r="G51" s="67"/>
      <c r="H51" s="67"/>
      <c r="I51" s="67"/>
      <c r="J51" s="67"/>
      <c r="K51" s="68"/>
      <c r="L51" s="68"/>
      <c r="M51" s="68"/>
      <c r="N51" s="68"/>
      <c r="O51" s="68"/>
      <c r="P51" s="67"/>
      <c r="Q51" s="62"/>
      <c r="R51" s="62"/>
      <c r="S51" s="62"/>
      <c r="T51" s="62"/>
      <c r="U51" s="62"/>
      <c r="V51" s="62"/>
      <c r="W51" s="62"/>
    </row>
    <row r="52" spans="1:23">
      <c r="A52" s="63"/>
      <c r="B52" s="67"/>
      <c r="C52" s="67"/>
      <c r="D52" s="67"/>
      <c r="E52" s="67"/>
      <c r="F52" s="67"/>
      <c r="G52" s="67"/>
      <c r="H52" s="67"/>
      <c r="I52" s="67"/>
      <c r="J52" s="67"/>
      <c r="K52" s="68"/>
      <c r="L52" s="68"/>
      <c r="M52" s="68"/>
      <c r="N52" s="68"/>
      <c r="O52" s="68"/>
      <c r="P52" s="149"/>
      <c r="Q52" s="62"/>
      <c r="R52" s="62"/>
      <c r="S52" s="62"/>
      <c r="T52" s="62"/>
      <c r="U52" s="62"/>
      <c r="V52" s="62"/>
      <c r="W52" s="62"/>
    </row>
    <row r="53" spans="1:23">
      <c r="A53" s="63"/>
      <c r="B53" s="67"/>
      <c r="C53" s="67"/>
      <c r="D53" s="67"/>
      <c r="E53" s="67"/>
      <c r="F53" s="67"/>
      <c r="G53" s="67"/>
      <c r="H53" s="67"/>
      <c r="I53" s="67"/>
      <c r="J53" s="67"/>
      <c r="K53" s="68"/>
      <c r="L53" s="68"/>
      <c r="M53" s="68"/>
      <c r="N53" s="68"/>
      <c r="O53" s="68"/>
      <c r="P53" s="149"/>
      <c r="Q53" s="62"/>
      <c r="R53" s="62"/>
      <c r="S53" s="62"/>
      <c r="T53" s="62"/>
      <c r="U53" s="62"/>
      <c r="V53" s="62"/>
      <c r="W53" s="62"/>
    </row>
    <row r="54" spans="1:23">
      <c r="A54" s="63"/>
      <c r="B54" s="67"/>
      <c r="C54" s="67"/>
      <c r="D54" s="67"/>
      <c r="E54" s="67"/>
      <c r="F54" s="67"/>
      <c r="G54" s="67"/>
      <c r="H54" s="67"/>
      <c r="I54" s="67"/>
      <c r="J54" s="67"/>
      <c r="K54" s="68"/>
      <c r="L54" s="68"/>
      <c r="M54" s="68"/>
      <c r="N54" s="68"/>
      <c r="O54" s="68"/>
      <c r="P54" s="149"/>
      <c r="Q54" s="62"/>
      <c r="R54" s="62"/>
      <c r="S54" s="62"/>
      <c r="T54" s="62"/>
      <c r="U54" s="62"/>
      <c r="V54" s="62"/>
      <c r="W54" s="62"/>
    </row>
    <row r="55" spans="1:23">
      <c r="A55" s="63"/>
      <c r="B55" s="67"/>
      <c r="C55" s="67"/>
      <c r="D55" s="67"/>
      <c r="E55" s="67"/>
      <c r="F55" s="67"/>
      <c r="G55" s="67"/>
      <c r="H55" s="67"/>
      <c r="I55" s="67"/>
      <c r="J55" s="67"/>
      <c r="K55" s="68"/>
      <c r="L55" s="68"/>
      <c r="M55" s="68"/>
      <c r="N55" s="68"/>
      <c r="O55" s="68"/>
      <c r="P55" s="149"/>
      <c r="Q55" s="62"/>
      <c r="R55" s="62"/>
      <c r="S55" s="62"/>
      <c r="T55" s="62"/>
      <c r="U55" s="62"/>
      <c r="V55" s="62"/>
      <c r="W55" s="62"/>
    </row>
    <row r="56" spans="1:23">
      <c r="A56" s="63"/>
      <c r="B56" s="67"/>
      <c r="C56" s="67"/>
      <c r="D56" s="67"/>
      <c r="E56" s="67"/>
      <c r="F56" s="67"/>
      <c r="G56" s="67"/>
      <c r="H56" s="67"/>
      <c r="I56" s="67"/>
      <c r="J56" s="67"/>
      <c r="K56" s="68"/>
      <c r="L56" s="68"/>
      <c r="M56" s="68"/>
      <c r="N56" s="68"/>
      <c r="O56" s="68"/>
      <c r="P56" s="149"/>
      <c r="Q56" s="62"/>
      <c r="R56" s="62"/>
      <c r="S56" s="62"/>
      <c r="T56" s="62"/>
      <c r="U56" s="62"/>
      <c r="V56" s="62"/>
      <c r="W56" s="62"/>
    </row>
    <row r="57" spans="1:23">
      <c r="A57" s="63"/>
      <c r="B57" s="67"/>
      <c r="C57" s="67"/>
      <c r="D57" s="67"/>
      <c r="E57" s="67"/>
      <c r="F57" s="67"/>
      <c r="G57" s="67"/>
      <c r="H57" s="67"/>
      <c r="I57" s="67"/>
      <c r="J57" s="67"/>
      <c r="K57" s="68"/>
      <c r="L57" s="68"/>
      <c r="M57" s="68"/>
      <c r="N57" s="68"/>
      <c r="O57" s="68"/>
      <c r="P57" s="149"/>
      <c r="Q57" s="62"/>
      <c r="R57" s="62"/>
      <c r="S57" s="62"/>
      <c r="T57" s="62"/>
      <c r="U57" s="62"/>
      <c r="V57" s="62"/>
      <c r="W57" s="62"/>
    </row>
    <row r="58" spans="1:23">
      <c r="A58" s="63"/>
      <c r="B58" s="67"/>
      <c r="C58" s="67"/>
      <c r="D58" s="67"/>
      <c r="E58" s="67"/>
      <c r="F58" s="67"/>
      <c r="G58" s="67"/>
      <c r="H58" s="67"/>
      <c r="I58" s="67"/>
      <c r="J58" s="67"/>
      <c r="K58" s="68"/>
      <c r="L58" s="68"/>
      <c r="M58" s="68"/>
      <c r="N58" s="68"/>
      <c r="O58" s="68"/>
      <c r="P58" s="67"/>
      <c r="Q58" s="67"/>
      <c r="R58" s="67"/>
      <c r="S58" s="62"/>
      <c r="T58" s="62"/>
      <c r="U58" s="62"/>
      <c r="V58" s="62"/>
      <c r="W58" s="62"/>
    </row>
    <row r="59" spans="1:23">
      <c r="A59" s="63"/>
      <c r="B59" s="67"/>
      <c r="C59" s="67"/>
      <c r="D59" s="67"/>
      <c r="E59" s="67"/>
      <c r="F59" s="67"/>
      <c r="G59" s="67"/>
      <c r="H59" s="67"/>
      <c r="I59" s="67"/>
      <c r="J59" s="67"/>
      <c r="K59" s="68"/>
      <c r="L59" s="68"/>
      <c r="M59" s="68"/>
      <c r="N59" s="68"/>
      <c r="O59" s="68"/>
      <c r="P59" s="67"/>
      <c r="Q59" s="67"/>
      <c r="R59" s="67"/>
      <c r="S59" s="62"/>
      <c r="T59" s="62"/>
      <c r="U59" s="62"/>
      <c r="V59" s="62"/>
      <c r="W59" s="62"/>
    </row>
    <row r="60" spans="1:23">
      <c r="A60" s="63"/>
      <c r="B60" s="67"/>
      <c r="C60" s="67"/>
      <c r="D60" s="67"/>
      <c r="E60" s="67"/>
      <c r="F60" s="67"/>
      <c r="G60" s="67"/>
      <c r="H60" s="67"/>
      <c r="I60" s="67"/>
      <c r="J60" s="67"/>
      <c r="K60" s="68"/>
      <c r="L60" s="68"/>
      <c r="M60" s="68"/>
      <c r="N60" s="68"/>
      <c r="O60" s="68"/>
      <c r="P60" s="67"/>
      <c r="Q60" s="67"/>
      <c r="R60" s="67"/>
      <c r="S60" s="62"/>
      <c r="T60" s="62"/>
      <c r="U60" s="62"/>
      <c r="V60" s="62"/>
      <c r="W60" s="62"/>
    </row>
    <row r="61" spans="1:23">
      <c r="A61" s="63"/>
      <c r="B61" s="67"/>
      <c r="C61" s="67"/>
      <c r="D61" s="67"/>
      <c r="E61" s="67"/>
      <c r="F61" s="67"/>
      <c r="G61" s="67"/>
      <c r="H61" s="67"/>
      <c r="I61" s="67"/>
      <c r="J61" s="67"/>
      <c r="K61" s="68"/>
      <c r="L61" s="68"/>
      <c r="M61" s="68"/>
      <c r="N61" s="68"/>
      <c r="O61" s="68"/>
      <c r="P61" s="67"/>
      <c r="Q61" s="67"/>
      <c r="R61" s="67"/>
      <c r="S61" s="62"/>
      <c r="T61" s="62"/>
      <c r="U61" s="62"/>
      <c r="V61" s="62"/>
      <c r="W61" s="62"/>
    </row>
    <row r="62" spans="1:23">
      <c r="A62" s="63"/>
      <c r="B62" s="67"/>
      <c r="C62" s="67"/>
      <c r="D62" s="67"/>
      <c r="E62" s="67"/>
      <c r="F62" s="67"/>
      <c r="G62" s="67"/>
      <c r="H62" s="67"/>
      <c r="I62" s="67"/>
      <c r="J62" s="67"/>
      <c r="K62" s="68"/>
      <c r="L62" s="68"/>
      <c r="M62" s="68"/>
      <c r="N62" s="68"/>
      <c r="O62" s="68"/>
      <c r="P62" s="67"/>
      <c r="Q62" s="67"/>
      <c r="R62" s="67"/>
      <c r="S62" s="62"/>
      <c r="T62" s="62"/>
      <c r="U62" s="62"/>
      <c r="V62" s="62"/>
      <c r="W62" s="62"/>
    </row>
    <row r="63" spans="1:23">
      <c r="A63" s="63"/>
      <c r="B63" s="67"/>
      <c r="C63" s="67"/>
      <c r="D63" s="67"/>
      <c r="E63" s="67"/>
      <c r="F63" s="67"/>
      <c r="G63" s="67"/>
      <c r="H63" s="67"/>
      <c r="I63" s="67"/>
      <c r="J63" s="67"/>
      <c r="K63" s="68"/>
      <c r="L63" s="68"/>
      <c r="M63" s="68"/>
      <c r="N63" s="68"/>
      <c r="O63" s="68"/>
      <c r="P63" s="67"/>
      <c r="Q63" s="67"/>
      <c r="R63" s="67"/>
      <c r="S63" s="62"/>
      <c r="T63" s="62"/>
      <c r="U63" s="62"/>
      <c r="V63" s="62"/>
      <c r="W63" s="62"/>
    </row>
    <row r="64" spans="1:23">
      <c r="A64" s="63"/>
      <c r="B64" s="67"/>
      <c r="C64" s="67"/>
      <c r="D64" s="67"/>
      <c r="E64" s="67"/>
      <c r="F64" s="67"/>
      <c r="G64" s="67"/>
      <c r="H64" s="67"/>
      <c r="I64" s="67"/>
      <c r="J64" s="67"/>
      <c r="K64" s="68"/>
      <c r="L64" s="68"/>
      <c r="M64" s="68"/>
      <c r="N64" s="68"/>
      <c r="O64" s="68"/>
      <c r="P64" s="67"/>
      <c r="Q64" s="67"/>
      <c r="R64" s="67"/>
      <c r="S64" s="62"/>
      <c r="T64" s="62"/>
      <c r="U64" s="62"/>
      <c r="V64" s="62"/>
      <c r="W64" s="62"/>
    </row>
    <row r="65" spans="1:23">
      <c r="A65" s="63"/>
      <c r="B65" s="67"/>
      <c r="C65" s="67"/>
      <c r="D65" s="67"/>
      <c r="E65" s="67"/>
      <c r="F65" s="67"/>
      <c r="G65" s="67"/>
      <c r="H65" s="67"/>
      <c r="I65" s="67"/>
      <c r="J65" s="67"/>
      <c r="K65" s="68"/>
      <c r="L65" s="68"/>
      <c r="M65" s="68"/>
      <c r="N65" s="68"/>
      <c r="O65" s="68"/>
      <c r="P65" s="149"/>
      <c r="Q65" s="67"/>
      <c r="R65" s="67"/>
      <c r="S65" s="62"/>
      <c r="T65" s="62"/>
      <c r="U65" s="62"/>
      <c r="V65" s="62"/>
      <c r="W65" s="62"/>
    </row>
    <row r="66" spans="1:23">
      <c r="A66" s="63"/>
      <c r="B66" s="67"/>
      <c r="C66" s="67"/>
      <c r="D66" s="67"/>
      <c r="E66" s="67"/>
      <c r="F66" s="67"/>
      <c r="G66" s="67"/>
      <c r="H66" s="67"/>
      <c r="I66" s="67"/>
      <c r="J66" s="67"/>
      <c r="K66" s="67"/>
      <c r="L66" s="68"/>
      <c r="M66" s="68"/>
      <c r="N66" s="68"/>
      <c r="O66" s="68"/>
      <c r="P66" s="67"/>
      <c r="Q66" s="67"/>
      <c r="R66" s="67"/>
      <c r="S66" s="62"/>
      <c r="T66" s="62"/>
      <c r="U66" s="62"/>
      <c r="V66" s="62"/>
      <c r="W66" s="62"/>
    </row>
    <row r="67" spans="1:23">
      <c r="A67" s="63"/>
      <c r="B67" s="67"/>
      <c r="C67" s="67"/>
      <c r="D67" s="67"/>
      <c r="E67" s="67"/>
      <c r="F67" s="67"/>
      <c r="G67" s="67"/>
      <c r="H67" s="67"/>
      <c r="I67" s="67"/>
      <c r="J67" s="67"/>
      <c r="K67" s="67"/>
      <c r="L67" s="68"/>
      <c r="M67" s="68"/>
      <c r="N67" s="68"/>
      <c r="O67" s="68"/>
      <c r="P67" s="67"/>
      <c r="Q67" s="67"/>
      <c r="R67" s="67"/>
      <c r="S67" s="62"/>
      <c r="T67" s="62"/>
      <c r="U67" s="62"/>
      <c r="V67" s="62"/>
      <c r="W67" s="62"/>
    </row>
    <row r="68" spans="1:23">
      <c r="A68" s="63"/>
      <c r="B68" s="67"/>
      <c r="C68" s="67"/>
      <c r="D68" s="67"/>
      <c r="E68" s="67"/>
      <c r="F68" s="67"/>
      <c r="G68" s="67"/>
      <c r="H68" s="67"/>
      <c r="I68" s="67"/>
      <c r="J68" s="67"/>
      <c r="K68" s="67"/>
      <c r="L68" s="68"/>
      <c r="M68" s="68"/>
      <c r="N68" s="68"/>
      <c r="O68" s="68"/>
      <c r="P68" s="67"/>
      <c r="Q68" s="67"/>
      <c r="R68" s="67"/>
      <c r="S68" s="62"/>
      <c r="T68" s="62"/>
      <c r="U68" s="62"/>
      <c r="V68" s="62"/>
      <c r="W68" s="62"/>
    </row>
    <row r="69" spans="1:23">
      <c r="A69" s="63"/>
      <c r="B69" s="67"/>
      <c r="C69" s="67"/>
      <c r="D69" s="67"/>
      <c r="E69" s="67"/>
      <c r="F69" s="67"/>
      <c r="G69" s="67"/>
      <c r="H69" s="67"/>
      <c r="I69" s="67"/>
      <c r="J69" s="67"/>
      <c r="K69" s="67"/>
      <c r="L69" s="68"/>
      <c r="M69" s="68"/>
      <c r="N69" s="68"/>
      <c r="O69" s="68"/>
      <c r="P69" s="67"/>
      <c r="Q69" s="67"/>
      <c r="R69" s="67"/>
      <c r="S69" s="62"/>
      <c r="T69" s="62"/>
      <c r="U69" s="62"/>
      <c r="V69" s="62"/>
      <c r="W69" s="62"/>
    </row>
    <row r="70" spans="1:23">
      <c r="A70" s="63"/>
      <c r="B70" s="67"/>
      <c r="C70" s="67"/>
      <c r="D70" s="67"/>
      <c r="E70" s="67"/>
      <c r="F70" s="67"/>
      <c r="G70" s="67"/>
      <c r="H70" s="67"/>
      <c r="I70" s="67"/>
      <c r="J70" s="67"/>
      <c r="K70" s="67"/>
      <c r="L70" s="68"/>
      <c r="M70" s="68"/>
      <c r="N70" s="68"/>
      <c r="O70" s="68"/>
      <c r="P70" s="67"/>
      <c r="Q70" s="67"/>
      <c r="R70" s="67"/>
      <c r="S70" s="62"/>
      <c r="T70" s="62"/>
      <c r="U70" s="62"/>
      <c r="V70" s="62"/>
      <c r="W70" s="62"/>
    </row>
    <row r="71" spans="1:23">
      <c r="A71" s="63"/>
      <c r="B71" s="67"/>
      <c r="C71" s="67"/>
      <c r="D71" s="67"/>
      <c r="E71" s="67"/>
      <c r="F71" s="67"/>
      <c r="G71" s="67"/>
      <c r="H71" s="67"/>
      <c r="I71" s="67"/>
      <c r="J71" s="67"/>
      <c r="K71" s="67"/>
      <c r="L71" s="68"/>
      <c r="M71" s="68"/>
      <c r="N71" s="68"/>
      <c r="O71" s="68"/>
      <c r="P71" s="67"/>
      <c r="Q71" s="67"/>
      <c r="R71" s="67"/>
      <c r="S71" s="62"/>
      <c r="T71" s="62"/>
      <c r="U71" s="62"/>
      <c r="V71" s="62"/>
      <c r="W71" s="62"/>
    </row>
    <row r="72" spans="1:23">
      <c r="A72" s="63"/>
      <c r="B72" s="67"/>
      <c r="C72" s="67"/>
      <c r="D72" s="67"/>
      <c r="E72" s="67"/>
      <c r="F72" s="67"/>
      <c r="G72" s="67"/>
      <c r="H72" s="67"/>
      <c r="I72" s="67"/>
      <c r="J72" s="67"/>
      <c r="K72" s="67"/>
      <c r="L72" s="68"/>
      <c r="M72" s="68"/>
      <c r="N72" s="68"/>
      <c r="O72" s="68"/>
      <c r="P72" s="67"/>
      <c r="Q72" s="67"/>
      <c r="R72" s="67"/>
      <c r="S72" s="62"/>
      <c r="T72" s="62"/>
      <c r="U72" s="62"/>
      <c r="V72" s="62"/>
      <c r="W72" s="62"/>
    </row>
    <row r="73" spans="1:23">
      <c r="A73" s="62"/>
      <c r="B73" s="67"/>
      <c r="C73" s="67"/>
      <c r="D73" s="67"/>
      <c r="E73" s="67"/>
      <c r="F73" s="67"/>
      <c r="G73" s="67"/>
      <c r="H73" s="67"/>
      <c r="I73" s="67"/>
      <c r="J73" s="67"/>
      <c r="K73" s="67"/>
      <c r="L73" s="68"/>
      <c r="M73" s="68"/>
      <c r="N73" s="68"/>
      <c r="O73" s="68"/>
      <c r="P73" s="67"/>
      <c r="Q73" s="67"/>
      <c r="R73" s="67"/>
      <c r="S73" s="62"/>
      <c r="T73" s="62"/>
      <c r="U73" s="62"/>
      <c r="V73" s="62"/>
      <c r="W73" s="62"/>
    </row>
    <row r="74" spans="1:23">
      <c r="A74" s="63"/>
      <c r="B74" s="67"/>
      <c r="C74" s="67"/>
      <c r="D74" s="67"/>
      <c r="E74" s="67"/>
      <c r="F74" s="67"/>
      <c r="G74" s="67"/>
      <c r="H74" s="67"/>
      <c r="I74" s="67"/>
      <c r="J74" s="67"/>
      <c r="K74" s="67"/>
      <c r="L74" s="68"/>
      <c r="M74" s="68"/>
      <c r="N74" s="68"/>
      <c r="O74" s="68"/>
      <c r="P74" s="67"/>
      <c r="Q74" s="67"/>
      <c r="R74" s="67"/>
      <c r="S74" s="62"/>
      <c r="T74" s="62"/>
      <c r="U74" s="62"/>
      <c r="V74" s="62"/>
      <c r="W74" s="62"/>
    </row>
    <row r="75" spans="1:23">
      <c r="A75" s="63"/>
      <c r="B75" s="67"/>
      <c r="C75" s="67"/>
      <c r="D75" s="67"/>
      <c r="E75" s="67"/>
      <c r="F75" s="67"/>
      <c r="G75" s="67"/>
      <c r="H75" s="67"/>
      <c r="I75" s="67"/>
      <c r="J75" s="67"/>
      <c r="K75" s="67"/>
      <c r="L75" s="68"/>
      <c r="M75" s="68"/>
      <c r="N75" s="68"/>
      <c r="O75" s="68"/>
      <c r="P75" s="67"/>
      <c r="Q75" s="67"/>
      <c r="R75" s="67"/>
      <c r="S75" s="62"/>
      <c r="T75" s="62"/>
      <c r="U75" s="62"/>
      <c r="V75" s="62"/>
      <c r="W75" s="62"/>
    </row>
    <row r="76" spans="1:23">
      <c r="A76" s="63"/>
      <c r="B76" s="67"/>
      <c r="C76" s="67"/>
      <c r="D76" s="67"/>
      <c r="E76" s="67"/>
      <c r="F76" s="67"/>
      <c r="G76" s="67"/>
      <c r="H76" s="67"/>
      <c r="I76" s="67"/>
      <c r="J76" s="67"/>
      <c r="K76" s="67"/>
      <c r="L76" s="68"/>
      <c r="M76" s="68"/>
      <c r="N76" s="68"/>
      <c r="O76" s="68"/>
      <c r="P76" s="67"/>
      <c r="Q76" s="67"/>
      <c r="R76" s="67"/>
      <c r="S76" s="62"/>
      <c r="T76" s="62"/>
      <c r="U76" s="62"/>
      <c r="V76" s="62"/>
      <c r="W76" s="62"/>
    </row>
    <row r="77" spans="1:23">
      <c r="A77" s="63"/>
      <c r="B77" s="67"/>
      <c r="C77" s="67"/>
      <c r="D77" s="67"/>
      <c r="E77" s="67"/>
      <c r="F77" s="67"/>
      <c r="G77" s="67"/>
      <c r="H77" s="67"/>
      <c r="I77" s="67"/>
      <c r="J77" s="67"/>
      <c r="K77" s="67"/>
      <c r="L77" s="68"/>
      <c r="M77" s="68"/>
      <c r="N77" s="68"/>
      <c r="O77" s="68"/>
      <c r="P77" s="67"/>
      <c r="Q77" s="67"/>
      <c r="R77" s="67"/>
      <c r="S77" s="62"/>
      <c r="T77" s="62"/>
      <c r="U77" s="62"/>
      <c r="V77" s="62"/>
      <c r="W77" s="62"/>
    </row>
    <row r="78" spans="1:23">
      <c r="A78" s="63"/>
      <c r="B78" s="67"/>
      <c r="C78" s="67"/>
      <c r="D78" s="67"/>
      <c r="E78" s="67"/>
      <c r="F78" s="67"/>
      <c r="G78" s="67"/>
      <c r="H78" s="67"/>
      <c r="I78" s="67"/>
      <c r="J78" s="67"/>
      <c r="K78" s="67"/>
      <c r="L78" s="68"/>
      <c r="M78" s="68"/>
      <c r="N78" s="68"/>
      <c r="O78" s="68"/>
      <c r="P78" s="67"/>
      <c r="Q78" s="67"/>
      <c r="R78" s="67"/>
      <c r="S78" s="62"/>
      <c r="T78" s="62"/>
      <c r="U78" s="62"/>
      <c r="V78" s="62"/>
      <c r="W78" s="62"/>
    </row>
    <row r="79" spans="1:23">
      <c r="A79" s="63"/>
      <c r="B79" s="67"/>
      <c r="C79" s="67"/>
      <c r="D79" s="67"/>
      <c r="E79" s="67"/>
      <c r="F79" s="67"/>
      <c r="G79" s="67"/>
      <c r="H79" s="67"/>
      <c r="I79" s="67"/>
      <c r="J79" s="67"/>
      <c r="K79" s="67"/>
      <c r="L79" s="68"/>
      <c r="M79" s="68"/>
      <c r="N79" s="68"/>
      <c r="O79" s="68"/>
      <c r="P79" s="67"/>
      <c r="Q79" s="67"/>
      <c r="R79" s="67"/>
      <c r="S79" s="62"/>
      <c r="T79" s="62"/>
      <c r="U79" s="62"/>
      <c r="V79" s="62"/>
      <c r="W79" s="62"/>
    </row>
    <row r="80" spans="1:23">
      <c r="A80" s="63"/>
      <c r="B80" s="67"/>
      <c r="C80" s="67"/>
      <c r="D80" s="67"/>
      <c r="E80" s="67"/>
      <c r="F80" s="67"/>
      <c r="G80" s="67"/>
      <c r="H80" s="67"/>
      <c r="I80" s="67"/>
      <c r="J80" s="67"/>
      <c r="K80" s="67"/>
      <c r="L80" s="68"/>
      <c r="M80" s="68"/>
      <c r="N80" s="68"/>
      <c r="O80" s="68"/>
      <c r="P80" s="67"/>
      <c r="Q80" s="67"/>
      <c r="R80" s="67"/>
      <c r="S80" s="62"/>
      <c r="T80" s="62"/>
      <c r="U80" s="62"/>
      <c r="V80" s="62"/>
      <c r="W80" s="62"/>
    </row>
    <row r="81" spans="1:23">
      <c r="A81" s="63"/>
      <c r="B81" s="67"/>
      <c r="C81" s="67"/>
      <c r="D81" s="67"/>
      <c r="E81" s="67"/>
      <c r="F81" s="67"/>
      <c r="G81" s="67"/>
      <c r="H81" s="67"/>
      <c r="I81" s="67"/>
      <c r="J81" s="67"/>
      <c r="K81" s="67"/>
      <c r="L81" s="68"/>
      <c r="M81" s="68"/>
      <c r="N81" s="68"/>
      <c r="O81" s="68"/>
      <c r="P81" s="67"/>
      <c r="Q81" s="67"/>
      <c r="R81" s="67"/>
      <c r="S81" s="62"/>
      <c r="T81" s="62"/>
      <c r="U81" s="62"/>
      <c r="V81" s="62"/>
      <c r="W81" s="62"/>
    </row>
    <row r="82" spans="1:23">
      <c r="A82" s="63"/>
      <c r="B82" s="67"/>
      <c r="C82" s="67"/>
      <c r="D82" s="67"/>
      <c r="E82" s="67"/>
      <c r="F82" s="67"/>
      <c r="G82" s="67"/>
      <c r="H82" s="67"/>
      <c r="I82" s="67"/>
      <c r="J82" s="67"/>
      <c r="K82" s="67"/>
      <c r="L82" s="68"/>
      <c r="M82" s="68"/>
      <c r="N82" s="68"/>
      <c r="O82" s="68"/>
      <c r="P82" s="67"/>
      <c r="Q82" s="67"/>
      <c r="R82" s="67"/>
      <c r="S82" s="62"/>
      <c r="T82" s="62"/>
      <c r="U82" s="62"/>
      <c r="V82" s="62"/>
      <c r="W82" s="62"/>
    </row>
    <row r="83" spans="1:23">
      <c r="A83" s="62"/>
      <c r="B83" s="67"/>
      <c r="C83" s="67"/>
      <c r="D83" s="67"/>
      <c r="E83" s="67"/>
      <c r="F83" s="67"/>
      <c r="G83" s="67"/>
      <c r="H83" s="67"/>
      <c r="I83" s="67"/>
      <c r="J83" s="67"/>
      <c r="K83" s="67"/>
      <c r="L83" s="68"/>
      <c r="M83" s="68"/>
      <c r="N83" s="68"/>
      <c r="O83" s="68"/>
      <c r="P83" s="67"/>
      <c r="Q83" s="67"/>
      <c r="R83" s="67"/>
      <c r="S83" s="62"/>
      <c r="T83" s="62"/>
      <c r="U83" s="62"/>
      <c r="V83" s="62"/>
      <c r="W83" s="62"/>
    </row>
    <row r="84" spans="1:23">
      <c r="A84" s="63"/>
      <c r="B84" s="142"/>
      <c r="C84" s="142"/>
      <c r="D84" s="67"/>
      <c r="E84" s="67"/>
      <c r="F84" s="67"/>
      <c r="G84" s="67"/>
      <c r="H84" s="67"/>
      <c r="I84" s="67"/>
      <c r="J84" s="67"/>
      <c r="K84" s="67"/>
      <c r="L84" s="68"/>
      <c r="M84" s="68"/>
      <c r="N84" s="68"/>
      <c r="O84" s="68"/>
      <c r="P84" s="67"/>
      <c r="Q84" s="67"/>
      <c r="R84" s="67"/>
      <c r="S84" s="62"/>
      <c r="T84" s="62"/>
      <c r="U84" s="62"/>
      <c r="V84" s="62"/>
      <c r="W84" s="62"/>
    </row>
    <row r="85" spans="1:23">
      <c r="A85" s="63"/>
      <c r="B85" s="142"/>
      <c r="C85" s="142"/>
      <c r="D85" s="67"/>
      <c r="E85" s="67"/>
      <c r="F85" s="67"/>
      <c r="G85" s="67"/>
      <c r="H85" s="67"/>
      <c r="I85" s="67"/>
      <c r="J85" s="67"/>
      <c r="K85" s="67"/>
      <c r="L85" s="68"/>
      <c r="M85" s="68"/>
      <c r="N85" s="68"/>
      <c r="O85" s="68"/>
      <c r="P85" s="67"/>
      <c r="Q85" s="67"/>
      <c r="R85" s="67"/>
      <c r="S85" s="62"/>
      <c r="T85" s="62"/>
      <c r="U85" s="62"/>
      <c r="V85" s="62"/>
      <c r="W85" s="62"/>
    </row>
    <row r="86" spans="1:23">
      <c r="A86" s="63"/>
      <c r="B86" s="142"/>
      <c r="C86" s="142"/>
      <c r="D86" s="67"/>
      <c r="E86" s="67"/>
      <c r="F86" s="67"/>
      <c r="G86" s="67"/>
      <c r="H86" s="67"/>
      <c r="I86" s="67"/>
      <c r="J86" s="67"/>
      <c r="K86" s="67"/>
      <c r="L86" s="68"/>
      <c r="M86" s="68"/>
      <c r="N86" s="68"/>
      <c r="O86" s="68"/>
      <c r="P86" s="67"/>
      <c r="Q86" s="67"/>
      <c r="R86" s="67"/>
      <c r="S86" s="62"/>
      <c r="T86" s="62"/>
      <c r="U86" s="62"/>
      <c r="V86" s="62"/>
      <c r="W86" s="62"/>
    </row>
    <row r="87" spans="1:23">
      <c r="A87" s="63"/>
      <c r="B87" s="142"/>
      <c r="C87" s="142"/>
      <c r="D87" s="67"/>
      <c r="E87" s="67"/>
      <c r="F87" s="67"/>
      <c r="G87" s="67"/>
      <c r="H87" s="67"/>
      <c r="I87" s="67"/>
      <c r="J87" s="67"/>
      <c r="K87" s="67"/>
      <c r="L87" s="68"/>
      <c r="M87" s="68"/>
      <c r="N87" s="68"/>
      <c r="O87" s="68"/>
      <c r="P87" s="67"/>
      <c r="Q87" s="67"/>
      <c r="R87" s="67"/>
      <c r="S87" s="62"/>
      <c r="T87" s="62"/>
      <c r="U87" s="62"/>
      <c r="V87" s="62"/>
      <c r="W87" s="62"/>
    </row>
    <row r="88" spans="1:23">
      <c r="A88" s="63"/>
      <c r="B88" s="142"/>
      <c r="C88" s="142"/>
      <c r="D88" s="67"/>
      <c r="E88" s="67"/>
      <c r="F88" s="67"/>
      <c r="G88" s="67"/>
      <c r="H88" s="67"/>
      <c r="I88" s="67"/>
      <c r="J88" s="67"/>
      <c r="K88" s="67"/>
      <c r="L88" s="68"/>
      <c r="M88" s="68"/>
      <c r="N88" s="68"/>
      <c r="O88" s="68"/>
      <c r="P88" s="67"/>
      <c r="Q88" s="67"/>
      <c r="R88" s="67"/>
      <c r="S88" s="62"/>
      <c r="T88" s="62"/>
      <c r="U88" s="62"/>
      <c r="V88" s="62"/>
      <c r="W88" s="62"/>
    </row>
    <row r="89" spans="1:23">
      <c r="A89" s="63"/>
      <c r="B89" s="142"/>
      <c r="C89" s="142"/>
      <c r="D89" s="67"/>
      <c r="E89" s="67"/>
      <c r="F89" s="67"/>
      <c r="G89" s="67"/>
      <c r="H89" s="67"/>
      <c r="I89" s="67"/>
      <c r="J89" s="67"/>
      <c r="K89" s="67"/>
      <c r="L89" s="68"/>
      <c r="M89" s="68"/>
      <c r="N89" s="68"/>
      <c r="O89" s="68"/>
      <c r="P89" s="67"/>
      <c r="Q89" s="67"/>
      <c r="R89" s="67"/>
      <c r="S89" s="62"/>
      <c r="T89" s="62"/>
      <c r="U89" s="62"/>
      <c r="V89" s="62"/>
      <c r="W89" s="62"/>
    </row>
    <row r="90" spans="1:23">
      <c r="A90" s="63"/>
      <c r="B90" s="142"/>
      <c r="C90" s="142"/>
      <c r="D90" s="67"/>
      <c r="E90" s="67"/>
      <c r="F90" s="67"/>
      <c r="G90" s="67"/>
      <c r="H90" s="67"/>
      <c r="I90" s="67"/>
      <c r="J90" s="67"/>
      <c r="K90" s="67"/>
      <c r="L90" s="68"/>
      <c r="M90" s="68"/>
      <c r="N90" s="68"/>
      <c r="O90" s="68"/>
      <c r="P90" s="67"/>
      <c r="Q90" s="67"/>
      <c r="R90" s="67"/>
      <c r="S90" s="62"/>
      <c r="T90" s="62"/>
      <c r="U90" s="62"/>
      <c r="V90" s="62"/>
      <c r="W90" s="62"/>
    </row>
    <row r="91" spans="1:23">
      <c r="A91" s="63"/>
      <c r="B91" s="142"/>
      <c r="C91" s="142"/>
      <c r="D91" s="67"/>
      <c r="E91" s="67"/>
      <c r="F91" s="67"/>
      <c r="G91" s="67"/>
      <c r="H91" s="67"/>
      <c r="I91" s="67"/>
      <c r="J91" s="67"/>
      <c r="K91" s="67"/>
      <c r="L91" s="68"/>
      <c r="M91" s="68"/>
      <c r="N91" s="68"/>
      <c r="O91" s="68"/>
      <c r="P91" s="67"/>
      <c r="Q91" s="67"/>
      <c r="R91" s="67"/>
      <c r="S91" s="62"/>
      <c r="T91" s="62"/>
      <c r="U91" s="62"/>
      <c r="V91" s="62"/>
      <c r="W91" s="62"/>
    </row>
    <row r="92" spans="1:23">
      <c r="A92" s="63"/>
      <c r="B92" s="142"/>
      <c r="C92" s="142"/>
      <c r="D92" s="67"/>
      <c r="E92" s="67"/>
      <c r="F92" s="67"/>
      <c r="G92" s="67"/>
      <c r="H92" s="67"/>
      <c r="I92" s="67"/>
      <c r="J92" s="67"/>
      <c r="K92" s="67"/>
      <c r="L92" s="68"/>
      <c r="M92" s="68"/>
      <c r="N92" s="68"/>
      <c r="O92" s="68"/>
      <c r="P92" s="67"/>
      <c r="Q92" s="67"/>
      <c r="R92" s="67"/>
      <c r="S92" s="62"/>
      <c r="T92" s="62"/>
      <c r="U92" s="62"/>
      <c r="V92" s="62"/>
      <c r="W92" s="62"/>
    </row>
    <row r="93" spans="1:23">
      <c r="A93" s="63"/>
      <c r="B93" s="142"/>
      <c r="C93" s="142"/>
      <c r="D93" s="67"/>
      <c r="E93" s="67"/>
      <c r="F93" s="67"/>
      <c r="G93" s="67"/>
      <c r="H93" s="67"/>
      <c r="I93" s="67"/>
      <c r="J93" s="67"/>
      <c r="K93" s="67"/>
      <c r="L93" s="68"/>
      <c r="M93" s="68"/>
      <c r="N93" s="68"/>
      <c r="O93" s="68"/>
      <c r="P93" s="67"/>
      <c r="Q93" s="67"/>
      <c r="R93" s="67"/>
      <c r="S93" s="62"/>
      <c r="T93" s="62"/>
      <c r="U93" s="62"/>
      <c r="V93" s="62"/>
      <c r="W93" s="62"/>
    </row>
    <row r="94" spans="1:23">
      <c r="A94" s="63"/>
      <c r="B94" s="142"/>
      <c r="C94" s="142"/>
      <c r="D94" s="67"/>
      <c r="E94" s="67"/>
      <c r="F94" s="67"/>
      <c r="G94" s="67"/>
      <c r="H94" s="67"/>
      <c r="I94" s="67"/>
      <c r="J94" s="67"/>
      <c r="K94" s="67"/>
      <c r="L94" s="68"/>
      <c r="M94" s="68"/>
      <c r="N94" s="68"/>
      <c r="O94" s="68"/>
      <c r="P94" s="67"/>
      <c r="Q94" s="67"/>
      <c r="R94" s="67"/>
      <c r="S94" s="62"/>
      <c r="T94" s="62"/>
      <c r="U94" s="62"/>
      <c r="V94" s="62"/>
      <c r="W94" s="62"/>
    </row>
    <row r="95" spans="1:23">
      <c r="A95" s="63"/>
      <c r="B95" s="142"/>
      <c r="C95" s="142"/>
      <c r="D95" s="67"/>
      <c r="E95" s="67"/>
      <c r="F95" s="67"/>
      <c r="G95" s="67"/>
      <c r="H95" s="67"/>
      <c r="I95" s="67"/>
      <c r="J95" s="67"/>
      <c r="K95" s="67"/>
      <c r="L95" s="68"/>
      <c r="M95" s="68"/>
      <c r="N95" s="68"/>
      <c r="O95" s="68"/>
      <c r="P95" s="67"/>
      <c r="Q95" s="67"/>
      <c r="R95" s="67"/>
      <c r="S95" s="62"/>
      <c r="T95" s="62"/>
      <c r="U95" s="62"/>
      <c r="V95" s="62"/>
      <c r="W95" s="62"/>
    </row>
    <row r="96" spans="1:23">
      <c r="A96" s="63"/>
      <c r="B96" s="142"/>
      <c r="C96" s="142"/>
      <c r="D96" s="67"/>
      <c r="E96" s="67"/>
      <c r="F96" s="67"/>
      <c r="G96" s="67"/>
      <c r="H96" s="67"/>
      <c r="I96" s="67"/>
      <c r="J96" s="67"/>
      <c r="K96" s="67"/>
      <c r="L96" s="68"/>
      <c r="M96" s="68"/>
      <c r="N96" s="68"/>
      <c r="O96" s="68"/>
      <c r="P96" s="67"/>
      <c r="Q96" s="67"/>
      <c r="R96" s="67"/>
      <c r="S96" s="62"/>
      <c r="T96" s="62"/>
      <c r="U96" s="62"/>
      <c r="V96" s="62"/>
      <c r="W96" s="62"/>
    </row>
    <row r="97" spans="1:23">
      <c r="A97" s="63"/>
      <c r="B97" s="142"/>
      <c r="C97" s="142"/>
      <c r="D97" s="67"/>
      <c r="E97" s="67"/>
      <c r="F97" s="67"/>
      <c r="G97" s="67"/>
      <c r="H97" s="67"/>
      <c r="I97" s="67"/>
      <c r="J97" s="67"/>
      <c r="K97" s="67"/>
      <c r="L97" s="68"/>
      <c r="M97" s="68"/>
      <c r="N97" s="68"/>
      <c r="O97" s="68"/>
      <c r="P97" s="67"/>
      <c r="Q97" s="67"/>
      <c r="R97" s="67"/>
      <c r="S97" s="62"/>
      <c r="T97" s="62"/>
      <c r="U97" s="62"/>
      <c r="V97" s="62"/>
      <c r="W97" s="62"/>
    </row>
    <row r="98" spans="1:23">
      <c r="A98" s="63"/>
      <c r="B98" s="142"/>
      <c r="C98" s="142"/>
      <c r="D98" s="67"/>
      <c r="E98" s="67"/>
      <c r="F98" s="67"/>
      <c r="G98" s="67"/>
      <c r="H98" s="67"/>
      <c r="I98" s="67"/>
      <c r="J98" s="67"/>
      <c r="K98" s="67"/>
      <c r="L98" s="68"/>
      <c r="M98" s="68"/>
      <c r="N98" s="68"/>
      <c r="O98" s="68"/>
      <c r="P98" s="67"/>
      <c r="Q98" s="67"/>
      <c r="R98" s="67"/>
      <c r="S98" s="62"/>
      <c r="T98" s="62"/>
      <c r="U98" s="62"/>
      <c r="V98" s="62"/>
      <c r="W98" s="62"/>
    </row>
    <row r="99" spans="1:23">
      <c r="A99" s="63"/>
      <c r="B99" s="142"/>
      <c r="C99" s="142"/>
      <c r="D99" s="67"/>
      <c r="E99" s="67"/>
      <c r="F99" s="67"/>
      <c r="G99" s="67"/>
      <c r="H99" s="67"/>
      <c r="I99" s="67"/>
      <c r="J99" s="67"/>
      <c r="K99" s="67"/>
      <c r="L99" s="68"/>
      <c r="M99" s="68"/>
      <c r="N99" s="68"/>
      <c r="O99" s="68"/>
      <c r="P99" s="67"/>
      <c r="Q99" s="67"/>
      <c r="R99" s="67"/>
      <c r="S99" s="62"/>
      <c r="T99" s="62"/>
      <c r="U99" s="62"/>
      <c r="V99" s="62"/>
      <c r="W99" s="62"/>
    </row>
    <row r="100" spans="1:23">
      <c r="A100" s="63"/>
      <c r="B100" s="142"/>
      <c r="C100" s="142"/>
      <c r="D100" s="67"/>
      <c r="E100" s="67"/>
      <c r="F100" s="67"/>
      <c r="G100" s="67"/>
      <c r="H100" s="67"/>
      <c r="I100" s="67"/>
      <c r="J100" s="67"/>
      <c r="K100" s="67"/>
      <c r="L100" s="68"/>
      <c r="M100" s="68"/>
      <c r="N100" s="68"/>
      <c r="O100" s="68"/>
      <c r="P100" s="67"/>
      <c r="Q100" s="67"/>
      <c r="R100" s="67"/>
      <c r="S100" s="62"/>
      <c r="T100" s="62"/>
      <c r="U100" s="62"/>
      <c r="V100" s="62"/>
      <c r="W100" s="62"/>
    </row>
    <row r="101" spans="1:23">
      <c r="A101" s="63"/>
      <c r="B101" s="142"/>
      <c r="C101" s="142"/>
      <c r="D101" s="67"/>
      <c r="E101" s="67"/>
      <c r="F101" s="67"/>
      <c r="G101" s="67"/>
      <c r="H101" s="67"/>
      <c r="I101" s="67"/>
      <c r="J101" s="67"/>
      <c r="K101" s="67"/>
      <c r="L101" s="68"/>
      <c r="M101" s="68"/>
      <c r="N101" s="68"/>
      <c r="O101" s="68"/>
      <c r="P101" s="67"/>
      <c r="Q101" s="67"/>
      <c r="R101" s="67"/>
      <c r="S101" s="62"/>
      <c r="T101" s="62"/>
      <c r="U101" s="62"/>
      <c r="V101" s="62"/>
      <c r="W101" s="62"/>
    </row>
    <row r="102" spans="1:23">
      <c r="A102" s="63"/>
      <c r="B102" s="142"/>
      <c r="C102" s="142"/>
      <c r="D102" s="67"/>
      <c r="E102" s="67"/>
      <c r="F102" s="67"/>
      <c r="G102" s="67"/>
      <c r="H102" s="67"/>
      <c r="I102" s="67"/>
      <c r="J102" s="67"/>
      <c r="K102" s="67"/>
      <c r="L102" s="68"/>
      <c r="M102" s="68"/>
      <c r="N102" s="68"/>
      <c r="O102" s="68"/>
      <c r="P102" s="67"/>
      <c r="Q102" s="67"/>
      <c r="R102" s="67"/>
      <c r="S102" s="62"/>
      <c r="T102" s="62"/>
      <c r="U102" s="62"/>
      <c r="V102" s="62"/>
      <c r="W102" s="62"/>
    </row>
    <row r="103" spans="1:23">
      <c r="A103" s="63"/>
      <c r="B103" s="142"/>
      <c r="C103" s="142"/>
      <c r="D103" s="67"/>
      <c r="E103" s="67"/>
      <c r="F103" s="67"/>
      <c r="G103" s="67"/>
      <c r="H103" s="67"/>
      <c r="I103" s="67"/>
      <c r="J103" s="67"/>
      <c r="K103" s="67"/>
      <c r="L103" s="68"/>
      <c r="M103" s="68"/>
      <c r="N103" s="68"/>
      <c r="O103" s="68"/>
      <c r="P103" s="67"/>
      <c r="Q103" s="67"/>
      <c r="R103" s="67"/>
      <c r="S103" s="62"/>
      <c r="T103" s="62"/>
      <c r="U103" s="62"/>
      <c r="V103" s="62"/>
      <c r="W103" s="62"/>
    </row>
    <row r="104" spans="1:23">
      <c r="A104" s="63"/>
      <c r="B104" s="142"/>
      <c r="C104" s="142"/>
      <c r="D104" s="67"/>
      <c r="E104" s="67"/>
      <c r="F104" s="67"/>
      <c r="G104" s="67"/>
      <c r="H104" s="67"/>
      <c r="I104" s="67"/>
      <c r="J104" s="67"/>
      <c r="K104" s="67"/>
      <c r="L104" s="68"/>
      <c r="M104" s="68"/>
      <c r="N104" s="68"/>
      <c r="O104" s="68"/>
      <c r="P104" s="67"/>
      <c r="Q104" s="67"/>
      <c r="R104" s="67"/>
      <c r="S104" s="62"/>
      <c r="T104" s="62"/>
      <c r="U104" s="62"/>
      <c r="V104" s="62"/>
      <c r="W104" s="62"/>
    </row>
    <row r="105" spans="1:23">
      <c r="A105" s="63"/>
      <c r="B105" s="142"/>
      <c r="C105" s="142"/>
      <c r="D105" s="67"/>
      <c r="E105" s="67"/>
      <c r="F105" s="67"/>
      <c r="G105" s="67"/>
      <c r="H105" s="67"/>
      <c r="I105" s="67"/>
      <c r="J105" s="67"/>
      <c r="K105" s="67"/>
      <c r="L105" s="68"/>
      <c r="M105" s="68"/>
      <c r="N105" s="68"/>
      <c r="O105" s="68"/>
      <c r="P105" s="67"/>
      <c r="Q105" s="67"/>
      <c r="R105" s="67"/>
      <c r="S105" s="62"/>
      <c r="T105" s="62"/>
      <c r="U105" s="62"/>
      <c r="V105" s="62"/>
      <c r="W105" s="62"/>
    </row>
    <row r="106" spans="1:23">
      <c r="A106" s="63"/>
      <c r="B106" s="142"/>
      <c r="C106" s="142"/>
      <c r="D106" s="67"/>
      <c r="E106" s="67"/>
      <c r="F106" s="67"/>
      <c r="G106" s="67"/>
      <c r="H106" s="67"/>
      <c r="I106" s="67"/>
      <c r="J106" s="67"/>
      <c r="K106" s="67"/>
      <c r="L106" s="68"/>
      <c r="M106" s="68"/>
      <c r="N106" s="68"/>
      <c r="O106" s="68"/>
      <c r="P106" s="67"/>
      <c r="Q106" s="67"/>
      <c r="R106" s="67"/>
      <c r="S106" s="62"/>
      <c r="T106" s="62"/>
      <c r="U106" s="62"/>
      <c r="V106" s="62"/>
      <c r="W106" s="62"/>
    </row>
    <row r="107" spans="1:23">
      <c r="A107" s="63"/>
      <c r="B107" s="142"/>
      <c r="C107" s="142"/>
      <c r="D107" s="67"/>
      <c r="E107" s="67"/>
      <c r="F107" s="67"/>
      <c r="G107" s="67"/>
      <c r="H107" s="67"/>
      <c r="I107" s="67"/>
      <c r="J107" s="67"/>
      <c r="K107" s="67"/>
      <c r="L107" s="68"/>
      <c r="M107" s="68"/>
      <c r="N107" s="68"/>
      <c r="O107" s="68"/>
      <c r="P107" s="67"/>
      <c r="Q107" s="67"/>
      <c r="R107" s="67"/>
      <c r="S107" s="62"/>
      <c r="T107" s="62"/>
      <c r="U107" s="62"/>
      <c r="V107" s="62"/>
      <c r="W107" s="62"/>
    </row>
    <row r="108" spans="1:23">
      <c r="A108" s="63"/>
      <c r="B108" s="142"/>
      <c r="C108" s="142"/>
      <c r="D108" s="67"/>
      <c r="E108" s="67"/>
      <c r="F108" s="67"/>
      <c r="G108" s="67"/>
      <c r="H108" s="67"/>
      <c r="I108" s="67"/>
      <c r="J108" s="67"/>
      <c r="K108" s="67"/>
      <c r="L108" s="68"/>
      <c r="M108" s="68"/>
      <c r="N108" s="68"/>
      <c r="O108" s="68"/>
      <c r="P108" s="67"/>
      <c r="Q108" s="67"/>
      <c r="R108" s="67"/>
      <c r="S108" s="62"/>
      <c r="T108" s="62"/>
      <c r="U108" s="62"/>
      <c r="V108" s="62"/>
      <c r="W108" s="62"/>
    </row>
    <row r="109" spans="1:23">
      <c r="A109" s="63"/>
      <c r="B109" s="142"/>
      <c r="C109" s="142"/>
      <c r="D109" s="67"/>
      <c r="E109" s="67"/>
      <c r="F109" s="67"/>
      <c r="G109" s="67"/>
      <c r="H109" s="67"/>
      <c r="I109" s="67"/>
      <c r="J109" s="67"/>
      <c r="K109" s="67"/>
      <c r="L109" s="68"/>
      <c r="M109" s="68"/>
      <c r="N109" s="68"/>
      <c r="O109" s="68"/>
      <c r="P109" s="67"/>
      <c r="Q109" s="67"/>
      <c r="R109" s="67"/>
      <c r="S109" s="62"/>
      <c r="T109" s="62"/>
      <c r="U109" s="62"/>
      <c r="V109" s="62"/>
      <c r="W109" s="62"/>
    </row>
    <row r="110" spans="1:23">
      <c r="A110" s="62"/>
      <c r="B110" s="142"/>
      <c r="C110" s="142"/>
      <c r="D110" s="67"/>
      <c r="E110" s="67"/>
      <c r="F110" s="67"/>
      <c r="G110" s="67"/>
      <c r="H110" s="67"/>
      <c r="I110" s="67"/>
      <c r="J110" s="67"/>
      <c r="K110" s="67"/>
      <c r="L110" s="68"/>
      <c r="M110" s="68"/>
      <c r="N110" s="68"/>
      <c r="O110" s="68"/>
      <c r="P110" s="67"/>
      <c r="Q110" s="67"/>
      <c r="R110" s="67"/>
      <c r="S110" s="62"/>
      <c r="T110" s="62"/>
      <c r="U110" s="62"/>
      <c r="V110" s="62"/>
      <c r="W110" s="62"/>
    </row>
    <row r="111" spans="1:23">
      <c r="A111" s="62"/>
      <c r="B111" s="62"/>
      <c r="C111" s="62"/>
      <c r="D111" s="62"/>
      <c r="E111" s="62"/>
      <c r="F111" s="62"/>
      <c r="G111" s="62"/>
      <c r="H111" s="62"/>
      <c r="I111" s="62"/>
      <c r="J111" s="62"/>
      <c r="K111" s="62"/>
      <c r="L111" s="62"/>
      <c r="M111" s="62"/>
      <c r="N111" s="62"/>
      <c r="O111" s="62"/>
      <c r="P111" s="62"/>
      <c r="Q111" s="62"/>
      <c r="R111" s="62"/>
      <c r="S111" s="62"/>
      <c r="T111" s="62"/>
      <c r="U111" s="62"/>
      <c r="V111" s="62"/>
      <c r="W111" s="62"/>
    </row>
    <row r="112" spans="1:23">
      <c r="A112" s="62"/>
      <c r="B112" s="62"/>
      <c r="C112" s="62"/>
      <c r="D112" s="62"/>
      <c r="E112" s="62"/>
      <c r="F112" s="62"/>
      <c r="G112" s="62"/>
      <c r="H112" s="62"/>
      <c r="I112" s="62"/>
      <c r="J112" s="62"/>
      <c r="K112" s="62"/>
      <c r="L112" s="62"/>
      <c r="M112" s="62"/>
      <c r="N112" s="62"/>
      <c r="O112" s="62"/>
      <c r="P112" s="62"/>
      <c r="Q112" s="62"/>
      <c r="R112" s="62"/>
      <c r="S112" s="62"/>
      <c r="T112" s="62"/>
      <c r="U112" s="62"/>
      <c r="V112" s="62"/>
      <c r="W112" s="62"/>
    </row>
    <row r="113" spans="1:23">
      <c r="A113" s="62"/>
      <c r="B113" s="62"/>
      <c r="C113" s="62"/>
      <c r="D113" s="62"/>
      <c r="E113" s="62"/>
      <c r="F113" s="62"/>
      <c r="G113" s="62"/>
      <c r="H113" s="62"/>
      <c r="I113" s="62"/>
      <c r="J113" s="62"/>
      <c r="K113" s="62"/>
      <c r="L113" s="62"/>
      <c r="M113" s="62"/>
      <c r="N113" s="62"/>
      <c r="O113" s="62"/>
      <c r="P113" s="62"/>
      <c r="Q113" s="62"/>
      <c r="R113" s="62"/>
      <c r="S113" s="62"/>
      <c r="T113" s="62"/>
      <c r="U113" s="62"/>
      <c r="V113" s="62"/>
      <c r="W113" s="62"/>
    </row>
    <row r="114" spans="1:23">
      <c r="A114" s="62"/>
      <c r="B114" s="62"/>
      <c r="C114" s="62"/>
      <c r="D114" s="62"/>
      <c r="E114" s="62"/>
      <c r="F114" s="62"/>
      <c r="G114" s="62"/>
      <c r="H114" s="62"/>
      <c r="I114" s="62"/>
      <c r="J114" s="62"/>
      <c r="K114" s="62"/>
      <c r="L114" s="62"/>
      <c r="M114" s="62"/>
      <c r="N114" s="62"/>
      <c r="O114" s="62"/>
      <c r="P114" s="62"/>
      <c r="Q114" s="62"/>
      <c r="R114" s="62"/>
      <c r="S114" s="62"/>
      <c r="T114" s="62"/>
      <c r="U114" s="62"/>
      <c r="V114" s="62"/>
      <c r="W114" s="62"/>
    </row>
    <row r="115" spans="1:23">
      <c r="A115" s="62"/>
      <c r="B115" s="62"/>
      <c r="C115" s="62"/>
      <c r="D115" s="62"/>
      <c r="E115" s="62"/>
      <c r="F115" s="62"/>
      <c r="G115" s="62"/>
      <c r="H115" s="62"/>
      <c r="I115" s="62"/>
      <c r="J115" s="62"/>
      <c r="K115" s="62"/>
      <c r="L115" s="62"/>
      <c r="M115" s="62"/>
      <c r="N115" s="62"/>
      <c r="O115" s="62"/>
      <c r="P115" s="62"/>
      <c r="Q115" s="62"/>
      <c r="R115" s="62"/>
      <c r="S115" s="62"/>
      <c r="T115" s="62"/>
      <c r="U115" s="62"/>
      <c r="V115" s="62"/>
      <c r="W115" s="62"/>
    </row>
    <row r="137" spans="12:12">
      <c r="L137" s="16">
        <f>SUM(L15:L136)</f>
        <v>369322.54000000004</v>
      </c>
    </row>
  </sheetData>
  <mergeCells count="7">
    <mergeCell ref="A31:A33"/>
    <mergeCell ref="A29:A30"/>
    <mergeCell ref="A9:A10"/>
    <mergeCell ref="A15:A16"/>
    <mergeCell ref="A21:A23"/>
    <mergeCell ref="A25:A26"/>
    <mergeCell ref="A27:A28"/>
  </mergeCells>
  <pageMargins left="0.7" right="0.7" top="0.75" bottom="0.75" header="0.3" footer="0.3"/>
  <pageSetup paperSize="9" orientation="landscape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5:W137"/>
  <sheetViews>
    <sheetView topLeftCell="A7" workbookViewId="0">
      <selection activeCell="A25" sqref="A25"/>
    </sheetView>
  </sheetViews>
  <sheetFormatPr defaultRowHeight="14.4"/>
  <cols>
    <col min="1" max="1" width="7.88671875" style="1" customWidth="1"/>
    <col min="2" max="2" width="18.5546875" style="1" customWidth="1"/>
    <col min="3" max="3" width="7.77734375" style="1" customWidth="1"/>
    <col min="4" max="4" width="4.77734375" style="1" customWidth="1"/>
    <col min="5" max="5" width="9.88671875" style="1" customWidth="1"/>
    <col min="6" max="6" width="7.6640625" style="1" customWidth="1"/>
    <col min="7" max="7" width="6.6640625" style="1" customWidth="1"/>
    <col min="8" max="8" width="7.44140625" style="1" customWidth="1"/>
    <col min="9" max="9" width="5.88671875" style="1" customWidth="1"/>
    <col min="10" max="10" width="6" style="1" customWidth="1"/>
    <col min="11" max="11" width="8.44140625" style="1" customWidth="1"/>
    <col min="12" max="12" width="8.21875" style="1" customWidth="1"/>
    <col min="13" max="13" width="7.33203125" style="1" customWidth="1"/>
    <col min="14" max="16384" width="8.88671875" style="1"/>
  </cols>
  <sheetData>
    <row r="5" spans="1:23" ht="20.399999999999999">
      <c r="A5" s="58" t="s">
        <v>3</v>
      </c>
      <c r="B5" s="58" t="s">
        <v>4</v>
      </c>
      <c r="C5" s="58" t="s">
        <v>5</v>
      </c>
      <c r="D5" s="58" t="s">
        <v>6</v>
      </c>
      <c r="E5" s="58" t="s">
        <v>37</v>
      </c>
      <c r="F5" s="58" t="s">
        <v>7</v>
      </c>
      <c r="G5" s="58" t="s">
        <v>8</v>
      </c>
      <c r="H5" s="58" t="s">
        <v>9</v>
      </c>
      <c r="I5" s="58" t="s">
        <v>10</v>
      </c>
      <c r="J5" s="59" t="s">
        <v>18</v>
      </c>
      <c r="K5" s="59" t="s">
        <v>17</v>
      </c>
      <c r="L5" s="58" t="s">
        <v>11</v>
      </c>
      <c r="M5" s="58" t="s">
        <v>36</v>
      </c>
      <c r="N5" s="58" t="s">
        <v>12</v>
      </c>
      <c r="O5" s="58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125</v>
      </c>
    </row>
    <row r="6" spans="1:23">
      <c r="A6" s="63"/>
      <c r="B6" s="171"/>
      <c r="C6" s="171"/>
      <c r="D6" s="171"/>
      <c r="E6" s="171"/>
      <c r="F6" s="171"/>
      <c r="G6" s="171"/>
      <c r="H6" s="171"/>
      <c r="I6" s="171"/>
      <c r="J6" s="171"/>
      <c r="K6" s="171"/>
      <c r="L6" s="61"/>
      <c r="M6" s="61"/>
      <c r="N6" s="171"/>
      <c r="O6" s="62"/>
      <c r="P6" s="62"/>
      <c r="Q6" s="62"/>
      <c r="R6" s="62"/>
      <c r="S6" s="62"/>
      <c r="U6" s="17"/>
    </row>
    <row r="7" spans="1:23">
      <c r="A7" s="63" t="s">
        <v>1456</v>
      </c>
      <c r="B7" s="42" t="s">
        <v>1172</v>
      </c>
      <c r="C7" s="42" t="s">
        <v>88</v>
      </c>
      <c r="D7" s="42" t="s">
        <v>16</v>
      </c>
      <c r="E7" s="42" t="s">
        <v>1458</v>
      </c>
      <c r="F7" s="42">
        <v>64</v>
      </c>
      <c r="G7" s="42"/>
      <c r="H7" s="42">
        <v>20900</v>
      </c>
      <c r="I7" s="42">
        <v>415</v>
      </c>
      <c r="J7" s="42">
        <v>0.5</v>
      </c>
      <c r="K7" s="42">
        <v>208</v>
      </c>
      <c r="L7" s="43">
        <f t="shared" ref="L7" si="0">H7-K7</f>
        <v>20692</v>
      </c>
      <c r="M7" s="43"/>
      <c r="N7" s="43">
        <f t="shared" ref="N7" si="1">L7-M7</f>
        <v>20692</v>
      </c>
      <c r="O7" s="43">
        <f t="shared" ref="O7" si="2">H7/1000*70</f>
        <v>1463</v>
      </c>
      <c r="P7" s="42">
        <v>0</v>
      </c>
      <c r="Q7" s="42">
        <v>19.5</v>
      </c>
      <c r="R7" s="42">
        <f t="shared" ref="R7" si="3">L7*Q7</f>
        <v>403494</v>
      </c>
      <c r="S7" s="42" t="s">
        <v>1346</v>
      </c>
      <c r="T7" s="62"/>
      <c r="U7" s="62"/>
      <c r="V7" s="62"/>
      <c r="W7" s="62"/>
    </row>
    <row r="8" spans="1:23">
      <c r="A8" s="63"/>
      <c r="B8" s="42"/>
      <c r="C8" s="42"/>
      <c r="D8" s="42"/>
      <c r="E8" s="42"/>
      <c r="F8" s="42"/>
      <c r="G8" s="42"/>
      <c r="H8" s="42"/>
      <c r="I8" s="42"/>
      <c r="J8" s="42"/>
      <c r="K8" s="42"/>
      <c r="L8" s="43"/>
      <c r="M8" s="43"/>
      <c r="N8" s="43"/>
      <c r="O8" s="43"/>
      <c r="P8" s="42"/>
      <c r="Q8" s="42"/>
      <c r="R8" s="42"/>
      <c r="S8" s="62"/>
      <c r="T8" s="62"/>
      <c r="U8" s="62"/>
      <c r="V8" s="62"/>
      <c r="W8" s="62"/>
    </row>
    <row r="9" spans="1:23">
      <c r="A9" s="63" t="s">
        <v>1580</v>
      </c>
      <c r="B9" s="42" t="s">
        <v>1172</v>
      </c>
      <c r="C9" s="42" t="s">
        <v>88</v>
      </c>
      <c r="D9" s="42" t="s">
        <v>16</v>
      </c>
      <c r="E9" s="42" t="s">
        <v>1581</v>
      </c>
      <c r="F9" s="42">
        <v>65</v>
      </c>
      <c r="G9" s="42"/>
      <c r="H9" s="42">
        <v>20690</v>
      </c>
      <c r="I9" s="42">
        <v>405</v>
      </c>
      <c r="J9" s="42">
        <v>0.5</v>
      </c>
      <c r="K9" s="42">
        <v>203</v>
      </c>
      <c r="L9" s="43">
        <f t="shared" ref="L9" si="4">H9-K9</f>
        <v>20487</v>
      </c>
      <c r="M9" s="43">
        <f>L9*3%</f>
        <v>614.61</v>
      </c>
      <c r="N9" s="43">
        <f t="shared" ref="N9" si="5">L9-M9</f>
        <v>19872.39</v>
      </c>
      <c r="O9" s="43">
        <f t="shared" ref="O9" si="6">H9/1000*70</f>
        <v>1448.3000000000002</v>
      </c>
      <c r="P9" s="42">
        <v>0</v>
      </c>
      <c r="Q9" s="42">
        <v>19.7</v>
      </c>
      <c r="R9" s="42">
        <f t="shared" ref="R9" si="7">L9*Q9</f>
        <v>403593.89999999997</v>
      </c>
      <c r="S9" s="62"/>
      <c r="T9" s="62"/>
      <c r="U9" s="62"/>
      <c r="V9" s="62"/>
      <c r="W9" s="62"/>
    </row>
    <row r="10" spans="1:23">
      <c r="A10" s="150"/>
      <c r="B10" s="42"/>
      <c r="C10" s="42"/>
      <c r="D10" s="42"/>
      <c r="E10" s="42"/>
      <c r="F10" s="42"/>
      <c r="G10" s="42"/>
      <c r="H10" s="42"/>
      <c r="I10" s="42"/>
      <c r="J10" s="42"/>
      <c r="K10" s="42"/>
      <c r="L10" s="43"/>
      <c r="M10" s="43"/>
      <c r="N10" s="43"/>
      <c r="O10" s="43"/>
      <c r="P10" s="42"/>
      <c r="Q10" s="42"/>
      <c r="R10" s="42"/>
      <c r="S10" s="62"/>
      <c r="T10" s="62"/>
      <c r="U10" s="62"/>
      <c r="V10" s="62"/>
      <c r="W10" s="62"/>
    </row>
    <row r="11" spans="1:23">
      <c r="A11" s="63" t="s">
        <v>3180</v>
      </c>
      <c r="B11" s="42" t="s">
        <v>1172</v>
      </c>
      <c r="C11" s="42" t="s">
        <v>88</v>
      </c>
      <c r="D11" s="42" t="s">
        <v>16</v>
      </c>
      <c r="E11" s="42" t="s">
        <v>3181</v>
      </c>
      <c r="F11" s="42">
        <v>7</v>
      </c>
      <c r="G11" s="42"/>
      <c r="H11" s="42">
        <v>16610</v>
      </c>
      <c r="I11" s="42">
        <v>272</v>
      </c>
      <c r="J11" s="42">
        <v>0.13</v>
      </c>
      <c r="K11" s="43">
        <f t="shared" ref="K11" si="8">I11*J11</f>
        <v>35.36</v>
      </c>
      <c r="L11" s="43">
        <f t="shared" ref="L11" si="9">H11-K11</f>
        <v>16574.64</v>
      </c>
      <c r="M11" s="43"/>
      <c r="N11" s="43">
        <f t="shared" ref="N11" si="10">L11-M11</f>
        <v>16574.64</v>
      </c>
      <c r="O11" s="43">
        <f t="shared" ref="O11" si="11">H11/1000*70</f>
        <v>1162.7</v>
      </c>
      <c r="P11" s="42">
        <v>14000</v>
      </c>
      <c r="Q11" s="42">
        <v>17</v>
      </c>
      <c r="R11" s="42">
        <f t="shared" ref="R11" si="12">L11*Q11</f>
        <v>281768.88</v>
      </c>
      <c r="S11" s="62"/>
      <c r="T11" s="62"/>
      <c r="U11" s="62"/>
      <c r="V11" s="62"/>
      <c r="W11" s="62"/>
    </row>
    <row r="12" spans="1:23">
      <c r="A12" s="150"/>
      <c r="B12" s="42"/>
      <c r="C12" s="42"/>
      <c r="D12" s="42"/>
      <c r="E12" s="42"/>
      <c r="F12" s="42"/>
      <c r="G12" s="42"/>
      <c r="H12" s="42"/>
      <c r="I12" s="42"/>
      <c r="J12" s="42"/>
      <c r="K12" s="42"/>
      <c r="L12" s="43"/>
      <c r="M12" s="43"/>
      <c r="N12" s="43"/>
      <c r="O12" s="43"/>
      <c r="P12" s="42"/>
      <c r="Q12" s="42"/>
      <c r="R12" s="42"/>
      <c r="S12" s="62"/>
      <c r="T12" s="62"/>
      <c r="U12" s="62"/>
      <c r="V12" s="62"/>
      <c r="W12" s="62"/>
    </row>
    <row r="13" spans="1:23">
      <c r="A13" s="62" t="s">
        <v>3188</v>
      </c>
      <c r="B13" s="42" t="s">
        <v>1172</v>
      </c>
      <c r="C13" s="42" t="s">
        <v>88</v>
      </c>
      <c r="D13" s="42" t="s">
        <v>16</v>
      </c>
      <c r="E13" s="42" t="s">
        <v>3191</v>
      </c>
      <c r="F13" s="42">
        <v>7</v>
      </c>
      <c r="G13" s="42"/>
      <c r="H13" s="42">
        <v>17190</v>
      </c>
      <c r="I13" s="42">
        <v>285</v>
      </c>
      <c r="J13" s="42">
        <v>0.13</v>
      </c>
      <c r="K13" s="43">
        <f t="shared" ref="K13" si="13">I13*J13</f>
        <v>37.050000000000004</v>
      </c>
      <c r="L13" s="43">
        <f t="shared" ref="L13" si="14">H13-K13</f>
        <v>17152.95</v>
      </c>
      <c r="M13" s="43"/>
      <c r="N13" s="43">
        <f t="shared" ref="N13" si="15">L13-M13</f>
        <v>17152.95</v>
      </c>
      <c r="O13" s="43">
        <f t="shared" ref="O13" si="16">H13/1000*70</f>
        <v>1203.3000000000002</v>
      </c>
      <c r="P13" s="42">
        <v>12000</v>
      </c>
      <c r="Q13" s="42">
        <v>17</v>
      </c>
      <c r="R13" s="42">
        <f t="shared" ref="R13" si="17">L13*Q13</f>
        <v>291600.15000000002</v>
      </c>
      <c r="S13" s="62"/>
      <c r="T13" s="62"/>
      <c r="U13" s="62"/>
      <c r="V13" s="62"/>
      <c r="W13" s="62"/>
    </row>
    <row r="14" spans="1:23">
      <c r="A14" s="62"/>
      <c r="B14" s="67"/>
      <c r="C14" s="67"/>
      <c r="D14" s="67"/>
      <c r="E14" s="67"/>
      <c r="F14" s="67"/>
      <c r="G14" s="67"/>
      <c r="H14" s="67"/>
      <c r="I14" s="67"/>
      <c r="J14" s="67"/>
      <c r="K14" s="67"/>
      <c r="L14" s="68"/>
      <c r="M14" s="68"/>
      <c r="N14" s="68"/>
      <c r="O14" s="68"/>
      <c r="P14" s="67"/>
      <c r="Q14" s="67"/>
      <c r="R14" s="62"/>
      <c r="S14" s="62"/>
      <c r="T14" s="62"/>
      <c r="U14" s="62"/>
      <c r="V14" s="62"/>
      <c r="W14" s="62"/>
    </row>
    <row r="15" spans="1:23">
      <c r="A15" s="21" t="s">
        <v>3223</v>
      </c>
      <c r="B15" s="42" t="s">
        <v>1172</v>
      </c>
      <c r="C15" s="42" t="s">
        <v>88</v>
      </c>
      <c r="D15" s="42" t="s">
        <v>16</v>
      </c>
      <c r="E15" s="42" t="s">
        <v>3224</v>
      </c>
      <c r="F15" s="42">
        <v>7</v>
      </c>
      <c r="G15" s="42"/>
      <c r="H15" s="42">
        <v>19860</v>
      </c>
      <c r="I15" s="42">
        <v>331</v>
      </c>
      <c r="J15" s="42">
        <v>0.13</v>
      </c>
      <c r="K15" s="43">
        <f t="shared" ref="K15" si="18">I15*J15</f>
        <v>43.03</v>
      </c>
      <c r="L15" s="43">
        <f t="shared" ref="L15" si="19">H15-K15</f>
        <v>19816.97</v>
      </c>
      <c r="M15" s="43"/>
      <c r="N15" s="43">
        <f t="shared" ref="N15" si="20">L15-M15</f>
        <v>19816.97</v>
      </c>
      <c r="O15" s="43">
        <f t="shared" ref="O15" si="21">H15/1000*70</f>
        <v>1390.2</v>
      </c>
      <c r="P15" s="42">
        <v>17800</v>
      </c>
      <c r="Q15" s="42">
        <v>17</v>
      </c>
      <c r="R15" s="42">
        <f t="shared" ref="R15" si="22">L15*Q15</f>
        <v>336888.49</v>
      </c>
      <c r="S15" s="62"/>
      <c r="T15" s="62"/>
      <c r="U15" s="62"/>
      <c r="V15" s="62"/>
      <c r="W15" s="62"/>
    </row>
    <row r="16" spans="1:23">
      <c r="A16" s="181" t="s">
        <v>3229</v>
      </c>
      <c r="B16" s="42" t="s">
        <v>1172</v>
      </c>
      <c r="C16" s="42" t="s">
        <v>88</v>
      </c>
      <c r="D16" s="42" t="s">
        <v>16</v>
      </c>
      <c r="E16" s="42" t="s">
        <v>3224</v>
      </c>
      <c r="F16" s="42">
        <v>7</v>
      </c>
      <c r="G16" s="42"/>
      <c r="H16" s="42">
        <v>20230</v>
      </c>
      <c r="I16" s="42">
        <v>338</v>
      </c>
      <c r="J16" s="42">
        <v>0.13</v>
      </c>
      <c r="K16" s="43">
        <v>43.940000000000005</v>
      </c>
      <c r="L16" s="43">
        <v>20186.060000000001</v>
      </c>
      <c r="M16" s="43"/>
      <c r="N16" s="43">
        <v>20186.060000000001</v>
      </c>
      <c r="O16" s="43">
        <v>1416.1000000000001</v>
      </c>
      <c r="P16" s="42">
        <v>18000</v>
      </c>
      <c r="Q16" s="42">
        <v>17</v>
      </c>
      <c r="R16" s="42">
        <v>343163.02</v>
      </c>
      <c r="S16" s="62"/>
      <c r="T16" s="62"/>
      <c r="U16" s="62"/>
      <c r="V16" s="62"/>
      <c r="W16" s="62"/>
    </row>
    <row r="17" spans="1:23">
      <c r="A17" s="181" t="s">
        <v>3235</v>
      </c>
      <c r="B17" s="42" t="s">
        <v>1172</v>
      </c>
      <c r="C17" s="42" t="s">
        <v>88</v>
      </c>
      <c r="D17" s="42" t="s">
        <v>16</v>
      </c>
      <c r="E17" s="42" t="s">
        <v>3236</v>
      </c>
      <c r="F17" s="42">
        <v>7</v>
      </c>
      <c r="G17" s="42"/>
      <c r="H17" s="42">
        <v>16980</v>
      </c>
      <c r="I17" s="42">
        <v>285</v>
      </c>
      <c r="J17" s="42">
        <v>0.13</v>
      </c>
      <c r="K17" s="43">
        <v>37.050000000000004</v>
      </c>
      <c r="L17" s="43">
        <v>16942.95</v>
      </c>
      <c r="M17" s="43"/>
      <c r="N17" s="43">
        <v>16942.95</v>
      </c>
      <c r="O17" s="43">
        <v>1188.6000000000001</v>
      </c>
      <c r="P17" s="42">
        <v>12000</v>
      </c>
      <c r="Q17" s="42">
        <v>17</v>
      </c>
      <c r="R17" s="42">
        <v>288030.15000000002</v>
      </c>
      <c r="S17" s="62"/>
      <c r="T17" s="62"/>
      <c r="U17" s="62"/>
      <c r="V17" s="62"/>
      <c r="W17" s="62"/>
    </row>
    <row r="18" spans="1:23">
      <c r="A18" s="150" t="s">
        <v>3248</v>
      </c>
      <c r="B18" s="42" t="s">
        <v>1172</v>
      </c>
      <c r="C18" s="42" t="s">
        <v>88</v>
      </c>
      <c r="D18" s="42" t="s">
        <v>16</v>
      </c>
      <c r="E18" s="42" t="s">
        <v>3249</v>
      </c>
      <c r="F18" s="42">
        <v>251</v>
      </c>
      <c r="G18" s="42"/>
      <c r="H18" s="42">
        <v>20180</v>
      </c>
      <c r="I18" s="42">
        <v>336</v>
      </c>
      <c r="J18" s="42">
        <v>0.13</v>
      </c>
      <c r="K18" s="43">
        <f t="shared" ref="K18:K19" si="23">I18*J18</f>
        <v>43.68</v>
      </c>
      <c r="L18" s="43">
        <f t="shared" ref="L18:L19" si="24">H18-K18</f>
        <v>20136.32</v>
      </c>
      <c r="M18" s="43"/>
      <c r="N18" s="43">
        <f t="shared" ref="N18:N19" si="25">L18-M18</f>
        <v>20136.32</v>
      </c>
      <c r="O18" s="43">
        <f t="shared" ref="O18:O19" si="26">H18/1000*70</f>
        <v>1412.6</v>
      </c>
      <c r="P18" s="42">
        <v>16500</v>
      </c>
      <c r="Q18" s="42">
        <v>17.149999999999999</v>
      </c>
      <c r="R18" s="42">
        <f t="shared" ref="R18:R19" si="27">L18*Q18</f>
        <v>345337.88799999998</v>
      </c>
      <c r="S18" s="62"/>
      <c r="T18" s="62"/>
      <c r="U18" s="62"/>
      <c r="V18" s="62"/>
      <c r="W18" s="62"/>
    </row>
    <row r="19" spans="1:23">
      <c r="A19" s="150" t="s">
        <v>3263</v>
      </c>
      <c r="B19" s="42" t="s">
        <v>1172</v>
      </c>
      <c r="C19" s="42" t="s">
        <v>88</v>
      </c>
      <c r="D19" s="42" t="s">
        <v>16</v>
      </c>
      <c r="E19" s="42" t="s">
        <v>3264</v>
      </c>
      <c r="F19" s="42">
        <v>7</v>
      </c>
      <c r="G19" s="42"/>
      <c r="H19" s="42">
        <v>17570</v>
      </c>
      <c r="I19" s="42">
        <v>292</v>
      </c>
      <c r="J19" s="42">
        <v>0.13</v>
      </c>
      <c r="K19" s="43">
        <f t="shared" si="23"/>
        <v>37.96</v>
      </c>
      <c r="L19" s="43">
        <f t="shared" si="24"/>
        <v>17532.04</v>
      </c>
      <c r="M19" s="43"/>
      <c r="N19" s="43">
        <f t="shared" si="25"/>
        <v>17532.04</v>
      </c>
      <c r="O19" s="43">
        <f t="shared" si="26"/>
        <v>1229.9000000000001</v>
      </c>
      <c r="P19" s="42">
        <v>13300</v>
      </c>
      <c r="Q19" s="42">
        <v>17.149999999999999</v>
      </c>
      <c r="R19" s="42">
        <f t="shared" si="27"/>
        <v>300674.48599999998</v>
      </c>
      <c r="S19" s="62"/>
      <c r="T19" s="62"/>
      <c r="U19" s="62"/>
      <c r="V19" s="62"/>
      <c r="W19" s="62"/>
    </row>
    <row r="20" spans="1:23">
      <c r="A20" s="150"/>
      <c r="B20" s="67"/>
      <c r="C20" s="67"/>
      <c r="D20" s="67"/>
      <c r="E20" s="67"/>
      <c r="F20" s="67"/>
      <c r="G20" s="67"/>
      <c r="H20" s="67"/>
      <c r="I20" s="67"/>
      <c r="J20" s="67"/>
      <c r="K20" s="67"/>
      <c r="L20" s="68"/>
      <c r="M20" s="68"/>
      <c r="N20" s="68"/>
      <c r="O20" s="68"/>
      <c r="P20" s="67"/>
      <c r="Q20" s="67"/>
      <c r="R20" s="67"/>
      <c r="S20" s="62"/>
      <c r="T20" s="62"/>
      <c r="U20" s="62"/>
      <c r="V20" s="62"/>
      <c r="W20" s="62"/>
    </row>
    <row r="21" spans="1:23">
      <c r="A21" s="150" t="s">
        <v>3297</v>
      </c>
      <c r="B21" s="42" t="s">
        <v>1172</v>
      </c>
      <c r="C21" s="42" t="s">
        <v>88</v>
      </c>
      <c r="D21" s="42" t="s">
        <v>16</v>
      </c>
      <c r="E21" s="47" t="s">
        <v>3301</v>
      </c>
      <c r="F21" s="47">
        <v>124</v>
      </c>
      <c r="G21" s="47"/>
      <c r="H21" s="47">
        <v>14950</v>
      </c>
      <c r="I21" s="47">
        <v>261</v>
      </c>
      <c r="J21" s="47">
        <v>0.13</v>
      </c>
      <c r="K21" s="43">
        <f t="shared" ref="K21:K22" si="28">I21*J21</f>
        <v>33.93</v>
      </c>
      <c r="L21" s="43">
        <f t="shared" ref="L21:L22" si="29">H21-K21</f>
        <v>14916.07</v>
      </c>
      <c r="M21" s="43"/>
      <c r="N21" s="43">
        <f t="shared" ref="N21:N22" si="30">L21-M21</f>
        <v>14916.07</v>
      </c>
      <c r="O21" s="43">
        <f t="shared" ref="O21:O22" si="31">H21/1000*70</f>
        <v>1046.5</v>
      </c>
      <c r="P21" s="42">
        <v>17000</v>
      </c>
      <c r="Q21" s="42">
        <v>17.2</v>
      </c>
      <c r="R21" s="42">
        <f t="shared" ref="R21:R22" si="32">L21*Q21</f>
        <v>256556.40399999998</v>
      </c>
      <c r="S21" s="62"/>
      <c r="T21" s="62"/>
      <c r="U21" s="62"/>
      <c r="V21" s="62"/>
      <c r="W21" s="62"/>
    </row>
    <row r="22" spans="1:23">
      <c r="A22" s="150" t="s">
        <v>3323</v>
      </c>
      <c r="B22" s="42" t="s">
        <v>1172</v>
      </c>
      <c r="C22" s="42" t="s">
        <v>88</v>
      </c>
      <c r="D22" s="42" t="s">
        <v>16</v>
      </c>
      <c r="E22" s="47" t="s">
        <v>3324</v>
      </c>
      <c r="F22" s="47">
        <v>7</v>
      </c>
      <c r="G22" s="47"/>
      <c r="H22" s="47">
        <v>15980</v>
      </c>
      <c r="I22" s="47">
        <v>260</v>
      </c>
      <c r="J22" s="47">
        <v>0.5</v>
      </c>
      <c r="K22" s="43">
        <f t="shared" si="28"/>
        <v>130</v>
      </c>
      <c r="L22" s="43">
        <f t="shared" si="29"/>
        <v>15850</v>
      </c>
      <c r="M22" s="43"/>
      <c r="N22" s="43">
        <f t="shared" si="30"/>
        <v>15850</v>
      </c>
      <c r="O22" s="43">
        <f t="shared" si="31"/>
        <v>1118.6000000000001</v>
      </c>
      <c r="P22" s="42">
        <v>8300</v>
      </c>
      <c r="Q22" s="42">
        <v>17.2</v>
      </c>
      <c r="R22" s="42">
        <f t="shared" si="32"/>
        <v>272620</v>
      </c>
      <c r="S22" s="62"/>
      <c r="T22" s="62"/>
      <c r="U22" s="62"/>
      <c r="V22" s="62"/>
      <c r="W22" s="62"/>
    </row>
    <row r="23" spans="1:23">
      <c r="A23" s="63"/>
      <c r="B23" s="67"/>
      <c r="C23" s="67"/>
      <c r="D23" s="67"/>
      <c r="E23" s="67"/>
      <c r="F23" s="67"/>
      <c r="G23" s="67"/>
      <c r="H23" s="67"/>
      <c r="I23" s="67"/>
      <c r="J23" s="67"/>
      <c r="K23" s="68"/>
      <c r="L23" s="68">
        <f>SUM(L7:L22)</f>
        <v>200287.00000000003</v>
      </c>
      <c r="M23" s="68"/>
      <c r="N23" s="68"/>
      <c r="O23" s="68"/>
      <c r="P23" s="67"/>
      <c r="Q23" s="62"/>
      <c r="R23" s="62"/>
      <c r="S23" s="62"/>
      <c r="T23" s="62"/>
      <c r="U23" s="62"/>
      <c r="V23" s="62"/>
      <c r="W23" s="62"/>
    </row>
    <row r="24" spans="1:23">
      <c r="A24" s="150" t="s">
        <v>3795</v>
      </c>
      <c r="B24" s="42" t="s">
        <v>1172</v>
      </c>
      <c r="C24" s="42" t="s">
        <v>88</v>
      </c>
      <c r="D24" s="42" t="s">
        <v>16</v>
      </c>
      <c r="E24" s="47" t="s">
        <v>3563</v>
      </c>
      <c r="F24" s="47">
        <v>0</v>
      </c>
      <c r="G24" s="47"/>
      <c r="H24" s="47">
        <v>14440</v>
      </c>
      <c r="I24" s="47">
        <v>255</v>
      </c>
      <c r="J24" s="47">
        <v>0.5</v>
      </c>
      <c r="K24" s="43">
        <f t="shared" ref="K24" si="33">I24*J24</f>
        <v>127.5</v>
      </c>
      <c r="L24" s="43">
        <f t="shared" ref="L24" si="34">H24-K24</f>
        <v>14312.5</v>
      </c>
      <c r="M24" s="43"/>
      <c r="N24" s="43">
        <f t="shared" ref="N24" si="35">L24-M24</f>
        <v>14312.5</v>
      </c>
      <c r="O24" s="43">
        <f t="shared" ref="O24" si="36">H24/1000*70</f>
        <v>1010.8</v>
      </c>
      <c r="P24" s="42">
        <v>0</v>
      </c>
      <c r="Q24" s="42">
        <v>21</v>
      </c>
      <c r="R24" s="42">
        <f t="shared" ref="R24" si="37">L24*Q24</f>
        <v>300562.5</v>
      </c>
      <c r="S24" s="62"/>
      <c r="T24" s="62"/>
      <c r="U24" s="62"/>
      <c r="V24" s="62"/>
      <c r="W24" s="62"/>
    </row>
    <row r="25" spans="1:23">
      <c r="A25" s="63"/>
      <c r="B25" s="67"/>
      <c r="C25" s="67"/>
      <c r="D25" s="67"/>
      <c r="E25" s="67"/>
      <c r="F25" s="67"/>
      <c r="G25" s="67"/>
      <c r="H25" s="67"/>
      <c r="I25" s="67"/>
      <c r="J25" s="67"/>
      <c r="K25" s="68"/>
      <c r="L25" s="68"/>
      <c r="M25" s="68"/>
      <c r="N25" s="68"/>
      <c r="O25" s="68"/>
      <c r="P25" s="67"/>
      <c r="Q25" s="62"/>
      <c r="R25" s="62"/>
      <c r="S25" s="62"/>
      <c r="T25" s="62"/>
      <c r="U25" s="62"/>
      <c r="V25" s="62"/>
      <c r="W25" s="62"/>
    </row>
    <row r="26" spans="1:23">
      <c r="A26" s="63"/>
      <c r="B26" s="67"/>
      <c r="C26" s="67"/>
      <c r="D26" s="67"/>
      <c r="E26" s="67"/>
      <c r="F26" s="67"/>
      <c r="G26" s="67"/>
      <c r="H26" s="67"/>
      <c r="I26" s="67"/>
      <c r="J26" s="67"/>
      <c r="K26" s="68"/>
      <c r="L26" s="68"/>
      <c r="M26" s="68"/>
      <c r="N26" s="68"/>
      <c r="O26" s="68"/>
      <c r="P26" s="67"/>
      <c r="Q26" s="62"/>
      <c r="R26" s="62"/>
      <c r="S26" s="62"/>
      <c r="T26" s="62"/>
      <c r="U26" s="62"/>
      <c r="V26" s="62"/>
      <c r="W26" s="62"/>
    </row>
    <row r="27" spans="1:23">
      <c r="A27" s="63"/>
      <c r="B27" s="67"/>
      <c r="C27" s="67"/>
      <c r="D27" s="67"/>
      <c r="E27" s="67"/>
      <c r="F27" s="67"/>
      <c r="G27" s="67"/>
      <c r="H27" s="67"/>
      <c r="I27" s="67"/>
      <c r="J27" s="67"/>
      <c r="K27" s="67"/>
      <c r="L27" s="68"/>
      <c r="M27" s="68"/>
      <c r="N27" s="68"/>
      <c r="O27" s="68"/>
      <c r="P27" s="67"/>
      <c r="Q27" s="62"/>
      <c r="R27" s="62"/>
      <c r="S27" s="62"/>
      <c r="T27" s="62"/>
      <c r="U27" s="62"/>
      <c r="V27" s="62"/>
      <c r="W27" s="62"/>
    </row>
    <row r="28" spans="1:23">
      <c r="A28" s="63"/>
      <c r="B28" s="67"/>
      <c r="C28" s="67"/>
      <c r="D28" s="67"/>
      <c r="E28" s="67"/>
      <c r="F28" s="67"/>
      <c r="G28" s="67"/>
      <c r="H28" s="67"/>
      <c r="I28" s="67"/>
      <c r="J28" s="67"/>
      <c r="K28" s="67"/>
      <c r="L28" s="68"/>
      <c r="M28" s="68"/>
      <c r="N28" s="68"/>
      <c r="O28" s="68"/>
      <c r="P28" s="67"/>
      <c r="Q28" s="62"/>
      <c r="R28" s="62"/>
      <c r="S28" s="62"/>
      <c r="T28" s="62"/>
      <c r="U28" s="62"/>
      <c r="V28" s="62"/>
      <c r="W28" s="62"/>
    </row>
    <row r="29" spans="1:23">
      <c r="A29" s="63"/>
      <c r="B29" s="67"/>
      <c r="C29" s="67"/>
      <c r="D29" s="67"/>
      <c r="E29" s="67"/>
      <c r="F29" s="67"/>
      <c r="G29" s="67"/>
      <c r="H29" s="67"/>
      <c r="I29" s="67"/>
      <c r="J29" s="67"/>
      <c r="K29" s="67"/>
      <c r="L29" s="68"/>
      <c r="M29" s="68"/>
      <c r="N29" s="68"/>
      <c r="O29" s="68"/>
      <c r="P29" s="67"/>
      <c r="Q29" s="62"/>
      <c r="R29" s="62"/>
      <c r="S29" s="62"/>
      <c r="T29" s="62"/>
      <c r="U29" s="62"/>
      <c r="V29" s="62"/>
      <c r="W29" s="62"/>
    </row>
    <row r="30" spans="1:23">
      <c r="A30" s="63"/>
      <c r="B30" s="67"/>
      <c r="C30" s="67"/>
      <c r="D30" s="67"/>
      <c r="E30" s="67"/>
      <c r="F30" s="67"/>
      <c r="G30" s="67"/>
      <c r="H30" s="67"/>
      <c r="I30" s="67"/>
      <c r="J30" s="67"/>
      <c r="K30" s="68"/>
      <c r="L30" s="68"/>
      <c r="M30" s="68"/>
      <c r="N30" s="68"/>
      <c r="O30" s="68"/>
      <c r="P30" s="67"/>
      <c r="Q30" s="62"/>
      <c r="R30" s="62"/>
      <c r="S30" s="62"/>
      <c r="T30" s="62"/>
      <c r="U30" s="62"/>
      <c r="V30" s="62"/>
      <c r="W30" s="62"/>
    </row>
    <row r="31" spans="1:23">
      <c r="A31" s="63"/>
      <c r="B31" s="67"/>
      <c r="C31" s="67"/>
      <c r="D31" s="67"/>
      <c r="E31" s="67"/>
      <c r="F31" s="67"/>
      <c r="G31" s="67"/>
      <c r="H31" s="67"/>
      <c r="I31" s="67"/>
      <c r="J31" s="67"/>
      <c r="K31" s="67"/>
      <c r="L31" s="68"/>
      <c r="M31" s="68"/>
      <c r="N31" s="68"/>
      <c r="O31" s="68"/>
      <c r="P31" s="67"/>
      <c r="Q31" s="62"/>
      <c r="R31" s="62"/>
      <c r="S31" s="62"/>
      <c r="T31" s="62"/>
      <c r="U31" s="62"/>
      <c r="V31" s="62"/>
      <c r="W31" s="62"/>
    </row>
    <row r="32" spans="1:23">
      <c r="A32" s="63"/>
      <c r="B32" s="67"/>
      <c r="C32" s="67"/>
      <c r="D32" s="67"/>
      <c r="E32" s="67"/>
      <c r="F32" s="67"/>
      <c r="G32" s="67"/>
      <c r="H32" s="67"/>
      <c r="I32" s="67"/>
      <c r="J32" s="67"/>
      <c r="K32" s="68"/>
      <c r="L32" s="68"/>
      <c r="M32" s="68"/>
      <c r="N32" s="68"/>
      <c r="O32" s="68"/>
      <c r="P32" s="67"/>
      <c r="Q32" s="62"/>
      <c r="R32" s="62"/>
      <c r="S32" s="62"/>
      <c r="T32" s="62"/>
      <c r="U32" s="62"/>
      <c r="V32" s="62"/>
      <c r="W32" s="62"/>
    </row>
    <row r="33" spans="1:23">
      <c r="A33" s="63"/>
      <c r="B33" s="67"/>
      <c r="C33" s="67"/>
      <c r="D33" s="67"/>
      <c r="E33" s="67"/>
      <c r="F33" s="67"/>
      <c r="G33" s="67"/>
      <c r="H33" s="67"/>
      <c r="I33" s="67"/>
      <c r="J33" s="67"/>
      <c r="K33" s="67"/>
      <c r="L33" s="68"/>
      <c r="M33" s="68"/>
      <c r="N33" s="68"/>
      <c r="O33" s="68"/>
      <c r="P33" s="67"/>
      <c r="Q33" s="62"/>
      <c r="R33" s="62"/>
      <c r="S33" s="62"/>
      <c r="T33" s="62"/>
      <c r="U33" s="62"/>
      <c r="V33" s="62"/>
      <c r="W33" s="62"/>
    </row>
    <row r="34" spans="1:23">
      <c r="A34" s="63"/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8"/>
      <c r="M34" s="68"/>
      <c r="N34" s="68"/>
      <c r="O34" s="68"/>
      <c r="P34" s="67"/>
      <c r="Q34" s="62"/>
      <c r="R34" s="62"/>
      <c r="S34" s="62"/>
      <c r="T34" s="62"/>
      <c r="U34" s="62"/>
      <c r="V34" s="62"/>
      <c r="W34" s="62"/>
    </row>
    <row r="35" spans="1:23">
      <c r="A35" s="63"/>
      <c r="B35" s="67"/>
      <c r="C35" s="67"/>
      <c r="D35" s="67"/>
      <c r="E35" s="67"/>
      <c r="F35" s="67"/>
      <c r="G35" s="67"/>
      <c r="H35" s="67"/>
      <c r="I35" s="67"/>
      <c r="J35" s="67"/>
      <c r="K35" s="68"/>
      <c r="L35" s="68"/>
      <c r="M35" s="68"/>
      <c r="N35" s="68"/>
      <c r="O35" s="68"/>
      <c r="P35" s="67"/>
      <c r="Q35" s="62"/>
      <c r="R35" s="62"/>
      <c r="S35" s="62"/>
      <c r="T35" s="62"/>
      <c r="U35" s="62"/>
      <c r="V35" s="62"/>
      <c r="W35" s="62"/>
    </row>
    <row r="36" spans="1:23">
      <c r="A36" s="63"/>
      <c r="B36" s="67"/>
      <c r="C36" s="67"/>
      <c r="D36" s="67"/>
      <c r="E36" s="67"/>
      <c r="F36" s="67"/>
      <c r="G36" s="67"/>
      <c r="H36" s="67"/>
      <c r="I36" s="67"/>
      <c r="J36" s="67"/>
      <c r="K36" s="68"/>
      <c r="L36" s="68"/>
      <c r="M36" s="68"/>
      <c r="N36" s="68"/>
      <c r="O36" s="68"/>
      <c r="P36" s="67"/>
      <c r="Q36" s="62"/>
      <c r="R36" s="62"/>
      <c r="S36" s="62"/>
      <c r="T36" s="62"/>
      <c r="U36" s="62"/>
      <c r="V36" s="62"/>
      <c r="W36" s="62"/>
    </row>
    <row r="37" spans="1:23">
      <c r="A37" s="63"/>
      <c r="B37" s="67"/>
      <c r="C37" s="67"/>
      <c r="D37" s="67"/>
      <c r="E37" s="67"/>
      <c r="F37" s="67"/>
      <c r="G37" s="67"/>
      <c r="H37" s="67"/>
      <c r="I37" s="67"/>
      <c r="J37" s="67"/>
      <c r="K37" s="68"/>
      <c r="L37" s="68"/>
      <c r="M37" s="68"/>
      <c r="N37" s="68"/>
      <c r="O37" s="68"/>
      <c r="P37" s="67"/>
      <c r="Q37" s="62"/>
      <c r="R37" s="62"/>
      <c r="S37" s="62"/>
      <c r="T37" s="62"/>
      <c r="U37" s="62"/>
      <c r="V37" s="62"/>
      <c r="W37" s="62"/>
    </row>
    <row r="38" spans="1:23">
      <c r="A38" s="63"/>
      <c r="B38" s="67"/>
      <c r="C38" s="67"/>
      <c r="D38" s="67"/>
      <c r="E38" s="67"/>
      <c r="F38" s="67"/>
      <c r="G38" s="67"/>
      <c r="H38" s="67"/>
      <c r="I38" s="67"/>
      <c r="J38" s="67"/>
      <c r="K38" s="68"/>
      <c r="L38" s="68"/>
      <c r="M38" s="68"/>
      <c r="N38" s="68"/>
      <c r="O38" s="68"/>
      <c r="P38" s="67"/>
      <c r="Q38" s="62"/>
      <c r="R38" s="62"/>
      <c r="S38" s="62"/>
      <c r="T38" s="62"/>
      <c r="U38" s="62"/>
      <c r="V38" s="62"/>
      <c r="W38" s="62"/>
    </row>
    <row r="39" spans="1:23">
      <c r="A39" s="63"/>
      <c r="B39" s="67"/>
      <c r="C39" s="67"/>
      <c r="D39" s="67"/>
      <c r="E39" s="67"/>
      <c r="F39" s="67"/>
      <c r="G39" s="67"/>
      <c r="H39" s="67"/>
      <c r="I39" s="67"/>
      <c r="J39" s="67"/>
      <c r="K39" s="68"/>
      <c r="L39" s="68"/>
      <c r="M39" s="68"/>
      <c r="N39" s="68"/>
      <c r="O39" s="68"/>
      <c r="P39" s="67"/>
      <c r="Q39" s="62"/>
      <c r="R39" s="62"/>
      <c r="S39" s="62"/>
      <c r="T39" s="62"/>
      <c r="U39" s="62"/>
      <c r="V39" s="62"/>
      <c r="W39" s="62"/>
    </row>
    <row r="40" spans="1:23">
      <c r="A40" s="63"/>
      <c r="B40" s="67"/>
      <c r="C40" s="67"/>
      <c r="D40" s="67"/>
      <c r="E40" s="67"/>
      <c r="F40" s="67"/>
      <c r="G40" s="67"/>
      <c r="H40" s="67"/>
      <c r="I40" s="67"/>
      <c r="J40" s="67"/>
      <c r="K40" s="68"/>
      <c r="L40" s="68"/>
      <c r="M40" s="68"/>
      <c r="N40" s="68"/>
      <c r="O40" s="68"/>
      <c r="P40" s="67"/>
      <c r="Q40" s="62"/>
      <c r="R40" s="62"/>
      <c r="S40" s="62"/>
      <c r="T40" s="62"/>
      <c r="U40" s="62"/>
      <c r="V40" s="62"/>
      <c r="W40" s="62"/>
    </row>
    <row r="41" spans="1:23">
      <c r="A41" s="63"/>
      <c r="B41" s="67"/>
      <c r="C41" s="67"/>
      <c r="D41" s="67"/>
      <c r="E41" s="67"/>
      <c r="F41" s="67"/>
      <c r="G41" s="67"/>
      <c r="H41" s="67"/>
      <c r="I41" s="67"/>
      <c r="J41" s="67"/>
      <c r="K41" s="68"/>
      <c r="L41" s="68"/>
      <c r="M41" s="68"/>
      <c r="N41" s="68"/>
      <c r="O41" s="68"/>
      <c r="P41" s="67"/>
      <c r="Q41" s="62"/>
      <c r="R41" s="62"/>
      <c r="S41" s="62"/>
      <c r="T41" s="62"/>
      <c r="U41" s="62"/>
      <c r="V41" s="62"/>
      <c r="W41" s="62"/>
    </row>
    <row r="42" spans="1:23">
      <c r="A42" s="63"/>
      <c r="B42" s="67"/>
      <c r="C42" s="67"/>
      <c r="D42" s="67"/>
      <c r="E42" s="67"/>
      <c r="F42" s="67"/>
      <c r="G42" s="67"/>
      <c r="H42" s="67"/>
      <c r="I42" s="67"/>
      <c r="J42" s="67"/>
      <c r="K42" s="68"/>
      <c r="L42" s="68"/>
      <c r="M42" s="68"/>
      <c r="N42" s="68"/>
      <c r="O42" s="68"/>
      <c r="P42" s="67"/>
      <c r="Q42" s="62"/>
      <c r="R42" s="62"/>
      <c r="S42" s="62"/>
      <c r="T42" s="62"/>
      <c r="U42" s="62"/>
      <c r="V42" s="62"/>
      <c r="W42" s="62"/>
    </row>
    <row r="43" spans="1:23">
      <c r="A43" s="63"/>
      <c r="B43" s="67"/>
      <c r="C43" s="67"/>
      <c r="D43" s="67"/>
      <c r="E43" s="67"/>
      <c r="F43" s="67"/>
      <c r="G43" s="67"/>
      <c r="H43" s="67"/>
      <c r="I43" s="67"/>
      <c r="J43" s="67"/>
      <c r="K43" s="68"/>
      <c r="L43" s="68"/>
      <c r="M43" s="68"/>
      <c r="N43" s="68"/>
      <c r="O43" s="68"/>
      <c r="P43" s="67"/>
      <c r="Q43" s="62"/>
      <c r="R43" s="62"/>
      <c r="S43" s="62"/>
      <c r="T43" s="62"/>
      <c r="U43" s="62"/>
      <c r="V43" s="62"/>
      <c r="W43" s="62"/>
    </row>
    <row r="44" spans="1:23">
      <c r="A44" s="63"/>
      <c r="B44" s="67"/>
      <c r="C44" s="67"/>
      <c r="D44" s="67"/>
      <c r="E44" s="67"/>
      <c r="F44" s="67"/>
      <c r="G44" s="67"/>
      <c r="H44" s="67"/>
      <c r="I44" s="67"/>
      <c r="J44" s="67"/>
      <c r="K44" s="68"/>
      <c r="L44" s="68"/>
      <c r="M44" s="68"/>
      <c r="N44" s="68"/>
      <c r="O44" s="68"/>
      <c r="P44" s="67"/>
      <c r="Q44" s="62"/>
      <c r="R44" s="62"/>
      <c r="S44" s="62"/>
      <c r="T44" s="62"/>
      <c r="U44" s="62"/>
      <c r="V44" s="62"/>
      <c r="W44" s="62"/>
    </row>
    <row r="45" spans="1:23">
      <c r="A45" s="63"/>
      <c r="B45" s="67"/>
      <c r="C45" s="67"/>
      <c r="D45" s="67"/>
      <c r="E45" s="67"/>
      <c r="F45" s="98"/>
      <c r="G45" s="98"/>
      <c r="H45" s="98"/>
      <c r="I45" s="98"/>
      <c r="J45" s="98"/>
      <c r="K45" s="68"/>
      <c r="L45" s="68"/>
      <c r="M45" s="68"/>
      <c r="N45" s="68"/>
      <c r="O45" s="68"/>
      <c r="P45" s="99"/>
      <c r="Q45" s="62"/>
      <c r="R45" s="62"/>
      <c r="S45" s="62"/>
      <c r="T45" s="62"/>
      <c r="U45" s="62"/>
      <c r="V45" s="62"/>
      <c r="W45" s="62"/>
    </row>
    <row r="46" spans="1:23">
      <c r="A46" s="63"/>
      <c r="B46" s="67"/>
      <c r="C46" s="67"/>
      <c r="D46" s="67"/>
      <c r="E46" s="67"/>
      <c r="F46" s="67"/>
      <c r="G46" s="67"/>
      <c r="H46" s="67"/>
      <c r="I46" s="67"/>
      <c r="J46" s="67"/>
      <c r="K46" s="68"/>
      <c r="L46" s="68"/>
      <c r="M46" s="68"/>
      <c r="N46" s="68"/>
      <c r="O46" s="68"/>
      <c r="P46" s="67"/>
      <c r="Q46" s="62"/>
      <c r="R46" s="62"/>
      <c r="S46" s="62"/>
      <c r="T46" s="62"/>
      <c r="U46" s="62"/>
      <c r="V46" s="62"/>
      <c r="W46" s="62"/>
    </row>
    <row r="47" spans="1:23">
      <c r="A47" s="63"/>
      <c r="B47" s="67"/>
      <c r="C47" s="67"/>
      <c r="D47" s="67"/>
      <c r="E47" s="67"/>
      <c r="F47" s="67"/>
      <c r="G47" s="67"/>
      <c r="H47" s="67"/>
      <c r="I47" s="67"/>
      <c r="J47" s="67"/>
      <c r="K47" s="68"/>
      <c r="L47" s="68"/>
      <c r="M47" s="68"/>
      <c r="N47" s="68"/>
      <c r="O47" s="68"/>
      <c r="P47" s="67"/>
      <c r="Q47" s="62"/>
      <c r="R47" s="62"/>
      <c r="S47" s="62"/>
      <c r="T47" s="62"/>
      <c r="U47" s="62"/>
      <c r="V47" s="62"/>
      <c r="W47" s="62"/>
    </row>
    <row r="48" spans="1:23">
      <c r="A48" s="63"/>
      <c r="B48" s="67"/>
      <c r="C48" s="67"/>
      <c r="D48" s="67"/>
      <c r="E48" s="67"/>
      <c r="F48" s="67"/>
      <c r="G48" s="67"/>
      <c r="H48" s="67"/>
      <c r="I48" s="67"/>
      <c r="J48" s="67"/>
      <c r="K48" s="68"/>
      <c r="L48" s="68"/>
      <c r="M48" s="68"/>
      <c r="N48" s="68"/>
      <c r="O48" s="68"/>
      <c r="P48" s="67"/>
      <c r="Q48" s="62"/>
      <c r="R48" s="62"/>
      <c r="S48" s="62"/>
      <c r="T48" s="62"/>
      <c r="U48" s="62"/>
      <c r="V48" s="62"/>
      <c r="W48" s="62"/>
    </row>
    <row r="49" spans="1:23">
      <c r="A49" s="63"/>
      <c r="B49" s="67"/>
      <c r="C49" s="67"/>
      <c r="D49" s="67"/>
      <c r="E49" s="67"/>
      <c r="F49" s="67"/>
      <c r="G49" s="67"/>
      <c r="H49" s="67"/>
      <c r="I49" s="67"/>
      <c r="J49" s="67"/>
      <c r="K49" s="68"/>
      <c r="L49" s="68"/>
      <c r="M49" s="68"/>
      <c r="N49" s="68"/>
      <c r="O49" s="68"/>
      <c r="P49" s="67"/>
      <c r="Q49" s="62"/>
      <c r="R49" s="62"/>
      <c r="S49" s="62"/>
      <c r="T49" s="62"/>
      <c r="U49" s="62"/>
      <c r="V49" s="62"/>
      <c r="W49" s="62"/>
    </row>
    <row r="50" spans="1:23">
      <c r="A50" s="63"/>
      <c r="B50" s="67"/>
      <c r="C50" s="67"/>
      <c r="D50" s="67"/>
      <c r="E50" s="67"/>
      <c r="F50" s="67"/>
      <c r="G50" s="67"/>
      <c r="H50" s="67"/>
      <c r="I50" s="67"/>
      <c r="J50" s="67"/>
      <c r="K50" s="68"/>
      <c r="L50" s="68"/>
      <c r="M50" s="68"/>
      <c r="N50" s="68"/>
      <c r="O50" s="68"/>
      <c r="P50" s="67"/>
      <c r="Q50" s="62"/>
      <c r="R50" s="62"/>
      <c r="S50" s="62"/>
      <c r="T50" s="62"/>
      <c r="U50" s="62"/>
      <c r="V50" s="62"/>
      <c r="W50" s="62"/>
    </row>
    <row r="51" spans="1:23">
      <c r="A51" s="63"/>
      <c r="B51" s="67"/>
      <c r="C51" s="67"/>
      <c r="D51" s="67"/>
      <c r="E51" s="67"/>
      <c r="F51" s="67"/>
      <c r="G51" s="67"/>
      <c r="H51" s="67"/>
      <c r="I51" s="67"/>
      <c r="J51" s="67"/>
      <c r="K51" s="68"/>
      <c r="L51" s="68"/>
      <c r="M51" s="68"/>
      <c r="N51" s="68"/>
      <c r="O51" s="68"/>
      <c r="P51" s="67"/>
      <c r="Q51" s="62"/>
      <c r="R51" s="62"/>
      <c r="S51" s="62"/>
      <c r="T51" s="62"/>
      <c r="U51" s="62"/>
      <c r="V51" s="62"/>
      <c r="W51" s="62"/>
    </row>
    <row r="52" spans="1:23">
      <c r="A52" s="63"/>
      <c r="B52" s="67"/>
      <c r="C52" s="67"/>
      <c r="D52" s="67"/>
      <c r="E52" s="67"/>
      <c r="F52" s="67"/>
      <c r="G52" s="67"/>
      <c r="H52" s="67"/>
      <c r="I52" s="67"/>
      <c r="J52" s="67"/>
      <c r="K52" s="68"/>
      <c r="L52" s="68"/>
      <c r="M52" s="68"/>
      <c r="N52" s="68"/>
      <c r="O52" s="68"/>
      <c r="P52" s="149"/>
      <c r="Q52" s="62"/>
      <c r="R52" s="62"/>
      <c r="S52" s="62"/>
      <c r="T52" s="62"/>
      <c r="U52" s="62"/>
      <c r="V52" s="62"/>
      <c r="W52" s="62"/>
    </row>
    <row r="53" spans="1:23">
      <c r="A53" s="63"/>
      <c r="B53" s="67"/>
      <c r="C53" s="67"/>
      <c r="D53" s="67"/>
      <c r="E53" s="67"/>
      <c r="F53" s="67"/>
      <c r="G53" s="67"/>
      <c r="H53" s="67"/>
      <c r="I53" s="67"/>
      <c r="J53" s="67"/>
      <c r="K53" s="68"/>
      <c r="L53" s="68"/>
      <c r="M53" s="68"/>
      <c r="N53" s="68"/>
      <c r="O53" s="68"/>
      <c r="P53" s="149"/>
      <c r="Q53" s="62"/>
      <c r="R53" s="62"/>
      <c r="S53" s="62"/>
      <c r="T53" s="62"/>
      <c r="U53" s="62"/>
      <c r="V53" s="62"/>
      <c r="W53" s="62"/>
    </row>
    <row r="54" spans="1:23">
      <c r="A54" s="63"/>
      <c r="B54" s="67"/>
      <c r="C54" s="67"/>
      <c r="D54" s="67"/>
      <c r="E54" s="67"/>
      <c r="F54" s="67"/>
      <c r="G54" s="67"/>
      <c r="H54" s="67"/>
      <c r="I54" s="67"/>
      <c r="J54" s="67"/>
      <c r="K54" s="68"/>
      <c r="L54" s="68"/>
      <c r="M54" s="68"/>
      <c r="N54" s="68"/>
      <c r="O54" s="68"/>
      <c r="P54" s="149"/>
      <c r="Q54" s="62"/>
      <c r="R54" s="62"/>
      <c r="S54" s="62"/>
      <c r="T54" s="62"/>
      <c r="U54" s="62"/>
      <c r="V54" s="62"/>
      <c r="W54" s="62"/>
    </row>
    <row r="55" spans="1:23">
      <c r="A55" s="63"/>
      <c r="B55" s="67"/>
      <c r="C55" s="67"/>
      <c r="D55" s="67"/>
      <c r="E55" s="67"/>
      <c r="F55" s="67"/>
      <c r="G55" s="67"/>
      <c r="H55" s="67"/>
      <c r="I55" s="67"/>
      <c r="J55" s="67"/>
      <c r="K55" s="68"/>
      <c r="L55" s="68"/>
      <c r="M55" s="68"/>
      <c r="N55" s="68"/>
      <c r="O55" s="68"/>
      <c r="P55" s="149"/>
      <c r="Q55" s="62"/>
      <c r="R55" s="62"/>
      <c r="S55" s="62"/>
      <c r="T55" s="62"/>
      <c r="U55" s="62"/>
      <c r="V55" s="62"/>
      <c r="W55" s="62"/>
    </row>
    <row r="56" spans="1:23">
      <c r="A56" s="63"/>
      <c r="B56" s="67"/>
      <c r="C56" s="67"/>
      <c r="D56" s="67"/>
      <c r="E56" s="67"/>
      <c r="F56" s="67"/>
      <c r="G56" s="67"/>
      <c r="H56" s="67"/>
      <c r="I56" s="67"/>
      <c r="J56" s="67"/>
      <c r="K56" s="68"/>
      <c r="L56" s="68"/>
      <c r="M56" s="68"/>
      <c r="N56" s="68"/>
      <c r="O56" s="68"/>
      <c r="P56" s="149"/>
      <c r="Q56" s="62"/>
      <c r="R56" s="62"/>
      <c r="S56" s="62"/>
      <c r="T56" s="62"/>
      <c r="U56" s="62"/>
      <c r="V56" s="62"/>
      <c r="W56" s="62"/>
    </row>
    <row r="57" spans="1:23">
      <c r="A57" s="63"/>
      <c r="B57" s="67"/>
      <c r="C57" s="67"/>
      <c r="D57" s="67"/>
      <c r="E57" s="67"/>
      <c r="F57" s="67"/>
      <c r="G57" s="67"/>
      <c r="H57" s="67"/>
      <c r="I57" s="67"/>
      <c r="J57" s="67"/>
      <c r="K57" s="68"/>
      <c r="L57" s="68"/>
      <c r="M57" s="68"/>
      <c r="N57" s="68"/>
      <c r="O57" s="68"/>
      <c r="P57" s="149"/>
      <c r="Q57" s="62"/>
      <c r="R57" s="62"/>
      <c r="S57" s="62"/>
      <c r="T57" s="62"/>
      <c r="U57" s="62"/>
      <c r="V57" s="62"/>
      <c r="W57" s="62"/>
    </row>
    <row r="58" spans="1:23">
      <c r="A58" s="63"/>
      <c r="B58" s="67"/>
      <c r="C58" s="67"/>
      <c r="D58" s="67"/>
      <c r="E58" s="67"/>
      <c r="F58" s="67"/>
      <c r="G58" s="67"/>
      <c r="H58" s="67"/>
      <c r="I58" s="67"/>
      <c r="J58" s="67"/>
      <c r="K58" s="68"/>
      <c r="L58" s="68"/>
      <c r="M58" s="68"/>
      <c r="N58" s="68"/>
      <c r="O58" s="68"/>
      <c r="P58" s="67"/>
      <c r="Q58" s="67"/>
      <c r="R58" s="67"/>
      <c r="S58" s="62"/>
      <c r="T58" s="62"/>
      <c r="U58" s="62"/>
      <c r="V58" s="62"/>
      <c r="W58" s="62"/>
    </row>
    <row r="59" spans="1:23">
      <c r="A59" s="63"/>
      <c r="B59" s="67"/>
      <c r="C59" s="67"/>
      <c r="D59" s="67"/>
      <c r="E59" s="67"/>
      <c r="F59" s="67"/>
      <c r="G59" s="67"/>
      <c r="H59" s="67"/>
      <c r="I59" s="67"/>
      <c r="J59" s="67"/>
      <c r="K59" s="68"/>
      <c r="L59" s="68"/>
      <c r="M59" s="68"/>
      <c r="N59" s="68"/>
      <c r="O59" s="68"/>
      <c r="P59" s="67"/>
      <c r="Q59" s="67"/>
      <c r="R59" s="67"/>
      <c r="S59" s="62"/>
      <c r="T59" s="62"/>
      <c r="U59" s="62"/>
      <c r="V59" s="62"/>
      <c r="W59" s="62"/>
    </row>
    <row r="60" spans="1:23">
      <c r="A60" s="63"/>
      <c r="B60" s="67"/>
      <c r="C60" s="67"/>
      <c r="D60" s="67"/>
      <c r="E60" s="67"/>
      <c r="F60" s="67"/>
      <c r="G60" s="67"/>
      <c r="H60" s="67"/>
      <c r="I60" s="67"/>
      <c r="J60" s="67"/>
      <c r="K60" s="68"/>
      <c r="L60" s="68"/>
      <c r="M60" s="68"/>
      <c r="N60" s="68"/>
      <c r="O60" s="68"/>
      <c r="P60" s="67"/>
      <c r="Q60" s="67"/>
      <c r="R60" s="67"/>
      <c r="S60" s="62"/>
      <c r="T60" s="62"/>
      <c r="U60" s="62"/>
      <c r="V60" s="62"/>
      <c r="W60" s="62"/>
    </row>
    <row r="61" spans="1:23">
      <c r="A61" s="63"/>
      <c r="B61" s="67"/>
      <c r="C61" s="67"/>
      <c r="D61" s="67"/>
      <c r="E61" s="67"/>
      <c r="F61" s="67"/>
      <c r="G61" s="67"/>
      <c r="H61" s="67"/>
      <c r="I61" s="67"/>
      <c r="J61" s="67"/>
      <c r="K61" s="68"/>
      <c r="L61" s="68"/>
      <c r="M61" s="68"/>
      <c r="N61" s="68"/>
      <c r="O61" s="68"/>
      <c r="P61" s="67"/>
      <c r="Q61" s="67"/>
      <c r="R61" s="67"/>
      <c r="S61" s="62"/>
      <c r="T61" s="62"/>
      <c r="U61" s="62"/>
      <c r="V61" s="62"/>
      <c r="W61" s="62"/>
    </row>
    <row r="62" spans="1:23">
      <c r="A62" s="63"/>
      <c r="B62" s="67"/>
      <c r="C62" s="67"/>
      <c r="D62" s="67"/>
      <c r="E62" s="67"/>
      <c r="F62" s="67"/>
      <c r="G62" s="67"/>
      <c r="H62" s="67"/>
      <c r="I62" s="67"/>
      <c r="J62" s="67"/>
      <c r="K62" s="68"/>
      <c r="L62" s="68"/>
      <c r="M62" s="68"/>
      <c r="N62" s="68"/>
      <c r="O62" s="68"/>
      <c r="P62" s="67"/>
      <c r="Q62" s="67"/>
      <c r="R62" s="67"/>
      <c r="S62" s="62"/>
      <c r="T62" s="62"/>
      <c r="U62" s="62"/>
      <c r="V62" s="62"/>
      <c r="W62" s="62"/>
    </row>
    <row r="63" spans="1:23">
      <c r="A63" s="63"/>
      <c r="B63" s="67"/>
      <c r="C63" s="67"/>
      <c r="D63" s="67"/>
      <c r="E63" s="67"/>
      <c r="F63" s="67"/>
      <c r="G63" s="67"/>
      <c r="H63" s="67"/>
      <c r="I63" s="67"/>
      <c r="J63" s="67"/>
      <c r="K63" s="68"/>
      <c r="L63" s="68"/>
      <c r="M63" s="68"/>
      <c r="N63" s="68"/>
      <c r="O63" s="68"/>
      <c r="P63" s="67"/>
      <c r="Q63" s="67"/>
      <c r="R63" s="67"/>
      <c r="S63" s="62"/>
      <c r="T63" s="62"/>
      <c r="U63" s="62"/>
      <c r="V63" s="62"/>
      <c r="W63" s="62"/>
    </row>
    <row r="64" spans="1:23">
      <c r="A64" s="63"/>
      <c r="B64" s="67"/>
      <c r="C64" s="67"/>
      <c r="D64" s="67"/>
      <c r="E64" s="67"/>
      <c r="F64" s="67"/>
      <c r="G64" s="67"/>
      <c r="H64" s="67"/>
      <c r="I64" s="67"/>
      <c r="J64" s="67"/>
      <c r="K64" s="68"/>
      <c r="L64" s="68"/>
      <c r="M64" s="68"/>
      <c r="N64" s="68"/>
      <c r="O64" s="68"/>
      <c r="P64" s="67"/>
      <c r="Q64" s="67"/>
      <c r="R64" s="67"/>
      <c r="S64" s="62"/>
      <c r="T64" s="62"/>
      <c r="U64" s="62"/>
      <c r="V64" s="62"/>
      <c r="W64" s="62"/>
    </row>
    <row r="65" spans="1:23">
      <c r="A65" s="63"/>
      <c r="B65" s="67"/>
      <c r="C65" s="67"/>
      <c r="D65" s="67"/>
      <c r="E65" s="67"/>
      <c r="F65" s="67"/>
      <c r="G65" s="67"/>
      <c r="H65" s="67"/>
      <c r="I65" s="67"/>
      <c r="J65" s="67"/>
      <c r="K65" s="68"/>
      <c r="L65" s="68"/>
      <c r="M65" s="68"/>
      <c r="N65" s="68"/>
      <c r="O65" s="68"/>
      <c r="P65" s="149"/>
      <c r="Q65" s="67"/>
      <c r="R65" s="67"/>
      <c r="S65" s="62"/>
      <c r="T65" s="62"/>
      <c r="U65" s="62"/>
      <c r="V65" s="62"/>
      <c r="W65" s="62"/>
    </row>
    <row r="66" spans="1:23">
      <c r="A66" s="63"/>
      <c r="B66" s="67"/>
      <c r="C66" s="67"/>
      <c r="D66" s="67"/>
      <c r="E66" s="67"/>
      <c r="F66" s="67"/>
      <c r="G66" s="67"/>
      <c r="H66" s="67"/>
      <c r="I66" s="67"/>
      <c r="J66" s="67"/>
      <c r="K66" s="67"/>
      <c r="L66" s="68"/>
      <c r="M66" s="68"/>
      <c r="N66" s="68"/>
      <c r="O66" s="68"/>
      <c r="P66" s="67"/>
      <c r="Q66" s="67"/>
      <c r="R66" s="67"/>
      <c r="S66" s="62"/>
      <c r="T66" s="62"/>
      <c r="U66" s="62"/>
      <c r="V66" s="62"/>
      <c r="W66" s="62"/>
    </row>
    <row r="67" spans="1:23">
      <c r="A67" s="63"/>
      <c r="B67" s="67"/>
      <c r="C67" s="67"/>
      <c r="D67" s="67"/>
      <c r="E67" s="67"/>
      <c r="F67" s="67"/>
      <c r="G67" s="67"/>
      <c r="H67" s="67"/>
      <c r="I67" s="67"/>
      <c r="J67" s="67"/>
      <c r="K67" s="67"/>
      <c r="L67" s="68"/>
      <c r="M67" s="68"/>
      <c r="N67" s="68"/>
      <c r="O67" s="68"/>
      <c r="P67" s="67"/>
      <c r="Q67" s="67"/>
      <c r="R67" s="67"/>
      <c r="S67" s="62"/>
      <c r="T67" s="62"/>
      <c r="U67" s="62"/>
      <c r="V67" s="62"/>
      <c r="W67" s="62"/>
    </row>
    <row r="68" spans="1:23">
      <c r="A68" s="63"/>
      <c r="B68" s="67"/>
      <c r="C68" s="67"/>
      <c r="D68" s="67"/>
      <c r="E68" s="67"/>
      <c r="F68" s="67"/>
      <c r="G68" s="67"/>
      <c r="H68" s="67"/>
      <c r="I68" s="67"/>
      <c r="J68" s="67"/>
      <c r="K68" s="67"/>
      <c r="L68" s="68"/>
      <c r="M68" s="68"/>
      <c r="N68" s="68"/>
      <c r="O68" s="68"/>
      <c r="P68" s="67"/>
      <c r="Q68" s="67"/>
      <c r="R68" s="67"/>
      <c r="S68" s="62"/>
      <c r="T68" s="62"/>
      <c r="U68" s="62"/>
      <c r="V68" s="62"/>
      <c r="W68" s="62"/>
    </row>
    <row r="69" spans="1:23">
      <c r="A69" s="63"/>
      <c r="B69" s="67"/>
      <c r="C69" s="67"/>
      <c r="D69" s="67"/>
      <c r="E69" s="67"/>
      <c r="F69" s="67"/>
      <c r="G69" s="67"/>
      <c r="H69" s="67"/>
      <c r="I69" s="67"/>
      <c r="J69" s="67"/>
      <c r="K69" s="67"/>
      <c r="L69" s="68"/>
      <c r="M69" s="68"/>
      <c r="N69" s="68"/>
      <c r="O69" s="68"/>
      <c r="P69" s="67"/>
      <c r="Q69" s="67"/>
      <c r="R69" s="67"/>
      <c r="S69" s="62"/>
      <c r="T69" s="62"/>
      <c r="U69" s="62"/>
      <c r="V69" s="62"/>
      <c r="W69" s="62"/>
    </row>
    <row r="70" spans="1:23">
      <c r="A70" s="63"/>
      <c r="B70" s="67"/>
      <c r="C70" s="67"/>
      <c r="D70" s="67"/>
      <c r="E70" s="67"/>
      <c r="F70" s="67"/>
      <c r="G70" s="67"/>
      <c r="H70" s="67"/>
      <c r="I70" s="67"/>
      <c r="J70" s="67"/>
      <c r="K70" s="67"/>
      <c r="L70" s="68"/>
      <c r="M70" s="68"/>
      <c r="N70" s="68"/>
      <c r="O70" s="68"/>
      <c r="P70" s="67"/>
      <c r="Q70" s="67"/>
      <c r="R70" s="67"/>
      <c r="S70" s="62"/>
      <c r="T70" s="62"/>
      <c r="U70" s="62"/>
      <c r="V70" s="62"/>
      <c r="W70" s="62"/>
    </row>
    <row r="71" spans="1:23">
      <c r="A71" s="63"/>
      <c r="B71" s="67"/>
      <c r="C71" s="67"/>
      <c r="D71" s="67"/>
      <c r="E71" s="67"/>
      <c r="F71" s="67"/>
      <c r="G71" s="67"/>
      <c r="H71" s="67"/>
      <c r="I71" s="67"/>
      <c r="J71" s="67"/>
      <c r="K71" s="67"/>
      <c r="L71" s="68"/>
      <c r="M71" s="68"/>
      <c r="N71" s="68"/>
      <c r="O71" s="68"/>
      <c r="P71" s="67"/>
      <c r="Q71" s="67"/>
      <c r="R71" s="67"/>
      <c r="S71" s="62"/>
      <c r="T71" s="62"/>
      <c r="U71" s="62"/>
      <c r="V71" s="62"/>
      <c r="W71" s="62"/>
    </row>
    <row r="72" spans="1:23">
      <c r="A72" s="63"/>
      <c r="B72" s="67"/>
      <c r="C72" s="67"/>
      <c r="D72" s="67"/>
      <c r="E72" s="67"/>
      <c r="F72" s="67"/>
      <c r="G72" s="67"/>
      <c r="H72" s="67"/>
      <c r="I72" s="67"/>
      <c r="J72" s="67"/>
      <c r="K72" s="67"/>
      <c r="L72" s="68"/>
      <c r="M72" s="68"/>
      <c r="N72" s="68"/>
      <c r="O72" s="68"/>
      <c r="P72" s="67"/>
      <c r="Q72" s="67"/>
      <c r="R72" s="67"/>
      <c r="S72" s="62"/>
      <c r="T72" s="62"/>
      <c r="U72" s="62"/>
      <c r="V72" s="62"/>
      <c r="W72" s="62"/>
    </row>
    <row r="73" spans="1:23">
      <c r="A73" s="62"/>
      <c r="B73" s="67"/>
      <c r="C73" s="67"/>
      <c r="D73" s="67"/>
      <c r="E73" s="67"/>
      <c r="F73" s="67"/>
      <c r="G73" s="67"/>
      <c r="H73" s="67"/>
      <c r="I73" s="67"/>
      <c r="J73" s="67"/>
      <c r="K73" s="67"/>
      <c r="L73" s="68"/>
      <c r="M73" s="68"/>
      <c r="N73" s="68"/>
      <c r="O73" s="68"/>
      <c r="P73" s="67"/>
      <c r="Q73" s="67"/>
      <c r="R73" s="67"/>
      <c r="S73" s="62"/>
      <c r="T73" s="62"/>
      <c r="U73" s="62"/>
      <c r="V73" s="62"/>
      <c r="W73" s="62"/>
    </row>
    <row r="74" spans="1:23">
      <c r="A74" s="63"/>
      <c r="B74" s="67"/>
      <c r="C74" s="67"/>
      <c r="D74" s="67"/>
      <c r="E74" s="67"/>
      <c r="F74" s="67"/>
      <c r="G74" s="67"/>
      <c r="H74" s="67"/>
      <c r="I74" s="67"/>
      <c r="J74" s="67"/>
      <c r="K74" s="67"/>
      <c r="L74" s="68"/>
      <c r="M74" s="68"/>
      <c r="N74" s="68"/>
      <c r="O74" s="68"/>
      <c r="P74" s="67"/>
      <c r="Q74" s="67"/>
      <c r="R74" s="67"/>
      <c r="S74" s="62"/>
      <c r="T74" s="62"/>
      <c r="U74" s="62"/>
      <c r="V74" s="62"/>
      <c r="W74" s="62"/>
    </row>
    <row r="75" spans="1:23">
      <c r="A75" s="63"/>
      <c r="B75" s="67"/>
      <c r="C75" s="67"/>
      <c r="D75" s="67"/>
      <c r="E75" s="67"/>
      <c r="F75" s="67"/>
      <c r="G75" s="67"/>
      <c r="H75" s="67"/>
      <c r="I75" s="67"/>
      <c r="J75" s="67"/>
      <c r="K75" s="67"/>
      <c r="L75" s="68"/>
      <c r="M75" s="68"/>
      <c r="N75" s="68"/>
      <c r="O75" s="68"/>
      <c r="P75" s="67"/>
      <c r="Q75" s="67"/>
      <c r="R75" s="67"/>
      <c r="S75" s="62"/>
      <c r="T75" s="62"/>
      <c r="U75" s="62"/>
      <c r="V75" s="62"/>
      <c r="W75" s="62"/>
    </row>
    <row r="76" spans="1:23">
      <c r="A76" s="63"/>
      <c r="B76" s="67"/>
      <c r="C76" s="67"/>
      <c r="D76" s="67"/>
      <c r="E76" s="67"/>
      <c r="F76" s="67"/>
      <c r="G76" s="67"/>
      <c r="H76" s="67"/>
      <c r="I76" s="67"/>
      <c r="J76" s="67"/>
      <c r="K76" s="67"/>
      <c r="L76" s="68"/>
      <c r="M76" s="68"/>
      <c r="N76" s="68"/>
      <c r="O76" s="68"/>
      <c r="P76" s="67"/>
      <c r="Q76" s="67"/>
      <c r="R76" s="67"/>
      <c r="S76" s="62"/>
      <c r="T76" s="62"/>
      <c r="U76" s="62"/>
      <c r="V76" s="62"/>
      <c r="W76" s="62"/>
    </row>
    <row r="77" spans="1:23">
      <c r="A77" s="63"/>
      <c r="B77" s="67"/>
      <c r="C77" s="67"/>
      <c r="D77" s="67"/>
      <c r="E77" s="67"/>
      <c r="F77" s="67"/>
      <c r="G77" s="67"/>
      <c r="H77" s="67"/>
      <c r="I77" s="67"/>
      <c r="J77" s="67"/>
      <c r="K77" s="67"/>
      <c r="L77" s="68"/>
      <c r="M77" s="68"/>
      <c r="N77" s="68"/>
      <c r="O77" s="68"/>
      <c r="P77" s="67"/>
      <c r="Q77" s="67"/>
      <c r="R77" s="67"/>
      <c r="S77" s="62"/>
      <c r="T77" s="62"/>
      <c r="U77" s="62"/>
      <c r="V77" s="62"/>
      <c r="W77" s="62"/>
    </row>
    <row r="78" spans="1:23">
      <c r="A78" s="63"/>
      <c r="B78" s="67"/>
      <c r="C78" s="67"/>
      <c r="D78" s="67"/>
      <c r="E78" s="67"/>
      <c r="F78" s="67"/>
      <c r="G78" s="67"/>
      <c r="H78" s="67"/>
      <c r="I78" s="67"/>
      <c r="J78" s="67"/>
      <c r="K78" s="67"/>
      <c r="L78" s="68"/>
      <c r="M78" s="68"/>
      <c r="N78" s="68"/>
      <c r="O78" s="68"/>
      <c r="P78" s="67"/>
      <c r="Q78" s="67"/>
      <c r="R78" s="67"/>
      <c r="S78" s="62"/>
      <c r="T78" s="62"/>
      <c r="U78" s="62"/>
      <c r="V78" s="62"/>
      <c r="W78" s="62"/>
    </row>
    <row r="79" spans="1:23">
      <c r="A79" s="63"/>
      <c r="B79" s="67"/>
      <c r="C79" s="67"/>
      <c r="D79" s="67"/>
      <c r="E79" s="67"/>
      <c r="F79" s="67"/>
      <c r="G79" s="67"/>
      <c r="H79" s="67"/>
      <c r="I79" s="67"/>
      <c r="J79" s="67"/>
      <c r="K79" s="67"/>
      <c r="L79" s="68"/>
      <c r="M79" s="68"/>
      <c r="N79" s="68"/>
      <c r="O79" s="68"/>
      <c r="P79" s="67"/>
      <c r="Q79" s="67"/>
      <c r="R79" s="67"/>
      <c r="S79" s="62"/>
      <c r="T79" s="62"/>
      <c r="U79" s="62"/>
      <c r="V79" s="62"/>
      <c r="W79" s="62"/>
    </row>
    <row r="80" spans="1:23">
      <c r="A80" s="63"/>
      <c r="B80" s="67"/>
      <c r="C80" s="67"/>
      <c r="D80" s="67"/>
      <c r="E80" s="67"/>
      <c r="F80" s="67"/>
      <c r="G80" s="67"/>
      <c r="H80" s="67"/>
      <c r="I80" s="67"/>
      <c r="J80" s="67"/>
      <c r="K80" s="67"/>
      <c r="L80" s="68"/>
      <c r="M80" s="68"/>
      <c r="N80" s="68"/>
      <c r="O80" s="68"/>
      <c r="P80" s="67"/>
      <c r="Q80" s="67"/>
      <c r="R80" s="67"/>
      <c r="S80" s="62"/>
      <c r="T80" s="62"/>
      <c r="U80" s="62"/>
      <c r="V80" s="62"/>
      <c r="W80" s="62"/>
    </row>
    <row r="81" spans="1:23">
      <c r="A81" s="63"/>
      <c r="B81" s="67"/>
      <c r="C81" s="67"/>
      <c r="D81" s="67"/>
      <c r="E81" s="67"/>
      <c r="F81" s="67"/>
      <c r="G81" s="67"/>
      <c r="H81" s="67"/>
      <c r="I81" s="67"/>
      <c r="J81" s="67"/>
      <c r="K81" s="67"/>
      <c r="L81" s="68"/>
      <c r="M81" s="68"/>
      <c r="N81" s="68"/>
      <c r="O81" s="68"/>
      <c r="P81" s="67"/>
      <c r="Q81" s="67"/>
      <c r="R81" s="67"/>
      <c r="S81" s="62"/>
      <c r="T81" s="62"/>
      <c r="U81" s="62"/>
      <c r="V81" s="62"/>
      <c r="W81" s="62"/>
    </row>
    <row r="82" spans="1:23">
      <c r="A82" s="63"/>
      <c r="B82" s="67"/>
      <c r="C82" s="67"/>
      <c r="D82" s="67"/>
      <c r="E82" s="67"/>
      <c r="F82" s="67"/>
      <c r="G82" s="67"/>
      <c r="H82" s="67"/>
      <c r="I82" s="67"/>
      <c r="J82" s="67"/>
      <c r="K82" s="67"/>
      <c r="L82" s="68"/>
      <c r="M82" s="68"/>
      <c r="N82" s="68"/>
      <c r="O82" s="68"/>
      <c r="P82" s="67"/>
      <c r="Q82" s="67"/>
      <c r="R82" s="67"/>
      <c r="S82" s="62"/>
      <c r="T82" s="62"/>
      <c r="U82" s="62"/>
      <c r="V82" s="62"/>
      <c r="W82" s="62"/>
    </row>
    <row r="83" spans="1:23">
      <c r="A83" s="62"/>
      <c r="B83" s="67"/>
      <c r="C83" s="67"/>
      <c r="D83" s="67"/>
      <c r="E83" s="67"/>
      <c r="F83" s="67"/>
      <c r="G83" s="67"/>
      <c r="H83" s="67"/>
      <c r="I83" s="67"/>
      <c r="J83" s="67"/>
      <c r="K83" s="67"/>
      <c r="L83" s="68"/>
      <c r="M83" s="68"/>
      <c r="N83" s="68"/>
      <c r="O83" s="68"/>
      <c r="P83" s="67"/>
      <c r="Q83" s="67"/>
      <c r="R83" s="67"/>
      <c r="S83" s="62"/>
      <c r="T83" s="62"/>
      <c r="U83" s="62"/>
      <c r="V83" s="62"/>
      <c r="W83" s="62"/>
    </row>
    <row r="84" spans="1:23">
      <c r="A84" s="63"/>
      <c r="B84" s="142"/>
      <c r="C84" s="142"/>
      <c r="D84" s="67"/>
      <c r="E84" s="67"/>
      <c r="F84" s="67"/>
      <c r="G84" s="67"/>
      <c r="H84" s="67"/>
      <c r="I84" s="67"/>
      <c r="J84" s="67"/>
      <c r="K84" s="67"/>
      <c r="L84" s="68"/>
      <c r="M84" s="68"/>
      <c r="N84" s="68"/>
      <c r="O84" s="68"/>
      <c r="P84" s="67"/>
      <c r="Q84" s="67"/>
      <c r="R84" s="67"/>
      <c r="S84" s="62"/>
      <c r="T84" s="62"/>
      <c r="U84" s="62"/>
      <c r="V84" s="62"/>
      <c r="W84" s="62"/>
    </row>
    <row r="85" spans="1:23">
      <c r="A85" s="63"/>
      <c r="B85" s="142"/>
      <c r="C85" s="142"/>
      <c r="D85" s="67"/>
      <c r="E85" s="67"/>
      <c r="F85" s="67"/>
      <c r="G85" s="67"/>
      <c r="H85" s="67"/>
      <c r="I85" s="67"/>
      <c r="J85" s="67"/>
      <c r="K85" s="67"/>
      <c r="L85" s="68"/>
      <c r="M85" s="68"/>
      <c r="N85" s="68"/>
      <c r="O85" s="68"/>
      <c r="P85" s="67"/>
      <c r="Q85" s="67"/>
      <c r="R85" s="67"/>
      <c r="S85" s="62"/>
      <c r="T85" s="62"/>
      <c r="U85" s="62"/>
      <c r="V85" s="62"/>
      <c r="W85" s="62"/>
    </row>
    <row r="86" spans="1:23">
      <c r="A86" s="63"/>
      <c r="B86" s="142"/>
      <c r="C86" s="142"/>
      <c r="D86" s="67"/>
      <c r="E86" s="67"/>
      <c r="F86" s="67"/>
      <c r="G86" s="67"/>
      <c r="H86" s="67"/>
      <c r="I86" s="67"/>
      <c r="J86" s="67"/>
      <c r="K86" s="67"/>
      <c r="L86" s="68"/>
      <c r="M86" s="68"/>
      <c r="N86" s="68"/>
      <c r="O86" s="68"/>
      <c r="P86" s="67"/>
      <c r="Q86" s="67"/>
      <c r="R86" s="67"/>
      <c r="S86" s="62"/>
      <c r="T86" s="62"/>
      <c r="U86" s="62"/>
      <c r="V86" s="62"/>
      <c r="W86" s="62"/>
    </row>
    <row r="87" spans="1:23">
      <c r="A87" s="63"/>
      <c r="B87" s="142"/>
      <c r="C87" s="142"/>
      <c r="D87" s="67"/>
      <c r="E87" s="67"/>
      <c r="F87" s="67"/>
      <c r="G87" s="67"/>
      <c r="H87" s="67"/>
      <c r="I87" s="67"/>
      <c r="J87" s="67"/>
      <c r="K87" s="67"/>
      <c r="L87" s="68"/>
      <c r="M87" s="68"/>
      <c r="N87" s="68"/>
      <c r="O87" s="68"/>
      <c r="P87" s="67"/>
      <c r="Q87" s="67"/>
      <c r="R87" s="67"/>
      <c r="S87" s="62"/>
      <c r="T87" s="62"/>
      <c r="U87" s="62"/>
      <c r="V87" s="62"/>
      <c r="W87" s="62"/>
    </row>
    <row r="88" spans="1:23">
      <c r="A88" s="63"/>
      <c r="B88" s="142"/>
      <c r="C88" s="142"/>
      <c r="D88" s="67"/>
      <c r="E88" s="67"/>
      <c r="F88" s="67"/>
      <c r="G88" s="67"/>
      <c r="H88" s="67"/>
      <c r="I88" s="67"/>
      <c r="J88" s="67"/>
      <c r="K88" s="67"/>
      <c r="L88" s="68"/>
      <c r="M88" s="68"/>
      <c r="N88" s="68"/>
      <c r="O88" s="68"/>
      <c r="P88" s="67"/>
      <c r="Q88" s="67"/>
      <c r="R88" s="67"/>
      <c r="S88" s="62"/>
      <c r="T88" s="62"/>
      <c r="U88" s="62"/>
      <c r="V88" s="62"/>
      <c r="W88" s="62"/>
    </row>
    <row r="89" spans="1:23">
      <c r="A89" s="63"/>
      <c r="B89" s="142"/>
      <c r="C89" s="142"/>
      <c r="D89" s="67"/>
      <c r="E89" s="67"/>
      <c r="F89" s="67"/>
      <c r="G89" s="67"/>
      <c r="H89" s="67"/>
      <c r="I89" s="67"/>
      <c r="J89" s="67"/>
      <c r="K89" s="67"/>
      <c r="L89" s="68"/>
      <c r="M89" s="68"/>
      <c r="N89" s="68"/>
      <c r="O89" s="68"/>
      <c r="P89" s="67"/>
      <c r="Q89" s="67"/>
      <c r="R89" s="67"/>
      <c r="S89" s="62"/>
      <c r="T89" s="62"/>
      <c r="U89" s="62"/>
      <c r="V89" s="62"/>
      <c r="W89" s="62"/>
    </row>
    <row r="90" spans="1:23">
      <c r="A90" s="63"/>
      <c r="B90" s="142"/>
      <c r="C90" s="142"/>
      <c r="D90" s="67"/>
      <c r="E90" s="67"/>
      <c r="F90" s="67"/>
      <c r="G90" s="67"/>
      <c r="H90" s="67"/>
      <c r="I90" s="67"/>
      <c r="J90" s="67"/>
      <c r="K90" s="67"/>
      <c r="L90" s="68"/>
      <c r="M90" s="68"/>
      <c r="N90" s="68"/>
      <c r="O90" s="68"/>
      <c r="P90" s="67"/>
      <c r="Q90" s="67"/>
      <c r="R90" s="67"/>
      <c r="S90" s="62"/>
      <c r="T90" s="62"/>
      <c r="U90" s="62"/>
      <c r="V90" s="62"/>
      <c r="W90" s="62"/>
    </row>
    <row r="91" spans="1:23">
      <c r="A91" s="63"/>
      <c r="B91" s="142"/>
      <c r="C91" s="142"/>
      <c r="D91" s="67"/>
      <c r="E91" s="67"/>
      <c r="F91" s="67"/>
      <c r="G91" s="67"/>
      <c r="H91" s="67"/>
      <c r="I91" s="67"/>
      <c r="J91" s="67"/>
      <c r="K91" s="67"/>
      <c r="L91" s="68"/>
      <c r="M91" s="68"/>
      <c r="N91" s="68"/>
      <c r="O91" s="68"/>
      <c r="P91" s="67"/>
      <c r="Q91" s="67"/>
      <c r="R91" s="67"/>
      <c r="S91" s="62"/>
      <c r="T91" s="62"/>
      <c r="U91" s="62"/>
      <c r="V91" s="62"/>
      <c r="W91" s="62"/>
    </row>
    <row r="92" spans="1:23">
      <c r="A92" s="63"/>
      <c r="B92" s="142"/>
      <c r="C92" s="142"/>
      <c r="D92" s="67"/>
      <c r="E92" s="67"/>
      <c r="F92" s="67"/>
      <c r="G92" s="67"/>
      <c r="H92" s="67"/>
      <c r="I92" s="67"/>
      <c r="J92" s="67"/>
      <c r="K92" s="67"/>
      <c r="L92" s="68"/>
      <c r="M92" s="68"/>
      <c r="N92" s="68"/>
      <c r="O92" s="68"/>
      <c r="P92" s="67"/>
      <c r="Q92" s="67"/>
      <c r="R92" s="67"/>
      <c r="S92" s="62"/>
      <c r="T92" s="62"/>
      <c r="U92" s="62"/>
      <c r="V92" s="62"/>
      <c r="W92" s="62"/>
    </row>
    <row r="93" spans="1:23">
      <c r="A93" s="63"/>
      <c r="B93" s="142"/>
      <c r="C93" s="142"/>
      <c r="D93" s="67"/>
      <c r="E93" s="67"/>
      <c r="F93" s="67"/>
      <c r="G93" s="67"/>
      <c r="H93" s="67"/>
      <c r="I93" s="67"/>
      <c r="J93" s="67"/>
      <c r="K93" s="67"/>
      <c r="L93" s="68"/>
      <c r="M93" s="68"/>
      <c r="N93" s="68"/>
      <c r="O93" s="68"/>
      <c r="P93" s="67"/>
      <c r="Q93" s="67"/>
      <c r="R93" s="67"/>
      <c r="S93" s="62"/>
      <c r="T93" s="62"/>
      <c r="U93" s="62"/>
      <c r="V93" s="62"/>
      <c r="W93" s="62"/>
    </row>
    <row r="94" spans="1:23">
      <c r="A94" s="63"/>
      <c r="B94" s="142"/>
      <c r="C94" s="142"/>
      <c r="D94" s="67"/>
      <c r="E94" s="67"/>
      <c r="F94" s="67"/>
      <c r="G94" s="67"/>
      <c r="H94" s="67"/>
      <c r="I94" s="67"/>
      <c r="J94" s="67"/>
      <c r="K94" s="67"/>
      <c r="L94" s="68"/>
      <c r="M94" s="68"/>
      <c r="N94" s="68"/>
      <c r="O94" s="68"/>
      <c r="P94" s="67"/>
      <c r="Q94" s="67"/>
      <c r="R94" s="67"/>
      <c r="S94" s="62"/>
      <c r="T94" s="62"/>
      <c r="U94" s="62"/>
      <c r="V94" s="62"/>
      <c r="W94" s="62"/>
    </row>
    <row r="95" spans="1:23">
      <c r="A95" s="63"/>
      <c r="B95" s="142"/>
      <c r="C95" s="142"/>
      <c r="D95" s="67"/>
      <c r="E95" s="67"/>
      <c r="F95" s="67"/>
      <c r="G95" s="67"/>
      <c r="H95" s="67"/>
      <c r="I95" s="67"/>
      <c r="J95" s="67"/>
      <c r="K95" s="67"/>
      <c r="L95" s="68"/>
      <c r="M95" s="68"/>
      <c r="N95" s="68"/>
      <c r="O95" s="68"/>
      <c r="P95" s="67"/>
      <c r="Q95" s="67"/>
      <c r="R95" s="67"/>
      <c r="S95" s="62"/>
      <c r="T95" s="62"/>
      <c r="U95" s="62"/>
      <c r="V95" s="62"/>
      <c r="W95" s="62"/>
    </row>
    <row r="96" spans="1:23">
      <c r="A96" s="63"/>
      <c r="B96" s="142"/>
      <c r="C96" s="142"/>
      <c r="D96" s="67"/>
      <c r="E96" s="67"/>
      <c r="F96" s="67"/>
      <c r="G96" s="67"/>
      <c r="H96" s="67"/>
      <c r="I96" s="67"/>
      <c r="J96" s="67"/>
      <c r="K96" s="67"/>
      <c r="L96" s="68"/>
      <c r="M96" s="68"/>
      <c r="N96" s="68"/>
      <c r="O96" s="68"/>
      <c r="P96" s="67"/>
      <c r="Q96" s="67"/>
      <c r="R96" s="67"/>
      <c r="S96" s="62"/>
      <c r="T96" s="62"/>
      <c r="U96" s="62"/>
      <c r="V96" s="62"/>
      <c r="W96" s="62"/>
    </row>
    <row r="97" spans="1:23">
      <c r="A97" s="63"/>
      <c r="B97" s="142"/>
      <c r="C97" s="142"/>
      <c r="D97" s="67"/>
      <c r="E97" s="67"/>
      <c r="F97" s="67"/>
      <c r="G97" s="67"/>
      <c r="H97" s="67"/>
      <c r="I97" s="67"/>
      <c r="J97" s="67"/>
      <c r="K97" s="67"/>
      <c r="L97" s="68"/>
      <c r="M97" s="68"/>
      <c r="N97" s="68"/>
      <c r="O97" s="68"/>
      <c r="P97" s="67"/>
      <c r="Q97" s="67"/>
      <c r="R97" s="67"/>
      <c r="S97" s="62"/>
      <c r="T97" s="62"/>
      <c r="U97" s="62"/>
      <c r="V97" s="62"/>
      <c r="W97" s="62"/>
    </row>
    <row r="98" spans="1:23">
      <c r="A98" s="63"/>
      <c r="B98" s="142"/>
      <c r="C98" s="142"/>
      <c r="D98" s="67"/>
      <c r="E98" s="67"/>
      <c r="F98" s="67"/>
      <c r="G98" s="67"/>
      <c r="H98" s="67"/>
      <c r="I98" s="67"/>
      <c r="J98" s="67"/>
      <c r="K98" s="67"/>
      <c r="L98" s="68"/>
      <c r="M98" s="68"/>
      <c r="N98" s="68"/>
      <c r="O98" s="68"/>
      <c r="P98" s="67"/>
      <c r="Q98" s="67"/>
      <c r="R98" s="67"/>
      <c r="S98" s="62"/>
      <c r="T98" s="62"/>
      <c r="U98" s="62"/>
      <c r="V98" s="62"/>
      <c r="W98" s="62"/>
    </row>
    <row r="99" spans="1:23">
      <c r="A99" s="63"/>
      <c r="B99" s="142"/>
      <c r="C99" s="142"/>
      <c r="D99" s="67"/>
      <c r="E99" s="67"/>
      <c r="F99" s="67"/>
      <c r="G99" s="67"/>
      <c r="H99" s="67"/>
      <c r="I99" s="67"/>
      <c r="J99" s="67"/>
      <c r="K99" s="67"/>
      <c r="L99" s="68"/>
      <c r="M99" s="68"/>
      <c r="N99" s="68"/>
      <c r="O99" s="68"/>
      <c r="P99" s="67"/>
      <c r="Q99" s="67"/>
      <c r="R99" s="67"/>
      <c r="S99" s="62"/>
      <c r="T99" s="62"/>
      <c r="U99" s="62"/>
      <c r="V99" s="62"/>
      <c r="W99" s="62"/>
    </row>
    <row r="100" spans="1:23">
      <c r="A100" s="63"/>
      <c r="B100" s="142"/>
      <c r="C100" s="142"/>
      <c r="D100" s="67"/>
      <c r="E100" s="67"/>
      <c r="F100" s="67"/>
      <c r="G100" s="67"/>
      <c r="H100" s="67"/>
      <c r="I100" s="67"/>
      <c r="J100" s="67"/>
      <c r="K100" s="67"/>
      <c r="L100" s="68"/>
      <c r="M100" s="68"/>
      <c r="N100" s="68"/>
      <c r="O100" s="68"/>
      <c r="P100" s="67"/>
      <c r="Q100" s="67"/>
      <c r="R100" s="67"/>
      <c r="S100" s="62"/>
      <c r="T100" s="62"/>
      <c r="U100" s="62"/>
      <c r="V100" s="62"/>
      <c r="W100" s="62"/>
    </row>
    <row r="101" spans="1:23">
      <c r="A101" s="63"/>
      <c r="B101" s="142"/>
      <c r="C101" s="142"/>
      <c r="D101" s="67"/>
      <c r="E101" s="67"/>
      <c r="F101" s="67"/>
      <c r="G101" s="67"/>
      <c r="H101" s="67"/>
      <c r="I101" s="67"/>
      <c r="J101" s="67"/>
      <c r="K101" s="67"/>
      <c r="L101" s="68"/>
      <c r="M101" s="68"/>
      <c r="N101" s="68"/>
      <c r="O101" s="68"/>
      <c r="P101" s="67"/>
      <c r="Q101" s="67"/>
      <c r="R101" s="67"/>
      <c r="S101" s="62"/>
      <c r="T101" s="62"/>
      <c r="U101" s="62"/>
      <c r="V101" s="62"/>
      <c r="W101" s="62"/>
    </row>
    <row r="102" spans="1:23">
      <c r="A102" s="63"/>
      <c r="B102" s="142"/>
      <c r="C102" s="142"/>
      <c r="D102" s="67"/>
      <c r="E102" s="67"/>
      <c r="F102" s="67"/>
      <c r="G102" s="67"/>
      <c r="H102" s="67"/>
      <c r="I102" s="67"/>
      <c r="J102" s="67"/>
      <c r="K102" s="67"/>
      <c r="L102" s="68"/>
      <c r="M102" s="68"/>
      <c r="N102" s="68"/>
      <c r="O102" s="68"/>
      <c r="P102" s="67"/>
      <c r="Q102" s="67"/>
      <c r="R102" s="67"/>
      <c r="S102" s="62"/>
      <c r="T102" s="62"/>
      <c r="U102" s="62"/>
      <c r="V102" s="62"/>
      <c r="W102" s="62"/>
    </row>
    <row r="103" spans="1:23">
      <c r="A103" s="63"/>
      <c r="B103" s="142"/>
      <c r="C103" s="142"/>
      <c r="D103" s="67"/>
      <c r="E103" s="67"/>
      <c r="F103" s="67"/>
      <c r="G103" s="67"/>
      <c r="H103" s="67"/>
      <c r="I103" s="67"/>
      <c r="J103" s="67"/>
      <c r="K103" s="67"/>
      <c r="L103" s="68"/>
      <c r="M103" s="68"/>
      <c r="N103" s="68"/>
      <c r="O103" s="68"/>
      <c r="P103" s="67"/>
      <c r="Q103" s="67"/>
      <c r="R103" s="67"/>
      <c r="S103" s="62"/>
      <c r="T103" s="62"/>
      <c r="U103" s="62"/>
      <c r="V103" s="62"/>
      <c r="W103" s="62"/>
    </row>
    <row r="104" spans="1:23">
      <c r="A104" s="63"/>
      <c r="B104" s="142"/>
      <c r="C104" s="142"/>
      <c r="D104" s="67"/>
      <c r="E104" s="67"/>
      <c r="F104" s="67"/>
      <c r="G104" s="67"/>
      <c r="H104" s="67"/>
      <c r="I104" s="67"/>
      <c r="J104" s="67"/>
      <c r="K104" s="67"/>
      <c r="L104" s="68"/>
      <c r="M104" s="68"/>
      <c r="N104" s="68"/>
      <c r="O104" s="68"/>
      <c r="P104" s="67"/>
      <c r="Q104" s="67"/>
      <c r="R104" s="67"/>
      <c r="S104" s="62"/>
      <c r="T104" s="62"/>
      <c r="U104" s="62"/>
      <c r="V104" s="62"/>
      <c r="W104" s="62"/>
    </row>
    <row r="105" spans="1:23">
      <c r="A105" s="63"/>
      <c r="B105" s="142"/>
      <c r="C105" s="142"/>
      <c r="D105" s="67"/>
      <c r="E105" s="67"/>
      <c r="F105" s="67"/>
      <c r="G105" s="67"/>
      <c r="H105" s="67"/>
      <c r="I105" s="67"/>
      <c r="J105" s="67"/>
      <c r="K105" s="67"/>
      <c r="L105" s="68"/>
      <c r="M105" s="68"/>
      <c r="N105" s="68"/>
      <c r="O105" s="68"/>
      <c r="P105" s="67"/>
      <c r="Q105" s="67"/>
      <c r="R105" s="67"/>
      <c r="S105" s="62"/>
      <c r="T105" s="62"/>
      <c r="U105" s="62"/>
      <c r="V105" s="62"/>
      <c r="W105" s="62"/>
    </row>
    <row r="106" spans="1:23">
      <c r="A106" s="63"/>
      <c r="B106" s="142"/>
      <c r="C106" s="142"/>
      <c r="D106" s="67"/>
      <c r="E106" s="67"/>
      <c r="F106" s="67"/>
      <c r="G106" s="67"/>
      <c r="H106" s="67"/>
      <c r="I106" s="67"/>
      <c r="J106" s="67"/>
      <c r="K106" s="67"/>
      <c r="L106" s="68"/>
      <c r="M106" s="68"/>
      <c r="N106" s="68"/>
      <c r="O106" s="68"/>
      <c r="P106" s="67"/>
      <c r="Q106" s="67"/>
      <c r="R106" s="67"/>
      <c r="S106" s="62"/>
      <c r="T106" s="62"/>
      <c r="U106" s="62"/>
      <c r="V106" s="62"/>
      <c r="W106" s="62"/>
    </row>
    <row r="107" spans="1:23">
      <c r="A107" s="63"/>
      <c r="B107" s="142"/>
      <c r="C107" s="142"/>
      <c r="D107" s="67"/>
      <c r="E107" s="67"/>
      <c r="F107" s="67"/>
      <c r="G107" s="67"/>
      <c r="H107" s="67"/>
      <c r="I107" s="67"/>
      <c r="J107" s="67"/>
      <c r="K107" s="67"/>
      <c r="L107" s="68"/>
      <c r="M107" s="68"/>
      <c r="N107" s="68"/>
      <c r="O107" s="68"/>
      <c r="P107" s="67"/>
      <c r="Q107" s="67"/>
      <c r="R107" s="67"/>
      <c r="S107" s="62"/>
      <c r="T107" s="62"/>
      <c r="U107" s="62"/>
      <c r="V107" s="62"/>
      <c r="W107" s="62"/>
    </row>
    <row r="108" spans="1:23">
      <c r="A108" s="63"/>
      <c r="B108" s="142"/>
      <c r="C108" s="142"/>
      <c r="D108" s="67"/>
      <c r="E108" s="67"/>
      <c r="F108" s="67"/>
      <c r="G108" s="67"/>
      <c r="H108" s="67"/>
      <c r="I108" s="67"/>
      <c r="J108" s="67"/>
      <c r="K108" s="67"/>
      <c r="L108" s="68"/>
      <c r="M108" s="68"/>
      <c r="N108" s="68"/>
      <c r="O108" s="68"/>
      <c r="P108" s="67"/>
      <c r="Q108" s="67"/>
      <c r="R108" s="67"/>
      <c r="S108" s="62"/>
      <c r="T108" s="62"/>
      <c r="U108" s="62"/>
      <c r="V108" s="62"/>
      <c r="W108" s="62"/>
    </row>
    <row r="109" spans="1:23">
      <c r="A109" s="63"/>
      <c r="B109" s="142"/>
      <c r="C109" s="142"/>
      <c r="D109" s="67"/>
      <c r="E109" s="67"/>
      <c r="F109" s="67"/>
      <c r="G109" s="67"/>
      <c r="H109" s="67"/>
      <c r="I109" s="67"/>
      <c r="J109" s="67"/>
      <c r="K109" s="67"/>
      <c r="L109" s="68"/>
      <c r="M109" s="68"/>
      <c r="N109" s="68"/>
      <c r="O109" s="68"/>
      <c r="P109" s="67"/>
      <c r="Q109" s="67"/>
      <c r="R109" s="67"/>
      <c r="S109" s="62"/>
      <c r="T109" s="62"/>
      <c r="U109" s="62"/>
      <c r="V109" s="62"/>
      <c r="W109" s="62"/>
    </row>
    <row r="110" spans="1:23">
      <c r="A110" s="62"/>
      <c r="B110" s="142"/>
      <c r="C110" s="142"/>
      <c r="D110" s="67"/>
      <c r="E110" s="67"/>
      <c r="F110" s="67"/>
      <c r="G110" s="67"/>
      <c r="H110" s="67"/>
      <c r="I110" s="67"/>
      <c r="J110" s="67"/>
      <c r="K110" s="67"/>
      <c r="L110" s="68"/>
      <c r="M110" s="68"/>
      <c r="N110" s="68"/>
      <c r="O110" s="68"/>
      <c r="P110" s="67"/>
      <c r="Q110" s="67"/>
      <c r="R110" s="67"/>
      <c r="S110" s="62"/>
      <c r="T110" s="62"/>
      <c r="U110" s="62"/>
      <c r="V110" s="62"/>
      <c r="W110" s="62"/>
    </row>
    <row r="111" spans="1:23">
      <c r="A111" s="62"/>
      <c r="B111" s="62"/>
      <c r="C111" s="62"/>
      <c r="D111" s="62"/>
      <c r="E111" s="62"/>
      <c r="F111" s="62"/>
      <c r="G111" s="62"/>
      <c r="H111" s="62"/>
      <c r="I111" s="62"/>
      <c r="J111" s="62"/>
      <c r="K111" s="62"/>
      <c r="L111" s="62"/>
      <c r="M111" s="62"/>
      <c r="N111" s="62"/>
      <c r="O111" s="62"/>
      <c r="P111" s="62"/>
      <c r="Q111" s="62"/>
      <c r="R111" s="62"/>
      <c r="S111" s="62"/>
      <c r="T111" s="62"/>
      <c r="U111" s="62"/>
      <c r="V111" s="62"/>
      <c r="W111" s="62"/>
    </row>
    <row r="112" spans="1:23">
      <c r="A112" s="62"/>
      <c r="B112" s="62"/>
      <c r="C112" s="62"/>
      <c r="D112" s="62"/>
      <c r="E112" s="62"/>
      <c r="F112" s="62"/>
      <c r="G112" s="62"/>
      <c r="H112" s="62"/>
      <c r="I112" s="62"/>
      <c r="J112" s="62"/>
      <c r="K112" s="62"/>
      <c r="L112" s="62"/>
      <c r="M112" s="62"/>
      <c r="N112" s="62"/>
      <c r="O112" s="62"/>
      <c r="P112" s="62"/>
      <c r="Q112" s="62"/>
      <c r="R112" s="62"/>
      <c r="S112" s="62"/>
      <c r="T112" s="62"/>
      <c r="U112" s="62"/>
      <c r="V112" s="62"/>
      <c r="W112" s="62"/>
    </row>
    <row r="113" spans="1:23">
      <c r="A113" s="62"/>
      <c r="B113" s="62"/>
      <c r="C113" s="62"/>
      <c r="D113" s="62"/>
      <c r="E113" s="62"/>
      <c r="F113" s="62"/>
      <c r="G113" s="62"/>
      <c r="H113" s="62"/>
      <c r="I113" s="62"/>
      <c r="J113" s="62"/>
      <c r="K113" s="62"/>
      <c r="L113" s="62"/>
      <c r="M113" s="62"/>
      <c r="N113" s="62"/>
      <c r="O113" s="62"/>
      <c r="P113" s="62"/>
      <c r="Q113" s="62"/>
      <c r="R113" s="62"/>
      <c r="S113" s="62"/>
      <c r="T113" s="62"/>
      <c r="U113" s="62"/>
      <c r="V113" s="62"/>
      <c r="W113" s="62"/>
    </row>
    <row r="114" spans="1:23">
      <c r="A114" s="62"/>
      <c r="B114" s="62"/>
      <c r="C114" s="62"/>
      <c r="D114" s="62"/>
      <c r="E114" s="62"/>
      <c r="F114" s="62"/>
      <c r="G114" s="62"/>
      <c r="H114" s="62"/>
      <c r="I114" s="62"/>
      <c r="J114" s="62"/>
      <c r="K114" s="62"/>
      <c r="L114" s="62"/>
      <c r="M114" s="62"/>
      <c r="N114" s="62"/>
      <c r="O114" s="62"/>
      <c r="P114" s="62"/>
      <c r="Q114" s="62"/>
      <c r="R114" s="62"/>
      <c r="S114" s="62"/>
      <c r="T114" s="62"/>
      <c r="U114" s="62"/>
      <c r="V114" s="62"/>
      <c r="W114" s="62"/>
    </row>
    <row r="115" spans="1:23">
      <c r="A115" s="62"/>
      <c r="B115" s="62"/>
      <c r="C115" s="62"/>
      <c r="D115" s="62"/>
      <c r="E115" s="62"/>
      <c r="F115" s="62"/>
      <c r="G115" s="62"/>
      <c r="H115" s="62"/>
      <c r="I115" s="62"/>
      <c r="J115" s="62"/>
      <c r="K115" s="62"/>
      <c r="L115" s="62"/>
      <c r="M115" s="62"/>
      <c r="N115" s="62"/>
      <c r="O115" s="62"/>
      <c r="P115" s="62"/>
      <c r="Q115" s="62"/>
      <c r="R115" s="62"/>
      <c r="S115" s="62"/>
      <c r="T115" s="62"/>
      <c r="U115" s="62"/>
      <c r="V115" s="62"/>
      <c r="W115" s="62"/>
    </row>
    <row r="137" spans="12:12">
      <c r="L137" s="16">
        <f>SUM(L15:L136)</f>
        <v>339979.91000000003</v>
      </c>
    </row>
  </sheetData>
  <pageMargins left="0.7" right="0.7" top="0.75" bottom="0.75" header="0.3" footer="0.3"/>
  <pageSetup paperSize="9" orientation="landscape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>
  <dimension ref="A5:W139"/>
  <sheetViews>
    <sheetView topLeftCell="A84" workbookViewId="0">
      <selection activeCell="A97" sqref="A97"/>
    </sheetView>
  </sheetViews>
  <sheetFormatPr defaultRowHeight="14.4"/>
  <cols>
    <col min="1" max="1" width="7.88671875" style="1" customWidth="1"/>
    <col min="2" max="2" width="18.5546875" style="1" customWidth="1"/>
    <col min="3" max="3" width="7.77734375" style="1" customWidth="1"/>
    <col min="4" max="4" width="4.77734375" style="1" customWidth="1"/>
    <col min="5" max="5" width="9.88671875" style="1" customWidth="1"/>
    <col min="6" max="6" width="7.6640625" style="1" customWidth="1"/>
    <col min="7" max="7" width="6.6640625" style="1" customWidth="1"/>
    <col min="8" max="8" width="7.44140625" style="1" customWidth="1"/>
    <col min="9" max="9" width="5.88671875" style="1" customWidth="1"/>
    <col min="10" max="10" width="6" style="1" customWidth="1"/>
    <col min="11" max="11" width="8.44140625" style="1" customWidth="1"/>
    <col min="12" max="12" width="8.21875" style="1" customWidth="1"/>
    <col min="13" max="13" width="7.33203125" style="1" customWidth="1"/>
    <col min="14" max="18" width="8.88671875" style="1"/>
    <col min="19" max="19" width="16.44140625" style="1" customWidth="1"/>
    <col min="20" max="16384" width="8.88671875" style="1"/>
  </cols>
  <sheetData>
    <row r="5" spans="1:23" ht="20.399999999999999">
      <c r="A5" s="58" t="s">
        <v>3</v>
      </c>
      <c r="B5" s="58" t="s">
        <v>4</v>
      </c>
      <c r="C5" s="58" t="s">
        <v>5</v>
      </c>
      <c r="D5" s="58" t="s">
        <v>6</v>
      </c>
      <c r="E5" s="58" t="s">
        <v>37</v>
      </c>
      <c r="F5" s="58" t="s">
        <v>7</v>
      </c>
      <c r="G5" s="58" t="s">
        <v>8</v>
      </c>
      <c r="H5" s="58" t="s">
        <v>9</v>
      </c>
      <c r="I5" s="58" t="s">
        <v>10</v>
      </c>
      <c r="J5" s="59" t="s">
        <v>18</v>
      </c>
      <c r="K5" s="59" t="s">
        <v>17</v>
      </c>
      <c r="L5" s="58" t="s">
        <v>11</v>
      </c>
      <c r="M5" s="58" t="s">
        <v>36</v>
      </c>
      <c r="N5" s="58" t="s">
        <v>12</v>
      </c>
      <c r="O5" s="58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125</v>
      </c>
    </row>
    <row r="6" spans="1:23">
      <c r="A6" s="63"/>
      <c r="B6" s="171"/>
      <c r="C6" s="171"/>
      <c r="D6" s="171"/>
      <c r="E6" s="171"/>
      <c r="F6" s="171"/>
      <c r="G6" s="171"/>
      <c r="H6" s="171"/>
      <c r="I6" s="171"/>
      <c r="J6" s="171"/>
      <c r="K6" s="171"/>
      <c r="L6" s="61"/>
      <c r="M6" s="61"/>
      <c r="N6" s="171"/>
      <c r="O6" s="62"/>
      <c r="P6" s="62"/>
      <c r="Q6" s="62"/>
      <c r="R6" s="62"/>
      <c r="S6" s="62"/>
      <c r="U6" s="17"/>
    </row>
    <row r="7" spans="1:23">
      <c r="A7" s="63" t="s">
        <v>1456</v>
      </c>
      <c r="B7" s="42" t="s">
        <v>1459</v>
      </c>
      <c r="C7" s="42" t="s">
        <v>88</v>
      </c>
      <c r="D7" s="42" t="s">
        <v>16</v>
      </c>
      <c r="E7" s="42" t="s">
        <v>1460</v>
      </c>
      <c r="F7" s="42">
        <v>310</v>
      </c>
      <c r="G7" s="42"/>
      <c r="H7" s="42">
        <v>14430</v>
      </c>
      <c r="I7" s="42">
        <v>250</v>
      </c>
      <c r="J7" s="42">
        <v>0.5</v>
      </c>
      <c r="K7" s="42">
        <f t="shared" ref="K7:K8" si="0">I7*J7</f>
        <v>125</v>
      </c>
      <c r="L7" s="43">
        <f t="shared" ref="L7:L29" si="1">H7-K7</f>
        <v>14305</v>
      </c>
      <c r="M7" s="43">
        <v>124</v>
      </c>
      <c r="N7" s="43">
        <f t="shared" ref="N7:N29" si="2">L7-M7</f>
        <v>14181</v>
      </c>
      <c r="O7" s="43">
        <f t="shared" ref="O7:O29" si="3">H7/1000*70</f>
        <v>1010.1</v>
      </c>
      <c r="P7" s="42">
        <v>0</v>
      </c>
      <c r="Q7" s="42">
        <v>19.5</v>
      </c>
      <c r="R7" s="42">
        <f t="shared" ref="R7:R29" si="4">L7*Q7</f>
        <v>278947.5</v>
      </c>
      <c r="S7" s="42" t="s">
        <v>1346</v>
      </c>
      <c r="T7" s="62"/>
      <c r="U7" s="62"/>
      <c r="V7" s="62"/>
      <c r="W7" s="62"/>
    </row>
    <row r="8" spans="1:23">
      <c r="A8" s="374" t="s">
        <v>1463</v>
      </c>
      <c r="B8" s="42" t="s">
        <v>1459</v>
      </c>
      <c r="C8" s="42" t="s">
        <v>88</v>
      </c>
      <c r="D8" s="42" t="s">
        <v>16</v>
      </c>
      <c r="E8" s="42" t="s">
        <v>1465</v>
      </c>
      <c r="F8" s="42">
        <v>136</v>
      </c>
      <c r="G8" s="42"/>
      <c r="H8" s="42">
        <v>20330</v>
      </c>
      <c r="I8" s="42">
        <v>331</v>
      </c>
      <c r="J8" s="42">
        <v>0.13</v>
      </c>
      <c r="K8" s="42">
        <f t="shared" si="0"/>
        <v>43.03</v>
      </c>
      <c r="L8" s="43">
        <f t="shared" si="1"/>
        <v>20286.97</v>
      </c>
      <c r="M8" s="43"/>
      <c r="N8" s="43">
        <f t="shared" si="2"/>
        <v>20286.97</v>
      </c>
      <c r="O8" s="43">
        <f t="shared" si="3"/>
        <v>1423.1</v>
      </c>
      <c r="P8" s="42">
        <v>15500</v>
      </c>
      <c r="Q8" s="42">
        <v>19.600000000000001</v>
      </c>
      <c r="R8" s="42">
        <f t="shared" si="4"/>
        <v>397624.61200000002</v>
      </c>
      <c r="S8" s="62"/>
      <c r="T8" s="62"/>
      <c r="U8" s="62"/>
      <c r="V8" s="62"/>
      <c r="W8" s="62"/>
    </row>
    <row r="9" spans="1:23">
      <c r="A9" s="374"/>
      <c r="B9" s="42" t="s">
        <v>1459</v>
      </c>
      <c r="C9" s="42" t="s">
        <v>88</v>
      </c>
      <c r="D9" s="42" t="s">
        <v>16</v>
      </c>
      <c r="E9" s="42" t="s">
        <v>1466</v>
      </c>
      <c r="F9" s="42">
        <v>133</v>
      </c>
      <c r="G9" s="42"/>
      <c r="H9" s="42">
        <v>13770</v>
      </c>
      <c r="I9" s="42">
        <v>223</v>
      </c>
      <c r="J9" s="42">
        <v>0.13</v>
      </c>
      <c r="K9" s="42">
        <v>29</v>
      </c>
      <c r="L9" s="43">
        <f t="shared" si="1"/>
        <v>13741</v>
      </c>
      <c r="M9" s="43"/>
      <c r="N9" s="43">
        <f t="shared" si="2"/>
        <v>13741</v>
      </c>
      <c r="O9" s="43">
        <f t="shared" si="3"/>
        <v>963.9</v>
      </c>
      <c r="P9" s="42">
        <v>11200</v>
      </c>
      <c r="Q9" s="42">
        <v>19.600000000000001</v>
      </c>
      <c r="R9" s="42">
        <f t="shared" si="4"/>
        <v>269323.60000000003</v>
      </c>
      <c r="S9" s="62"/>
      <c r="T9" s="62"/>
      <c r="U9" s="62"/>
      <c r="V9" s="62"/>
      <c r="W9" s="62"/>
    </row>
    <row r="10" spans="1:23">
      <c r="A10" s="150" t="s">
        <v>1472</v>
      </c>
      <c r="B10" s="42" t="s">
        <v>1459</v>
      </c>
      <c r="C10" s="42" t="s">
        <v>88</v>
      </c>
      <c r="D10" s="42" t="s">
        <v>16</v>
      </c>
      <c r="E10" s="42" t="s">
        <v>1474</v>
      </c>
      <c r="F10" s="42">
        <v>348</v>
      </c>
      <c r="G10" s="42"/>
      <c r="H10" s="42">
        <v>20470</v>
      </c>
      <c r="I10" s="42">
        <v>333</v>
      </c>
      <c r="J10" s="42">
        <v>0.5</v>
      </c>
      <c r="K10" s="42">
        <v>167</v>
      </c>
      <c r="L10" s="43">
        <f t="shared" si="1"/>
        <v>20303</v>
      </c>
      <c r="M10" s="43"/>
      <c r="N10" s="43">
        <f t="shared" si="2"/>
        <v>20303</v>
      </c>
      <c r="O10" s="43">
        <f t="shared" si="3"/>
        <v>1432.8999999999999</v>
      </c>
      <c r="P10" s="42">
        <v>15500</v>
      </c>
      <c r="Q10" s="42"/>
      <c r="R10" s="42">
        <f t="shared" si="4"/>
        <v>0</v>
      </c>
      <c r="S10" s="62"/>
      <c r="T10" s="62"/>
      <c r="U10" s="62"/>
      <c r="V10" s="62"/>
      <c r="W10" s="62"/>
    </row>
    <row r="11" spans="1:23">
      <c r="A11" s="150" t="s">
        <v>1475</v>
      </c>
      <c r="B11" s="42" t="s">
        <v>1459</v>
      </c>
      <c r="C11" s="42" t="s">
        <v>88</v>
      </c>
      <c r="D11" s="42" t="s">
        <v>16</v>
      </c>
      <c r="E11" s="42" t="s">
        <v>1476</v>
      </c>
      <c r="F11" s="42">
        <v>122</v>
      </c>
      <c r="G11" s="42"/>
      <c r="H11" s="42">
        <v>15100</v>
      </c>
      <c r="I11" s="42">
        <v>272</v>
      </c>
      <c r="J11" s="42">
        <v>0.5</v>
      </c>
      <c r="K11" s="42">
        <f t="shared" ref="K11:K13" si="5">I11*J11</f>
        <v>136</v>
      </c>
      <c r="L11" s="43">
        <f t="shared" si="1"/>
        <v>14964</v>
      </c>
      <c r="M11" s="43"/>
      <c r="N11" s="43">
        <f t="shared" si="2"/>
        <v>14964</v>
      </c>
      <c r="O11" s="43">
        <f t="shared" si="3"/>
        <v>1057</v>
      </c>
      <c r="P11" s="42">
        <v>19000</v>
      </c>
      <c r="Q11" s="42">
        <v>19.600000000000001</v>
      </c>
      <c r="R11" s="42">
        <f t="shared" si="4"/>
        <v>293294.40000000002</v>
      </c>
      <c r="S11" s="62"/>
      <c r="T11" s="62"/>
      <c r="U11" s="62"/>
      <c r="V11" s="62"/>
      <c r="W11" s="62"/>
    </row>
    <row r="12" spans="1:23">
      <c r="A12" s="150" t="s">
        <v>1490</v>
      </c>
      <c r="B12" s="42" t="s">
        <v>1459</v>
      </c>
      <c r="C12" s="42" t="s">
        <v>88</v>
      </c>
      <c r="D12" s="42" t="s">
        <v>16</v>
      </c>
      <c r="E12" s="42" t="s">
        <v>1491</v>
      </c>
      <c r="F12" s="42">
        <v>176</v>
      </c>
      <c r="G12" s="42"/>
      <c r="H12" s="42">
        <v>16130</v>
      </c>
      <c r="I12" s="42">
        <v>294</v>
      </c>
      <c r="J12" s="42">
        <v>0.5</v>
      </c>
      <c r="K12" s="42">
        <f t="shared" si="5"/>
        <v>147</v>
      </c>
      <c r="L12" s="43">
        <f t="shared" si="1"/>
        <v>15983</v>
      </c>
      <c r="M12" s="43"/>
      <c r="N12" s="43">
        <f t="shared" si="2"/>
        <v>15983</v>
      </c>
      <c r="O12" s="43">
        <f t="shared" si="3"/>
        <v>1129.0999999999999</v>
      </c>
      <c r="P12" s="42">
        <v>21000</v>
      </c>
      <c r="Q12" s="42">
        <v>19.600000000000001</v>
      </c>
      <c r="R12" s="42">
        <f t="shared" si="4"/>
        <v>313266.80000000005</v>
      </c>
      <c r="S12" s="62"/>
      <c r="T12" s="62"/>
      <c r="U12" s="62"/>
      <c r="V12" s="62"/>
      <c r="W12" s="62"/>
    </row>
    <row r="13" spans="1:23">
      <c r="A13" s="150" t="s">
        <v>1516</v>
      </c>
      <c r="B13" s="42" t="s">
        <v>1459</v>
      </c>
      <c r="C13" s="42" t="s">
        <v>88</v>
      </c>
      <c r="D13" s="42" t="s">
        <v>16</v>
      </c>
      <c r="E13" s="42" t="s">
        <v>1476</v>
      </c>
      <c r="F13" s="42">
        <v>179</v>
      </c>
      <c r="G13" s="42"/>
      <c r="H13" s="42">
        <v>15620</v>
      </c>
      <c r="I13" s="42">
        <v>284</v>
      </c>
      <c r="J13" s="42">
        <v>0.5</v>
      </c>
      <c r="K13" s="42">
        <f t="shared" si="5"/>
        <v>142</v>
      </c>
      <c r="L13" s="43">
        <f t="shared" si="1"/>
        <v>15478</v>
      </c>
      <c r="M13" s="43"/>
      <c r="N13" s="43">
        <f t="shared" si="2"/>
        <v>15478</v>
      </c>
      <c r="O13" s="43">
        <f t="shared" si="3"/>
        <v>1093.3999999999999</v>
      </c>
      <c r="P13" s="42">
        <v>20700</v>
      </c>
      <c r="Q13" s="42">
        <v>19.600000000000001</v>
      </c>
      <c r="R13" s="42">
        <f t="shared" si="4"/>
        <v>303368.80000000005</v>
      </c>
      <c r="S13" s="62"/>
      <c r="T13" s="62"/>
      <c r="U13" s="62"/>
      <c r="V13" s="62"/>
      <c r="W13" s="62"/>
    </row>
    <row r="14" spans="1:23">
      <c r="A14" s="374" t="s">
        <v>1531</v>
      </c>
      <c r="B14" s="42" t="s">
        <v>1459</v>
      </c>
      <c r="C14" s="42" t="s">
        <v>88</v>
      </c>
      <c r="D14" s="42" t="s">
        <v>16</v>
      </c>
      <c r="E14" s="42" t="s">
        <v>1533</v>
      </c>
      <c r="F14" s="42">
        <v>161</v>
      </c>
      <c r="G14" s="42"/>
      <c r="H14" s="42">
        <v>16310</v>
      </c>
      <c r="I14" s="42">
        <v>265</v>
      </c>
      <c r="J14" s="42">
        <v>0.13</v>
      </c>
      <c r="K14" s="42">
        <v>35</v>
      </c>
      <c r="L14" s="43">
        <f t="shared" si="1"/>
        <v>16275</v>
      </c>
      <c r="M14" s="43"/>
      <c r="N14" s="43">
        <f t="shared" si="2"/>
        <v>16275</v>
      </c>
      <c r="O14" s="43">
        <f t="shared" si="3"/>
        <v>1141.6999999999998</v>
      </c>
      <c r="P14" s="42">
        <v>16000</v>
      </c>
      <c r="Q14" s="42">
        <v>19.600000000000001</v>
      </c>
      <c r="R14" s="42">
        <f t="shared" si="4"/>
        <v>318990</v>
      </c>
      <c r="S14" s="62"/>
      <c r="T14" s="62"/>
      <c r="U14" s="62"/>
      <c r="V14" s="62"/>
      <c r="W14" s="62"/>
    </row>
    <row r="15" spans="1:23">
      <c r="A15" s="374"/>
      <c r="B15" s="42" t="s">
        <v>1459</v>
      </c>
      <c r="C15" s="42" t="s">
        <v>88</v>
      </c>
      <c r="D15" s="42" t="s">
        <v>16</v>
      </c>
      <c r="E15" s="42" t="s">
        <v>1534</v>
      </c>
      <c r="F15" s="42">
        <v>164</v>
      </c>
      <c r="G15" s="42"/>
      <c r="H15" s="42">
        <v>17340</v>
      </c>
      <c r="I15" s="42">
        <v>281</v>
      </c>
      <c r="J15" s="42">
        <v>0.13</v>
      </c>
      <c r="K15" s="42">
        <v>37</v>
      </c>
      <c r="L15" s="43">
        <f t="shared" si="1"/>
        <v>17303</v>
      </c>
      <c r="M15" s="43"/>
      <c r="N15" s="43">
        <f t="shared" si="2"/>
        <v>17303</v>
      </c>
      <c r="O15" s="43">
        <f t="shared" si="3"/>
        <v>1213.8</v>
      </c>
      <c r="P15" s="42">
        <v>17000</v>
      </c>
      <c r="Q15" s="42">
        <v>19.600000000000001</v>
      </c>
      <c r="R15" s="42">
        <f t="shared" si="4"/>
        <v>339138.80000000005</v>
      </c>
      <c r="S15" s="62"/>
      <c r="T15" s="62"/>
      <c r="U15" s="62"/>
      <c r="V15" s="62"/>
      <c r="W15" s="62"/>
    </row>
    <row r="16" spans="1:23">
      <c r="A16" s="150" t="s">
        <v>1538</v>
      </c>
      <c r="B16" s="42" t="s">
        <v>1459</v>
      </c>
      <c r="C16" s="42" t="s">
        <v>88</v>
      </c>
      <c r="D16" s="42" t="s">
        <v>16</v>
      </c>
      <c r="E16" s="42" t="s">
        <v>1539</v>
      </c>
      <c r="F16" s="42">
        <v>165</v>
      </c>
      <c r="G16" s="42"/>
      <c r="H16" s="42">
        <v>20970</v>
      </c>
      <c r="I16" s="42">
        <v>340</v>
      </c>
      <c r="J16" s="42">
        <v>0.13</v>
      </c>
      <c r="K16" s="42">
        <f t="shared" ref="K16:K19" si="6">I16*J16</f>
        <v>44.2</v>
      </c>
      <c r="L16" s="43">
        <f t="shared" si="1"/>
        <v>20925.8</v>
      </c>
      <c r="M16" s="43"/>
      <c r="N16" s="43">
        <f t="shared" si="2"/>
        <v>20925.8</v>
      </c>
      <c r="O16" s="43">
        <f t="shared" si="3"/>
        <v>1467.8999999999999</v>
      </c>
      <c r="P16" s="42">
        <v>14800</v>
      </c>
      <c r="Q16" s="42">
        <v>19.600000000000001</v>
      </c>
      <c r="R16" s="42">
        <f t="shared" si="4"/>
        <v>410145.68</v>
      </c>
      <c r="S16" s="62"/>
      <c r="T16" s="62"/>
      <c r="U16" s="62"/>
      <c r="V16" s="62"/>
      <c r="W16" s="62"/>
    </row>
    <row r="17" spans="1:23">
      <c r="A17" s="150" t="s">
        <v>1542</v>
      </c>
      <c r="B17" s="42" t="s">
        <v>1459</v>
      </c>
      <c r="C17" s="42" t="s">
        <v>88</v>
      </c>
      <c r="D17" s="42" t="s">
        <v>16</v>
      </c>
      <c r="E17" s="42" t="s">
        <v>1543</v>
      </c>
      <c r="F17" s="42">
        <v>172</v>
      </c>
      <c r="G17" s="42"/>
      <c r="H17" s="42">
        <v>19170</v>
      </c>
      <c r="I17" s="42">
        <v>346</v>
      </c>
      <c r="J17" s="42">
        <v>0.5</v>
      </c>
      <c r="K17" s="42">
        <f t="shared" si="6"/>
        <v>173</v>
      </c>
      <c r="L17" s="43">
        <f t="shared" si="1"/>
        <v>18997</v>
      </c>
      <c r="M17" s="43"/>
      <c r="N17" s="43">
        <f t="shared" si="2"/>
        <v>18997</v>
      </c>
      <c r="O17" s="43">
        <f t="shared" si="3"/>
        <v>1341.9</v>
      </c>
      <c r="P17" s="42">
        <v>15500</v>
      </c>
      <c r="Q17" s="42">
        <v>19.600000000000001</v>
      </c>
      <c r="R17" s="42">
        <f t="shared" si="4"/>
        <v>372341.2</v>
      </c>
      <c r="S17" s="62"/>
      <c r="T17" s="62"/>
      <c r="U17" s="62"/>
      <c r="V17" s="62"/>
      <c r="W17" s="62"/>
    </row>
    <row r="18" spans="1:23">
      <c r="A18" s="150" t="s">
        <v>1554</v>
      </c>
      <c r="B18" s="42" t="s">
        <v>1459</v>
      </c>
      <c r="C18" s="42" t="s">
        <v>88</v>
      </c>
      <c r="D18" s="42" t="s">
        <v>16</v>
      </c>
      <c r="E18" s="42" t="s">
        <v>1558</v>
      </c>
      <c r="F18" s="42">
        <v>300</v>
      </c>
      <c r="G18" s="42"/>
      <c r="H18" s="42">
        <v>16270</v>
      </c>
      <c r="I18" s="42">
        <v>267</v>
      </c>
      <c r="J18" s="42">
        <v>0.13</v>
      </c>
      <c r="K18" s="42">
        <f t="shared" si="6"/>
        <v>34.71</v>
      </c>
      <c r="L18" s="43">
        <f t="shared" si="1"/>
        <v>16235.29</v>
      </c>
      <c r="M18" s="43"/>
      <c r="N18" s="43">
        <f t="shared" si="2"/>
        <v>16235.29</v>
      </c>
      <c r="O18" s="43">
        <f t="shared" si="3"/>
        <v>1138.8999999999999</v>
      </c>
      <c r="P18" s="42">
        <v>12800</v>
      </c>
      <c r="Q18" s="42">
        <v>19.600000000000001</v>
      </c>
      <c r="R18" s="42">
        <f t="shared" si="4"/>
        <v>318211.68400000007</v>
      </c>
      <c r="S18" s="62"/>
      <c r="T18" s="62"/>
      <c r="U18" s="62"/>
      <c r="V18" s="62"/>
      <c r="W18" s="62"/>
    </row>
    <row r="19" spans="1:23">
      <c r="A19" s="150" t="s">
        <v>1569</v>
      </c>
      <c r="B19" s="42" t="s">
        <v>1459</v>
      </c>
      <c r="C19" s="42" t="s">
        <v>88</v>
      </c>
      <c r="D19" s="42" t="s">
        <v>16</v>
      </c>
      <c r="E19" s="42" t="s">
        <v>1571</v>
      </c>
      <c r="F19" s="42">
        <v>201</v>
      </c>
      <c r="G19" s="42"/>
      <c r="H19" s="42">
        <v>18010</v>
      </c>
      <c r="I19" s="42">
        <v>309</v>
      </c>
      <c r="J19" s="42">
        <v>0.13</v>
      </c>
      <c r="K19" s="42">
        <f t="shared" si="6"/>
        <v>40.17</v>
      </c>
      <c r="L19" s="43">
        <f t="shared" si="1"/>
        <v>17969.830000000002</v>
      </c>
      <c r="M19" s="43"/>
      <c r="N19" s="43">
        <f t="shared" si="2"/>
        <v>17969.830000000002</v>
      </c>
      <c r="O19" s="43">
        <f t="shared" si="3"/>
        <v>1260.7</v>
      </c>
      <c r="P19" s="42">
        <v>0</v>
      </c>
      <c r="Q19" s="42">
        <v>19.899999999999999</v>
      </c>
      <c r="R19" s="42">
        <f t="shared" si="4"/>
        <v>357599.61700000003</v>
      </c>
      <c r="S19" s="62"/>
      <c r="T19" s="62"/>
      <c r="U19" s="62"/>
      <c r="V19" s="62"/>
      <c r="W19" s="62"/>
    </row>
    <row r="20" spans="1:23">
      <c r="A20" s="150" t="s">
        <v>1580</v>
      </c>
      <c r="B20" s="42" t="s">
        <v>1459</v>
      </c>
      <c r="C20" s="42" t="s">
        <v>88</v>
      </c>
      <c r="D20" s="42" t="s">
        <v>16</v>
      </c>
      <c r="E20" s="42" t="s">
        <v>1543</v>
      </c>
      <c r="F20" s="42">
        <v>202</v>
      </c>
      <c r="G20" s="42"/>
      <c r="H20" s="42">
        <v>20200</v>
      </c>
      <c r="I20" s="42">
        <v>335</v>
      </c>
      <c r="J20" s="42">
        <v>0.13</v>
      </c>
      <c r="K20" s="42">
        <v>44</v>
      </c>
      <c r="L20" s="43">
        <f t="shared" si="1"/>
        <v>20156</v>
      </c>
      <c r="M20" s="43"/>
      <c r="N20" s="43">
        <f t="shared" si="2"/>
        <v>20156</v>
      </c>
      <c r="O20" s="43">
        <f t="shared" si="3"/>
        <v>1414</v>
      </c>
      <c r="P20" s="42">
        <v>18000</v>
      </c>
      <c r="Q20" s="42">
        <v>19.899999999999999</v>
      </c>
      <c r="R20" s="42">
        <f t="shared" si="4"/>
        <v>401104.39999999997</v>
      </c>
      <c r="S20" s="62"/>
      <c r="T20" s="62"/>
      <c r="U20" s="62"/>
      <c r="V20" s="62"/>
      <c r="W20" s="62"/>
    </row>
    <row r="21" spans="1:23">
      <c r="A21" s="150" t="s">
        <v>1584</v>
      </c>
      <c r="B21" s="42" t="s">
        <v>1459</v>
      </c>
      <c r="C21" s="42" t="s">
        <v>88</v>
      </c>
      <c r="D21" s="42" t="s">
        <v>16</v>
      </c>
      <c r="E21" s="42" t="s">
        <v>1585</v>
      </c>
      <c r="F21" s="42">
        <v>206</v>
      </c>
      <c r="G21" s="42"/>
      <c r="H21" s="42">
        <v>19990</v>
      </c>
      <c r="I21" s="42">
        <v>327</v>
      </c>
      <c r="J21" s="42">
        <v>0.13</v>
      </c>
      <c r="K21" s="42">
        <v>43</v>
      </c>
      <c r="L21" s="43">
        <f t="shared" si="1"/>
        <v>19947</v>
      </c>
      <c r="M21" s="43"/>
      <c r="N21" s="43">
        <f t="shared" si="2"/>
        <v>19947</v>
      </c>
      <c r="O21" s="43">
        <f t="shared" si="3"/>
        <v>1399.3</v>
      </c>
      <c r="P21" s="42">
        <v>18000</v>
      </c>
      <c r="Q21" s="42">
        <v>19.899999999999999</v>
      </c>
      <c r="R21" s="42">
        <f t="shared" si="4"/>
        <v>396945.3</v>
      </c>
      <c r="S21" s="62"/>
      <c r="T21" s="62"/>
      <c r="U21" s="62"/>
      <c r="V21" s="62"/>
      <c r="W21" s="62"/>
    </row>
    <row r="22" spans="1:23">
      <c r="A22" s="150" t="s">
        <v>1615</v>
      </c>
      <c r="B22" s="42" t="s">
        <v>1459</v>
      </c>
      <c r="C22" s="42" t="s">
        <v>88</v>
      </c>
      <c r="D22" s="42" t="s">
        <v>16</v>
      </c>
      <c r="E22" s="42" t="s">
        <v>1491</v>
      </c>
      <c r="F22" s="42">
        <v>181</v>
      </c>
      <c r="G22" s="42"/>
      <c r="H22" s="42">
        <v>16100</v>
      </c>
      <c r="I22" s="42">
        <v>291</v>
      </c>
      <c r="J22" s="42">
        <v>0.5</v>
      </c>
      <c r="K22" s="42">
        <v>146</v>
      </c>
      <c r="L22" s="43">
        <f t="shared" si="1"/>
        <v>15954</v>
      </c>
      <c r="M22" s="43"/>
      <c r="N22" s="43">
        <f t="shared" si="2"/>
        <v>15954</v>
      </c>
      <c r="O22" s="43">
        <f t="shared" si="3"/>
        <v>1127</v>
      </c>
      <c r="P22" s="42">
        <v>21000</v>
      </c>
      <c r="Q22" s="42">
        <v>19.899999999999999</v>
      </c>
      <c r="R22" s="42">
        <f t="shared" si="4"/>
        <v>317484.59999999998</v>
      </c>
      <c r="S22" s="62"/>
      <c r="T22" s="62"/>
      <c r="U22" s="62"/>
      <c r="V22" s="62"/>
      <c r="W22" s="62"/>
    </row>
    <row r="23" spans="1:23">
      <c r="A23" s="374" t="s">
        <v>1625</v>
      </c>
      <c r="B23" s="42" t="s">
        <v>1459</v>
      </c>
      <c r="C23" s="42" t="s">
        <v>88</v>
      </c>
      <c r="D23" s="42" t="s">
        <v>16</v>
      </c>
      <c r="E23" s="42" t="s">
        <v>1627</v>
      </c>
      <c r="F23" s="42">
        <v>4091</v>
      </c>
      <c r="G23" s="42"/>
      <c r="H23" s="42">
        <v>20500</v>
      </c>
      <c r="I23" s="42">
        <v>336</v>
      </c>
      <c r="J23" s="42">
        <v>0.13</v>
      </c>
      <c r="K23" s="42">
        <v>44</v>
      </c>
      <c r="L23" s="43">
        <f t="shared" si="1"/>
        <v>20456</v>
      </c>
      <c r="M23" s="43">
        <f>L23*0.5%</f>
        <v>102.28</v>
      </c>
      <c r="N23" s="43">
        <f t="shared" si="2"/>
        <v>20353.72</v>
      </c>
      <c r="O23" s="43">
        <f t="shared" si="3"/>
        <v>1435</v>
      </c>
      <c r="P23" s="42">
        <v>21000</v>
      </c>
      <c r="Q23" s="42">
        <v>19.899999999999999</v>
      </c>
      <c r="R23" s="42">
        <f t="shared" si="4"/>
        <v>407074.39999999997</v>
      </c>
      <c r="S23" s="42" t="s">
        <v>1628</v>
      </c>
      <c r="T23" s="62"/>
      <c r="U23" s="62"/>
      <c r="V23" s="62"/>
      <c r="W23" s="62"/>
    </row>
    <row r="24" spans="1:23">
      <c r="A24" s="374"/>
      <c r="B24" s="42" t="s">
        <v>1459</v>
      </c>
      <c r="C24" s="42" t="s">
        <v>88</v>
      </c>
      <c r="D24" s="42" t="s">
        <v>16</v>
      </c>
      <c r="E24" s="42" t="s">
        <v>1626</v>
      </c>
      <c r="F24" s="42">
        <v>220</v>
      </c>
      <c r="G24" s="42"/>
      <c r="H24" s="42">
        <v>20160</v>
      </c>
      <c r="I24" s="42">
        <v>334</v>
      </c>
      <c r="J24" s="42">
        <v>0.13</v>
      </c>
      <c r="K24" s="42">
        <v>44</v>
      </c>
      <c r="L24" s="43">
        <f t="shared" si="1"/>
        <v>20116</v>
      </c>
      <c r="M24" s="43"/>
      <c r="N24" s="43">
        <f t="shared" si="2"/>
        <v>20116</v>
      </c>
      <c r="O24" s="43">
        <f t="shared" si="3"/>
        <v>1411.2</v>
      </c>
      <c r="P24" s="42">
        <v>20000</v>
      </c>
      <c r="Q24" s="42">
        <v>19.899999999999999</v>
      </c>
      <c r="R24" s="42">
        <f t="shared" si="4"/>
        <v>400308.39999999997</v>
      </c>
      <c r="S24" s="42"/>
      <c r="T24" s="62"/>
      <c r="U24" s="62"/>
      <c r="V24" s="62"/>
      <c r="W24" s="62"/>
    </row>
    <row r="25" spans="1:23">
      <c r="A25" s="150" t="s">
        <v>1631</v>
      </c>
      <c r="B25" s="42" t="s">
        <v>1459</v>
      </c>
      <c r="C25" s="42" t="s">
        <v>88</v>
      </c>
      <c r="D25" s="42" t="s">
        <v>16</v>
      </c>
      <c r="E25" s="42" t="s">
        <v>453</v>
      </c>
      <c r="F25" s="42">
        <v>255</v>
      </c>
      <c r="G25" s="42"/>
      <c r="H25" s="42">
        <v>19790</v>
      </c>
      <c r="I25" s="42">
        <v>320</v>
      </c>
      <c r="J25" s="42">
        <v>0.13</v>
      </c>
      <c r="K25" s="42">
        <v>42</v>
      </c>
      <c r="L25" s="43">
        <f t="shared" si="1"/>
        <v>19748</v>
      </c>
      <c r="M25" s="43"/>
      <c r="N25" s="43">
        <f t="shared" si="2"/>
        <v>19748</v>
      </c>
      <c r="O25" s="43">
        <f t="shared" si="3"/>
        <v>1385.3</v>
      </c>
      <c r="P25" s="42">
        <v>19000</v>
      </c>
      <c r="Q25" s="42">
        <v>19.899999999999999</v>
      </c>
      <c r="R25" s="42">
        <f t="shared" si="4"/>
        <v>392985.19999999995</v>
      </c>
      <c r="S25" s="62"/>
      <c r="T25" s="62"/>
      <c r="U25" s="62"/>
      <c r="V25" s="62"/>
      <c r="W25" s="62"/>
    </row>
    <row r="26" spans="1:23">
      <c r="A26" s="150" t="s">
        <v>1633</v>
      </c>
      <c r="B26" s="42" t="s">
        <v>1459</v>
      </c>
      <c r="C26" s="42" t="s">
        <v>88</v>
      </c>
      <c r="D26" s="42" t="s">
        <v>16</v>
      </c>
      <c r="E26" s="42" t="s">
        <v>1634</v>
      </c>
      <c r="F26" s="42">
        <v>510</v>
      </c>
      <c r="G26" s="42"/>
      <c r="H26" s="42">
        <v>18970</v>
      </c>
      <c r="I26" s="42">
        <v>260</v>
      </c>
      <c r="J26" s="42">
        <v>0.13</v>
      </c>
      <c r="K26" s="42">
        <v>34</v>
      </c>
      <c r="L26" s="43">
        <f t="shared" si="1"/>
        <v>18936</v>
      </c>
      <c r="M26" s="43"/>
      <c r="N26" s="43">
        <f t="shared" si="2"/>
        <v>18936</v>
      </c>
      <c r="O26" s="43">
        <f t="shared" si="3"/>
        <v>1327.8999999999999</v>
      </c>
      <c r="P26" s="42">
        <v>17000</v>
      </c>
      <c r="Q26" s="42">
        <v>19.899999999999999</v>
      </c>
      <c r="R26" s="42">
        <f t="shared" si="4"/>
        <v>376826.39999999997</v>
      </c>
      <c r="S26" s="62"/>
      <c r="T26" s="62"/>
      <c r="U26" s="62"/>
      <c r="V26" s="62"/>
      <c r="W26" s="62"/>
    </row>
    <row r="27" spans="1:23">
      <c r="A27" s="63"/>
      <c r="B27" s="42" t="s">
        <v>1459</v>
      </c>
      <c r="C27" s="42" t="s">
        <v>88</v>
      </c>
      <c r="D27" s="42" t="s">
        <v>16</v>
      </c>
      <c r="E27" s="42" t="s">
        <v>1645</v>
      </c>
      <c r="F27" s="42">
        <v>312</v>
      </c>
      <c r="G27" s="42"/>
      <c r="H27" s="42">
        <v>15790</v>
      </c>
      <c r="I27" s="42">
        <v>280</v>
      </c>
      <c r="J27" s="42">
        <v>0.5</v>
      </c>
      <c r="K27" s="42">
        <f t="shared" ref="K27" si="7">I27*J27</f>
        <v>140</v>
      </c>
      <c r="L27" s="43">
        <f t="shared" si="1"/>
        <v>15650</v>
      </c>
      <c r="M27" s="43"/>
      <c r="N27" s="43">
        <f t="shared" si="2"/>
        <v>15650</v>
      </c>
      <c r="O27" s="43">
        <f t="shared" si="3"/>
        <v>1105.3</v>
      </c>
      <c r="P27" s="191">
        <v>26200</v>
      </c>
      <c r="Q27" s="191">
        <v>19.899999999999999</v>
      </c>
      <c r="R27" s="42">
        <f t="shared" si="4"/>
        <v>311435</v>
      </c>
      <c r="S27" s="62"/>
      <c r="T27" s="62"/>
      <c r="U27" s="62"/>
      <c r="V27" s="62"/>
      <c r="W27" s="62"/>
    </row>
    <row r="28" spans="1:23">
      <c r="A28" s="150" t="s">
        <v>1654</v>
      </c>
      <c r="B28" s="42" t="s">
        <v>1459</v>
      </c>
      <c r="C28" s="42" t="s">
        <v>88</v>
      </c>
      <c r="D28" s="42" t="s">
        <v>16</v>
      </c>
      <c r="E28" s="42" t="s">
        <v>1513</v>
      </c>
      <c r="F28" s="42">
        <v>615</v>
      </c>
      <c r="G28" s="42"/>
      <c r="H28" s="42">
        <v>18250</v>
      </c>
      <c r="I28" s="42">
        <v>267</v>
      </c>
      <c r="J28" s="42">
        <v>0.13</v>
      </c>
      <c r="K28" s="42">
        <v>35</v>
      </c>
      <c r="L28" s="43">
        <f t="shared" si="1"/>
        <v>18215</v>
      </c>
      <c r="M28" s="43">
        <f>L28*3%</f>
        <v>546.44999999999993</v>
      </c>
      <c r="N28" s="43">
        <f t="shared" si="2"/>
        <v>17668.55</v>
      </c>
      <c r="O28" s="43">
        <f t="shared" si="3"/>
        <v>1277.5</v>
      </c>
      <c r="P28" s="193">
        <v>12000</v>
      </c>
      <c r="Q28" s="193">
        <v>19.899999999999999</v>
      </c>
      <c r="R28" s="42">
        <f t="shared" si="4"/>
        <v>362478.5</v>
      </c>
      <c r="S28" s="42" t="s">
        <v>1662</v>
      </c>
      <c r="T28" s="62"/>
      <c r="U28" s="62"/>
      <c r="V28" s="62"/>
      <c r="W28" s="62"/>
    </row>
    <row r="29" spans="1:23">
      <c r="A29" s="150" t="s">
        <v>1664</v>
      </c>
      <c r="B29" s="42" t="s">
        <v>1459</v>
      </c>
      <c r="C29" s="42" t="s">
        <v>88</v>
      </c>
      <c r="D29" s="42" t="s">
        <v>16</v>
      </c>
      <c r="E29" s="42" t="s">
        <v>1476</v>
      </c>
      <c r="F29" s="42">
        <v>503</v>
      </c>
      <c r="G29" s="42"/>
      <c r="H29" s="42">
        <v>15170</v>
      </c>
      <c r="I29" s="42">
        <v>250</v>
      </c>
      <c r="J29" s="42">
        <v>0.5</v>
      </c>
      <c r="K29" s="42">
        <f t="shared" ref="K29" si="8">I29*J29</f>
        <v>125</v>
      </c>
      <c r="L29" s="187">
        <f t="shared" si="1"/>
        <v>15045</v>
      </c>
      <c r="M29" s="43"/>
      <c r="N29" s="43">
        <f t="shared" si="2"/>
        <v>15045</v>
      </c>
      <c r="O29" s="43">
        <f t="shared" si="3"/>
        <v>1061.9000000000001</v>
      </c>
      <c r="P29" s="194">
        <v>24000</v>
      </c>
      <c r="Q29" s="194">
        <v>19.899999999999999</v>
      </c>
      <c r="R29" s="42">
        <f t="shared" si="4"/>
        <v>299395.5</v>
      </c>
      <c r="S29" s="62"/>
      <c r="T29" s="62"/>
      <c r="U29" s="62"/>
      <c r="V29" s="62"/>
      <c r="W29" s="62"/>
    </row>
    <row r="30" spans="1:23">
      <c r="A30" s="150"/>
      <c r="B30" s="42"/>
      <c r="C30" s="42"/>
      <c r="D30" s="42"/>
      <c r="E30" s="42"/>
      <c r="F30" s="42"/>
      <c r="G30" s="42"/>
      <c r="H30" s="42"/>
      <c r="I30" s="42"/>
      <c r="J30" s="42"/>
      <c r="K30" s="42"/>
      <c r="L30" s="187"/>
      <c r="M30" s="43"/>
      <c r="N30" s="43"/>
      <c r="O30" s="43"/>
      <c r="P30" s="205"/>
      <c r="Q30" s="205"/>
      <c r="R30" s="42"/>
      <c r="S30" s="62"/>
      <c r="T30" s="62"/>
      <c r="U30" s="62"/>
      <c r="V30" s="62"/>
      <c r="W30" s="62"/>
    </row>
    <row r="31" spans="1:23">
      <c r="A31" s="150"/>
      <c r="B31" s="42"/>
      <c r="C31" s="42"/>
      <c r="D31" s="42"/>
      <c r="E31" s="42"/>
      <c r="F31" s="42"/>
      <c r="G31" s="42"/>
      <c r="H31" s="42"/>
      <c r="I31" s="42"/>
      <c r="J31" s="42"/>
      <c r="K31" s="42"/>
      <c r="L31" s="43"/>
      <c r="M31" s="43"/>
      <c r="N31" s="43"/>
      <c r="O31" s="43"/>
      <c r="P31" s="205"/>
      <c r="Q31" s="205"/>
      <c r="R31" s="42"/>
      <c r="S31" s="62"/>
      <c r="T31" s="62"/>
      <c r="U31" s="62"/>
      <c r="V31" s="62"/>
      <c r="W31" s="62"/>
    </row>
    <row r="32" spans="1:23">
      <c r="A32" s="63" t="s">
        <v>2328</v>
      </c>
      <c r="B32" s="42" t="s">
        <v>1459</v>
      </c>
      <c r="C32" s="42" t="s">
        <v>88</v>
      </c>
      <c r="D32" s="42" t="s">
        <v>16</v>
      </c>
      <c r="E32" s="42" t="s">
        <v>2329</v>
      </c>
      <c r="F32" s="42">
        <v>316</v>
      </c>
      <c r="G32" s="42"/>
      <c r="H32" s="42">
        <v>18070</v>
      </c>
      <c r="I32" s="42">
        <v>307</v>
      </c>
      <c r="J32" s="42">
        <v>0.5</v>
      </c>
      <c r="K32" s="43">
        <f t="shared" ref="K32:K39" si="9">I32*J32</f>
        <v>153.5</v>
      </c>
      <c r="L32" s="43">
        <f t="shared" ref="L32:L39" si="10">H32-K32</f>
        <v>17916.5</v>
      </c>
      <c r="M32" s="43"/>
      <c r="N32" s="43">
        <f t="shared" ref="N32:N39" si="11">L32-M32</f>
        <v>17916.5</v>
      </c>
      <c r="O32" s="43">
        <f t="shared" ref="O32:O39" si="12">H32/1000*70</f>
        <v>1264.9000000000001</v>
      </c>
      <c r="P32" s="42">
        <v>22000</v>
      </c>
      <c r="Q32" s="42">
        <v>20.3</v>
      </c>
      <c r="R32" s="42">
        <f t="shared" ref="R32:R39" si="13">L32*Q32</f>
        <v>363704.95</v>
      </c>
      <c r="S32" s="62"/>
      <c r="T32" s="62"/>
      <c r="U32" s="62"/>
      <c r="V32" s="62"/>
      <c r="W32" s="62"/>
    </row>
    <row r="33" spans="1:23">
      <c r="A33" s="150" t="s">
        <v>2344</v>
      </c>
      <c r="B33" s="42" t="s">
        <v>1459</v>
      </c>
      <c r="C33" s="42" t="s">
        <v>88</v>
      </c>
      <c r="D33" s="42" t="s">
        <v>16</v>
      </c>
      <c r="E33" s="42" t="s">
        <v>2345</v>
      </c>
      <c r="F33" s="42">
        <v>395</v>
      </c>
      <c r="G33" s="42"/>
      <c r="H33" s="42">
        <v>16820</v>
      </c>
      <c r="I33" s="42">
        <v>290</v>
      </c>
      <c r="J33" s="42">
        <v>0.5</v>
      </c>
      <c r="K33" s="43">
        <f t="shared" si="9"/>
        <v>145</v>
      </c>
      <c r="L33" s="43">
        <f t="shared" si="10"/>
        <v>16675</v>
      </c>
      <c r="M33" s="43">
        <f>L33*0.68%</f>
        <v>113.39000000000001</v>
      </c>
      <c r="N33" s="43">
        <f t="shared" si="11"/>
        <v>16561.61</v>
      </c>
      <c r="O33" s="43">
        <f t="shared" si="12"/>
        <v>1177.4000000000001</v>
      </c>
      <c r="P33" s="42">
        <v>19100</v>
      </c>
      <c r="Q33" s="42">
        <v>20.3</v>
      </c>
      <c r="R33" s="42">
        <f t="shared" si="13"/>
        <v>338502.5</v>
      </c>
      <c r="S33" s="62"/>
      <c r="T33" s="62"/>
      <c r="U33" s="62"/>
      <c r="V33" s="62"/>
      <c r="W33" s="62"/>
    </row>
    <row r="34" spans="1:23">
      <c r="A34" s="150" t="s">
        <v>2347</v>
      </c>
      <c r="B34" s="42" t="s">
        <v>1459</v>
      </c>
      <c r="C34" s="42" t="s">
        <v>88</v>
      </c>
      <c r="D34" s="42" t="s">
        <v>16</v>
      </c>
      <c r="E34" s="42" t="s">
        <v>2329</v>
      </c>
      <c r="F34" s="42">
        <v>398</v>
      </c>
      <c r="G34" s="42"/>
      <c r="H34" s="42">
        <v>17990</v>
      </c>
      <c r="I34" s="42">
        <v>310</v>
      </c>
      <c r="J34" s="42">
        <v>0.5</v>
      </c>
      <c r="K34" s="43">
        <f t="shared" si="9"/>
        <v>155</v>
      </c>
      <c r="L34" s="43">
        <f t="shared" si="10"/>
        <v>17835</v>
      </c>
      <c r="M34" s="43">
        <f>L34*2%</f>
        <v>356.7</v>
      </c>
      <c r="N34" s="43">
        <f t="shared" si="11"/>
        <v>17478.3</v>
      </c>
      <c r="O34" s="43">
        <f t="shared" si="12"/>
        <v>1259.3</v>
      </c>
      <c r="P34" s="42">
        <v>21400</v>
      </c>
      <c r="Q34" s="42">
        <v>20.3</v>
      </c>
      <c r="R34" s="42">
        <f t="shared" si="13"/>
        <v>362050.5</v>
      </c>
      <c r="S34" s="62"/>
      <c r="T34" s="62"/>
      <c r="U34" s="62"/>
      <c r="V34" s="62"/>
      <c r="W34" s="62"/>
    </row>
    <row r="35" spans="1:23">
      <c r="A35" s="150"/>
      <c r="B35" s="42"/>
      <c r="C35" s="42"/>
      <c r="D35" s="42"/>
      <c r="E35" s="42"/>
      <c r="F35" s="42"/>
      <c r="G35" s="42"/>
      <c r="H35" s="42"/>
      <c r="I35" s="42"/>
      <c r="J35" s="42"/>
      <c r="K35" s="43"/>
      <c r="L35" s="43"/>
      <c r="M35" s="43"/>
      <c r="N35" s="43"/>
      <c r="O35" s="43"/>
      <c r="P35" s="42"/>
      <c r="Q35" s="42"/>
      <c r="R35" s="42"/>
      <c r="S35" s="62"/>
      <c r="T35" s="62"/>
      <c r="U35" s="62"/>
      <c r="V35" s="62"/>
      <c r="W35" s="62"/>
    </row>
    <row r="36" spans="1:23">
      <c r="A36" s="374" t="s">
        <v>2695</v>
      </c>
      <c r="B36" s="42" t="s">
        <v>1459</v>
      </c>
      <c r="C36" s="42" t="s">
        <v>88</v>
      </c>
      <c r="D36" s="42" t="s">
        <v>16</v>
      </c>
      <c r="E36" s="42" t="s">
        <v>2345</v>
      </c>
      <c r="F36" s="42">
        <v>783</v>
      </c>
      <c r="G36" s="42"/>
      <c r="H36" s="42">
        <v>15310</v>
      </c>
      <c r="I36" s="42">
        <v>267</v>
      </c>
      <c r="J36" s="42">
        <v>0.5</v>
      </c>
      <c r="K36" s="43">
        <f t="shared" si="9"/>
        <v>133.5</v>
      </c>
      <c r="L36" s="43">
        <f t="shared" si="10"/>
        <v>15176.5</v>
      </c>
      <c r="M36" s="43"/>
      <c r="N36" s="43">
        <f t="shared" si="11"/>
        <v>15176.5</v>
      </c>
      <c r="O36" s="43">
        <f t="shared" si="12"/>
        <v>1071.7</v>
      </c>
      <c r="P36" s="42">
        <v>16900</v>
      </c>
      <c r="Q36" s="42">
        <v>20.8</v>
      </c>
      <c r="R36" s="42">
        <f t="shared" si="13"/>
        <v>315671.2</v>
      </c>
      <c r="S36" s="62" t="s">
        <v>2731</v>
      </c>
      <c r="T36" s="62"/>
      <c r="U36" s="62"/>
      <c r="V36" s="62"/>
      <c r="W36" s="62"/>
    </row>
    <row r="37" spans="1:23">
      <c r="A37" s="374"/>
      <c r="B37" s="42" t="s">
        <v>1459</v>
      </c>
      <c r="C37" s="42" t="s">
        <v>88</v>
      </c>
      <c r="D37" s="42" t="s">
        <v>16</v>
      </c>
      <c r="E37" s="42" t="s">
        <v>1825</v>
      </c>
      <c r="F37" s="42">
        <v>785</v>
      </c>
      <c r="G37" s="42"/>
      <c r="H37" s="42">
        <v>15390</v>
      </c>
      <c r="I37" s="42">
        <v>280</v>
      </c>
      <c r="J37" s="42">
        <v>0.5</v>
      </c>
      <c r="K37" s="43">
        <f t="shared" si="9"/>
        <v>140</v>
      </c>
      <c r="L37" s="43">
        <f t="shared" si="10"/>
        <v>15250</v>
      </c>
      <c r="M37" s="43"/>
      <c r="N37" s="43">
        <f t="shared" si="11"/>
        <v>15250</v>
      </c>
      <c r="O37" s="43">
        <f t="shared" si="12"/>
        <v>1077.3</v>
      </c>
      <c r="P37" s="42">
        <v>17000</v>
      </c>
      <c r="Q37" s="42">
        <v>20.8</v>
      </c>
      <c r="R37" s="42">
        <f t="shared" si="13"/>
        <v>317200</v>
      </c>
      <c r="S37" s="62"/>
      <c r="T37" s="62"/>
      <c r="U37" s="62"/>
      <c r="V37" s="62"/>
      <c r="W37" s="62"/>
    </row>
    <row r="38" spans="1:23">
      <c r="A38" s="150" t="s">
        <v>2706</v>
      </c>
      <c r="B38" s="42" t="s">
        <v>1459</v>
      </c>
      <c r="C38" s="42" t="s">
        <v>88</v>
      </c>
      <c r="D38" s="42" t="s">
        <v>16</v>
      </c>
      <c r="E38" s="42" t="s">
        <v>1476</v>
      </c>
      <c r="F38" s="42">
        <v>787</v>
      </c>
      <c r="G38" s="42"/>
      <c r="H38" s="42">
        <v>15085</v>
      </c>
      <c r="I38" s="42">
        <v>264</v>
      </c>
      <c r="J38" s="42">
        <v>0.5</v>
      </c>
      <c r="K38" s="43">
        <f t="shared" si="9"/>
        <v>132</v>
      </c>
      <c r="L38" s="43">
        <f t="shared" si="10"/>
        <v>14953</v>
      </c>
      <c r="M38" s="43">
        <f>L38*2%</f>
        <v>299.06</v>
      </c>
      <c r="N38" s="43">
        <f t="shared" si="11"/>
        <v>14653.94</v>
      </c>
      <c r="O38" s="43">
        <f t="shared" si="12"/>
        <v>1055.95</v>
      </c>
      <c r="P38" s="42">
        <v>20400</v>
      </c>
      <c r="Q38" s="42">
        <v>20.8</v>
      </c>
      <c r="R38" s="42">
        <f t="shared" si="13"/>
        <v>311022.40000000002</v>
      </c>
      <c r="S38" s="62"/>
      <c r="T38" s="62"/>
      <c r="U38" s="62"/>
      <c r="V38" s="62"/>
      <c r="W38" s="62"/>
    </row>
    <row r="39" spans="1:23">
      <c r="A39" s="150" t="s">
        <v>2715</v>
      </c>
      <c r="B39" s="42" t="s">
        <v>1459</v>
      </c>
      <c r="C39" s="42" t="s">
        <v>88</v>
      </c>
      <c r="D39" s="42" t="s">
        <v>16</v>
      </c>
      <c r="E39" s="283" t="s">
        <v>2717</v>
      </c>
      <c r="F39" s="283">
        <v>952</v>
      </c>
      <c r="G39" s="283"/>
      <c r="H39" s="283">
        <v>15700</v>
      </c>
      <c r="I39" s="283">
        <v>270</v>
      </c>
      <c r="J39" s="283">
        <v>0.5</v>
      </c>
      <c r="K39" s="43">
        <f t="shared" si="9"/>
        <v>135</v>
      </c>
      <c r="L39" s="43">
        <f t="shared" si="10"/>
        <v>15565</v>
      </c>
      <c r="M39" s="43"/>
      <c r="N39" s="43">
        <f t="shared" si="11"/>
        <v>15565</v>
      </c>
      <c r="O39" s="43">
        <f t="shared" si="12"/>
        <v>1099</v>
      </c>
      <c r="P39" s="42">
        <v>15000</v>
      </c>
      <c r="Q39" s="42">
        <v>20.8</v>
      </c>
      <c r="R39" s="42">
        <f t="shared" si="13"/>
        <v>323752</v>
      </c>
      <c r="S39" s="62"/>
      <c r="T39" s="62"/>
      <c r="U39" s="62"/>
      <c r="V39" s="62"/>
      <c r="W39" s="62"/>
    </row>
    <row r="40" spans="1:23">
      <c r="A40" s="63"/>
      <c r="B40" s="67"/>
      <c r="C40" s="67"/>
      <c r="D40" s="67"/>
      <c r="E40" s="67"/>
      <c r="F40" s="67"/>
      <c r="G40" s="67"/>
      <c r="H40" s="67"/>
      <c r="I40" s="67"/>
      <c r="J40" s="67"/>
      <c r="K40" s="68"/>
      <c r="L40" s="68"/>
      <c r="M40" s="68"/>
      <c r="N40" s="68"/>
      <c r="O40" s="68"/>
      <c r="P40" s="67"/>
      <c r="Q40" s="62"/>
      <c r="R40" s="62"/>
      <c r="S40" s="62" t="s">
        <v>2732</v>
      </c>
      <c r="T40" s="62"/>
      <c r="U40" s="62"/>
      <c r="V40" s="62"/>
      <c r="W40" s="62"/>
    </row>
    <row r="41" spans="1:23">
      <c r="A41" s="374" t="s">
        <v>2727</v>
      </c>
      <c r="B41" s="42" t="s">
        <v>1459</v>
      </c>
      <c r="C41" s="42" t="s">
        <v>88</v>
      </c>
      <c r="D41" s="42" t="s">
        <v>16</v>
      </c>
      <c r="E41" s="42" t="s">
        <v>1476</v>
      </c>
      <c r="F41" s="42">
        <v>789</v>
      </c>
      <c r="G41" s="42"/>
      <c r="H41" s="42">
        <v>13610</v>
      </c>
      <c r="I41" s="42">
        <v>272</v>
      </c>
      <c r="J41" s="42">
        <v>0.5</v>
      </c>
      <c r="K41" s="43">
        <f t="shared" ref="K41:K43" si="14">I41*J41</f>
        <v>136</v>
      </c>
      <c r="L41" s="43">
        <f t="shared" ref="L41:L43" si="15">H41-K41</f>
        <v>13474</v>
      </c>
      <c r="M41" s="43"/>
      <c r="N41" s="43">
        <f t="shared" ref="N41:N43" si="16">L41-M41</f>
        <v>13474</v>
      </c>
      <c r="O41" s="43">
        <f t="shared" ref="O41:O43" si="17">H41/1000*70</f>
        <v>952.69999999999993</v>
      </c>
      <c r="P41" s="42">
        <v>20000</v>
      </c>
      <c r="Q41" s="42">
        <v>20.6</v>
      </c>
      <c r="R41" s="42">
        <f t="shared" ref="R41:R43" si="18">L41*Q41</f>
        <v>277564.40000000002</v>
      </c>
      <c r="S41" s="62"/>
      <c r="T41" s="62"/>
      <c r="U41" s="62"/>
      <c r="V41" s="62"/>
      <c r="W41" s="62"/>
    </row>
    <row r="42" spans="1:23">
      <c r="A42" s="374"/>
      <c r="B42" s="42" t="s">
        <v>1459</v>
      </c>
      <c r="C42" s="42" t="s">
        <v>88</v>
      </c>
      <c r="D42" s="42" t="s">
        <v>16</v>
      </c>
      <c r="E42" s="42" t="s">
        <v>2729</v>
      </c>
      <c r="F42" s="42">
        <v>957</v>
      </c>
      <c r="G42" s="42"/>
      <c r="H42" s="42">
        <v>15320</v>
      </c>
      <c r="I42" s="42">
        <v>265</v>
      </c>
      <c r="J42" s="42">
        <v>0.5</v>
      </c>
      <c r="K42" s="43">
        <f t="shared" si="14"/>
        <v>132.5</v>
      </c>
      <c r="L42" s="43">
        <f t="shared" si="15"/>
        <v>15187.5</v>
      </c>
      <c r="M42" s="43"/>
      <c r="N42" s="43">
        <f t="shared" si="16"/>
        <v>15187.5</v>
      </c>
      <c r="O42" s="43">
        <f t="shared" si="17"/>
        <v>1072.4000000000001</v>
      </c>
      <c r="P42" s="42">
        <v>15000</v>
      </c>
      <c r="Q42" s="42">
        <v>20.6</v>
      </c>
      <c r="R42" s="42">
        <f t="shared" si="18"/>
        <v>312862.5</v>
      </c>
      <c r="S42" s="62"/>
      <c r="T42" s="62"/>
      <c r="U42" s="62"/>
      <c r="V42" s="62"/>
      <c r="W42" s="62"/>
    </row>
    <row r="43" spans="1:23">
      <c r="A43" s="63" t="s">
        <v>2734</v>
      </c>
      <c r="B43" s="42" t="s">
        <v>1459</v>
      </c>
      <c r="C43" s="42" t="s">
        <v>88</v>
      </c>
      <c r="D43" s="42" t="s">
        <v>16</v>
      </c>
      <c r="E43" s="42" t="s">
        <v>2735</v>
      </c>
      <c r="F43" s="42">
        <v>320</v>
      </c>
      <c r="G43" s="42"/>
      <c r="H43" s="42">
        <v>15230</v>
      </c>
      <c r="I43" s="42">
        <v>254</v>
      </c>
      <c r="J43" s="42">
        <v>0.5</v>
      </c>
      <c r="K43" s="43">
        <f t="shared" si="14"/>
        <v>127</v>
      </c>
      <c r="L43" s="43">
        <f t="shared" si="15"/>
        <v>15103</v>
      </c>
      <c r="M43" s="43"/>
      <c r="N43" s="43">
        <f t="shared" si="16"/>
        <v>15103</v>
      </c>
      <c r="O43" s="43">
        <f t="shared" si="17"/>
        <v>1066.1000000000001</v>
      </c>
      <c r="P43" s="42">
        <v>19500</v>
      </c>
      <c r="Q43" s="42">
        <v>20.6</v>
      </c>
      <c r="R43" s="42">
        <f t="shared" si="18"/>
        <v>311121.80000000005</v>
      </c>
      <c r="S43" s="62"/>
      <c r="T43" s="62"/>
      <c r="U43" s="62"/>
      <c r="V43" s="62"/>
      <c r="W43" s="62"/>
    </row>
    <row r="44" spans="1:23">
      <c r="A44" s="63"/>
      <c r="B44" s="67"/>
      <c r="C44" s="67"/>
      <c r="D44" s="67"/>
      <c r="E44" s="67"/>
      <c r="F44" s="67"/>
      <c r="G44" s="67"/>
      <c r="H44" s="67"/>
      <c r="I44" s="67"/>
      <c r="J44" s="67"/>
      <c r="K44" s="68"/>
      <c r="L44" s="68"/>
      <c r="M44" s="68"/>
      <c r="N44" s="68"/>
      <c r="O44" s="68"/>
      <c r="P44" s="67"/>
      <c r="Q44" s="62"/>
      <c r="R44" s="62"/>
      <c r="S44" s="62" t="s">
        <v>2773</v>
      </c>
      <c r="T44" s="62"/>
      <c r="U44" s="62"/>
      <c r="V44" s="62"/>
      <c r="W44" s="62"/>
    </row>
    <row r="45" spans="1:23">
      <c r="A45" s="63" t="s">
        <v>2755</v>
      </c>
      <c r="B45" s="42" t="s">
        <v>1459</v>
      </c>
      <c r="C45" s="42" t="s">
        <v>88</v>
      </c>
      <c r="D45" s="42" t="s">
        <v>16</v>
      </c>
      <c r="E45" s="42" t="s">
        <v>2756</v>
      </c>
      <c r="F45" s="42">
        <v>951</v>
      </c>
      <c r="G45" s="42"/>
      <c r="H45" s="42">
        <v>16780</v>
      </c>
      <c r="I45" s="42">
        <v>269</v>
      </c>
      <c r="J45" s="42">
        <v>0.5</v>
      </c>
      <c r="K45" s="43">
        <f t="shared" ref="K45:K50" si="19">I45*J45</f>
        <v>134.5</v>
      </c>
      <c r="L45" s="43">
        <f t="shared" ref="L45:L50" si="20">H45-K45</f>
        <v>16645.5</v>
      </c>
      <c r="M45" s="43"/>
      <c r="N45" s="43">
        <f t="shared" ref="N45:N50" si="21">L45-M45</f>
        <v>16645.5</v>
      </c>
      <c r="O45" s="43">
        <f t="shared" ref="O45:O50" si="22">H45/1000*70</f>
        <v>1174.6000000000001</v>
      </c>
      <c r="P45" s="42">
        <v>16700</v>
      </c>
      <c r="Q45" s="42">
        <v>20</v>
      </c>
      <c r="R45" s="42">
        <f t="shared" ref="R45:R50" si="23">L45*Q45</f>
        <v>332910</v>
      </c>
      <c r="S45" s="62"/>
      <c r="T45" s="62"/>
      <c r="U45" s="62"/>
      <c r="V45" s="62"/>
      <c r="W45" s="62"/>
    </row>
    <row r="46" spans="1:23">
      <c r="A46" s="63" t="s">
        <v>2774</v>
      </c>
      <c r="B46" s="42" t="s">
        <v>1459</v>
      </c>
      <c r="C46" s="42" t="s">
        <v>88</v>
      </c>
      <c r="D46" s="42" t="s">
        <v>16</v>
      </c>
      <c r="E46" s="42" t="s">
        <v>2780</v>
      </c>
      <c r="F46" s="42">
        <v>953</v>
      </c>
      <c r="G46" s="42"/>
      <c r="H46" s="42">
        <v>16240</v>
      </c>
      <c r="I46" s="42">
        <v>275</v>
      </c>
      <c r="J46" s="42">
        <v>0.5</v>
      </c>
      <c r="K46" s="43">
        <f t="shared" si="19"/>
        <v>137.5</v>
      </c>
      <c r="L46" s="43">
        <f t="shared" si="20"/>
        <v>16102.5</v>
      </c>
      <c r="M46" s="43"/>
      <c r="N46" s="43">
        <f t="shared" si="21"/>
        <v>16102.5</v>
      </c>
      <c r="O46" s="43">
        <f t="shared" si="22"/>
        <v>1136.8</v>
      </c>
      <c r="P46" s="42">
        <v>15850</v>
      </c>
      <c r="Q46" s="42">
        <v>20</v>
      </c>
      <c r="R46" s="42">
        <f t="shared" si="23"/>
        <v>322050</v>
      </c>
      <c r="S46" s="62"/>
      <c r="T46" s="62"/>
      <c r="U46" s="62"/>
      <c r="V46" s="62"/>
      <c r="W46" s="62"/>
    </row>
    <row r="47" spans="1:23">
      <c r="A47" s="374" t="s">
        <v>2784</v>
      </c>
      <c r="B47" s="42" t="s">
        <v>1459</v>
      </c>
      <c r="C47" s="42" t="s">
        <v>88</v>
      </c>
      <c r="D47" s="42" t="s">
        <v>16</v>
      </c>
      <c r="E47" s="42" t="s">
        <v>2785</v>
      </c>
      <c r="F47" s="42">
        <v>954</v>
      </c>
      <c r="G47" s="42"/>
      <c r="H47" s="42">
        <v>16660</v>
      </c>
      <c r="I47" s="42">
        <v>267</v>
      </c>
      <c r="J47" s="42">
        <v>0.5</v>
      </c>
      <c r="K47" s="43">
        <f t="shared" si="19"/>
        <v>133.5</v>
      </c>
      <c r="L47" s="43">
        <f t="shared" si="20"/>
        <v>16526.5</v>
      </c>
      <c r="M47" s="43"/>
      <c r="N47" s="43">
        <f t="shared" si="21"/>
        <v>16526.5</v>
      </c>
      <c r="O47" s="43">
        <f t="shared" si="22"/>
        <v>1166.2</v>
      </c>
      <c r="P47" s="42">
        <v>16000</v>
      </c>
      <c r="Q47" s="42">
        <v>20</v>
      </c>
      <c r="R47" s="42">
        <f t="shared" si="23"/>
        <v>330530</v>
      </c>
      <c r="S47" s="62"/>
      <c r="T47" s="62"/>
      <c r="U47" s="62"/>
      <c r="V47" s="62"/>
      <c r="W47" s="62"/>
    </row>
    <row r="48" spans="1:23">
      <c r="A48" s="374"/>
      <c r="B48" s="42" t="s">
        <v>1459</v>
      </c>
      <c r="C48" s="42" t="s">
        <v>88</v>
      </c>
      <c r="D48" s="42" t="s">
        <v>16</v>
      </c>
      <c r="E48" s="42" t="s">
        <v>2786</v>
      </c>
      <c r="F48" s="42">
        <v>952</v>
      </c>
      <c r="G48" s="42"/>
      <c r="H48" s="42">
        <v>15395</v>
      </c>
      <c r="I48" s="42">
        <v>256</v>
      </c>
      <c r="J48" s="42">
        <v>0.5</v>
      </c>
      <c r="K48" s="43">
        <f t="shared" si="19"/>
        <v>128</v>
      </c>
      <c r="L48" s="43">
        <f t="shared" si="20"/>
        <v>15267</v>
      </c>
      <c r="M48" s="43"/>
      <c r="N48" s="43">
        <f t="shared" si="21"/>
        <v>15267</v>
      </c>
      <c r="O48" s="43">
        <f t="shared" si="22"/>
        <v>1077.6499999999999</v>
      </c>
      <c r="P48" s="42">
        <v>15000</v>
      </c>
      <c r="Q48" s="42">
        <v>20</v>
      </c>
      <c r="R48" s="42">
        <f t="shared" si="23"/>
        <v>305340</v>
      </c>
      <c r="S48" s="62"/>
      <c r="T48" s="62"/>
      <c r="U48" s="62"/>
      <c r="V48" s="62"/>
      <c r="W48" s="62"/>
    </row>
    <row r="49" spans="1:23">
      <c r="A49" s="374"/>
      <c r="B49" s="42" t="s">
        <v>1459</v>
      </c>
      <c r="C49" s="42" t="s">
        <v>88</v>
      </c>
      <c r="D49" s="42" t="s">
        <v>16</v>
      </c>
      <c r="E49" s="42" t="s">
        <v>2787</v>
      </c>
      <c r="F49" s="42">
        <v>955</v>
      </c>
      <c r="G49" s="42"/>
      <c r="H49" s="42">
        <v>16010</v>
      </c>
      <c r="I49" s="42">
        <v>264</v>
      </c>
      <c r="J49" s="42">
        <v>0.5</v>
      </c>
      <c r="K49" s="43">
        <f t="shared" si="19"/>
        <v>132</v>
      </c>
      <c r="L49" s="43">
        <f t="shared" si="20"/>
        <v>15878</v>
      </c>
      <c r="M49" s="43"/>
      <c r="N49" s="43">
        <f t="shared" si="21"/>
        <v>15878</v>
      </c>
      <c r="O49" s="43">
        <f t="shared" si="22"/>
        <v>1120.7</v>
      </c>
      <c r="P49" s="42">
        <v>15520</v>
      </c>
      <c r="Q49" s="42">
        <v>20</v>
      </c>
      <c r="R49" s="42">
        <f t="shared" si="23"/>
        <v>317560</v>
      </c>
      <c r="S49" s="62"/>
      <c r="T49" s="62"/>
      <c r="U49" s="62"/>
      <c r="V49" s="62"/>
      <c r="W49" s="62"/>
    </row>
    <row r="50" spans="1:23">
      <c r="A50" s="150" t="s">
        <v>2807</v>
      </c>
      <c r="B50" s="42" t="s">
        <v>1459</v>
      </c>
      <c r="C50" s="42" t="s">
        <v>88</v>
      </c>
      <c r="D50" s="42" t="s">
        <v>16</v>
      </c>
      <c r="E50" s="42" t="s">
        <v>2808</v>
      </c>
      <c r="F50" s="42">
        <v>956</v>
      </c>
      <c r="G50" s="42"/>
      <c r="H50" s="42">
        <v>16140</v>
      </c>
      <c r="I50" s="42">
        <v>289</v>
      </c>
      <c r="J50" s="42">
        <v>0.5</v>
      </c>
      <c r="K50" s="43">
        <f t="shared" si="19"/>
        <v>144.5</v>
      </c>
      <c r="L50" s="43">
        <f t="shared" si="20"/>
        <v>15995.5</v>
      </c>
      <c r="M50" s="43"/>
      <c r="N50" s="43">
        <f t="shared" si="21"/>
        <v>15995.5</v>
      </c>
      <c r="O50" s="43">
        <f t="shared" si="22"/>
        <v>1129.8</v>
      </c>
      <c r="P50" s="42">
        <v>15800</v>
      </c>
      <c r="Q50" s="42">
        <v>20</v>
      </c>
      <c r="R50" s="42">
        <f t="shared" si="23"/>
        <v>319910</v>
      </c>
      <c r="S50" s="62"/>
      <c r="T50" s="62"/>
      <c r="U50" s="62"/>
      <c r="V50" s="62"/>
      <c r="W50" s="62"/>
    </row>
    <row r="51" spans="1:23">
      <c r="A51" s="63"/>
      <c r="B51" s="67"/>
      <c r="C51" s="67"/>
      <c r="D51" s="67"/>
      <c r="E51" s="67"/>
      <c r="F51" s="67"/>
      <c r="G51" s="67"/>
      <c r="H51" s="67"/>
      <c r="I51" s="67"/>
      <c r="J51" s="67"/>
      <c r="K51" s="68"/>
      <c r="L51" s="68"/>
      <c r="M51" s="68"/>
      <c r="N51" s="68"/>
      <c r="O51" s="68"/>
      <c r="P51" s="67"/>
      <c r="Q51" s="62"/>
      <c r="R51" s="62"/>
      <c r="S51" s="62" t="s">
        <v>1655</v>
      </c>
      <c r="T51" s="62"/>
      <c r="U51" s="62"/>
      <c r="V51" s="62"/>
      <c r="W51" s="62"/>
    </row>
    <row r="52" spans="1:23">
      <c r="A52" s="374" t="s">
        <v>2990</v>
      </c>
      <c r="B52" s="42" t="s">
        <v>1459</v>
      </c>
      <c r="C52" s="42" t="s">
        <v>88</v>
      </c>
      <c r="D52" s="42" t="s">
        <v>16</v>
      </c>
      <c r="E52" s="42" t="s">
        <v>2991</v>
      </c>
      <c r="F52" s="42">
        <v>625</v>
      </c>
      <c r="G52" s="42"/>
      <c r="H52" s="42">
        <v>15620</v>
      </c>
      <c r="I52" s="42">
        <v>313</v>
      </c>
      <c r="J52" s="42">
        <v>0.5</v>
      </c>
      <c r="K52" s="43">
        <f t="shared" ref="K52:K55" si="24">I52*J52</f>
        <v>156.5</v>
      </c>
      <c r="L52" s="43">
        <f t="shared" ref="L52:L55" si="25">H52-K52</f>
        <v>15463.5</v>
      </c>
      <c r="M52" s="43"/>
      <c r="N52" s="43">
        <f t="shared" ref="N52:N55" si="26">L52-M52</f>
        <v>15463.5</v>
      </c>
      <c r="O52" s="43">
        <f t="shared" ref="O52:O55" si="27">H52/1000*70</f>
        <v>1093.3999999999999</v>
      </c>
      <c r="P52" s="42">
        <v>21300</v>
      </c>
      <c r="Q52" s="42">
        <v>17.5</v>
      </c>
      <c r="R52" s="42">
        <f t="shared" ref="R52:R55" si="28">L52*Q52</f>
        <v>270611.25</v>
      </c>
      <c r="S52" s="62"/>
      <c r="T52" s="62"/>
      <c r="U52" s="62"/>
      <c r="V52" s="62"/>
      <c r="W52" s="62"/>
    </row>
    <row r="53" spans="1:23">
      <c r="A53" s="374"/>
      <c r="B53" s="42" t="s">
        <v>1459</v>
      </c>
      <c r="C53" s="42" t="s">
        <v>88</v>
      </c>
      <c r="D53" s="42" t="s">
        <v>16</v>
      </c>
      <c r="E53" s="42" t="s">
        <v>2992</v>
      </c>
      <c r="F53" s="42">
        <v>134</v>
      </c>
      <c r="G53" s="42"/>
      <c r="H53" s="42">
        <v>18350</v>
      </c>
      <c r="I53" s="42">
        <v>297</v>
      </c>
      <c r="J53" s="42">
        <v>0.13</v>
      </c>
      <c r="K53" s="43">
        <f t="shared" si="24"/>
        <v>38.61</v>
      </c>
      <c r="L53" s="43">
        <f t="shared" si="25"/>
        <v>18311.39</v>
      </c>
      <c r="M53" s="43"/>
      <c r="N53" s="43">
        <f t="shared" si="26"/>
        <v>18311.39</v>
      </c>
      <c r="O53" s="43">
        <f t="shared" si="27"/>
        <v>1284.5</v>
      </c>
      <c r="P53" s="42">
        <v>13000</v>
      </c>
      <c r="Q53" s="42">
        <v>17.5</v>
      </c>
      <c r="R53" s="42">
        <f t="shared" si="28"/>
        <v>320449.32500000001</v>
      </c>
      <c r="S53" s="62"/>
      <c r="T53" s="62"/>
      <c r="U53" s="62"/>
      <c r="V53" s="62"/>
      <c r="W53" s="62"/>
    </row>
    <row r="54" spans="1:23">
      <c r="A54" s="374" t="s">
        <v>3040</v>
      </c>
      <c r="B54" s="42" t="s">
        <v>1459</v>
      </c>
      <c r="C54" s="42" t="s">
        <v>88</v>
      </c>
      <c r="D54" s="42" t="s">
        <v>16</v>
      </c>
      <c r="E54" s="42" t="s">
        <v>3042</v>
      </c>
      <c r="F54" s="42">
        <v>77</v>
      </c>
      <c r="G54" s="42"/>
      <c r="H54" s="42">
        <v>20950</v>
      </c>
      <c r="I54" s="42">
        <v>350</v>
      </c>
      <c r="J54" s="42">
        <v>0.13</v>
      </c>
      <c r="K54" s="43">
        <f t="shared" si="24"/>
        <v>45.5</v>
      </c>
      <c r="L54" s="43">
        <f t="shared" si="25"/>
        <v>20904.5</v>
      </c>
      <c r="M54" s="43"/>
      <c r="N54" s="43">
        <f t="shared" si="26"/>
        <v>20904.5</v>
      </c>
      <c r="O54" s="43">
        <f t="shared" si="27"/>
        <v>1466.5</v>
      </c>
      <c r="P54" s="42">
        <v>14500</v>
      </c>
      <c r="Q54" s="42">
        <v>17.5</v>
      </c>
      <c r="R54" s="42">
        <f t="shared" si="28"/>
        <v>365828.75</v>
      </c>
      <c r="S54" s="62"/>
      <c r="T54" s="62"/>
      <c r="U54" s="62"/>
      <c r="V54" s="62"/>
      <c r="W54" s="62"/>
    </row>
    <row r="55" spans="1:23">
      <c r="A55" s="374"/>
      <c r="B55" s="42" t="s">
        <v>1459</v>
      </c>
      <c r="C55" s="42" t="s">
        <v>88</v>
      </c>
      <c r="D55" s="42" t="s">
        <v>16</v>
      </c>
      <c r="E55" s="42" t="s">
        <v>3043</v>
      </c>
      <c r="F55" s="42">
        <v>3519</v>
      </c>
      <c r="G55" s="42"/>
      <c r="H55" s="42">
        <v>16740</v>
      </c>
      <c r="I55" s="42">
        <v>325</v>
      </c>
      <c r="J55" s="42">
        <v>0.13</v>
      </c>
      <c r="K55" s="43">
        <f t="shared" si="24"/>
        <v>42.25</v>
      </c>
      <c r="L55" s="43">
        <f t="shared" si="25"/>
        <v>16697.75</v>
      </c>
      <c r="M55" s="43"/>
      <c r="N55" s="43">
        <f t="shared" si="26"/>
        <v>16697.75</v>
      </c>
      <c r="O55" s="43">
        <f t="shared" si="27"/>
        <v>1171.8</v>
      </c>
      <c r="P55" s="42">
        <v>16000</v>
      </c>
      <c r="Q55" s="42">
        <v>17.5</v>
      </c>
      <c r="R55" s="42">
        <f t="shared" si="28"/>
        <v>292210.625</v>
      </c>
      <c r="S55" s="62"/>
      <c r="T55" s="62"/>
      <c r="U55" s="62"/>
      <c r="V55" s="62"/>
      <c r="W55" s="62"/>
    </row>
    <row r="56" spans="1:23">
      <c r="A56" s="63"/>
      <c r="B56" s="67"/>
      <c r="C56" s="67"/>
      <c r="D56" s="67"/>
      <c r="E56" s="67"/>
      <c r="F56" s="67"/>
      <c r="G56" s="67"/>
      <c r="H56" s="67"/>
      <c r="I56" s="67"/>
      <c r="J56" s="67"/>
      <c r="K56" s="68"/>
      <c r="L56" s="68"/>
      <c r="M56" s="68"/>
      <c r="N56" s="68"/>
      <c r="O56" s="68"/>
      <c r="P56" s="149"/>
      <c r="Q56" s="62"/>
      <c r="R56" s="62"/>
      <c r="S56" s="62"/>
      <c r="T56" s="62"/>
      <c r="U56" s="62"/>
      <c r="V56" s="62"/>
      <c r="W56" s="62"/>
    </row>
    <row r="57" spans="1:23">
      <c r="A57" s="63" t="s">
        <v>3121</v>
      </c>
      <c r="B57" s="42" t="s">
        <v>1459</v>
      </c>
      <c r="C57" s="42" t="s">
        <v>88</v>
      </c>
      <c r="D57" s="42" t="s">
        <v>16</v>
      </c>
      <c r="E57" s="42" t="s">
        <v>3122</v>
      </c>
      <c r="F57" s="42">
        <v>366</v>
      </c>
      <c r="G57" s="42"/>
      <c r="H57" s="42">
        <v>19500</v>
      </c>
      <c r="I57" s="42">
        <v>336</v>
      </c>
      <c r="J57" s="42">
        <v>0.26500000000000001</v>
      </c>
      <c r="K57" s="43">
        <f t="shared" ref="K57" si="29">I57*J57</f>
        <v>89.04</v>
      </c>
      <c r="L57" s="43">
        <f t="shared" ref="L57" si="30">H57-K57</f>
        <v>19410.96</v>
      </c>
      <c r="M57" s="43"/>
      <c r="N57" s="43">
        <f t="shared" ref="N57" si="31">L57-M57</f>
        <v>19410.96</v>
      </c>
      <c r="O57" s="43">
        <f t="shared" ref="O57" si="32">H57/1000*70</f>
        <v>1365</v>
      </c>
      <c r="P57" s="42">
        <v>18000</v>
      </c>
      <c r="Q57" s="42">
        <v>17</v>
      </c>
      <c r="R57" s="42">
        <f t="shared" ref="R57" si="33">L57*Q57</f>
        <v>329986.32</v>
      </c>
      <c r="S57" s="62"/>
      <c r="T57" s="62"/>
      <c r="U57" s="62"/>
      <c r="V57" s="62"/>
      <c r="W57" s="62"/>
    </row>
    <row r="58" spans="1:23">
      <c r="A58" s="63"/>
      <c r="B58" s="67"/>
      <c r="C58" s="67"/>
      <c r="D58" s="67"/>
      <c r="E58" s="67"/>
      <c r="F58" s="67"/>
      <c r="G58" s="67"/>
      <c r="H58" s="67"/>
      <c r="I58" s="67"/>
      <c r="J58" s="67"/>
      <c r="K58" s="68"/>
      <c r="L58" s="68"/>
      <c r="M58" s="68"/>
      <c r="N58" s="68"/>
      <c r="O58" s="68"/>
      <c r="P58" s="149"/>
      <c r="Q58" s="62"/>
      <c r="R58" s="62"/>
      <c r="S58" s="62"/>
      <c r="T58" s="62"/>
      <c r="U58" s="62"/>
      <c r="V58" s="62"/>
      <c r="W58" s="62"/>
    </row>
    <row r="59" spans="1:23">
      <c r="A59" s="63" t="s">
        <v>3313</v>
      </c>
      <c r="B59" s="42" t="s">
        <v>1459</v>
      </c>
      <c r="C59" s="42" t="s">
        <v>88</v>
      </c>
      <c r="D59" s="42" t="s">
        <v>16</v>
      </c>
      <c r="E59" s="47" t="s">
        <v>3315</v>
      </c>
      <c r="F59" s="47">
        <v>1045</v>
      </c>
      <c r="G59" s="47"/>
      <c r="H59" s="47">
        <v>18230</v>
      </c>
      <c r="I59" s="47">
        <v>304</v>
      </c>
      <c r="J59" s="47">
        <v>0.5</v>
      </c>
      <c r="K59" s="43">
        <f t="shared" ref="K59" si="34">I59*J59</f>
        <v>152</v>
      </c>
      <c r="L59" s="43">
        <f t="shared" ref="L59" si="35">H59-K59</f>
        <v>18078</v>
      </c>
      <c r="M59" s="43">
        <f>L59*0.5%</f>
        <v>90.39</v>
      </c>
      <c r="N59" s="43">
        <f t="shared" ref="N59" si="36">L59-M59</f>
        <v>17987.61</v>
      </c>
      <c r="O59" s="43">
        <f t="shared" ref="O59" si="37">H59/1000*70</f>
        <v>1276.1000000000001</v>
      </c>
      <c r="P59" s="42">
        <v>14585</v>
      </c>
      <c r="Q59" s="42">
        <v>17.2</v>
      </c>
      <c r="R59" s="42">
        <f t="shared" ref="R59" si="38">L59*Q59</f>
        <v>310941.59999999998</v>
      </c>
      <c r="S59" s="62"/>
      <c r="T59" s="62"/>
      <c r="U59" s="62"/>
      <c r="V59" s="62"/>
      <c r="W59" s="62"/>
    </row>
    <row r="60" spans="1:23">
      <c r="A60" s="63"/>
      <c r="B60" s="67"/>
      <c r="C60" s="67"/>
      <c r="D60" s="67"/>
      <c r="E60" s="67"/>
      <c r="F60" s="67"/>
      <c r="G60" s="67"/>
      <c r="H60" s="67"/>
      <c r="I60" s="67"/>
      <c r="J60" s="67"/>
      <c r="K60" s="68"/>
      <c r="L60" s="68"/>
      <c r="M60" s="68"/>
      <c r="N60" s="68"/>
      <c r="O60" s="68"/>
      <c r="P60" s="67"/>
      <c r="Q60" s="67"/>
      <c r="R60" s="67"/>
      <c r="S60" s="62"/>
      <c r="T60" s="62"/>
      <c r="U60" s="62"/>
      <c r="V60" s="62"/>
      <c r="W60" s="62"/>
    </row>
    <row r="61" spans="1:23">
      <c r="A61" s="63" t="s">
        <v>3343</v>
      </c>
      <c r="B61" s="42" t="s">
        <v>1459</v>
      </c>
      <c r="C61" s="42" t="s">
        <v>88</v>
      </c>
      <c r="D61" s="42" t="s">
        <v>16</v>
      </c>
      <c r="E61" s="47" t="s">
        <v>3344</v>
      </c>
      <c r="F61" s="47">
        <v>2</v>
      </c>
      <c r="G61" s="47"/>
      <c r="H61" s="47">
        <v>15950</v>
      </c>
      <c r="I61" s="47">
        <v>280</v>
      </c>
      <c r="J61" s="47">
        <v>0.5</v>
      </c>
      <c r="K61" s="43">
        <f t="shared" ref="K61:K63" si="39">I61*J61</f>
        <v>140</v>
      </c>
      <c r="L61" s="43">
        <f t="shared" ref="L61:L63" si="40">H61-K61</f>
        <v>15810</v>
      </c>
      <c r="M61" s="43"/>
      <c r="N61" s="43">
        <f t="shared" ref="N61:N63" si="41">L61-M61</f>
        <v>15810</v>
      </c>
      <c r="O61" s="43">
        <f t="shared" ref="O61:O63" si="42">H61/1000*70</f>
        <v>1116.5</v>
      </c>
      <c r="P61" s="42">
        <v>21400</v>
      </c>
      <c r="Q61" s="42"/>
      <c r="R61" s="42">
        <f t="shared" ref="R61:R63" si="43">L61*Q61</f>
        <v>0</v>
      </c>
      <c r="S61" s="62"/>
      <c r="T61" s="62"/>
      <c r="U61" s="62"/>
      <c r="V61" s="62"/>
      <c r="W61" s="62"/>
    </row>
    <row r="62" spans="1:23">
      <c r="A62" s="150" t="s">
        <v>3360</v>
      </c>
      <c r="B62" s="42" t="s">
        <v>1459</v>
      </c>
      <c r="C62" s="42" t="s">
        <v>88</v>
      </c>
      <c r="D62" s="42" t="s">
        <v>16</v>
      </c>
      <c r="E62" s="47" t="s">
        <v>3361</v>
      </c>
      <c r="F62" s="47">
        <v>21</v>
      </c>
      <c r="G62" s="47"/>
      <c r="H62" s="47">
        <v>16080</v>
      </c>
      <c r="I62" s="47">
        <v>270</v>
      </c>
      <c r="J62" s="47">
        <v>0.5</v>
      </c>
      <c r="K62" s="43">
        <f t="shared" si="39"/>
        <v>135</v>
      </c>
      <c r="L62" s="43">
        <f t="shared" si="40"/>
        <v>15945</v>
      </c>
      <c r="M62" s="43"/>
      <c r="N62" s="43">
        <f t="shared" si="41"/>
        <v>15945</v>
      </c>
      <c r="O62" s="43">
        <f t="shared" si="42"/>
        <v>1125.5999999999999</v>
      </c>
      <c r="P62" s="42">
        <v>21700</v>
      </c>
      <c r="Q62" s="42">
        <v>17.2</v>
      </c>
      <c r="R62" s="42">
        <f t="shared" si="43"/>
        <v>274254</v>
      </c>
      <c r="S62" s="62"/>
      <c r="T62" s="62"/>
      <c r="U62" s="62"/>
      <c r="V62" s="62"/>
      <c r="W62" s="62"/>
    </row>
    <row r="63" spans="1:23">
      <c r="A63" s="150" t="s">
        <v>3395</v>
      </c>
      <c r="B63" s="42" t="s">
        <v>1459</v>
      </c>
      <c r="C63" s="42" t="s">
        <v>88</v>
      </c>
      <c r="D63" s="42" t="s">
        <v>16</v>
      </c>
      <c r="E63" s="47" t="s">
        <v>1476</v>
      </c>
      <c r="F63" s="47">
        <v>157</v>
      </c>
      <c r="G63" s="47"/>
      <c r="H63" s="47">
        <v>15100</v>
      </c>
      <c r="I63" s="47">
        <v>252</v>
      </c>
      <c r="J63" s="47">
        <v>0.5</v>
      </c>
      <c r="K63" s="43">
        <f t="shared" si="39"/>
        <v>126</v>
      </c>
      <c r="L63" s="43">
        <f t="shared" si="40"/>
        <v>14974</v>
      </c>
      <c r="M63" s="43"/>
      <c r="N63" s="43">
        <f t="shared" si="41"/>
        <v>14974</v>
      </c>
      <c r="O63" s="43">
        <f t="shared" si="42"/>
        <v>1057</v>
      </c>
      <c r="P63" s="42">
        <v>16500</v>
      </c>
      <c r="Q63" s="42">
        <v>17.2</v>
      </c>
      <c r="R63" s="42">
        <f t="shared" si="43"/>
        <v>257552.8</v>
      </c>
      <c r="S63" s="62"/>
      <c r="T63" s="62"/>
      <c r="U63" s="62"/>
      <c r="V63" s="62"/>
      <c r="W63" s="62"/>
    </row>
    <row r="64" spans="1:23">
      <c r="A64" s="63"/>
      <c r="B64" s="67"/>
      <c r="C64" s="67"/>
      <c r="D64" s="67"/>
      <c r="E64" s="67"/>
      <c r="F64" s="67"/>
      <c r="G64" s="67"/>
      <c r="H64" s="67"/>
      <c r="I64" s="67"/>
      <c r="J64" s="67"/>
      <c r="K64" s="68"/>
      <c r="L64" s="68"/>
      <c r="M64" s="68"/>
      <c r="N64" s="68"/>
      <c r="O64" s="68"/>
      <c r="P64" s="67"/>
      <c r="Q64" s="67"/>
      <c r="R64" s="67"/>
      <c r="S64" s="62"/>
      <c r="T64" s="62"/>
      <c r="U64" s="62"/>
      <c r="V64" s="62"/>
      <c r="W64" s="62"/>
    </row>
    <row r="65" spans="1:23">
      <c r="A65" s="150" t="s">
        <v>3489</v>
      </c>
      <c r="B65" s="42" t="s">
        <v>1459</v>
      </c>
      <c r="C65" s="42" t="s">
        <v>88</v>
      </c>
      <c r="D65" s="42" t="s">
        <v>16</v>
      </c>
      <c r="E65" s="47" t="s">
        <v>3490</v>
      </c>
      <c r="F65" s="47">
        <v>169</v>
      </c>
      <c r="G65" s="47"/>
      <c r="H65" s="47">
        <v>15700</v>
      </c>
      <c r="I65" s="47">
        <v>270</v>
      </c>
      <c r="J65" s="47">
        <v>0.5</v>
      </c>
      <c r="K65" s="43">
        <f t="shared" ref="K65" si="44">I65*J65</f>
        <v>135</v>
      </c>
      <c r="L65" s="43">
        <f t="shared" ref="L65" si="45">H65-K65</f>
        <v>15565</v>
      </c>
      <c r="M65" s="43"/>
      <c r="N65" s="43">
        <f t="shared" ref="N65" si="46">L65-M65</f>
        <v>15565</v>
      </c>
      <c r="O65" s="43">
        <f t="shared" ref="O65" si="47">H65/1000*70</f>
        <v>1099</v>
      </c>
      <c r="P65" s="42">
        <v>18800</v>
      </c>
      <c r="Q65" s="42">
        <v>20.75</v>
      </c>
      <c r="R65" s="42">
        <f t="shared" ref="R65" si="48">L65*Q65</f>
        <v>322973.75</v>
      </c>
      <c r="S65" s="62"/>
      <c r="T65" s="62"/>
      <c r="U65" s="62"/>
      <c r="V65" s="62"/>
      <c r="W65" s="62"/>
    </row>
    <row r="66" spans="1:23">
      <c r="A66" s="63"/>
      <c r="B66" s="67"/>
      <c r="C66" s="67"/>
      <c r="D66" s="67"/>
      <c r="E66" s="67"/>
      <c r="F66" s="67"/>
      <c r="G66" s="67"/>
      <c r="H66" s="67"/>
      <c r="I66" s="67"/>
      <c r="J66" s="67"/>
      <c r="K66" s="68"/>
      <c r="L66" s="68"/>
      <c r="M66" s="68"/>
      <c r="N66" s="68"/>
      <c r="O66" s="68"/>
      <c r="P66" s="67"/>
      <c r="Q66" s="67"/>
      <c r="R66" s="67"/>
      <c r="S66" s="62"/>
      <c r="T66" s="62"/>
      <c r="U66" s="62"/>
      <c r="V66" s="62"/>
      <c r="W66" s="62"/>
    </row>
    <row r="67" spans="1:23">
      <c r="A67" s="150" t="s">
        <v>3503</v>
      </c>
      <c r="B67" s="42" t="s">
        <v>1459</v>
      </c>
      <c r="C67" s="42" t="s">
        <v>88</v>
      </c>
      <c r="D67" s="42" t="s">
        <v>16</v>
      </c>
      <c r="E67" s="47" t="s">
        <v>1476</v>
      </c>
      <c r="F67" s="47">
        <v>508</v>
      </c>
      <c r="G67" s="47"/>
      <c r="H67" s="47">
        <v>15030</v>
      </c>
      <c r="I67" s="47">
        <v>250</v>
      </c>
      <c r="J67" s="47">
        <v>0.5</v>
      </c>
      <c r="K67" s="43">
        <f t="shared" ref="K67" si="49">I67*J67</f>
        <v>125</v>
      </c>
      <c r="L67" s="43">
        <f t="shared" ref="L67" si="50">H67-K67</f>
        <v>14905</v>
      </c>
      <c r="M67" s="43"/>
      <c r="N67" s="43">
        <f t="shared" ref="N67" si="51">L67-M67</f>
        <v>14905</v>
      </c>
      <c r="O67" s="43">
        <f t="shared" ref="O67" si="52">H67/1000*70</f>
        <v>1052.0999999999999</v>
      </c>
      <c r="P67" s="42">
        <v>23000</v>
      </c>
      <c r="Q67" s="42">
        <v>20.75</v>
      </c>
      <c r="R67" s="42">
        <f t="shared" ref="R67" si="53">L67*Q67</f>
        <v>309278.75</v>
      </c>
      <c r="S67" s="62"/>
      <c r="T67" s="62"/>
      <c r="U67" s="62"/>
      <c r="V67" s="62"/>
      <c r="W67" s="62"/>
    </row>
    <row r="68" spans="1:23">
      <c r="A68" s="63"/>
      <c r="B68" s="67"/>
      <c r="C68" s="67"/>
      <c r="D68" s="67"/>
      <c r="E68" s="67"/>
      <c r="F68" s="67"/>
      <c r="G68" s="67"/>
      <c r="H68" s="67"/>
      <c r="I68" s="67"/>
      <c r="J68" s="67"/>
      <c r="K68" s="67"/>
      <c r="L68" s="68"/>
      <c r="M68" s="68"/>
      <c r="N68" s="68"/>
      <c r="O68" s="68"/>
      <c r="P68" s="67"/>
      <c r="Q68" s="67"/>
      <c r="R68" s="67"/>
      <c r="S68" s="62"/>
      <c r="T68" s="62"/>
      <c r="U68" s="62"/>
      <c r="V68" s="62"/>
      <c r="W68" s="62"/>
    </row>
    <row r="69" spans="1:23">
      <c r="A69" s="63" t="s">
        <v>3515</v>
      </c>
      <c r="B69" s="42" t="s">
        <v>1459</v>
      </c>
      <c r="C69" s="42" t="s">
        <v>88</v>
      </c>
      <c r="D69" s="42" t="s">
        <v>16</v>
      </c>
      <c r="E69" s="47" t="s">
        <v>3514</v>
      </c>
      <c r="F69" s="47">
        <v>632</v>
      </c>
      <c r="G69" s="47"/>
      <c r="H69" s="47">
        <v>17100</v>
      </c>
      <c r="I69" s="47">
        <v>310</v>
      </c>
      <c r="J69" s="47">
        <v>0.5</v>
      </c>
      <c r="K69" s="43">
        <f t="shared" ref="K69" si="54">I69*J69</f>
        <v>155</v>
      </c>
      <c r="L69" s="43">
        <f t="shared" ref="L69" si="55">H69-K69</f>
        <v>16945</v>
      </c>
      <c r="M69" s="43"/>
      <c r="N69" s="43">
        <f t="shared" ref="N69" si="56">L69-M69</f>
        <v>16945</v>
      </c>
      <c r="O69" s="43">
        <f t="shared" ref="O69" si="57">H69/1000*70</f>
        <v>1197</v>
      </c>
      <c r="P69" s="42">
        <v>24000</v>
      </c>
      <c r="Q69" s="42">
        <v>20.75</v>
      </c>
      <c r="R69" s="42">
        <f t="shared" ref="R69" si="58">L69*Q69</f>
        <v>351608.75</v>
      </c>
      <c r="S69" s="62"/>
      <c r="T69" s="62"/>
      <c r="U69" s="62"/>
      <c r="V69" s="62"/>
      <c r="W69" s="62"/>
    </row>
    <row r="70" spans="1:23">
      <c r="A70" s="63"/>
      <c r="B70" s="67"/>
      <c r="C70" s="67"/>
      <c r="D70" s="67"/>
      <c r="E70" s="67"/>
      <c r="F70" s="67"/>
      <c r="G70" s="67"/>
      <c r="H70" s="67"/>
      <c r="I70" s="67"/>
      <c r="J70" s="67"/>
      <c r="K70" s="67"/>
      <c r="L70" s="68"/>
      <c r="M70" s="68"/>
      <c r="N70" s="68"/>
      <c r="O70" s="68"/>
      <c r="P70" s="67"/>
      <c r="Q70" s="67"/>
      <c r="R70" s="67"/>
      <c r="S70" s="62"/>
      <c r="T70" s="62"/>
      <c r="U70" s="62"/>
      <c r="V70" s="62"/>
      <c r="W70" s="62"/>
    </row>
    <row r="71" spans="1:23">
      <c r="A71" s="63" t="s">
        <v>3574</v>
      </c>
      <c r="B71" s="42" t="s">
        <v>1459</v>
      </c>
      <c r="C71" s="42" t="s">
        <v>88</v>
      </c>
      <c r="D71" s="42" t="s">
        <v>16</v>
      </c>
      <c r="E71" s="47" t="s">
        <v>3577</v>
      </c>
      <c r="F71" s="47">
        <v>1912</v>
      </c>
      <c r="G71" s="47"/>
      <c r="H71" s="47">
        <v>15160</v>
      </c>
      <c r="I71" s="47">
        <v>252</v>
      </c>
      <c r="J71" s="47">
        <v>0.5</v>
      </c>
      <c r="K71" s="43">
        <f t="shared" ref="K71" si="59">I71*J71</f>
        <v>126</v>
      </c>
      <c r="L71" s="43">
        <f t="shared" ref="L71" si="60">H71-K71</f>
        <v>15034</v>
      </c>
      <c r="M71" s="43"/>
      <c r="N71" s="43">
        <f t="shared" ref="N71" si="61">L71-M71</f>
        <v>15034</v>
      </c>
      <c r="O71" s="43">
        <f t="shared" ref="O71" si="62">H71/1000*70</f>
        <v>1061.2</v>
      </c>
      <c r="P71" s="42">
        <v>8250</v>
      </c>
      <c r="Q71" s="42">
        <v>20.3</v>
      </c>
      <c r="R71" s="42">
        <f t="shared" ref="R71" si="63">L71*Q71</f>
        <v>305190.2</v>
      </c>
      <c r="S71" s="62"/>
      <c r="T71" s="62"/>
      <c r="U71" s="62"/>
      <c r="V71" s="62"/>
      <c r="W71" s="62"/>
    </row>
    <row r="72" spans="1:23">
      <c r="A72" s="63"/>
      <c r="B72" s="67"/>
      <c r="C72" s="67"/>
      <c r="D72" s="67"/>
      <c r="E72" s="67"/>
      <c r="F72" s="67"/>
      <c r="G72" s="67"/>
      <c r="H72" s="67"/>
      <c r="I72" s="67"/>
      <c r="J72" s="67"/>
      <c r="K72" s="67"/>
      <c r="L72" s="68"/>
      <c r="M72" s="68"/>
      <c r="N72" s="68"/>
      <c r="O72" s="68"/>
      <c r="P72" s="67"/>
      <c r="Q72" s="67"/>
      <c r="R72" s="67"/>
      <c r="S72" s="62"/>
      <c r="T72" s="62"/>
      <c r="U72" s="62"/>
      <c r="V72" s="62"/>
      <c r="W72" s="62"/>
    </row>
    <row r="73" spans="1:23">
      <c r="A73" s="63"/>
      <c r="B73" s="67"/>
      <c r="C73" s="67"/>
      <c r="D73" s="67"/>
      <c r="E73" s="67"/>
      <c r="F73" s="67"/>
      <c r="G73" s="67"/>
      <c r="H73" s="67"/>
      <c r="I73" s="67"/>
      <c r="J73" s="67"/>
      <c r="K73" s="67"/>
      <c r="L73" s="68"/>
      <c r="M73" s="68"/>
      <c r="N73" s="68"/>
      <c r="O73" s="68"/>
      <c r="P73" s="67"/>
      <c r="Q73" s="67"/>
      <c r="R73" s="67"/>
      <c r="S73" s="62"/>
      <c r="T73" s="62"/>
      <c r="U73" s="62"/>
      <c r="V73" s="62"/>
      <c r="W73" s="62"/>
    </row>
    <row r="74" spans="1:23">
      <c r="A74" s="63" t="s">
        <v>3590</v>
      </c>
      <c r="B74" s="42" t="s">
        <v>1459</v>
      </c>
      <c r="C74" s="42" t="s">
        <v>88</v>
      </c>
      <c r="D74" s="42" t="s">
        <v>16</v>
      </c>
      <c r="E74" s="47" t="s">
        <v>3591</v>
      </c>
      <c r="F74" s="47">
        <v>950</v>
      </c>
      <c r="G74" s="47"/>
      <c r="H74" s="47">
        <v>16230</v>
      </c>
      <c r="I74" s="47">
        <v>270</v>
      </c>
      <c r="J74" s="47">
        <v>0.5</v>
      </c>
      <c r="K74" s="43">
        <f t="shared" ref="K74:K77" si="64">I74*J74</f>
        <v>135</v>
      </c>
      <c r="L74" s="43">
        <f t="shared" ref="L74:L77" si="65">H74-K74</f>
        <v>16095</v>
      </c>
      <c r="M74" s="43"/>
      <c r="N74" s="43">
        <f t="shared" ref="N74:N77" si="66">L74-M74</f>
        <v>16095</v>
      </c>
      <c r="O74" s="43">
        <f t="shared" ref="O74:O77" si="67">H74/1000*70</f>
        <v>1136.1000000000001</v>
      </c>
      <c r="P74" s="42">
        <v>18500</v>
      </c>
      <c r="Q74" s="42">
        <v>20</v>
      </c>
      <c r="R74" s="42">
        <f t="shared" ref="R74:R77" si="68">L74*Q74</f>
        <v>321900</v>
      </c>
      <c r="S74" s="62"/>
      <c r="T74" s="62"/>
      <c r="U74" s="62"/>
      <c r="V74" s="62"/>
      <c r="W74" s="62"/>
    </row>
    <row r="75" spans="1:23">
      <c r="A75" s="374" t="s">
        <v>3582</v>
      </c>
      <c r="B75" s="42" t="s">
        <v>1459</v>
      </c>
      <c r="C75" s="42" t="s">
        <v>88</v>
      </c>
      <c r="D75" s="42" t="s">
        <v>16</v>
      </c>
      <c r="E75" s="47" t="s">
        <v>3583</v>
      </c>
      <c r="F75" s="47">
        <v>1913</v>
      </c>
      <c r="G75" s="47"/>
      <c r="H75" s="47">
        <v>17940</v>
      </c>
      <c r="I75" s="47">
        <v>300</v>
      </c>
      <c r="J75" s="47">
        <v>0.5</v>
      </c>
      <c r="K75" s="43">
        <f t="shared" si="64"/>
        <v>150</v>
      </c>
      <c r="L75" s="43">
        <f t="shared" si="65"/>
        <v>17790</v>
      </c>
      <c r="M75" s="43"/>
      <c r="N75" s="43">
        <f t="shared" si="66"/>
        <v>17790</v>
      </c>
      <c r="O75" s="43">
        <f t="shared" si="67"/>
        <v>1255.8000000000002</v>
      </c>
      <c r="P75" s="42">
        <v>11550</v>
      </c>
      <c r="Q75" s="42">
        <v>20.3</v>
      </c>
      <c r="R75" s="42">
        <f t="shared" si="68"/>
        <v>361137</v>
      </c>
      <c r="S75" s="62"/>
      <c r="T75" s="62"/>
      <c r="U75" s="62"/>
      <c r="V75" s="62"/>
      <c r="W75" s="62"/>
    </row>
    <row r="76" spans="1:23">
      <c r="A76" s="374"/>
      <c r="B76" s="42" t="s">
        <v>1459</v>
      </c>
      <c r="C76" s="42" t="s">
        <v>88</v>
      </c>
      <c r="D76" s="42" t="s">
        <v>16</v>
      </c>
      <c r="E76" s="47" t="s">
        <v>751</v>
      </c>
      <c r="F76" s="47">
        <v>956</v>
      </c>
      <c r="G76" s="47"/>
      <c r="H76" s="47">
        <v>14870</v>
      </c>
      <c r="I76" s="47">
        <v>248</v>
      </c>
      <c r="J76" s="47">
        <v>0.5</v>
      </c>
      <c r="K76" s="43">
        <f t="shared" si="64"/>
        <v>124</v>
      </c>
      <c r="L76" s="43">
        <f t="shared" si="65"/>
        <v>14746</v>
      </c>
      <c r="M76" s="43"/>
      <c r="N76" s="43">
        <f t="shared" si="66"/>
        <v>14746</v>
      </c>
      <c r="O76" s="43">
        <f t="shared" si="67"/>
        <v>1040.8999999999999</v>
      </c>
      <c r="P76" s="42">
        <v>13500</v>
      </c>
      <c r="Q76" s="42">
        <v>20.3</v>
      </c>
      <c r="R76" s="42">
        <f t="shared" si="68"/>
        <v>299343.8</v>
      </c>
      <c r="S76" s="62"/>
      <c r="T76" s="62"/>
      <c r="U76" s="62"/>
      <c r="V76" s="62"/>
      <c r="W76" s="62"/>
    </row>
    <row r="77" spans="1:23">
      <c r="A77" s="374"/>
      <c r="B77" s="42" t="s">
        <v>1459</v>
      </c>
      <c r="C77" s="42" t="s">
        <v>88</v>
      </c>
      <c r="D77" s="42" t="s">
        <v>16</v>
      </c>
      <c r="E77" s="47" t="s">
        <v>3584</v>
      </c>
      <c r="F77" s="47">
        <v>903</v>
      </c>
      <c r="G77" s="47"/>
      <c r="H77" s="47">
        <v>16850</v>
      </c>
      <c r="I77" s="47">
        <v>280</v>
      </c>
      <c r="J77" s="47">
        <v>0.5</v>
      </c>
      <c r="K77" s="43">
        <f t="shared" si="64"/>
        <v>140</v>
      </c>
      <c r="L77" s="43">
        <f t="shared" si="65"/>
        <v>16710</v>
      </c>
      <c r="M77" s="43"/>
      <c r="N77" s="43">
        <f t="shared" si="66"/>
        <v>16710</v>
      </c>
      <c r="O77" s="43">
        <f t="shared" si="67"/>
        <v>1179.5</v>
      </c>
      <c r="P77" s="42">
        <v>16850</v>
      </c>
      <c r="Q77" s="42">
        <v>20.3</v>
      </c>
      <c r="R77" s="42">
        <f t="shared" si="68"/>
        <v>339213</v>
      </c>
      <c r="S77" s="62"/>
      <c r="T77" s="62"/>
      <c r="U77" s="62"/>
      <c r="V77" s="62"/>
      <c r="W77" s="62"/>
    </row>
    <row r="78" spans="1:23">
      <c r="A78" s="63"/>
      <c r="B78" s="67"/>
      <c r="C78" s="67"/>
      <c r="D78" s="67"/>
      <c r="E78" s="67"/>
      <c r="F78" s="67"/>
      <c r="G78" s="67"/>
      <c r="H78" s="67"/>
      <c r="I78" s="67"/>
      <c r="J78" s="67"/>
      <c r="K78" s="67"/>
      <c r="L78" s="68"/>
      <c r="M78" s="68"/>
      <c r="N78" s="68"/>
      <c r="O78" s="68"/>
      <c r="P78" s="67"/>
      <c r="Q78" s="67"/>
      <c r="R78" s="67"/>
      <c r="S78" s="62"/>
      <c r="T78" s="62"/>
      <c r="U78" s="62"/>
      <c r="V78" s="62"/>
      <c r="W78" s="62"/>
    </row>
    <row r="79" spans="1:23">
      <c r="A79" s="63" t="s">
        <v>3631</v>
      </c>
      <c r="B79" s="42" t="s">
        <v>1459</v>
      </c>
      <c r="C79" s="42" t="s">
        <v>88</v>
      </c>
      <c r="D79" s="42" t="s">
        <v>16</v>
      </c>
      <c r="E79" s="47" t="s">
        <v>3615</v>
      </c>
      <c r="F79" s="47">
        <v>224</v>
      </c>
      <c r="G79" s="47">
        <v>2615</v>
      </c>
      <c r="H79" s="47">
        <v>16870</v>
      </c>
      <c r="I79" s="47">
        <v>290</v>
      </c>
      <c r="J79" s="47">
        <v>0.5</v>
      </c>
      <c r="K79" s="43">
        <f t="shared" ref="K79" si="69">I79*J79</f>
        <v>145</v>
      </c>
      <c r="L79" s="43">
        <f t="shared" ref="L79" si="70">H79-K79</f>
        <v>16725</v>
      </c>
      <c r="M79" s="43"/>
      <c r="N79" s="43">
        <f t="shared" ref="N79" si="71">L79-M79</f>
        <v>16725</v>
      </c>
      <c r="O79" s="43">
        <f t="shared" ref="O79" si="72">H79/1000*70</f>
        <v>1180.9000000000001</v>
      </c>
      <c r="P79" s="42">
        <v>18500</v>
      </c>
      <c r="Q79" s="42">
        <v>19.899999999999999</v>
      </c>
      <c r="R79" s="42">
        <f t="shared" ref="R79" si="73">L79*Q79</f>
        <v>332827.5</v>
      </c>
      <c r="S79" s="62"/>
      <c r="T79" s="62"/>
      <c r="U79" s="62"/>
      <c r="V79" s="62"/>
      <c r="W79" s="62"/>
    </row>
    <row r="80" spans="1:23">
      <c r="A80" s="63"/>
      <c r="B80" s="67"/>
      <c r="C80" s="67"/>
      <c r="D80" s="67"/>
      <c r="E80" s="67"/>
      <c r="F80" s="67"/>
      <c r="G80" s="67"/>
      <c r="H80" s="67"/>
      <c r="I80" s="67"/>
      <c r="J80" s="67"/>
      <c r="K80" s="67"/>
      <c r="L80" s="68"/>
      <c r="M80" s="68"/>
      <c r="N80" s="68"/>
      <c r="O80" s="68"/>
      <c r="P80" s="67"/>
      <c r="Q80" s="67"/>
      <c r="R80" s="67"/>
      <c r="S80" s="62"/>
      <c r="T80" s="62"/>
      <c r="U80" s="62"/>
      <c r="V80" s="62"/>
      <c r="W80" s="62"/>
    </row>
    <row r="81" spans="1:23">
      <c r="A81" s="63" t="s">
        <v>3632</v>
      </c>
      <c r="B81" s="42" t="s">
        <v>1459</v>
      </c>
      <c r="C81" s="42" t="s">
        <v>88</v>
      </c>
      <c r="D81" s="42" t="s">
        <v>16</v>
      </c>
      <c r="E81" s="47" t="s">
        <v>3626</v>
      </c>
      <c r="F81" s="47">
        <v>229</v>
      </c>
      <c r="G81" s="47"/>
      <c r="H81" s="47">
        <v>17200</v>
      </c>
      <c r="I81" s="47">
        <v>284</v>
      </c>
      <c r="J81" s="47">
        <v>0.5</v>
      </c>
      <c r="K81" s="43">
        <f t="shared" ref="K81:K84" si="74">I81*J81</f>
        <v>142</v>
      </c>
      <c r="L81" s="43">
        <f t="shared" ref="L81:L84" si="75">H81-K81</f>
        <v>17058</v>
      </c>
      <c r="M81" s="43"/>
      <c r="N81" s="43">
        <f t="shared" ref="N81:N84" si="76">L81-M81</f>
        <v>17058</v>
      </c>
      <c r="O81" s="43">
        <f t="shared" ref="O81:O84" si="77">H81/1000*70</f>
        <v>1204</v>
      </c>
      <c r="P81" s="42">
        <v>18700</v>
      </c>
      <c r="Q81" s="42">
        <v>19.899999999999999</v>
      </c>
      <c r="R81" s="42">
        <f t="shared" ref="R81:R84" si="78">L81*Q81</f>
        <v>339454.19999999995</v>
      </c>
      <c r="S81" s="62"/>
      <c r="T81" s="62"/>
      <c r="U81" s="62"/>
      <c r="V81" s="62"/>
      <c r="W81" s="62"/>
    </row>
    <row r="82" spans="1:23">
      <c r="A82" s="374" t="s">
        <v>3643</v>
      </c>
      <c r="B82" s="42" t="s">
        <v>1459</v>
      </c>
      <c r="C82" s="42" t="s">
        <v>88</v>
      </c>
      <c r="D82" s="42" t="s">
        <v>16</v>
      </c>
      <c r="E82" s="47" t="s">
        <v>2729</v>
      </c>
      <c r="F82" s="47">
        <v>1310</v>
      </c>
      <c r="G82" s="47"/>
      <c r="H82" s="47">
        <v>15510</v>
      </c>
      <c r="I82" s="47">
        <v>280</v>
      </c>
      <c r="J82" s="47">
        <v>0.5</v>
      </c>
      <c r="K82" s="43">
        <f t="shared" si="74"/>
        <v>140</v>
      </c>
      <c r="L82" s="43">
        <f t="shared" si="75"/>
        <v>15370</v>
      </c>
      <c r="M82" s="43"/>
      <c r="N82" s="43">
        <f t="shared" si="76"/>
        <v>15370</v>
      </c>
      <c r="O82" s="43">
        <f t="shared" si="77"/>
        <v>1085.7</v>
      </c>
      <c r="P82" s="42">
        <v>14000</v>
      </c>
      <c r="Q82" s="42">
        <v>19.899999999999999</v>
      </c>
      <c r="R82" s="42">
        <f t="shared" si="78"/>
        <v>305863</v>
      </c>
      <c r="S82" s="62"/>
      <c r="T82" s="62"/>
      <c r="U82" s="62"/>
      <c r="V82" s="62"/>
      <c r="W82" s="62"/>
    </row>
    <row r="83" spans="1:23">
      <c r="A83" s="374"/>
      <c r="B83" s="42" t="s">
        <v>1459</v>
      </c>
      <c r="C83" s="42" t="s">
        <v>88</v>
      </c>
      <c r="D83" s="42" t="s">
        <v>16</v>
      </c>
      <c r="E83" s="47" t="s">
        <v>3638</v>
      </c>
      <c r="F83" s="47">
        <v>668</v>
      </c>
      <c r="G83" s="47"/>
      <c r="H83" s="47">
        <v>15550</v>
      </c>
      <c r="I83" s="47">
        <v>260</v>
      </c>
      <c r="J83" s="47">
        <v>0.5</v>
      </c>
      <c r="K83" s="43">
        <f t="shared" si="74"/>
        <v>130</v>
      </c>
      <c r="L83" s="43">
        <f t="shared" si="75"/>
        <v>15420</v>
      </c>
      <c r="M83" s="43"/>
      <c r="N83" s="43">
        <f t="shared" si="76"/>
        <v>15420</v>
      </c>
      <c r="O83" s="43">
        <f t="shared" si="77"/>
        <v>1088.5</v>
      </c>
      <c r="P83" s="42">
        <v>12000</v>
      </c>
      <c r="Q83" s="42">
        <v>19.899999999999999</v>
      </c>
      <c r="R83" s="42">
        <f t="shared" si="78"/>
        <v>306858</v>
      </c>
      <c r="S83" s="62"/>
      <c r="T83" s="62"/>
      <c r="U83" s="62"/>
      <c r="V83" s="62"/>
      <c r="W83" s="62"/>
    </row>
    <row r="84" spans="1:23">
      <c r="A84" s="63" t="s">
        <v>3693</v>
      </c>
      <c r="B84" s="42" t="s">
        <v>1459</v>
      </c>
      <c r="C84" s="42" t="s">
        <v>88</v>
      </c>
      <c r="D84" s="42" t="s">
        <v>16</v>
      </c>
      <c r="E84" s="47" t="s">
        <v>2599</v>
      </c>
      <c r="F84" s="47">
        <v>4013</v>
      </c>
      <c r="G84" s="47"/>
      <c r="H84" s="47">
        <v>15250</v>
      </c>
      <c r="I84" s="47">
        <v>260</v>
      </c>
      <c r="J84" s="47">
        <v>0.5</v>
      </c>
      <c r="K84" s="43">
        <f t="shared" si="74"/>
        <v>130</v>
      </c>
      <c r="L84" s="43">
        <f t="shared" si="75"/>
        <v>15120</v>
      </c>
      <c r="M84" s="43">
        <f>L84*1%</f>
        <v>151.20000000000002</v>
      </c>
      <c r="N84" s="43">
        <f t="shared" si="76"/>
        <v>14968.8</v>
      </c>
      <c r="O84" s="43">
        <f t="shared" si="77"/>
        <v>1067.5</v>
      </c>
      <c r="P84" s="42">
        <v>11200</v>
      </c>
      <c r="Q84" s="42">
        <v>19.7</v>
      </c>
      <c r="R84" s="42">
        <f t="shared" si="78"/>
        <v>297864</v>
      </c>
      <c r="S84" s="62"/>
      <c r="T84" s="62"/>
      <c r="U84" s="62"/>
      <c r="V84" s="62"/>
      <c r="W84" s="62"/>
    </row>
    <row r="85" spans="1:23">
      <c r="A85" s="62"/>
      <c r="B85" s="67"/>
      <c r="C85" s="67"/>
      <c r="D85" s="67"/>
      <c r="E85" s="67"/>
      <c r="F85" s="67"/>
      <c r="G85" s="67"/>
      <c r="H85" s="67"/>
      <c r="I85" s="67"/>
      <c r="J85" s="67"/>
      <c r="K85" s="67"/>
      <c r="L85" s="68"/>
      <c r="M85" s="68"/>
      <c r="N85" s="68"/>
      <c r="O85" s="68"/>
      <c r="P85" s="67"/>
      <c r="Q85" s="67"/>
      <c r="R85" s="67"/>
      <c r="S85" s="62"/>
      <c r="T85" s="62"/>
      <c r="U85" s="62"/>
      <c r="V85" s="62"/>
      <c r="W85" s="62"/>
    </row>
    <row r="86" spans="1:23">
      <c r="A86" s="63" t="s">
        <v>3721</v>
      </c>
      <c r="B86" s="42" t="s">
        <v>1459</v>
      </c>
      <c r="C86" s="42" t="s">
        <v>88</v>
      </c>
      <c r="D86" s="42" t="s">
        <v>16</v>
      </c>
      <c r="E86" s="47" t="s">
        <v>3722</v>
      </c>
      <c r="F86" s="47">
        <v>4015</v>
      </c>
      <c r="G86" s="47"/>
      <c r="H86" s="47">
        <v>16250</v>
      </c>
      <c r="I86" s="47">
        <v>272</v>
      </c>
      <c r="J86" s="47">
        <v>0.5</v>
      </c>
      <c r="K86" s="43">
        <f t="shared" ref="K86:K96" si="79">I86*J86</f>
        <v>136</v>
      </c>
      <c r="L86" s="43">
        <f t="shared" ref="L86:L96" si="80">H86-K86</f>
        <v>16114</v>
      </c>
      <c r="M86" s="43"/>
      <c r="N86" s="43">
        <f t="shared" ref="N86:N96" si="81">L86-M86</f>
        <v>16114</v>
      </c>
      <c r="O86" s="43">
        <f t="shared" ref="O86:O96" si="82">H86/1000*70</f>
        <v>1137.5</v>
      </c>
      <c r="P86" s="42">
        <v>14200</v>
      </c>
      <c r="Q86" s="42">
        <v>19.7</v>
      </c>
      <c r="R86" s="42">
        <f t="shared" ref="R86:R96" si="83">L86*Q86</f>
        <v>317445.8</v>
      </c>
      <c r="S86" s="62"/>
      <c r="T86" s="62"/>
      <c r="U86" s="62"/>
      <c r="V86" s="62"/>
      <c r="W86" s="62"/>
    </row>
    <row r="87" spans="1:23">
      <c r="A87" s="150" t="s">
        <v>3737</v>
      </c>
      <c r="B87" s="42" t="s">
        <v>1459</v>
      </c>
      <c r="C87" s="42" t="s">
        <v>88</v>
      </c>
      <c r="D87" s="42" t="s">
        <v>16</v>
      </c>
      <c r="E87" s="47" t="s">
        <v>2599</v>
      </c>
      <c r="F87" s="47">
        <v>669</v>
      </c>
      <c r="G87" s="47"/>
      <c r="H87" s="47">
        <v>15650</v>
      </c>
      <c r="I87" s="47">
        <v>260</v>
      </c>
      <c r="J87" s="47">
        <v>0.5</v>
      </c>
      <c r="K87" s="43">
        <f t="shared" si="79"/>
        <v>130</v>
      </c>
      <c r="L87" s="43">
        <f t="shared" si="80"/>
        <v>15520</v>
      </c>
      <c r="M87" s="43"/>
      <c r="N87" s="43">
        <f t="shared" si="81"/>
        <v>15520</v>
      </c>
      <c r="O87" s="43">
        <f t="shared" si="82"/>
        <v>1095.5</v>
      </c>
      <c r="P87" s="42">
        <v>11400</v>
      </c>
      <c r="Q87" s="42">
        <v>19.7</v>
      </c>
      <c r="R87" s="42">
        <f t="shared" si="83"/>
        <v>305744</v>
      </c>
      <c r="S87" s="62"/>
      <c r="T87" s="62"/>
      <c r="U87" s="62"/>
      <c r="V87" s="62"/>
      <c r="W87" s="62"/>
    </row>
    <row r="88" spans="1:23">
      <c r="A88" s="150" t="s">
        <v>3770</v>
      </c>
      <c r="B88" s="42" t="s">
        <v>1459</v>
      </c>
      <c r="C88" s="42" t="s">
        <v>88</v>
      </c>
      <c r="D88" s="42" t="s">
        <v>16</v>
      </c>
      <c r="E88" s="47" t="s">
        <v>3773</v>
      </c>
      <c r="F88" s="47">
        <v>665</v>
      </c>
      <c r="G88" s="47"/>
      <c r="H88" s="47">
        <v>15540</v>
      </c>
      <c r="I88" s="47">
        <v>260</v>
      </c>
      <c r="J88" s="47">
        <v>0.5</v>
      </c>
      <c r="K88" s="43">
        <f t="shared" si="79"/>
        <v>130</v>
      </c>
      <c r="L88" s="43">
        <f t="shared" si="80"/>
        <v>15410</v>
      </c>
      <c r="M88" s="43"/>
      <c r="N88" s="43">
        <f t="shared" si="81"/>
        <v>15410</v>
      </c>
      <c r="O88" s="43">
        <f t="shared" si="82"/>
        <v>1087.8</v>
      </c>
      <c r="P88" s="42">
        <v>13000</v>
      </c>
      <c r="Q88" s="42">
        <v>19.7</v>
      </c>
      <c r="R88" s="42">
        <f t="shared" si="83"/>
        <v>303577</v>
      </c>
      <c r="S88" s="62"/>
      <c r="T88" s="62"/>
      <c r="U88" s="62"/>
      <c r="V88" s="62"/>
      <c r="W88" s="62"/>
    </row>
    <row r="89" spans="1:23">
      <c r="A89" s="374" t="s">
        <v>3779</v>
      </c>
      <c r="B89" s="42" t="s">
        <v>1459</v>
      </c>
      <c r="C89" s="42" t="s">
        <v>88</v>
      </c>
      <c r="D89" s="42" t="s">
        <v>16</v>
      </c>
      <c r="E89" s="47" t="s">
        <v>3780</v>
      </c>
      <c r="F89" s="47">
        <v>673</v>
      </c>
      <c r="G89" s="47"/>
      <c r="H89" s="47">
        <v>16100</v>
      </c>
      <c r="I89" s="47">
        <v>270</v>
      </c>
      <c r="J89" s="47">
        <v>0.5</v>
      </c>
      <c r="K89" s="43">
        <f t="shared" si="79"/>
        <v>135</v>
      </c>
      <c r="L89" s="43">
        <f t="shared" si="80"/>
        <v>15965</v>
      </c>
      <c r="M89" s="43"/>
      <c r="N89" s="43">
        <f t="shared" si="81"/>
        <v>15965</v>
      </c>
      <c r="O89" s="43">
        <f t="shared" si="82"/>
        <v>1127</v>
      </c>
      <c r="P89" s="42">
        <v>14000</v>
      </c>
      <c r="Q89" s="42">
        <v>20.2</v>
      </c>
      <c r="R89" s="42">
        <f t="shared" si="83"/>
        <v>322493</v>
      </c>
      <c r="S89" s="62"/>
      <c r="T89" s="62"/>
      <c r="U89" s="62"/>
      <c r="V89" s="62"/>
      <c r="W89" s="62"/>
    </row>
    <row r="90" spans="1:23">
      <c r="A90" s="374"/>
      <c r="B90" s="42" t="s">
        <v>1459</v>
      </c>
      <c r="C90" s="42" t="s">
        <v>88</v>
      </c>
      <c r="D90" s="42" t="s">
        <v>16</v>
      </c>
      <c r="E90" s="47" t="s">
        <v>3781</v>
      </c>
      <c r="F90" s="47">
        <v>978</v>
      </c>
      <c r="G90" s="47"/>
      <c r="H90" s="47">
        <v>15590</v>
      </c>
      <c r="I90" s="47">
        <v>260</v>
      </c>
      <c r="J90" s="47">
        <v>0.5</v>
      </c>
      <c r="K90" s="43">
        <f t="shared" si="79"/>
        <v>130</v>
      </c>
      <c r="L90" s="43">
        <f t="shared" si="80"/>
        <v>15460</v>
      </c>
      <c r="M90" s="43"/>
      <c r="N90" s="43">
        <f t="shared" si="81"/>
        <v>15460</v>
      </c>
      <c r="O90" s="43">
        <f t="shared" si="82"/>
        <v>1091.3</v>
      </c>
      <c r="P90" s="42">
        <v>11000</v>
      </c>
      <c r="Q90" s="42">
        <v>20.2</v>
      </c>
      <c r="R90" s="42">
        <f t="shared" si="83"/>
        <v>312292</v>
      </c>
      <c r="S90" s="62"/>
      <c r="T90" s="62"/>
      <c r="U90" s="62"/>
      <c r="V90" s="62"/>
      <c r="W90" s="62"/>
    </row>
    <row r="91" spans="1:23">
      <c r="A91" s="150" t="s">
        <v>3790</v>
      </c>
      <c r="B91" s="42" t="s">
        <v>1459</v>
      </c>
      <c r="C91" s="42" t="s">
        <v>88</v>
      </c>
      <c r="D91" s="42" t="s">
        <v>16</v>
      </c>
      <c r="E91" s="47" t="s">
        <v>3792</v>
      </c>
      <c r="F91" s="47">
        <v>4258</v>
      </c>
      <c r="G91" s="47"/>
      <c r="H91" s="47">
        <v>15560</v>
      </c>
      <c r="I91" s="47">
        <v>250</v>
      </c>
      <c r="J91" s="47">
        <v>0.5</v>
      </c>
      <c r="K91" s="43">
        <f t="shared" si="79"/>
        <v>125</v>
      </c>
      <c r="L91" s="43">
        <f t="shared" si="80"/>
        <v>15435</v>
      </c>
      <c r="M91" s="43"/>
      <c r="N91" s="43">
        <f t="shared" si="81"/>
        <v>15435</v>
      </c>
      <c r="O91" s="43">
        <f t="shared" si="82"/>
        <v>1089.2</v>
      </c>
      <c r="P91" s="42">
        <v>14000</v>
      </c>
      <c r="Q91" s="42">
        <v>20.2</v>
      </c>
      <c r="R91" s="42">
        <f t="shared" si="83"/>
        <v>311787</v>
      </c>
      <c r="S91" s="62"/>
      <c r="T91" s="62"/>
      <c r="U91" s="62"/>
      <c r="V91" s="62"/>
      <c r="W91" s="62"/>
    </row>
    <row r="92" spans="1:23">
      <c r="A92" s="150" t="s">
        <v>3803</v>
      </c>
      <c r="B92" s="42" t="s">
        <v>1459</v>
      </c>
      <c r="C92" s="42" t="s">
        <v>88</v>
      </c>
      <c r="D92" s="42" t="s">
        <v>16</v>
      </c>
      <c r="E92" s="47" t="s">
        <v>3804</v>
      </c>
      <c r="F92" s="47">
        <v>4259</v>
      </c>
      <c r="G92" s="47"/>
      <c r="H92" s="47">
        <v>15540</v>
      </c>
      <c r="I92" s="47">
        <v>250</v>
      </c>
      <c r="J92" s="47">
        <v>0.5</v>
      </c>
      <c r="K92" s="43">
        <f t="shared" si="79"/>
        <v>125</v>
      </c>
      <c r="L92" s="43">
        <f t="shared" si="80"/>
        <v>15415</v>
      </c>
      <c r="M92" s="43"/>
      <c r="N92" s="43">
        <f t="shared" si="81"/>
        <v>15415</v>
      </c>
      <c r="O92" s="43">
        <f t="shared" si="82"/>
        <v>1087.8</v>
      </c>
      <c r="P92" s="42">
        <v>13600</v>
      </c>
      <c r="Q92" s="42">
        <v>21</v>
      </c>
      <c r="R92" s="42">
        <f t="shared" si="83"/>
        <v>323715</v>
      </c>
      <c r="S92" s="62"/>
      <c r="T92" s="62"/>
      <c r="U92" s="62"/>
      <c r="V92" s="62"/>
      <c r="W92" s="62"/>
    </row>
    <row r="93" spans="1:23">
      <c r="A93" s="150" t="s">
        <v>3815</v>
      </c>
      <c r="B93" s="42" t="s">
        <v>1459</v>
      </c>
      <c r="C93" s="42" t="s">
        <v>88</v>
      </c>
      <c r="D93" s="42" t="s">
        <v>16</v>
      </c>
      <c r="E93" s="47" t="s">
        <v>790</v>
      </c>
      <c r="F93" s="47">
        <v>964</v>
      </c>
      <c r="G93" s="47"/>
      <c r="H93" s="47">
        <v>15590</v>
      </c>
      <c r="I93" s="47">
        <v>260</v>
      </c>
      <c r="J93" s="47">
        <v>0.5</v>
      </c>
      <c r="K93" s="43">
        <f t="shared" si="79"/>
        <v>130</v>
      </c>
      <c r="L93" s="43">
        <f t="shared" si="80"/>
        <v>15460</v>
      </c>
      <c r="M93" s="43"/>
      <c r="N93" s="43">
        <f t="shared" si="81"/>
        <v>15460</v>
      </c>
      <c r="O93" s="43">
        <f t="shared" si="82"/>
        <v>1091.3</v>
      </c>
      <c r="P93" s="42">
        <v>11500</v>
      </c>
      <c r="Q93" s="42"/>
      <c r="R93" s="42">
        <f t="shared" si="83"/>
        <v>0</v>
      </c>
      <c r="S93" s="62"/>
      <c r="T93" s="62"/>
      <c r="U93" s="62"/>
      <c r="V93" s="62"/>
      <c r="W93" s="62"/>
    </row>
    <row r="94" spans="1:23">
      <c r="A94" s="63" t="s">
        <v>3957</v>
      </c>
      <c r="B94" s="337" t="s">
        <v>1459</v>
      </c>
      <c r="C94" s="337" t="s">
        <v>88</v>
      </c>
      <c r="D94" s="42" t="s">
        <v>16</v>
      </c>
      <c r="E94" s="337" t="s">
        <v>3804</v>
      </c>
      <c r="F94" s="337">
        <v>508</v>
      </c>
      <c r="G94" s="337"/>
      <c r="H94" s="337">
        <v>15510</v>
      </c>
      <c r="I94" s="337">
        <v>260</v>
      </c>
      <c r="J94" s="337">
        <v>0.5</v>
      </c>
      <c r="K94" s="43">
        <f t="shared" si="79"/>
        <v>130</v>
      </c>
      <c r="L94" s="43">
        <f t="shared" si="80"/>
        <v>15380</v>
      </c>
      <c r="M94" s="43"/>
      <c r="N94" s="43">
        <f t="shared" si="81"/>
        <v>15380</v>
      </c>
      <c r="O94" s="43">
        <f t="shared" si="82"/>
        <v>1085.7</v>
      </c>
      <c r="P94" s="42">
        <v>25700</v>
      </c>
      <c r="Q94" s="42"/>
      <c r="R94" s="42">
        <f t="shared" si="83"/>
        <v>0</v>
      </c>
      <c r="S94" s="62"/>
      <c r="T94" s="62"/>
      <c r="U94" s="62"/>
      <c r="V94" s="62"/>
      <c r="W94" s="62"/>
    </row>
    <row r="95" spans="1:23">
      <c r="A95" s="150" t="s">
        <v>3963</v>
      </c>
      <c r="B95" s="338" t="s">
        <v>1459</v>
      </c>
      <c r="C95" s="338" t="s">
        <v>88</v>
      </c>
      <c r="D95" s="42" t="s">
        <v>16</v>
      </c>
      <c r="E95" s="338" t="s">
        <v>3964</v>
      </c>
      <c r="F95" s="338">
        <v>510</v>
      </c>
      <c r="G95" s="338"/>
      <c r="H95" s="338">
        <v>15440</v>
      </c>
      <c r="I95" s="338">
        <v>258</v>
      </c>
      <c r="J95" s="338">
        <v>0.5</v>
      </c>
      <c r="K95" s="43">
        <f t="shared" si="79"/>
        <v>129</v>
      </c>
      <c r="L95" s="43">
        <f t="shared" si="80"/>
        <v>15311</v>
      </c>
      <c r="M95" s="43"/>
      <c r="N95" s="43">
        <f t="shared" si="81"/>
        <v>15311</v>
      </c>
      <c r="O95" s="43">
        <f t="shared" si="82"/>
        <v>1080.8</v>
      </c>
      <c r="P95" s="42">
        <v>25500</v>
      </c>
      <c r="Q95" s="42">
        <v>22</v>
      </c>
      <c r="R95" s="42">
        <f t="shared" si="83"/>
        <v>336842</v>
      </c>
      <c r="S95" s="85"/>
      <c r="T95" s="62"/>
      <c r="U95" s="62"/>
      <c r="V95" s="62"/>
      <c r="W95" s="62"/>
    </row>
    <row r="96" spans="1:23">
      <c r="A96" s="150" t="s">
        <v>4026</v>
      </c>
      <c r="B96" s="352" t="s">
        <v>1459</v>
      </c>
      <c r="C96" s="352" t="s">
        <v>88</v>
      </c>
      <c r="D96" s="42" t="s">
        <v>16</v>
      </c>
      <c r="E96" s="352" t="s">
        <v>4027</v>
      </c>
      <c r="F96" s="352">
        <v>513</v>
      </c>
      <c r="G96" s="352"/>
      <c r="H96" s="352">
        <v>15560</v>
      </c>
      <c r="I96" s="352">
        <v>260</v>
      </c>
      <c r="J96" s="352">
        <v>0.5</v>
      </c>
      <c r="K96" s="43">
        <f t="shared" si="79"/>
        <v>130</v>
      </c>
      <c r="L96" s="43">
        <f t="shared" si="80"/>
        <v>15430</v>
      </c>
      <c r="M96" s="43"/>
      <c r="N96" s="43">
        <f t="shared" si="81"/>
        <v>15430</v>
      </c>
      <c r="O96" s="43">
        <f t="shared" si="82"/>
        <v>1089.2</v>
      </c>
      <c r="P96" s="42">
        <v>28000</v>
      </c>
      <c r="Q96" s="42"/>
      <c r="R96" s="42">
        <f t="shared" si="83"/>
        <v>0</v>
      </c>
      <c r="S96" s="85"/>
      <c r="T96" s="62"/>
      <c r="U96" s="62"/>
      <c r="V96" s="62"/>
      <c r="W96" s="62"/>
    </row>
    <row r="97" spans="1:23">
      <c r="A97" s="63"/>
      <c r="B97" s="142"/>
      <c r="C97" s="142"/>
      <c r="D97" s="67"/>
      <c r="E97" s="67"/>
      <c r="F97" s="67"/>
      <c r="G97" s="67"/>
      <c r="H97" s="67"/>
      <c r="I97" s="67"/>
      <c r="J97" s="67"/>
      <c r="K97" s="67"/>
      <c r="L97" s="68"/>
      <c r="M97" s="68"/>
      <c r="N97" s="68"/>
      <c r="O97" s="68"/>
      <c r="P97" s="67"/>
      <c r="Q97" s="67"/>
      <c r="R97" s="67"/>
      <c r="S97" s="62"/>
      <c r="T97" s="62"/>
      <c r="U97" s="62"/>
      <c r="V97" s="62"/>
      <c r="W97" s="62"/>
    </row>
    <row r="98" spans="1:23">
      <c r="A98" s="63"/>
      <c r="B98" s="142"/>
      <c r="C98" s="142"/>
      <c r="D98" s="67"/>
      <c r="E98" s="67"/>
      <c r="F98" s="67"/>
      <c r="G98" s="67"/>
      <c r="H98" s="67"/>
      <c r="I98" s="67"/>
      <c r="J98" s="67"/>
      <c r="K98" s="67"/>
      <c r="L98" s="68"/>
      <c r="M98" s="68"/>
      <c r="N98" s="68"/>
      <c r="O98" s="68"/>
      <c r="P98" s="67"/>
      <c r="Q98" s="67"/>
      <c r="R98" s="67"/>
      <c r="S98" s="62"/>
      <c r="T98" s="62"/>
      <c r="U98" s="62"/>
      <c r="V98" s="62"/>
      <c r="W98" s="62"/>
    </row>
    <row r="99" spans="1:23">
      <c r="A99" s="63"/>
      <c r="B99" s="142"/>
      <c r="C99" s="142"/>
      <c r="D99" s="67"/>
      <c r="E99" s="67"/>
      <c r="F99" s="67"/>
      <c r="G99" s="67"/>
      <c r="H99" s="67"/>
      <c r="I99" s="67"/>
      <c r="J99" s="67"/>
      <c r="K99" s="67"/>
      <c r="L99" s="68"/>
      <c r="M99" s="68"/>
      <c r="N99" s="68"/>
      <c r="O99" s="68"/>
      <c r="P99" s="67"/>
      <c r="Q99" s="67"/>
      <c r="R99" s="67"/>
      <c r="S99" s="62"/>
      <c r="T99" s="62"/>
      <c r="U99" s="62"/>
      <c r="V99" s="62"/>
      <c r="W99" s="62"/>
    </row>
    <row r="100" spans="1:23">
      <c r="A100" s="63"/>
      <c r="B100" s="142"/>
      <c r="C100" s="142"/>
      <c r="D100" s="67"/>
      <c r="E100" s="67"/>
      <c r="F100" s="67"/>
      <c r="G100" s="67"/>
      <c r="H100" s="67"/>
      <c r="I100" s="67"/>
      <c r="J100" s="67"/>
      <c r="K100" s="67"/>
      <c r="L100" s="68"/>
      <c r="M100" s="68"/>
      <c r="N100" s="68"/>
      <c r="O100" s="68"/>
      <c r="P100" s="67"/>
      <c r="Q100" s="67"/>
      <c r="R100" s="67"/>
      <c r="S100" s="62"/>
      <c r="T100" s="62"/>
      <c r="U100" s="62"/>
      <c r="V100" s="62"/>
      <c r="W100" s="62"/>
    </row>
    <row r="101" spans="1:23">
      <c r="A101" s="63"/>
      <c r="B101" s="142"/>
      <c r="C101" s="142"/>
      <c r="D101" s="67"/>
      <c r="E101" s="67"/>
      <c r="F101" s="67"/>
      <c r="G101" s="67"/>
      <c r="H101" s="67"/>
      <c r="I101" s="67"/>
      <c r="J101" s="67"/>
      <c r="K101" s="67"/>
      <c r="L101" s="68"/>
      <c r="M101" s="68"/>
      <c r="N101" s="68"/>
      <c r="O101" s="68"/>
      <c r="P101" s="67"/>
      <c r="Q101" s="67"/>
      <c r="R101" s="67"/>
      <c r="S101" s="62"/>
      <c r="T101" s="62"/>
      <c r="U101" s="62"/>
      <c r="V101" s="62"/>
      <c r="W101" s="62"/>
    </row>
    <row r="102" spans="1:23">
      <c r="A102" s="63"/>
      <c r="B102" s="142"/>
      <c r="C102" s="142"/>
      <c r="D102" s="67"/>
      <c r="E102" s="67"/>
      <c r="F102" s="67"/>
      <c r="G102" s="67"/>
      <c r="H102" s="67"/>
      <c r="I102" s="67"/>
      <c r="J102" s="67"/>
      <c r="K102" s="67"/>
      <c r="L102" s="68"/>
      <c r="M102" s="68"/>
      <c r="N102" s="68"/>
      <c r="O102" s="68"/>
      <c r="P102" s="67"/>
      <c r="Q102" s="67"/>
      <c r="R102" s="67"/>
      <c r="S102" s="62"/>
      <c r="T102" s="62"/>
      <c r="U102" s="62"/>
      <c r="V102" s="62"/>
      <c r="W102" s="62"/>
    </row>
    <row r="103" spans="1:23">
      <c r="A103" s="63"/>
      <c r="B103" s="142"/>
      <c r="C103" s="142"/>
      <c r="D103" s="67"/>
      <c r="E103" s="67"/>
      <c r="F103" s="67"/>
      <c r="G103" s="67"/>
      <c r="H103" s="67"/>
      <c r="I103" s="67"/>
      <c r="J103" s="67"/>
      <c r="K103" s="67"/>
      <c r="L103" s="68"/>
      <c r="M103" s="68"/>
      <c r="N103" s="68"/>
      <c r="O103" s="68"/>
      <c r="P103" s="67"/>
      <c r="Q103" s="67"/>
      <c r="R103" s="67"/>
      <c r="S103" s="62"/>
      <c r="T103" s="62"/>
      <c r="U103" s="62"/>
      <c r="V103" s="62"/>
      <c r="W103" s="62"/>
    </row>
    <row r="104" spans="1:23">
      <c r="A104" s="63"/>
      <c r="B104" s="142"/>
      <c r="C104" s="142"/>
      <c r="D104" s="67"/>
      <c r="E104" s="67"/>
      <c r="F104" s="67"/>
      <c r="G104" s="67"/>
      <c r="H104" s="67"/>
      <c r="I104" s="67"/>
      <c r="J104" s="67"/>
      <c r="K104" s="67"/>
      <c r="L104" s="68"/>
      <c r="M104" s="68"/>
      <c r="N104" s="68"/>
      <c r="O104" s="68"/>
      <c r="P104" s="67"/>
      <c r="Q104" s="67"/>
      <c r="R104" s="67"/>
      <c r="S104" s="62"/>
      <c r="T104" s="62"/>
      <c r="U104" s="62"/>
      <c r="V104" s="62"/>
      <c r="W104" s="62"/>
    </row>
    <row r="105" spans="1:23">
      <c r="A105" s="63"/>
      <c r="B105" s="142"/>
      <c r="C105" s="142"/>
      <c r="D105" s="67"/>
      <c r="E105" s="67"/>
      <c r="F105" s="67"/>
      <c r="G105" s="67"/>
      <c r="H105" s="67"/>
      <c r="I105" s="67"/>
      <c r="J105" s="67"/>
      <c r="K105" s="67"/>
      <c r="L105" s="68"/>
      <c r="M105" s="68"/>
      <c r="N105" s="68"/>
      <c r="O105" s="68"/>
      <c r="P105" s="67"/>
      <c r="Q105" s="67"/>
      <c r="R105" s="67"/>
      <c r="S105" s="62"/>
      <c r="T105" s="62"/>
      <c r="U105" s="62"/>
      <c r="V105" s="62"/>
      <c r="W105" s="62"/>
    </row>
    <row r="106" spans="1:23">
      <c r="A106" s="63"/>
      <c r="B106" s="142"/>
      <c r="C106" s="142"/>
      <c r="D106" s="67"/>
      <c r="E106" s="67"/>
      <c r="F106" s="67"/>
      <c r="G106" s="67"/>
      <c r="H106" s="67"/>
      <c r="I106" s="67"/>
      <c r="J106" s="67"/>
      <c r="K106" s="67"/>
      <c r="L106" s="68"/>
      <c r="M106" s="68"/>
      <c r="N106" s="68"/>
      <c r="O106" s="68"/>
      <c r="P106" s="67"/>
      <c r="Q106" s="67"/>
      <c r="R106" s="67"/>
      <c r="S106" s="62"/>
      <c r="T106" s="62"/>
      <c r="U106" s="62"/>
      <c r="V106" s="62"/>
      <c r="W106" s="62"/>
    </row>
    <row r="107" spans="1:23">
      <c r="A107" s="63"/>
      <c r="B107" s="142"/>
      <c r="C107" s="142"/>
      <c r="D107" s="67"/>
      <c r="E107" s="67"/>
      <c r="F107" s="67"/>
      <c r="G107" s="67"/>
      <c r="H107" s="67"/>
      <c r="I107" s="67"/>
      <c r="J107" s="67"/>
      <c r="K107" s="67"/>
      <c r="L107" s="68"/>
      <c r="M107" s="68"/>
      <c r="N107" s="68"/>
      <c r="O107" s="68"/>
      <c r="P107" s="67"/>
      <c r="Q107" s="67"/>
      <c r="R107" s="67"/>
      <c r="S107" s="62"/>
      <c r="T107" s="62"/>
      <c r="U107" s="62"/>
      <c r="V107" s="62"/>
      <c r="W107" s="62"/>
    </row>
    <row r="108" spans="1:23">
      <c r="A108" s="63"/>
      <c r="B108" s="142"/>
      <c r="C108" s="142"/>
      <c r="D108" s="67"/>
      <c r="E108" s="67"/>
      <c r="F108" s="67"/>
      <c r="G108" s="67"/>
      <c r="H108" s="67"/>
      <c r="I108" s="67"/>
      <c r="J108" s="67"/>
      <c r="K108" s="67"/>
      <c r="L108" s="68"/>
      <c r="M108" s="68"/>
      <c r="N108" s="68"/>
      <c r="O108" s="68"/>
      <c r="P108" s="67"/>
      <c r="Q108" s="67"/>
      <c r="R108" s="67"/>
      <c r="S108" s="62"/>
      <c r="T108" s="62"/>
      <c r="U108" s="62"/>
      <c r="V108" s="62"/>
      <c r="W108" s="62"/>
    </row>
    <row r="109" spans="1:23">
      <c r="A109" s="63"/>
      <c r="B109" s="142"/>
      <c r="C109" s="142"/>
      <c r="D109" s="67"/>
      <c r="E109" s="67"/>
      <c r="F109" s="67"/>
      <c r="G109" s="67"/>
      <c r="H109" s="67"/>
      <c r="I109" s="67"/>
      <c r="J109" s="67"/>
      <c r="K109" s="67"/>
      <c r="L109" s="68"/>
      <c r="M109" s="68"/>
      <c r="N109" s="68"/>
      <c r="O109" s="68"/>
      <c r="P109" s="67"/>
      <c r="Q109" s="67"/>
      <c r="R109" s="67"/>
      <c r="S109" s="62"/>
      <c r="T109" s="62"/>
      <c r="U109" s="62"/>
      <c r="V109" s="62"/>
      <c r="W109" s="62"/>
    </row>
    <row r="110" spans="1:23">
      <c r="A110" s="63"/>
      <c r="B110" s="142"/>
      <c r="C110" s="142"/>
      <c r="D110" s="67"/>
      <c r="E110" s="67"/>
      <c r="F110" s="67"/>
      <c r="G110" s="67"/>
      <c r="H110" s="67"/>
      <c r="I110" s="67"/>
      <c r="J110" s="67"/>
      <c r="K110" s="67"/>
      <c r="L110" s="68"/>
      <c r="M110" s="68"/>
      <c r="N110" s="68"/>
      <c r="O110" s="68"/>
      <c r="P110" s="67"/>
      <c r="Q110" s="67"/>
      <c r="R110" s="67"/>
      <c r="S110" s="62"/>
      <c r="T110" s="62"/>
      <c r="U110" s="62"/>
      <c r="V110" s="62"/>
      <c r="W110" s="62"/>
    </row>
    <row r="111" spans="1:23">
      <c r="A111" s="63"/>
      <c r="B111" s="142"/>
      <c r="C111" s="142"/>
      <c r="D111" s="67"/>
      <c r="E111" s="67"/>
      <c r="F111" s="67"/>
      <c r="G111" s="67"/>
      <c r="H111" s="67"/>
      <c r="I111" s="67"/>
      <c r="J111" s="67"/>
      <c r="K111" s="67"/>
      <c r="L111" s="68"/>
      <c r="M111" s="68"/>
      <c r="N111" s="68"/>
      <c r="O111" s="68"/>
      <c r="P111" s="67"/>
      <c r="Q111" s="67"/>
      <c r="R111" s="67"/>
      <c r="S111" s="62"/>
      <c r="T111" s="62"/>
      <c r="U111" s="62"/>
      <c r="V111" s="62"/>
      <c r="W111" s="62"/>
    </row>
    <row r="112" spans="1:23">
      <c r="A112" s="62"/>
      <c r="B112" s="142"/>
      <c r="C112" s="142"/>
      <c r="D112" s="67"/>
      <c r="E112" s="67"/>
      <c r="F112" s="67"/>
      <c r="G112" s="67"/>
      <c r="H112" s="67"/>
      <c r="I112" s="67"/>
      <c r="J112" s="67"/>
      <c r="K112" s="67"/>
      <c r="L112" s="68"/>
      <c r="M112" s="68"/>
      <c r="N112" s="68"/>
      <c r="O112" s="68"/>
      <c r="P112" s="67"/>
      <c r="Q112" s="67"/>
      <c r="R112" s="67"/>
      <c r="S112" s="62"/>
      <c r="T112" s="62"/>
      <c r="U112" s="62"/>
      <c r="V112" s="62"/>
      <c r="W112" s="62"/>
    </row>
    <row r="113" spans="1:23">
      <c r="A113" s="62"/>
      <c r="B113" s="62"/>
      <c r="C113" s="62"/>
      <c r="D113" s="62"/>
      <c r="E113" s="62"/>
      <c r="F113" s="62"/>
      <c r="G113" s="62"/>
      <c r="H113" s="62"/>
      <c r="I113" s="62"/>
      <c r="J113" s="62"/>
      <c r="K113" s="62"/>
      <c r="L113" s="62"/>
      <c r="M113" s="62"/>
      <c r="N113" s="62"/>
      <c r="O113" s="62"/>
      <c r="P113" s="62"/>
      <c r="Q113" s="62"/>
      <c r="R113" s="62"/>
      <c r="S113" s="62"/>
      <c r="T113" s="62"/>
      <c r="U113" s="62"/>
      <c r="V113" s="62"/>
      <c r="W113" s="62"/>
    </row>
    <row r="114" spans="1:23">
      <c r="A114" s="62"/>
      <c r="B114" s="62"/>
      <c r="C114" s="62"/>
      <c r="D114" s="62"/>
      <c r="E114" s="62"/>
      <c r="F114" s="62"/>
      <c r="G114" s="62"/>
      <c r="H114" s="62"/>
      <c r="I114" s="62"/>
      <c r="J114" s="62"/>
      <c r="K114" s="62"/>
      <c r="L114" s="62"/>
      <c r="M114" s="62"/>
      <c r="N114" s="62"/>
      <c r="O114" s="62"/>
      <c r="P114" s="62"/>
      <c r="Q114" s="62"/>
      <c r="R114" s="62"/>
      <c r="S114" s="62"/>
      <c r="T114" s="62"/>
      <c r="U114" s="62"/>
      <c r="V114" s="62"/>
      <c r="W114" s="62"/>
    </row>
    <row r="115" spans="1:23">
      <c r="A115" s="62"/>
      <c r="B115" s="62"/>
      <c r="C115" s="62"/>
      <c r="D115" s="62"/>
      <c r="E115" s="62"/>
      <c r="F115" s="62"/>
      <c r="G115" s="62"/>
      <c r="H115" s="62"/>
      <c r="I115" s="62"/>
      <c r="J115" s="62"/>
      <c r="K115" s="62"/>
      <c r="L115" s="62"/>
      <c r="M115" s="62"/>
      <c r="N115" s="62"/>
      <c r="O115" s="62"/>
      <c r="P115" s="62"/>
      <c r="Q115" s="62"/>
      <c r="R115" s="62"/>
      <c r="S115" s="62"/>
      <c r="T115" s="62"/>
      <c r="U115" s="62"/>
      <c r="V115" s="62"/>
      <c r="W115" s="62"/>
    </row>
    <row r="116" spans="1:23">
      <c r="A116" s="62"/>
      <c r="B116" s="62"/>
      <c r="C116" s="62"/>
      <c r="D116" s="62"/>
      <c r="E116" s="62"/>
      <c r="F116" s="62"/>
      <c r="G116" s="62"/>
      <c r="H116" s="62"/>
      <c r="I116" s="62"/>
      <c r="J116" s="62"/>
      <c r="K116" s="62"/>
      <c r="L116" s="62"/>
      <c r="M116" s="62"/>
      <c r="N116" s="62"/>
      <c r="O116" s="62"/>
      <c r="P116" s="62"/>
      <c r="Q116" s="62"/>
      <c r="R116" s="62"/>
      <c r="S116" s="62"/>
      <c r="T116" s="62"/>
      <c r="U116" s="62"/>
      <c r="V116" s="62"/>
      <c r="W116" s="62"/>
    </row>
    <row r="117" spans="1:23">
      <c r="A117" s="62"/>
      <c r="B117" s="62"/>
      <c r="C117" s="62"/>
      <c r="D117" s="62"/>
      <c r="E117" s="62"/>
      <c r="F117" s="62"/>
      <c r="G117" s="62"/>
      <c r="H117" s="62"/>
      <c r="I117" s="62"/>
      <c r="J117" s="62"/>
      <c r="K117" s="62"/>
      <c r="L117" s="62"/>
      <c r="M117" s="62"/>
      <c r="N117" s="62"/>
      <c r="O117" s="62"/>
      <c r="P117" s="62"/>
      <c r="Q117" s="62"/>
      <c r="R117" s="62"/>
      <c r="S117" s="62"/>
      <c r="T117" s="62"/>
      <c r="U117" s="62"/>
      <c r="V117" s="62"/>
      <c r="W117" s="62"/>
    </row>
    <row r="139" spans="12:12">
      <c r="L139" s="16">
        <f>SUM(L15:L138)</f>
        <v>1063182.52</v>
      </c>
    </row>
  </sheetData>
  <mergeCells count="11">
    <mergeCell ref="A47:A49"/>
    <mergeCell ref="A8:A9"/>
    <mergeCell ref="A14:A15"/>
    <mergeCell ref="A23:A24"/>
    <mergeCell ref="A36:A37"/>
    <mergeCell ref="A41:A42"/>
    <mergeCell ref="A89:A90"/>
    <mergeCell ref="A82:A83"/>
    <mergeCell ref="A75:A77"/>
    <mergeCell ref="A54:A55"/>
    <mergeCell ref="A52:A53"/>
  </mergeCells>
  <pageMargins left="0.7" right="0.7" top="0.75" bottom="0.75" header="0.3" footer="0.3"/>
  <pageSetup paperSize="9" orientation="landscape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A5:W137"/>
  <sheetViews>
    <sheetView workbookViewId="0">
      <selection activeCell="A21" sqref="A21"/>
    </sheetView>
  </sheetViews>
  <sheetFormatPr defaultRowHeight="14.4"/>
  <cols>
    <col min="1" max="1" width="7.88671875" style="1" customWidth="1"/>
    <col min="2" max="2" width="22" style="1" customWidth="1"/>
    <col min="3" max="3" width="7.77734375" style="1" customWidth="1"/>
    <col min="4" max="4" width="4.77734375" style="1" customWidth="1"/>
    <col min="5" max="5" width="9.88671875" style="1" customWidth="1"/>
    <col min="6" max="6" width="7.6640625" style="1" customWidth="1"/>
    <col min="7" max="7" width="6.6640625" style="1" customWidth="1"/>
    <col min="8" max="8" width="7.44140625" style="1" customWidth="1"/>
    <col min="9" max="9" width="5.88671875" style="1" customWidth="1"/>
    <col min="10" max="10" width="6" style="1" customWidth="1"/>
    <col min="11" max="11" width="8.44140625" style="1" customWidth="1"/>
    <col min="12" max="12" width="8.21875" style="1" customWidth="1"/>
    <col min="13" max="13" width="7.33203125" style="1" customWidth="1"/>
    <col min="14" max="16384" width="8.88671875" style="1"/>
  </cols>
  <sheetData>
    <row r="5" spans="1:23" ht="20.399999999999999">
      <c r="A5" s="58" t="s">
        <v>3</v>
      </c>
      <c r="B5" s="58" t="s">
        <v>4</v>
      </c>
      <c r="C5" s="58" t="s">
        <v>5</v>
      </c>
      <c r="D5" s="58" t="s">
        <v>6</v>
      </c>
      <c r="E5" s="58" t="s">
        <v>37</v>
      </c>
      <c r="F5" s="58" t="s">
        <v>7</v>
      </c>
      <c r="G5" s="58" t="s">
        <v>8</v>
      </c>
      <c r="H5" s="58" t="s">
        <v>9</v>
      </c>
      <c r="I5" s="58" t="s">
        <v>10</v>
      </c>
      <c r="J5" s="59" t="s">
        <v>18</v>
      </c>
      <c r="K5" s="59" t="s">
        <v>17</v>
      </c>
      <c r="L5" s="58" t="s">
        <v>11</v>
      </c>
      <c r="M5" s="58" t="s">
        <v>36</v>
      </c>
      <c r="N5" s="58" t="s">
        <v>12</v>
      </c>
      <c r="O5" s="58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125</v>
      </c>
    </row>
    <row r="6" spans="1:23">
      <c r="A6" s="63"/>
      <c r="B6" s="172"/>
      <c r="C6" s="172"/>
      <c r="D6" s="172"/>
      <c r="E6" s="172"/>
      <c r="F6" s="172"/>
      <c r="G6" s="172"/>
      <c r="H6" s="172"/>
      <c r="I6" s="172"/>
      <c r="J6" s="172"/>
      <c r="K6" s="172"/>
      <c r="L6" s="61"/>
      <c r="M6" s="61"/>
      <c r="N6" s="172"/>
      <c r="O6" s="62"/>
      <c r="P6" s="62"/>
      <c r="Q6" s="62"/>
      <c r="R6" s="62"/>
      <c r="S6" s="62"/>
      <c r="U6" s="17"/>
    </row>
    <row r="7" spans="1:23">
      <c r="A7" s="374" t="s">
        <v>1482</v>
      </c>
      <c r="B7" s="42" t="s">
        <v>1486</v>
      </c>
      <c r="C7" s="42" t="s">
        <v>88</v>
      </c>
      <c r="D7" s="42" t="s">
        <v>16</v>
      </c>
      <c r="E7" s="42" t="s">
        <v>1487</v>
      </c>
      <c r="F7" s="42">
        <v>636</v>
      </c>
      <c r="G7" s="42"/>
      <c r="H7" s="42">
        <v>6450</v>
      </c>
      <c r="I7" s="42">
        <v>125</v>
      </c>
      <c r="J7" s="42"/>
      <c r="K7" s="42">
        <f t="shared" ref="K7:K9" si="0">I7*J7</f>
        <v>0</v>
      </c>
      <c r="L7" s="43">
        <f t="shared" ref="L7:L9" si="1">H7-K7</f>
        <v>6450</v>
      </c>
      <c r="M7" s="43"/>
      <c r="N7" s="43">
        <f t="shared" ref="N7:N9" si="2">L7-M7</f>
        <v>6450</v>
      </c>
      <c r="O7" s="43">
        <f t="shared" ref="O7:O9" si="3">H7/1000*70</f>
        <v>451.5</v>
      </c>
      <c r="P7" s="42">
        <v>0</v>
      </c>
      <c r="Q7" s="42">
        <v>20</v>
      </c>
      <c r="R7" s="42">
        <f t="shared" ref="R7:R9" si="4">L7*Q7</f>
        <v>129000</v>
      </c>
      <c r="S7" s="42"/>
      <c r="T7" s="62"/>
      <c r="U7" s="62"/>
      <c r="V7" s="62"/>
      <c r="W7" s="62"/>
    </row>
    <row r="8" spans="1:23">
      <c r="A8" s="374"/>
      <c r="B8" s="42" t="s">
        <v>1486</v>
      </c>
      <c r="C8" s="42" t="s">
        <v>88</v>
      </c>
      <c r="D8" s="42" t="s">
        <v>16</v>
      </c>
      <c r="E8" s="42" t="s">
        <v>1078</v>
      </c>
      <c r="F8" s="42">
        <v>635</v>
      </c>
      <c r="G8" s="42"/>
      <c r="H8" s="42">
        <v>2110</v>
      </c>
      <c r="I8" s="42">
        <v>42</v>
      </c>
      <c r="J8" s="42"/>
      <c r="K8" s="42">
        <f t="shared" si="0"/>
        <v>0</v>
      </c>
      <c r="L8" s="43">
        <f t="shared" si="1"/>
        <v>2110</v>
      </c>
      <c r="M8" s="43"/>
      <c r="N8" s="43">
        <f t="shared" si="2"/>
        <v>2110</v>
      </c>
      <c r="O8" s="43">
        <f t="shared" si="3"/>
        <v>147.69999999999999</v>
      </c>
      <c r="P8" s="42">
        <v>0</v>
      </c>
      <c r="Q8" s="42">
        <v>20</v>
      </c>
      <c r="R8" s="42">
        <f t="shared" si="4"/>
        <v>42200</v>
      </c>
      <c r="S8" s="62"/>
      <c r="T8" s="62"/>
      <c r="U8" s="62"/>
      <c r="V8" s="62"/>
      <c r="W8" s="62"/>
    </row>
    <row r="9" spans="1:23">
      <c r="A9" s="53" t="s">
        <v>1488</v>
      </c>
      <c r="B9" s="42" t="s">
        <v>1486</v>
      </c>
      <c r="C9" s="42" t="s">
        <v>88</v>
      </c>
      <c r="D9" s="42" t="s">
        <v>16</v>
      </c>
      <c r="E9" s="42" t="s">
        <v>1452</v>
      </c>
      <c r="F9" s="42">
        <v>621</v>
      </c>
      <c r="G9" s="42"/>
      <c r="H9" s="42">
        <v>8590</v>
      </c>
      <c r="I9" s="42">
        <v>172</v>
      </c>
      <c r="J9" s="42"/>
      <c r="K9" s="42">
        <f t="shared" si="0"/>
        <v>0</v>
      </c>
      <c r="L9" s="43">
        <f t="shared" si="1"/>
        <v>8590</v>
      </c>
      <c r="M9" s="43"/>
      <c r="N9" s="43">
        <f t="shared" si="2"/>
        <v>8590</v>
      </c>
      <c r="O9" s="43">
        <f t="shared" si="3"/>
        <v>601.29999999999995</v>
      </c>
      <c r="P9" s="42">
        <v>0</v>
      </c>
      <c r="Q9" s="42">
        <v>20</v>
      </c>
      <c r="R9" s="42">
        <f t="shared" si="4"/>
        <v>171800</v>
      </c>
      <c r="S9" s="62"/>
      <c r="T9" s="62"/>
      <c r="U9" s="62"/>
      <c r="V9" s="62"/>
      <c r="W9" s="62"/>
    </row>
    <row r="10" spans="1:23">
      <c r="A10" s="150"/>
      <c r="B10" s="42"/>
      <c r="C10" s="42"/>
      <c r="D10" s="42"/>
      <c r="E10" s="42"/>
      <c r="F10" s="42"/>
      <c r="G10" s="42"/>
      <c r="H10" s="42"/>
      <c r="I10" s="42"/>
      <c r="J10" s="42"/>
      <c r="K10" s="42"/>
      <c r="L10" s="43"/>
      <c r="M10" s="43"/>
      <c r="N10" s="43"/>
      <c r="O10" s="43"/>
      <c r="P10" s="42"/>
      <c r="Q10" s="42"/>
      <c r="R10" s="42"/>
      <c r="S10" s="62"/>
      <c r="T10" s="62"/>
      <c r="U10" s="62"/>
      <c r="V10" s="62"/>
      <c r="W10" s="62"/>
    </row>
    <row r="11" spans="1:23">
      <c r="A11" s="377" t="s">
        <v>1506</v>
      </c>
      <c r="B11" s="42" t="s">
        <v>1512</v>
      </c>
      <c r="C11" s="42" t="s">
        <v>88</v>
      </c>
      <c r="D11" s="42" t="s">
        <v>16</v>
      </c>
      <c r="E11" s="42" t="s">
        <v>1168</v>
      </c>
      <c r="F11" s="42">
        <v>625</v>
      </c>
      <c r="G11" s="42"/>
      <c r="H11" s="42">
        <v>5110</v>
      </c>
      <c r="I11" s="42">
        <v>100</v>
      </c>
      <c r="J11" s="42"/>
      <c r="K11" s="42">
        <f t="shared" ref="K11:K12" si="5">I11*J11</f>
        <v>0</v>
      </c>
      <c r="L11" s="43">
        <f t="shared" ref="L11:L12" si="6">H11-K11</f>
        <v>5110</v>
      </c>
      <c r="M11" s="43"/>
      <c r="N11" s="43">
        <f t="shared" ref="N11:N12" si="7">L11-M11</f>
        <v>5110</v>
      </c>
      <c r="O11" s="43">
        <f t="shared" ref="O11:O12" si="8">H11/1000*70</f>
        <v>357.70000000000005</v>
      </c>
      <c r="P11" s="42">
        <v>0</v>
      </c>
      <c r="Q11" s="42">
        <v>19.399999999999999</v>
      </c>
      <c r="R11" s="42">
        <f t="shared" ref="R11:R12" si="9">L11*Q11</f>
        <v>99134</v>
      </c>
      <c r="S11" s="62"/>
      <c r="T11" s="62"/>
      <c r="U11" s="62"/>
      <c r="V11" s="62"/>
      <c r="W11" s="62"/>
    </row>
    <row r="12" spans="1:23">
      <c r="A12" s="377"/>
      <c r="B12" s="42" t="s">
        <v>1512</v>
      </c>
      <c r="C12" s="42" t="s">
        <v>88</v>
      </c>
      <c r="D12" s="42" t="s">
        <v>16</v>
      </c>
      <c r="E12" s="42" t="s">
        <v>1452</v>
      </c>
      <c r="F12" s="42">
        <v>624</v>
      </c>
      <c r="G12" s="42"/>
      <c r="H12" s="42">
        <v>6690</v>
      </c>
      <c r="I12" s="42">
        <v>120</v>
      </c>
      <c r="J12" s="42"/>
      <c r="K12" s="42">
        <f t="shared" si="5"/>
        <v>0</v>
      </c>
      <c r="L12" s="43">
        <f t="shared" si="6"/>
        <v>6690</v>
      </c>
      <c r="M12" s="43"/>
      <c r="N12" s="43">
        <f t="shared" si="7"/>
        <v>6690</v>
      </c>
      <c r="O12" s="43">
        <f t="shared" si="8"/>
        <v>468.3</v>
      </c>
      <c r="P12" s="42">
        <v>0</v>
      </c>
      <c r="Q12" s="42">
        <v>19.399999999999999</v>
      </c>
      <c r="R12" s="42">
        <f t="shared" si="9"/>
        <v>129785.99999999999</v>
      </c>
      <c r="S12" s="62"/>
      <c r="T12" s="62"/>
      <c r="U12" s="62"/>
      <c r="V12" s="62"/>
      <c r="W12" s="62"/>
    </row>
    <row r="13" spans="1:23">
      <c r="A13" s="62"/>
      <c r="B13" s="67"/>
      <c r="C13" s="67"/>
      <c r="D13" s="67"/>
      <c r="E13" s="67"/>
      <c r="F13" s="67"/>
      <c r="G13" s="67"/>
      <c r="H13" s="67"/>
      <c r="I13" s="67"/>
      <c r="J13" s="67"/>
      <c r="K13" s="67"/>
      <c r="L13" s="68"/>
      <c r="M13" s="68"/>
      <c r="N13" s="68"/>
      <c r="O13" s="68"/>
      <c r="P13" s="67"/>
      <c r="Q13" s="67"/>
      <c r="R13" s="62"/>
      <c r="S13" s="62"/>
      <c r="T13" s="62"/>
      <c r="U13" s="62"/>
      <c r="V13" s="62"/>
      <c r="W13" s="62"/>
    </row>
    <row r="14" spans="1:23">
      <c r="A14" s="62" t="s">
        <v>1564</v>
      </c>
      <c r="B14" s="42" t="s">
        <v>1565</v>
      </c>
      <c r="C14" s="42" t="s">
        <v>24</v>
      </c>
      <c r="D14" s="42" t="s">
        <v>16</v>
      </c>
      <c r="E14" s="42" t="s">
        <v>1487</v>
      </c>
      <c r="F14" s="42">
        <v>627</v>
      </c>
      <c r="G14" s="42">
        <v>1084</v>
      </c>
      <c r="H14" s="42">
        <v>4970</v>
      </c>
      <c r="I14" s="42">
        <v>100</v>
      </c>
      <c r="J14" s="42"/>
      <c r="K14" s="42">
        <f t="shared" ref="K14" si="10">I14*J14</f>
        <v>0</v>
      </c>
      <c r="L14" s="43">
        <f t="shared" ref="L14" si="11">H14-K14</f>
        <v>4970</v>
      </c>
      <c r="M14" s="43"/>
      <c r="N14" s="43">
        <f t="shared" ref="N14" si="12">L14-M14</f>
        <v>4970</v>
      </c>
      <c r="O14" s="43">
        <f t="shared" ref="O14" si="13">H14/1000*70</f>
        <v>347.9</v>
      </c>
      <c r="P14" s="42">
        <v>0</v>
      </c>
      <c r="Q14" s="42">
        <v>41.5</v>
      </c>
      <c r="R14" s="42">
        <f t="shared" ref="R14" si="14">L14*Q14</f>
        <v>206255</v>
      </c>
      <c r="S14" s="62"/>
      <c r="T14" s="62"/>
      <c r="U14" s="62"/>
      <c r="V14" s="62"/>
      <c r="W14" s="62"/>
    </row>
    <row r="15" spans="1:23">
      <c r="A15" s="21"/>
      <c r="B15" s="67"/>
      <c r="C15" s="67"/>
      <c r="D15" s="67"/>
      <c r="E15" s="142"/>
      <c r="F15" s="67"/>
      <c r="G15" s="67"/>
      <c r="H15" s="67"/>
      <c r="I15" s="67"/>
      <c r="J15" s="67"/>
      <c r="K15" s="67"/>
      <c r="L15" s="68"/>
      <c r="M15" s="68"/>
      <c r="N15" s="68"/>
      <c r="O15" s="68"/>
      <c r="P15" s="67"/>
      <c r="Q15" s="62"/>
      <c r="R15" s="62"/>
      <c r="S15" s="62"/>
      <c r="T15" s="62"/>
      <c r="U15" s="62"/>
      <c r="V15" s="62"/>
      <c r="W15" s="62"/>
    </row>
    <row r="16" spans="1:23">
      <c r="A16" s="21" t="s">
        <v>2668</v>
      </c>
      <c r="B16" s="42" t="s">
        <v>2669</v>
      </c>
      <c r="C16" s="42" t="s">
        <v>88</v>
      </c>
      <c r="D16" s="42" t="s">
        <v>16</v>
      </c>
      <c r="E16" s="42" t="s">
        <v>323</v>
      </c>
      <c r="F16" s="42"/>
      <c r="G16" s="42"/>
      <c r="H16" s="42">
        <v>16120</v>
      </c>
      <c r="I16" s="42">
        <v>320</v>
      </c>
      <c r="J16" s="42"/>
      <c r="K16" s="43">
        <f t="shared" ref="K16" si="15">I16*J16</f>
        <v>0</v>
      </c>
      <c r="L16" s="43">
        <f t="shared" ref="L16" si="16">H16-K16</f>
        <v>16120</v>
      </c>
      <c r="M16" s="43"/>
      <c r="N16" s="43">
        <f t="shared" ref="N16" si="17">L16-M16</f>
        <v>16120</v>
      </c>
      <c r="O16" s="43">
        <v>0</v>
      </c>
      <c r="P16" s="42">
        <v>0</v>
      </c>
      <c r="Q16" s="42">
        <v>21.55</v>
      </c>
      <c r="R16" s="42">
        <f t="shared" ref="R16" si="18">L16*Q16</f>
        <v>347386</v>
      </c>
      <c r="S16" s="62"/>
      <c r="T16" s="62"/>
      <c r="U16" s="62"/>
      <c r="V16" s="62"/>
      <c r="W16" s="62"/>
    </row>
    <row r="17" spans="1:23">
      <c r="A17" s="63"/>
      <c r="B17" s="67"/>
      <c r="C17" s="67"/>
      <c r="D17" s="67"/>
      <c r="E17" s="142"/>
      <c r="F17" s="67"/>
      <c r="G17" s="67"/>
      <c r="H17" s="67"/>
      <c r="I17" s="67"/>
      <c r="J17" s="67"/>
      <c r="K17" s="68"/>
      <c r="L17" s="68"/>
      <c r="M17" s="68"/>
      <c r="N17" s="68"/>
      <c r="O17" s="68"/>
      <c r="P17" s="67"/>
      <c r="Q17" s="62"/>
      <c r="R17" s="62"/>
      <c r="S17" s="62"/>
      <c r="T17" s="62"/>
      <c r="U17" s="62"/>
      <c r="V17" s="62"/>
      <c r="W17" s="62"/>
    </row>
    <row r="18" spans="1:23">
      <c r="A18" s="63" t="s">
        <v>2733</v>
      </c>
      <c r="B18" s="42" t="s">
        <v>1565</v>
      </c>
      <c r="C18" s="42" t="s">
        <v>88</v>
      </c>
      <c r="D18" s="42" t="s">
        <v>16</v>
      </c>
      <c r="E18" s="42" t="s">
        <v>2473</v>
      </c>
      <c r="F18" s="42">
        <v>668</v>
      </c>
      <c r="G18" s="42"/>
      <c r="H18" s="42">
        <v>23060</v>
      </c>
      <c r="I18" s="42">
        <v>461</v>
      </c>
      <c r="J18" s="42">
        <v>0.13</v>
      </c>
      <c r="K18" s="43">
        <f t="shared" ref="K18" si="19">I18*J18</f>
        <v>59.93</v>
      </c>
      <c r="L18" s="43">
        <f t="shared" ref="L18" si="20">H18-K18</f>
        <v>23000.07</v>
      </c>
      <c r="M18" s="43"/>
      <c r="N18" s="43">
        <f t="shared" ref="N18" si="21">L18-M18</f>
        <v>23000.07</v>
      </c>
      <c r="O18" s="43">
        <f t="shared" ref="O18" si="22">H18/1000*70</f>
        <v>1614.1999999999998</v>
      </c>
      <c r="P18" s="42">
        <v>15000</v>
      </c>
      <c r="Q18" s="42">
        <v>20.5</v>
      </c>
      <c r="R18" s="42">
        <f t="shared" ref="R18" si="23">L18*Q18</f>
        <v>471501.435</v>
      </c>
      <c r="S18" s="62"/>
      <c r="T18" s="62"/>
      <c r="U18" s="62"/>
      <c r="V18" s="62"/>
      <c r="W18" s="62"/>
    </row>
    <row r="19" spans="1:23">
      <c r="A19" s="150"/>
      <c r="B19" s="67"/>
      <c r="C19" s="67"/>
      <c r="D19" s="67"/>
      <c r="E19" s="67"/>
      <c r="F19" s="67"/>
      <c r="G19" s="67"/>
      <c r="H19" s="67"/>
      <c r="I19" s="67"/>
      <c r="J19" s="67"/>
      <c r="K19" s="68"/>
      <c r="L19" s="68"/>
      <c r="M19" s="68"/>
      <c r="N19" s="68"/>
      <c r="O19" s="68"/>
      <c r="P19" s="67"/>
      <c r="Q19" s="67"/>
      <c r="R19" s="67"/>
      <c r="S19" s="62"/>
      <c r="T19" s="62"/>
      <c r="U19" s="62"/>
      <c r="V19" s="62"/>
      <c r="W19" s="62"/>
    </row>
    <row r="20" spans="1:23">
      <c r="A20" s="150" t="s">
        <v>3036</v>
      </c>
      <c r="B20" s="42" t="s">
        <v>1264</v>
      </c>
      <c r="C20" s="42" t="s">
        <v>88</v>
      </c>
      <c r="D20" s="42" t="s">
        <v>16</v>
      </c>
      <c r="E20" s="42" t="s">
        <v>3037</v>
      </c>
      <c r="F20" s="42">
        <v>674</v>
      </c>
      <c r="G20" s="42"/>
      <c r="H20" s="42">
        <v>4850</v>
      </c>
      <c r="I20" s="42">
        <v>100</v>
      </c>
      <c r="J20" s="42">
        <v>0.13</v>
      </c>
      <c r="K20" s="43">
        <f t="shared" ref="K20" si="24">I20*J20</f>
        <v>13</v>
      </c>
      <c r="L20" s="43">
        <f t="shared" ref="L20" si="25">H20-K20</f>
        <v>4837</v>
      </c>
      <c r="M20" s="43"/>
      <c r="N20" s="43">
        <f t="shared" ref="N20" si="26">L20-M20</f>
        <v>4837</v>
      </c>
      <c r="O20" s="43">
        <f t="shared" ref="O20" si="27">H20/1000*70</f>
        <v>339.5</v>
      </c>
      <c r="P20" s="42">
        <v>0</v>
      </c>
      <c r="Q20" s="42">
        <v>16.899999999999999</v>
      </c>
      <c r="R20" s="42">
        <f t="shared" ref="R20" si="28">L20*Q20</f>
        <v>81745.299999999988</v>
      </c>
      <c r="S20" s="62"/>
      <c r="T20" s="62"/>
      <c r="U20" s="62"/>
      <c r="V20" s="62"/>
      <c r="W20" s="62"/>
    </row>
    <row r="21" spans="1:23">
      <c r="A21" s="21"/>
      <c r="B21" s="67"/>
      <c r="C21" s="67"/>
      <c r="D21" s="67"/>
      <c r="E21" s="67"/>
      <c r="F21" s="67"/>
      <c r="G21" s="67"/>
      <c r="H21" s="67"/>
      <c r="I21" s="67"/>
      <c r="J21" s="67"/>
      <c r="K21" s="67"/>
      <c r="L21" s="68"/>
      <c r="M21" s="68"/>
      <c r="N21" s="68"/>
      <c r="O21" s="68"/>
      <c r="P21" s="67"/>
      <c r="Q21" s="67"/>
      <c r="R21" s="62"/>
      <c r="S21" s="62"/>
      <c r="T21" s="62"/>
      <c r="U21" s="62"/>
      <c r="V21" s="62"/>
      <c r="W21" s="62"/>
    </row>
    <row r="22" spans="1:23">
      <c r="A22" s="62"/>
      <c r="B22" s="67"/>
      <c r="C22" s="67"/>
      <c r="D22" s="67"/>
      <c r="E22" s="67"/>
      <c r="F22" s="67"/>
      <c r="G22" s="67"/>
      <c r="H22" s="67"/>
      <c r="I22" s="67"/>
      <c r="J22" s="67"/>
      <c r="K22" s="68"/>
      <c r="L22" s="68"/>
      <c r="M22" s="68"/>
      <c r="N22" s="68"/>
      <c r="O22" s="68"/>
      <c r="P22" s="67"/>
      <c r="Q22" s="67"/>
      <c r="R22" s="62"/>
      <c r="S22" s="62"/>
      <c r="T22" s="62"/>
      <c r="U22" s="62"/>
      <c r="V22" s="62"/>
      <c r="W22" s="62"/>
    </row>
    <row r="23" spans="1:23">
      <c r="A23" s="63"/>
      <c r="B23" s="67"/>
      <c r="C23" s="67"/>
      <c r="D23" s="67"/>
      <c r="E23" s="67"/>
      <c r="F23" s="67"/>
      <c r="G23" s="67"/>
      <c r="H23" s="67"/>
      <c r="I23" s="67"/>
      <c r="J23" s="67"/>
      <c r="K23" s="68"/>
      <c r="L23" s="68">
        <f>SUM(L7:L22)</f>
        <v>77877.070000000007</v>
      </c>
      <c r="M23" s="68"/>
      <c r="N23" s="68"/>
      <c r="O23" s="68"/>
      <c r="P23" s="67"/>
      <c r="Q23" s="62"/>
      <c r="R23" s="62"/>
      <c r="S23" s="62"/>
      <c r="T23" s="62"/>
      <c r="U23" s="62"/>
      <c r="V23" s="62"/>
      <c r="W23" s="62"/>
    </row>
    <row r="24" spans="1:23">
      <c r="A24" s="63"/>
      <c r="B24" s="67"/>
      <c r="C24" s="67"/>
      <c r="D24" s="67"/>
      <c r="E24" s="67"/>
      <c r="F24" s="67"/>
      <c r="G24" s="67"/>
      <c r="H24" s="67"/>
      <c r="I24" s="67"/>
      <c r="J24" s="67"/>
      <c r="K24" s="67"/>
      <c r="L24" s="68"/>
      <c r="M24" s="68"/>
      <c r="N24" s="68"/>
      <c r="O24" s="68"/>
      <c r="P24" s="67"/>
      <c r="Q24" s="62"/>
      <c r="R24" s="62"/>
      <c r="S24" s="62"/>
      <c r="T24" s="62"/>
      <c r="U24" s="62"/>
      <c r="V24" s="62"/>
      <c r="W24" s="62"/>
    </row>
    <row r="25" spans="1:23">
      <c r="A25" s="63"/>
      <c r="B25" s="67"/>
      <c r="C25" s="67"/>
      <c r="D25" s="67"/>
      <c r="E25" s="67"/>
      <c r="F25" s="67"/>
      <c r="G25" s="67"/>
      <c r="H25" s="67"/>
      <c r="I25" s="67"/>
      <c r="J25" s="67"/>
      <c r="K25" s="68"/>
      <c r="L25" s="68"/>
      <c r="M25" s="68"/>
      <c r="N25" s="68"/>
      <c r="O25" s="68"/>
      <c r="P25" s="67"/>
      <c r="Q25" s="62"/>
      <c r="R25" s="62"/>
      <c r="S25" s="62"/>
      <c r="T25" s="62"/>
      <c r="U25" s="62"/>
      <c r="V25" s="62"/>
      <c r="W25" s="62"/>
    </row>
    <row r="26" spans="1:23">
      <c r="A26" s="63"/>
      <c r="B26" s="67"/>
      <c r="C26" s="67"/>
      <c r="D26" s="67"/>
      <c r="E26" s="67"/>
      <c r="F26" s="67"/>
      <c r="G26" s="67"/>
      <c r="H26" s="67"/>
      <c r="I26" s="67"/>
      <c r="J26" s="67"/>
      <c r="K26" s="68"/>
      <c r="L26" s="68"/>
      <c r="M26" s="68"/>
      <c r="N26" s="68"/>
      <c r="O26" s="68"/>
      <c r="P26" s="67"/>
      <c r="Q26" s="62"/>
      <c r="R26" s="62"/>
      <c r="S26" s="62"/>
      <c r="T26" s="62"/>
      <c r="U26" s="62"/>
      <c r="V26" s="62"/>
      <c r="W26" s="62"/>
    </row>
    <row r="27" spans="1:23">
      <c r="A27" s="63"/>
      <c r="B27" s="67"/>
      <c r="C27" s="67"/>
      <c r="D27" s="67"/>
      <c r="E27" s="67"/>
      <c r="F27" s="67"/>
      <c r="G27" s="67"/>
      <c r="H27" s="67"/>
      <c r="I27" s="67"/>
      <c r="J27" s="67"/>
      <c r="K27" s="67"/>
      <c r="L27" s="68"/>
      <c r="M27" s="68"/>
      <c r="N27" s="68"/>
      <c r="O27" s="68"/>
      <c r="P27" s="67"/>
      <c r="Q27" s="62"/>
      <c r="R27" s="62"/>
      <c r="S27" s="62"/>
      <c r="T27" s="62"/>
      <c r="U27" s="62"/>
      <c r="V27" s="62"/>
      <c r="W27" s="62"/>
    </row>
    <row r="28" spans="1:23">
      <c r="A28" s="63"/>
      <c r="B28" s="67"/>
      <c r="C28" s="67"/>
      <c r="D28" s="67"/>
      <c r="E28" s="67"/>
      <c r="F28" s="67"/>
      <c r="G28" s="67"/>
      <c r="H28" s="67"/>
      <c r="I28" s="67"/>
      <c r="J28" s="67"/>
      <c r="K28" s="67"/>
      <c r="L28" s="68"/>
      <c r="M28" s="68"/>
      <c r="N28" s="68"/>
      <c r="O28" s="68"/>
      <c r="P28" s="67"/>
      <c r="Q28" s="62"/>
      <c r="R28" s="62"/>
      <c r="S28" s="62"/>
      <c r="T28" s="62"/>
      <c r="U28" s="62"/>
      <c r="V28" s="62"/>
      <c r="W28" s="62"/>
    </row>
    <row r="29" spans="1:23">
      <c r="A29" s="63"/>
      <c r="B29" s="67"/>
      <c r="C29" s="67"/>
      <c r="D29" s="67"/>
      <c r="E29" s="67"/>
      <c r="F29" s="67"/>
      <c r="G29" s="67"/>
      <c r="H29" s="67"/>
      <c r="I29" s="67"/>
      <c r="J29" s="67"/>
      <c r="K29" s="67"/>
      <c r="L29" s="68"/>
      <c r="M29" s="68"/>
      <c r="N29" s="68"/>
      <c r="O29" s="68"/>
      <c r="P29" s="67"/>
      <c r="Q29" s="62"/>
      <c r="R29" s="62"/>
      <c r="S29" s="62"/>
      <c r="T29" s="62"/>
      <c r="U29" s="62"/>
      <c r="V29" s="62"/>
      <c r="W29" s="62"/>
    </row>
    <row r="30" spans="1:23">
      <c r="A30" s="63"/>
      <c r="B30" s="67"/>
      <c r="C30" s="67"/>
      <c r="D30" s="67"/>
      <c r="E30" s="67"/>
      <c r="F30" s="67"/>
      <c r="G30" s="67"/>
      <c r="H30" s="67"/>
      <c r="I30" s="67"/>
      <c r="J30" s="67"/>
      <c r="K30" s="68"/>
      <c r="L30" s="68"/>
      <c r="M30" s="68"/>
      <c r="N30" s="68"/>
      <c r="O30" s="68"/>
      <c r="P30" s="67"/>
      <c r="Q30" s="62"/>
      <c r="R30" s="62"/>
      <c r="S30" s="62"/>
      <c r="T30" s="62"/>
      <c r="U30" s="62"/>
      <c r="V30" s="62"/>
      <c r="W30" s="62"/>
    </row>
    <row r="31" spans="1:23">
      <c r="A31" s="63"/>
      <c r="B31" s="67"/>
      <c r="C31" s="67"/>
      <c r="D31" s="67"/>
      <c r="E31" s="67"/>
      <c r="F31" s="67"/>
      <c r="G31" s="67"/>
      <c r="H31" s="67"/>
      <c r="I31" s="67"/>
      <c r="J31" s="67"/>
      <c r="K31" s="67"/>
      <c r="L31" s="68"/>
      <c r="M31" s="68"/>
      <c r="N31" s="68"/>
      <c r="O31" s="68"/>
      <c r="P31" s="67"/>
      <c r="Q31" s="62"/>
      <c r="R31" s="62"/>
      <c r="S31" s="62"/>
      <c r="T31" s="62"/>
      <c r="U31" s="62"/>
      <c r="V31" s="62"/>
      <c r="W31" s="62"/>
    </row>
    <row r="32" spans="1:23">
      <c r="A32" s="63"/>
      <c r="B32" s="67"/>
      <c r="C32" s="67"/>
      <c r="D32" s="67"/>
      <c r="E32" s="67"/>
      <c r="F32" s="67"/>
      <c r="G32" s="67"/>
      <c r="H32" s="67"/>
      <c r="I32" s="67"/>
      <c r="J32" s="67"/>
      <c r="K32" s="68"/>
      <c r="L32" s="68"/>
      <c r="M32" s="68"/>
      <c r="N32" s="68"/>
      <c r="O32" s="68"/>
      <c r="P32" s="67"/>
      <c r="Q32" s="62"/>
      <c r="R32" s="62"/>
      <c r="S32" s="62"/>
      <c r="T32" s="62"/>
      <c r="U32" s="62"/>
      <c r="V32" s="62"/>
      <c r="W32" s="62"/>
    </row>
    <row r="33" spans="1:23">
      <c r="A33" s="63"/>
      <c r="B33" s="67"/>
      <c r="C33" s="67"/>
      <c r="D33" s="67"/>
      <c r="E33" s="67"/>
      <c r="F33" s="67"/>
      <c r="G33" s="67"/>
      <c r="H33" s="67"/>
      <c r="I33" s="67"/>
      <c r="J33" s="67"/>
      <c r="K33" s="67"/>
      <c r="L33" s="68"/>
      <c r="M33" s="68"/>
      <c r="N33" s="68"/>
      <c r="O33" s="68"/>
      <c r="P33" s="67"/>
      <c r="Q33" s="62"/>
      <c r="R33" s="62"/>
      <c r="S33" s="62"/>
      <c r="T33" s="62"/>
      <c r="U33" s="62"/>
      <c r="V33" s="62"/>
      <c r="W33" s="62"/>
    </row>
    <row r="34" spans="1:23">
      <c r="A34" s="63"/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8"/>
      <c r="M34" s="68"/>
      <c r="N34" s="68"/>
      <c r="O34" s="68"/>
      <c r="P34" s="67"/>
      <c r="Q34" s="62"/>
      <c r="R34" s="62"/>
      <c r="S34" s="62"/>
      <c r="T34" s="62"/>
      <c r="U34" s="62"/>
      <c r="V34" s="62"/>
      <c r="W34" s="62"/>
    </row>
    <row r="35" spans="1:23">
      <c r="A35" s="63"/>
      <c r="B35" s="67"/>
      <c r="C35" s="67"/>
      <c r="D35" s="67"/>
      <c r="E35" s="67"/>
      <c r="F35" s="67"/>
      <c r="G35" s="67"/>
      <c r="H35" s="67"/>
      <c r="I35" s="67"/>
      <c r="J35" s="67"/>
      <c r="K35" s="68"/>
      <c r="L35" s="68"/>
      <c r="M35" s="68"/>
      <c r="N35" s="68"/>
      <c r="O35" s="68"/>
      <c r="P35" s="67"/>
      <c r="Q35" s="62"/>
      <c r="R35" s="62"/>
      <c r="S35" s="62"/>
      <c r="T35" s="62"/>
      <c r="U35" s="62"/>
      <c r="V35" s="62"/>
      <c r="W35" s="62"/>
    </row>
    <row r="36" spans="1:23">
      <c r="A36" s="63"/>
      <c r="B36" s="67"/>
      <c r="C36" s="67"/>
      <c r="D36" s="67"/>
      <c r="E36" s="67"/>
      <c r="F36" s="67"/>
      <c r="G36" s="67"/>
      <c r="H36" s="67"/>
      <c r="I36" s="67"/>
      <c r="J36" s="67"/>
      <c r="K36" s="68"/>
      <c r="L36" s="68"/>
      <c r="M36" s="68"/>
      <c r="N36" s="68"/>
      <c r="O36" s="68"/>
      <c r="P36" s="67"/>
      <c r="Q36" s="62"/>
      <c r="R36" s="62"/>
      <c r="S36" s="62"/>
      <c r="T36" s="62"/>
      <c r="U36" s="62"/>
      <c r="V36" s="62"/>
      <c r="W36" s="62"/>
    </row>
    <row r="37" spans="1:23">
      <c r="A37" s="63"/>
      <c r="B37" s="67"/>
      <c r="C37" s="67"/>
      <c r="D37" s="67"/>
      <c r="E37" s="67"/>
      <c r="F37" s="67"/>
      <c r="G37" s="67"/>
      <c r="H37" s="67"/>
      <c r="I37" s="67"/>
      <c r="J37" s="67"/>
      <c r="K37" s="68"/>
      <c r="L37" s="68"/>
      <c r="M37" s="68"/>
      <c r="N37" s="68"/>
      <c r="O37" s="68"/>
      <c r="P37" s="67"/>
      <c r="Q37" s="62"/>
      <c r="R37" s="62"/>
      <c r="S37" s="62"/>
      <c r="T37" s="62"/>
      <c r="U37" s="62"/>
      <c r="V37" s="62"/>
      <c r="W37" s="62"/>
    </row>
    <row r="38" spans="1:23">
      <c r="A38" s="63"/>
      <c r="B38" s="67"/>
      <c r="C38" s="67"/>
      <c r="D38" s="67"/>
      <c r="E38" s="67"/>
      <c r="F38" s="67"/>
      <c r="G38" s="67"/>
      <c r="H38" s="67"/>
      <c r="I38" s="67"/>
      <c r="J38" s="67"/>
      <c r="K38" s="68"/>
      <c r="L38" s="68"/>
      <c r="M38" s="68"/>
      <c r="N38" s="68"/>
      <c r="O38" s="68"/>
      <c r="P38" s="67"/>
      <c r="Q38" s="62"/>
      <c r="R38" s="62"/>
      <c r="S38" s="62"/>
      <c r="T38" s="62"/>
      <c r="U38" s="62"/>
      <c r="V38" s="62"/>
      <c r="W38" s="62"/>
    </row>
    <row r="39" spans="1:23">
      <c r="A39" s="63"/>
      <c r="B39" s="67"/>
      <c r="C39" s="67"/>
      <c r="D39" s="67"/>
      <c r="E39" s="67"/>
      <c r="F39" s="67"/>
      <c r="G39" s="67"/>
      <c r="H39" s="67"/>
      <c r="I39" s="67"/>
      <c r="J39" s="67"/>
      <c r="K39" s="68"/>
      <c r="L39" s="68"/>
      <c r="M39" s="68"/>
      <c r="N39" s="68"/>
      <c r="O39" s="68"/>
      <c r="P39" s="67"/>
      <c r="Q39" s="62"/>
      <c r="R39" s="62"/>
      <c r="S39" s="62"/>
      <c r="T39" s="62"/>
      <c r="U39" s="62"/>
      <c r="V39" s="62"/>
      <c r="W39" s="62"/>
    </row>
    <row r="40" spans="1:23">
      <c r="A40" s="63"/>
      <c r="B40" s="67"/>
      <c r="C40" s="67"/>
      <c r="D40" s="67"/>
      <c r="E40" s="67"/>
      <c r="F40" s="67"/>
      <c r="G40" s="67"/>
      <c r="H40" s="67"/>
      <c r="I40" s="67"/>
      <c r="J40" s="67"/>
      <c r="K40" s="68"/>
      <c r="L40" s="68"/>
      <c r="M40" s="68"/>
      <c r="N40" s="68"/>
      <c r="O40" s="68"/>
      <c r="P40" s="67"/>
      <c r="Q40" s="62"/>
      <c r="R40" s="62"/>
      <c r="S40" s="62"/>
      <c r="T40" s="62"/>
      <c r="U40" s="62"/>
      <c r="V40" s="62"/>
      <c r="W40" s="62"/>
    </row>
    <row r="41" spans="1:23">
      <c r="A41" s="63"/>
      <c r="B41" s="67"/>
      <c r="C41" s="67"/>
      <c r="D41" s="67"/>
      <c r="E41" s="67"/>
      <c r="F41" s="67"/>
      <c r="G41" s="67"/>
      <c r="H41" s="67"/>
      <c r="I41" s="67"/>
      <c r="J41" s="67"/>
      <c r="K41" s="68"/>
      <c r="L41" s="68"/>
      <c r="M41" s="68"/>
      <c r="N41" s="68"/>
      <c r="O41" s="68"/>
      <c r="P41" s="67"/>
      <c r="Q41" s="62"/>
      <c r="R41" s="62"/>
      <c r="S41" s="62"/>
      <c r="T41" s="62"/>
      <c r="U41" s="62"/>
      <c r="V41" s="62"/>
      <c r="W41" s="62"/>
    </row>
    <row r="42" spans="1:23">
      <c r="A42" s="63"/>
      <c r="B42" s="67"/>
      <c r="C42" s="67"/>
      <c r="D42" s="67"/>
      <c r="E42" s="67"/>
      <c r="F42" s="67"/>
      <c r="G42" s="67"/>
      <c r="H42" s="67"/>
      <c r="I42" s="67"/>
      <c r="J42" s="67"/>
      <c r="K42" s="68"/>
      <c r="L42" s="68"/>
      <c r="M42" s="68"/>
      <c r="N42" s="68"/>
      <c r="O42" s="68"/>
      <c r="P42" s="67"/>
      <c r="Q42" s="62"/>
      <c r="R42" s="62"/>
      <c r="S42" s="62"/>
      <c r="T42" s="62"/>
      <c r="U42" s="62"/>
      <c r="V42" s="62"/>
      <c r="W42" s="62"/>
    </row>
    <row r="43" spans="1:23">
      <c r="A43" s="63"/>
      <c r="B43" s="67"/>
      <c r="C43" s="67"/>
      <c r="D43" s="67"/>
      <c r="E43" s="67"/>
      <c r="F43" s="67"/>
      <c r="G43" s="67"/>
      <c r="H43" s="67"/>
      <c r="I43" s="67"/>
      <c r="J43" s="67"/>
      <c r="K43" s="68"/>
      <c r="L43" s="68"/>
      <c r="M43" s="68"/>
      <c r="N43" s="68"/>
      <c r="O43" s="68"/>
      <c r="P43" s="67"/>
      <c r="Q43" s="62"/>
      <c r="R43" s="62"/>
      <c r="S43" s="62"/>
      <c r="T43" s="62"/>
      <c r="U43" s="62"/>
      <c r="V43" s="62"/>
      <c r="W43" s="62"/>
    </row>
    <row r="44" spans="1:23">
      <c r="A44" s="63"/>
      <c r="B44" s="67"/>
      <c r="C44" s="67"/>
      <c r="D44" s="67"/>
      <c r="E44" s="67"/>
      <c r="F44" s="67"/>
      <c r="G44" s="67"/>
      <c r="H44" s="67"/>
      <c r="I44" s="67"/>
      <c r="J44" s="67"/>
      <c r="K44" s="68"/>
      <c r="L44" s="68"/>
      <c r="M44" s="68"/>
      <c r="N44" s="68"/>
      <c r="O44" s="68"/>
      <c r="P44" s="67"/>
      <c r="Q44" s="62"/>
      <c r="R44" s="62"/>
      <c r="S44" s="62"/>
      <c r="T44" s="62"/>
      <c r="U44" s="62"/>
      <c r="V44" s="62"/>
      <c r="W44" s="62"/>
    </row>
    <row r="45" spans="1:23">
      <c r="A45" s="63"/>
      <c r="B45" s="67"/>
      <c r="C45" s="67"/>
      <c r="D45" s="67"/>
      <c r="E45" s="67"/>
      <c r="F45" s="98"/>
      <c r="G45" s="98"/>
      <c r="H45" s="98"/>
      <c r="I45" s="98"/>
      <c r="J45" s="98"/>
      <c r="K45" s="68"/>
      <c r="L45" s="68"/>
      <c r="M45" s="68"/>
      <c r="N45" s="68"/>
      <c r="O45" s="68"/>
      <c r="P45" s="99"/>
      <c r="Q45" s="62"/>
      <c r="R45" s="62"/>
      <c r="S45" s="62"/>
      <c r="T45" s="62"/>
      <c r="U45" s="62"/>
      <c r="V45" s="62"/>
      <c r="W45" s="62"/>
    </row>
    <row r="46" spans="1:23">
      <c r="A46" s="63"/>
      <c r="B46" s="67"/>
      <c r="C46" s="67"/>
      <c r="D46" s="67"/>
      <c r="E46" s="67"/>
      <c r="F46" s="67"/>
      <c r="G46" s="67"/>
      <c r="H46" s="67"/>
      <c r="I46" s="67"/>
      <c r="J46" s="67"/>
      <c r="K46" s="68"/>
      <c r="L46" s="68"/>
      <c r="M46" s="68"/>
      <c r="N46" s="68"/>
      <c r="O46" s="68"/>
      <c r="P46" s="67"/>
      <c r="Q46" s="62"/>
      <c r="R46" s="62"/>
      <c r="S46" s="62"/>
      <c r="T46" s="62"/>
      <c r="U46" s="62"/>
      <c r="V46" s="62"/>
      <c r="W46" s="62"/>
    </row>
    <row r="47" spans="1:23">
      <c r="A47" s="63"/>
      <c r="B47" s="67"/>
      <c r="C47" s="67"/>
      <c r="D47" s="67"/>
      <c r="E47" s="67"/>
      <c r="F47" s="67"/>
      <c r="G47" s="67"/>
      <c r="H47" s="67"/>
      <c r="I47" s="67"/>
      <c r="J47" s="67"/>
      <c r="K47" s="68"/>
      <c r="L47" s="68"/>
      <c r="M47" s="68"/>
      <c r="N47" s="68"/>
      <c r="O47" s="68"/>
      <c r="P47" s="67"/>
      <c r="Q47" s="62"/>
      <c r="R47" s="62"/>
      <c r="S47" s="62"/>
      <c r="T47" s="62"/>
      <c r="U47" s="62"/>
      <c r="V47" s="62"/>
      <c r="W47" s="62"/>
    </row>
    <row r="48" spans="1:23">
      <c r="A48" s="63"/>
      <c r="B48" s="67"/>
      <c r="C48" s="67"/>
      <c r="D48" s="67"/>
      <c r="E48" s="67"/>
      <c r="F48" s="67"/>
      <c r="G48" s="67"/>
      <c r="H48" s="67"/>
      <c r="I48" s="67"/>
      <c r="J48" s="67"/>
      <c r="K48" s="68"/>
      <c r="L48" s="68"/>
      <c r="M48" s="68"/>
      <c r="N48" s="68"/>
      <c r="O48" s="68"/>
      <c r="P48" s="67"/>
      <c r="Q48" s="62"/>
      <c r="R48" s="62"/>
      <c r="S48" s="62"/>
      <c r="T48" s="62"/>
      <c r="U48" s="62"/>
      <c r="V48" s="62"/>
      <c r="W48" s="62"/>
    </row>
    <row r="49" spans="1:23">
      <c r="A49" s="63"/>
      <c r="B49" s="67"/>
      <c r="C49" s="67"/>
      <c r="D49" s="67"/>
      <c r="E49" s="67"/>
      <c r="F49" s="67"/>
      <c r="G49" s="67"/>
      <c r="H49" s="67"/>
      <c r="I49" s="67"/>
      <c r="J49" s="67"/>
      <c r="K49" s="68"/>
      <c r="L49" s="68"/>
      <c r="M49" s="68"/>
      <c r="N49" s="68"/>
      <c r="O49" s="68"/>
      <c r="P49" s="67"/>
      <c r="Q49" s="62"/>
      <c r="R49" s="62"/>
      <c r="S49" s="62"/>
      <c r="T49" s="62"/>
      <c r="U49" s="62"/>
      <c r="V49" s="62"/>
      <c r="W49" s="62"/>
    </row>
    <row r="50" spans="1:23">
      <c r="A50" s="63"/>
      <c r="B50" s="67"/>
      <c r="C50" s="67"/>
      <c r="D50" s="67"/>
      <c r="E50" s="67"/>
      <c r="F50" s="67"/>
      <c r="G50" s="67"/>
      <c r="H50" s="67"/>
      <c r="I50" s="67"/>
      <c r="J50" s="67"/>
      <c r="K50" s="68"/>
      <c r="L50" s="68"/>
      <c r="M50" s="68"/>
      <c r="N50" s="68"/>
      <c r="O50" s="68"/>
      <c r="P50" s="67"/>
      <c r="Q50" s="62"/>
      <c r="R50" s="62"/>
      <c r="S50" s="62"/>
      <c r="T50" s="62"/>
      <c r="U50" s="62"/>
      <c r="V50" s="62"/>
      <c r="W50" s="62"/>
    </row>
    <row r="51" spans="1:23">
      <c r="A51" s="63"/>
      <c r="B51" s="67"/>
      <c r="C51" s="67"/>
      <c r="D51" s="67"/>
      <c r="E51" s="67"/>
      <c r="F51" s="67"/>
      <c r="G51" s="67"/>
      <c r="H51" s="67"/>
      <c r="I51" s="67"/>
      <c r="J51" s="67"/>
      <c r="K51" s="68"/>
      <c r="L51" s="68"/>
      <c r="M51" s="68"/>
      <c r="N51" s="68"/>
      <c r="O51" s="68"/>
      <c r="P51" s="67"/>
      <c r="Q51" s="62"/>
      <c r="R51" s="62"/>
      <c r="S51" s="62"/>
      <c r="T51" s="62"/>
      <c r="U51" s="62"/>
      <c r="V51" s="62"/>
      <c r="W51" s="62"/>
    </row>
    <row r="52" spans="1:23">
      <c r="A52" s="63"/>
      <c r="B52" s="67"/>
      <c r="C52" s="67"/>
      <c r="D52" s="67"/>
      <c r="E52" s="67"/>
      <c r="F52" s="67"/>
      <c r="G52" s="67"/>
      <c r="H52" s="67"/>
      <c r="I52" s="67"/>
      <c r="J52" s="67"/>
      <c r="K52" s="68"/>
      <c r="L52" s="68"/>
      <c r="M52" s="68"/>
      <c r="N52" s="68"/>
      <c r="O52" s="68"/>
      <c r="P52" s="149"/>
      <c r="Q52" s="62"/>
      <c r="R52" s="62"/>
      <c r="S52" s="62"/>
      <c r="T52" s="62"/>
      <c r="U52" s="62"/>
      <c r="V52" s="62"/>
      <c r="W52" s="62"/>
    </row>
    <row r="53" spans="1:23">
      <c r="A53" s="63"/>
      <c r="B53" s="67"/>
      <c r="C53" s="67"/>
      <c r="D53" s="67"/>
      <c r="E53" s="67"/>
      <c r="F53" s="67"/>
      <c r="G53" s="67"/>
      <c r="H53" s="67"/>
      <c r="I53" s="67"/>
      <c r="J53" s="67"/>
      <c r="K53" s="68"/>
      <c r="L53" s="68"/>
      <c r="M53" s="68"/>
      <c r="N53" s="68"/>
      <c r="O53" s="68"/>
      <c r="P53" s="149"/>
      <c r="Q53" s="62"/>
      <c r="R53" s="62"/>
      <c r="S53" s="62"/>
      <c r="T53" s="62"/>
      <c r="U53" s="62"/>
      <c r="V53" s="62"/>
      <c r="W53" s="62"/>
    </row>
    <row r="54" spans="1:23">
      <c r="A54" s="63"/>
      <c r="B54" s="67"/>
      <c r="C54" s="67"/>
      <c r="D54" s="67"/>
      <c r="E54" s="67"/>
      <c r="F54" s="67"/>
      <c r="G54" s="67"/>
      <c r="H54" s="67"/>
      <c r="I54" s="67"/>
      <c r="J54" s="67"/>
      <c r="K54" s="68"/>
      <c r="L54" s="68"/>
      <c r="M54" s="68"/>
      <c r="N54" s="68"/>
      <c r="O54" s="68"/>
      <c r="P54" s="149"/>
      <c r="Q54" s="62"/>
      <c r="R54" s="62"/>
      <c r="S54" s="62"/>
      <c r="T54" s="62"/>
      <c r="U54" s="62"/>
      <c r="V54" s="62"/>
      <c r="W54" s="62"/>
    </row>
    <row r="55" spans="1:23">
      <c r="A55" s="63"/>
      <c r="B55" s="67"/>
      <c r="C55" s="67"/>
      <c r="D55" s="67"/>
      <c r="E55" s="67"/>
      <c r="F55" s="67"/>
      <c r="G55" s="67"/>
      <c r="H55" s="67"/>
      <c r="I55" s="67"/>
      <c r="J55" s="67"/>
      <c r="K55" s="68"/>
      <c r="L55" s="68"/>
      <c r="M55" s="68"/>
      <c r="N55" s="68"/>
      <c r="O55" s="68"/>
      <c r="P55" s="149"/>
      <c r="Q55" s="62"/>
      <c r="R55" s="62"/>
      <c r="S55" s="62"/>
      <c r="T55" s="62"/>
      <c r="U55" s="62"/>
      <c r="V55" s="62"/>
      <c r="W55" s="62"/>
    </row>
    <row r="56" spans="1:23">
      <c r="A56" s="63"/>
      <c r="B56" s="67"/>
      <c r="C56" s="67"/>
      <c r="D56" s="67"/>
      <c r="E56" s="67"/>
      <c r="F56" s="67"/>
      <c r="G56" s="67"/>
      <c r="H56" s="67"/>
      <c r="I56" s="67"/>
      <c r="J56" s="67"/>
      <c r="K56" s="68"/>
      <c r="L56" s="68"/>
      <c r="M56" s="68"/>
      <c r="N56" s="68"/>
      <c r="O56" s="68"/>
      <c r="P56" s="149"/>
      <c r="Q56" s="62"/>
      <c r="R56" s="62"/>
      <c r="S56" s="62"/>
      <c r="T56" s="62"/>
      <c r="U56" s="62"/>
      <c r="V56" s="62"/>
      <c r="W56" s="62"/>
    </row>
    <row r="57" spans="1:23">
      <c r="A57" s="63"/>
      <c r="B57" s="67"/>
      <c r="C57" s="67"/>
      <c r="D57" s="67"/>
      <c r="E57" s="67"/>
      <c r="F57" s="67"/>
      <c r="G57" s="67"/>
      <c r="H57" s="67"/>
      <c r="I57" s="67"/>
      <c r="J57" s="67"/>
      <c r="K57" s="68"/>
      <c r="L57" s="68"/>
      <c r="M57" s="68"/>
      <c r="N57" s="68"/>
      <c r="O57" s="68"/>
      <c r="P57" s="149"/>
      <c r="Q57" s="62"/>
      <c r="R57" s="62"/>
      <c r="S57" s="62"/>
      <c r="T57" s="62"/>
      <c r="U57" s="62"/>
      <c r="V57" s="62"/>
      <c r="W57" s="62"/>
    </row>
    <row r="58" spans="1:23">
      <c r="A58" s="63"/>
      <c r="B58" s="67"/>
      <c r="C58" s="67"/>
      <c r="D58" s="67"/>
      <c r="E58" s="67"/>
      <c r="F58" s="67"/>
      <c r="G58" s="67"/>
      <c r="H58" s="67"/>
      <c r="I58" s="67"/>
      <c r="J58" s="67"/>
      <c r="K58" s="68"/>
      <c r="L58" s="68"/>
      <c r="M58" s="68"/>
      <c r="N58" s="68"/>
      <c r="O58" s="68"/>
      <c r="P58" s="67"/>
      <c r="Q58" s="67"/>
      <c r="R58" s="67"/>
      <c r="S58" s="62"/>
      <c r="T58" s="62"/>
      <c r="U58" s="62"/>
      <c r="V58" s="62"/>
      <c r="W58" s="62"/>
    </row>
    <row r="59" spans="1:23">
      <c r="A59" s="63"/>
      <c r="B59" s="67"/>
      <c r="C59" s="67"/>
      <c r="D59" s="67"/>
      <c r="E59" s="67"/>
      <c r="F59" s="67"/>
      <c r="G59" s="67"/>
      <c r="H59" s="67"/>
      <c r="I59" s="67"/>
      <c r="J59" s="67"/>
      <c r="K59" s="68"/>
      <c r="L59" s="68"/>
      <c r="M59" s="68"/>
      <c r="N59" s="68"/>
      <c r="O59" s="68"/>
      <c r="P59" s="67"/>
      <c r="Q59" s="67"/>
      <c r="R59" s="67"/>
      <c r="S59" s="62"/>
      <c r="T59" s="62"/>
      <c r="U59" s="62"/>
      <c r="V59" s="62"/>
      <c r="W59" s="62"/>
    </row>
    <row r="60" spans="1:23">
      <c r="A60" s="63"/>
      <c r="B60" s="67"/>
      <c r="C60" s="67"/>
      <c r="D60" s="67"/>
      <c r="E60" s="67"/>
      <c r="F60" s="67"/>
      <c r="G60" s="67"/>
      <c r="H60" s="67"/>
      <c r="I60" s="67"/>
      <c r="J60" s="67"/>
      <c r="K60" s="68"/>
      <c r="L60" s="68"/>
      <c r="M60" s="68"/>
      <c r="N60" s="68"/>
      <c r="O60" s="68"/>
      <c r="P60" s="67"/>
      <c r="Q60" s="67"/>
      <c r="R60" s="67"/>
      <c r="S60" s="62"/>
      <c r="T60" s="62"/>
      <c r="U60" s="62"/>
      <c r="V60" s="62"/>
      <c r="W60" s="62"/>
    </row>
    <row r="61" spans="1:23">
      <c r="A61" s="63"/>
      <c r="B61" s="67"/>
      <c r="C61" s="67"/>
      <c r="D61" s="67"/>
      <c r="E61" s="67"/>
      <c r="F61" s="67"/>
      <c r="G61" s="67"/>
      <c r="H61" s="67"/>
      <c r="I61" s="67"/>
      <c r="J61" s="67"/>
      <c r="K61" s="68"/>
      <c r="L61" s="68"/>
      <c r="M61" s="68"/>
      <c r="N61" s="68"/>
      <c r="O61" s="68"/>
      <c r="P61" s="67"/>
      <c r="Q61" s="67"/>
      <c r="R61" s="67"/>
      <c r="S61" s="62"/>
      <c r="T61" s="62"/>
      <c r="U61" s="62"/>
      <c r="V61" s="62"/>
      <c r="W61" s="62"/>
    </row>
    <row r="62" spans="1:23">
      <c r="A62" s="63"/>
      <c r="B62" s="67"/>
      <c r="C62" s="67"/>
      <c r="D62" s="67"/>
      <c r="E62" s="67"/>
      <c r="F62" s="67"/>
      <c r="G62" s="67"/>
      <c r="H62" s="67"/>
      <c r="I62" s="67"/>
      <c r="J62" s="67"/>
      <c r="K62" s="68"/>
      <c r="L62" s="68"/>
      <c r="M62" s="68"/>
      <c r="N62" s="68"/>
      <c r="O62" s="68"/>
      <c r="P62" s="67"/>
      <c r="Q62" s="67"/>
      <c r="R62" s="67"/>
      <c r="S62" s="62"/>
      <c r="T62" s="62"/>
      <c r="U62" s="62"/>
      <c r="V62" s="62"/>
      <c r="W62" s="62"/>
    </row>
    <row r="63" spans="1:23">
      <c r="A63" s="63"/>
      <c r="B63" s="67"/>
      <c r="C63" s="67"/>
      <c r="D63" s="67"/>
      <c r="E63" s="67"/>
      <c r="F63" s="67"/>
      <c r="G63" s="67"/>
      <c r="H63" s="67"/>
      <c r="I63" s="67"/>
      <c r="J63" s="67"/>
      <c r="K63" s="68"/>
      <c r="L63" s="68"/>
      <c r="M63" s="68"/>
      <c r="N63" s="68"/>
      <c r="O63" s="68"/>
      <c r="P63" s="67"/>
      <c r="Q63" s="67"/>
      <c r="R63" s="67"/>
      <c r="S63" s="62"/>
      <c r="T63" s="62"/>
      <c r="U63" s="62"/>
      <c r="V63" s="62"/>
      <c r="W63" s="62"/>
    </row>
    <row r="64" spans="1:23">
      <c r="A64" s="63"/>
      <c r="B64" s="67"/>
      <c r="C64" s="67"/>
      <c r="D64" s="67"/>
      <c r="E64" s="67"/>
      <c r="F64" s="67"/>
      <c r="G64" s="67"/>
      <c r="H64" s="67"/>
      <c r="I64" s="67"/>
      <c r="J64" s="67"/>
      <c r="K64" s="68"/>
      <c r="L64" s="68"/>
      <c r="M64" s="68"/>
      <c r="N64" s="68"/>
      <c r="O64" s="68"/>
      <c r="P64" s="67"/>
      <c r="Q64" s="67"/>
      <c r="R64" s="67"/>
      <c r="S64" s="62"/>
      <c r="T64" s="62"/>
      <c r="U64" s="62"/>
      <c r="V64" s="62"/>
      <c r="W64" s="62"/>
    </row>
    <row r="65" spans="1:23">
      <c r="A65" s="63"/>
      <c r="B65" s="67"/>
      <c r="C65" s="67"/>
      <c r="D65" s="67"/>
      <c r="E65" s="67"/>
      <c r="F65" s="67"/>
      <c r="G65" s="67"/>
      <c r="H65" s="67"/>
      <c r="I65" s="67"/>
      <c r="J65" s="67"/>
      <c r="K65" s="68"/>
      <c r="L65" s="68"/>
      <c r="M65" s="68"/>
      <c r="N65" s="68"/>
      <c r="O65" s="68"/>
      <c r="P65" s="149"/>
      <c r="Q65" s="67"/>
      <c r="R65" s="67"/>
      <c r="S65" s="62"/>
      <c r="T65" s="62"/>
      <c r="U65" s="62"/>
      <c r="V65" s="62"/>
      <c r="W65" s="62"/>
    </row>
    <row r="66" spans="1:23">
      <c r="A66" s="63"/>
      <c r="B66" s="67"/>
      <c r="C66" s="67"/>
      <c r="D66" s="67"/>
      <c r="E66" s="67"/>
      <c r="F66" s="67"/>
      <c r="G66" s="67"/>
      <c r="H66" s="67"/>
      <c r="I66" s="67"/>
      <c r="J66" s="67"/>
      <c r="K66" s="67"/>
      <c r="L66" s="68"/>
      <c r="M66" s="68"/>
      <c r="N66" s="68"/>
      <c r="O66" s="68"/>
      <c r="P66" s="67"/>
      <c r="Q66" s="67"/>
      <c r="R66" s="67"/>
      <c r="S66" s="62"/>
      <c r="T66" s="62"/>
      <c r="U66" s="62"/>
      <c r="V66" s="62"/>
      <c r="W66" s="62"/>
    </row>
    <row r="67" spans="1:23">
      <c r="A67" s="63"/>
      <c r="B67" s="67"/>
      <c r="C67" s="67"/>
      <c r="D67" s="67"/>
      <c r="E67" s="67"/>
      <c r="F67" s="67"/>
      <c r="G67" s="67"/>
      <c r="H67" s="67"/>
      <c r="I67" s="67"/>
      <c r="J67" s="67"/>
      <c r="K67" s="67"/>
      <c r="L67" s="68"/>
      <c r="M67" s="68"/>
      <c r="N67" s="68"/>
      <c r="O67" s="68"/>
      <c r="P67" s="67"/>
      <c r="Q67" s="67"/>
      <c r="R67" s="67"/>
      <c r="S67" s="62"/>
      <c r="T67" s="62"/>
      <c r="U67" s="62"/>
      <c r="V67" s="62"/>
      <c r="W67" s="62"/>
    </row>
    <row r="68" spans="1:23">
      <c r="A68" s="63"/>
      <c r="B68" s="67"/>
      <c r="C68" s="67"/>
      <c r="D68" s="67"/>
      <c r="E68" s="67"/>
      <c r="F68" s="67"/>
      <c r="G68" s="67"/>
      <c r="H68" s="67"/>
      <c r="I68" s="67"/>
      <c r="J68" s="67"/>
      <c r="K68" s="67"/>
      <c r="L68" s="68"/>
      <c r="M68" s="68"/>
      <c r="N68" s="68"/>
      <c r="O68" s="68"/>
      <c r="P68" s="67"/>
      <c r="Q68" s="67"/>
      <c r="R68" s="67"/>
      <c r="S68" s="62"/>
      <c r="T68" s="62"/>
      <c r="U68" s="62"/>
      <c r="V68" s="62"/>
      <c r="W68" s="62"/>
    </row>
    <row r="69" spans="1:23">
      <c r="A69" s="63"/>
      <c r="B69" s="67"/>
      <c r="C69" s="67"/>
      <c r="D69" s="67"/>
      <c r="E69" s="67"/>
      <c r="F69" s="67"/>
      <c r="G69" s="67"/>
      <c r="H69" s="67"/>
      <c r="I69" s="67"/>
      <c r="J69" s="67"/>
      <c r="K69" s="67"/>
      <c r="L69" s="68"/>
      <c r="M69" s="68"/>
      <c r="N69" s="68"/>
      <c r="O69" s="68"/>
      <c r="P69" s="67"/>
      <c r="Q69" s="67"/>
      <c r="R69" s="67"/>
      <c r="S69" s="62"/>
      <c r="T69" s="62"/>
      <c r="U69" s="62"/>
      <c r="V69" s="62"/>
      <c r="W69" s="62"/>
    </row>
    <row r="70" spans="1:23">
      <c r="A70" s="63"/>
      <c r="B70" s="67"/>
      <c r="C70" s="67"/>
      <c r="D70" s="67"/>
      <c r="E70" s="67"/>
      <c r="F70" s="67"/>
      <c r="G70" s="67"/>
      <c r="H70" s="67"/>
      <c r="I70" s="67"/>
      <c r="J70" s="67"/>
      <c r="K70" s="67"/>
      <c r="L70" s="68"/>
      <c r="M70" s="68"/>
      <c r="N70" s="68"/>
      <c r="O70" s="68"/>
      <c r="P70" s="67"/>
      <c r="Q70" s="67"/>
      <c r="R70" s="67"/>
      <c r="S70" s="62"/>
      <c r="T70" s="62"/>
      <c r="U70" s="62"/>
      <c r="V70" s="62"/>
      <c r="W70" s="62"/>
    </row>
    <row r="71" spans="1:23">
      <c r="A71" s="63"/>
      <c r="B71" s="67"/>
      <c r="C71" s="67"/>
      <c r="D71" s="67"/>
      <c r="E71" s="67"/>
      <c r="F71" s="67"/>
      <c r="G71" s="67"/>
      <c r="H71" s="67"/>
      <c r="I71" s="67"/>
      <c r="J71" s="67"/>
      <c r="K71" s="67"/>
      <c r="L71" s="68"/>
      <c r="M71" s="68"/>
      <c r="N71" s="68"/>
      <c r="O71" s="68"/>
      <c r="P71" s="67"/>
      <c r="Q71" s="67"/>
      <c r="R71" s="67"/>
      <c r="S71" s="62"/>
      <c r="T71" s="62"/>
      <c r="U71" s="62"/>
      <c r="V71" s="62"/>
      <c r="W71" s="62"/>
    </row>
    <row r="72" spans="1:23">
      <c r="A72" s="63"/>
      <c r="B72" s="67"/>
      <c r="C72" s="67"/>
      <c r="D72" s="67"/>
      <c r="E72" s="67"/>
      <c r="F72" s="67"/>
      <c r="G72" s="67"/>
      <c r="H72" s="67"/>
      <c r="I72" s="67"/>
      <c r="J72" s="67"/>
      <c r="K72" s="67"/>
      <c r="L72" s="68"/>
      <c r="M72" s="68"/>
      <c r="N72" s="68"/>
      <c r="O72" s="68"/>
      <c r="P72" s="67"/>
      <c r="Q72" s="67"/>
      <c r="R72" s="67"/>
      <c r="S72" s="62"/>
      <c r="T72" s="62"/>
      <c r="U72" s="62"/>
      <c r="V72" s="62"/>
      <c r="W72" s="62"/>
    </row>
    <row r="73" spans="1:23">
      <c r="A73" s="62"/>
      <c r="B73" s="67"/>
      <c r="C73" s="67"/>
      <c r="D73" s="67"/>
      <c r="E73" s="67"/>
      <c r="F73" s="67"/>
      <c r="G73" s="67"/>
      <c r="H73" s="67"/>
      <c r="I73" s="67"/>
      <c r="J73" s="67"/>
      <c r="K73" s="67"/>
      <c r="L73" s="68"/>
      <c r="M73" s="68"/>
      <c r="N73" s="68"/>
      <c r="O73" s="68"/>
      <c r="P73" s="67"/>
      <c r="Q73" s="67"/>
      <c r="R73" s="67"/>
      <c r="S73" s="62"/>
      <c r="T73" s="62"/>
      <c r="U73" s="62"/>
      <c r="V73" s="62"/>
      <c r="W73" s="62"/>
    </row>
    <row r="74" spans="1:23">
      <c r="A74" s="63"/>
      <c r="B74" s="67"/>
      <c r="C74" s="67"/>
      <c r="D74" s="67"/>
      <c r="E74" s="67"/>
      <c r="F74" s="67"/>
      <c r="G74" s="67"/>
      <c r="H74" s="67"/>
      <c r="I74" s="67"/>
      <c r="J74" s="67"/>
      <c r="K74" s="67"/>
      <c r="L74" s="68"/>
      <c r="M74" s="68"/>
      <c r="N74" s="68"/>
      <c r="O74" s="68"/>
      <c r="P74" s="67"/>
      <c r="Q74" s="67"/>
      <c r="R74" s="67"/>
      <c r="S74" s="62"/>
      <c r="T74" s="62"/>
      <c r="U74" s="62"/>
      <c r="V74" s="62"/>
      <c r="W74" s="62"/>
    </row>
    <row r="75" spans="1:23">
      <c r="A75" s="63"/>
      <c r="B75" s="67"/>
      <c r="C75" s="67"/>
      <c r="D75" s="67"/>
      <c r="E75" s="67"/>
      <c r="F75" s="67"/>
      <c r="G75" s="67"/>
      <c r="H75" s="67"/>
      <c r="I75" s="67"/>
      <c r="J75" s="67"/>
      <c r="K75" s="67"/>
      <c r="L75" s="68"/>
      <c r="M75" s="68"/>
      <c r="N75" s="68"/>
      <c r="O75" s="68"/>
      <c r="P75" s="67"/>
      <c r="Q75" s="67"/>
      <c r="R75" s="67"/>
      <c r="S75" s="62"/>
      <c r="T75" s="62"/>
      <c r="U75" s="62"/>
      <c r="V75" s="62"/>
      <c r="W75" s="62"/>
    </row>
    <row r="76" spans="1:23">
      <c r="A76" s="63"/>
      <c r="B76" s="67"/>
      <c r="C76" s="67"/>
      <c r="D76" s="67"/>
      <c r="E76" s="67"/>
      <c r="F76" s="67"/>
      <c r="G76" s="67"/>
      <c r="H76" s="67"/>
      <c r="I76" s="67"/>
      <c r="J76" s="67"/>
      <c r="K76" s="67"/>
      <c r="L76" s="68"/>
      <c r="M76" s="68"/>
      <c r="N76" s="68"/>
      <c r="O76" s="68"/>
      <c r="P76" s="67"/>
      <c r="Q76" s="67"/>
      <c r="R76" s="67"/>
      <c r="S76" s="62"/>
      <c r="T76" s="62"/>
      <c r="U76" s="62"/>
      <c r="V76" s="62"/>
      <c r="W76" s="62"/>
    </row>
    <row r="77" spans="1:23">
      <c r="A77" s="63"/>
      <c r="B77" s="67"/>
      <c r="C77" s="67"/>
      <c r="D77" s="67"/>
      <c r="E77" s="67"/>
      <c r="F77" s="67"/>
      <c r="G77" s="67"/>
      <c r="H77" s="67"/>
      <c r="I77" s="67"/>
      <c r="J77" s="67"/>
      <c r="K77" s="67"/>
      <c r="L77" s="68"/>
      <c r="M77" s="68"/>
      <c r="N77" s="68"/>
      <c r="O77" s="68"/>
      <c r="P77" s="67"/>
      <c r="Q77" s="67"/>
      <c r="R77" s="67"/>
      <c r="S77" s="62"/>
      <c r="T77" s="62"/>
      <c r="U77" s="62"/>
      <c r="V77" s="62"/>
      <c r="W77" s="62"/>
    </row>
    <row r="78" spans="1:23">
      <c r="A78" s="63"/>
      <c r="B78" s="67"/>
      <c r="C78" s="67"/>
      <c r="D78" s="67"/>
      <c r="E78" s="67"/>
      <c r="F78" s="67"/>
      <c r="G78" s="67"/>
      <c r="H78" s="67"/>
      <c r="I78" s="67"/>
      <c r="J78" s="67"/>
      <c r="K78" s="67"/>
      <c r="L78" s="68"/>
      <c r="M78" s="68"/>
      <c r="N78" s="68"/>
      <c r="O78" s="68"/>
      <c r="P78" s="67"/>
      <c r="Q78" s="67"/>
      <c r="R78" s="67"/>
      <c r="S78" s="62"/>
      <c r="T78" s="62"/>
      <c r="U78" s="62"/>
      <c r="V78" s="62"/>
      <c r="W78" s="62"/>
    </row>
    <row r="79" spans="1:23">
      <c r="A79" s="63"/>
      <c r="B79" s="67"/>
      <c r="C79" s="67"/>
      <c r="D79" s="67"/>
      <c r="E79" s="67"/>
      <c r="F79" s="67"/>
      <c r="G79" s="67"/>
      <c r="H79" s="67"/>
      <c r="I79" s="67"/>
      <c r="J79" s="67"/>
      <c r="K79" s="67"/>
      <c r="L79" s="68"/>
      <c r="M79" s="68"/>
      <c r="N79" s="68"/>
      <c r="O79" s="68"/>
      <c r="P79" s="67"/>
      <c r="Q79" s="67"/>
      <c r="R79" s="67"/>
      <c r="S79" s="62"/>
      <c r="T79" s="62"/>
      <c r="U79" s="62"/>
      <c r="V79" s="62"/>
      <c r="W79" s="62"/>
    </row>
    <row r="80" spans="1:23">
      <c r="A80" s="63"/>
      <c r="B80" s="67"/>
      <c r="C80" s="67"/>
      <c r="D80" s="67"/>
      <c r="E80" s="67"/>
      <c r="F80" s="67"/>
      <c r="G80" s="67"/>
      <c r="H80" s="67"/>
      <c r="I80" s="67"/>
      <c r="J80" s="67"/>
      <c r="K80" s="67"/>
      <c r="L80" s="68"/>
      <c r="M80" s="68"/>
      <c r="N80" s="68"/>
      <c r="O80" s="68"/>
      <c r="P80" s="67"/>
      <c r="Q80" s="67"/>
      <c r="R80" s="67"/>
      <c r="S80" s="62"/>
      <c r="T80" s="62"/>
      <c r="U80" s="62"/>
      <c r="V80" s="62"/>
      <c r="W80" s="62"/>
    </row>
    <row r="81" spans="1:23">
      <c r="A81" s="63"/>
      <c r="B81" s="67"/>
      <c r="C81" s="67"/>
      <c r="D81" s="67"/>
      <c r="E81" s="67"/>
      <c r="F81" s="67"/>
      <c r="G81" s="67"/>
      <c r="H81" s="67"/>
      <c r="I81" s="67"/>
      <c r="J81" s="67"/>
      <c r="K81" s="67"/>
      <c r="L81" s="68"/>
      <c r="M81" s="68"/>
      <c r="N81" s="68"/>
      <c r="O81" s="68"/>
      <c r="P81" s="67"/>
      <c r="Q81" s="67"/>
      <c r="R81" s="67"/>
      <c r="S81" s="62"/>
      <c r="T81" s="62"/>
      <c r="U81" s="62"/>
      <c r="V81" s="62"/>
      <c r="W81" s="62"/>
    </row>
    <row r="82" spans="1:23">
      <c r="A82" s="63"/>
      <c r="B82" s="67"/>
      <c r="C82" s="67"/>
      <c r="D82" s="67"/>
      <c r="E82" s="67"/>
      <c r="F82" s="67"/>
      <c r="G82" s="67"/>
      <c r="H82" s="67"/>
      <c r="I82" s="67"/>
      <c r="J82" s="67"/>
      <c r="K82" s="67"/>
      <c r="L82" s="68"/>
      <c r="M82" s="68"/>
      <c r="N82" s="68"/>
      <c r="O82" s="68"/>
      <c r="P82" s="67"/>
      <c r="Q82" s="67"/>
      <c r="R82" s="67"/>
      <c r="S82" s="62"/>
      <c r="T82" s="62"/>
      <c r="U82" s="62"/>
      <c r="V82" s="62"/>
      <c r="W82" s="62"/>
    </row>
    <row r="83" spans="1:23">
      <c r="A83" s="62"/>
      <c r="B83" s="67"/>
      <c r="C83" s="67"/>
      <c r="D83" s="67"/>
      <c r="E83" s="67"/>
      <c r="F83" s="67"/>
      <c r="G83" s="67"/>
      <c r="H83" s="67"/>
      <c r="I83" s="67"/>
      <c r="J83" s="67"/>
      <c r="K83" s="67"/>
      <c r="L83" s="68"/>
      <c r="M83" s="68"/>
      <c r="N83" s="68"/>
      <c r="O83" s="68"/>
      <c r="P83" s="67"/>
      <c r="Q83" s="67"/>
      <c r="R83" s="67"/>
      <c r="S83" s="62"/>
      <c r="T83" s="62"/>
      <c r="U83" s="62"/>
      <c r="V83" s="62"/>
      <c r="W83" s="62"/>
    </row>
    <row r="84" spans="1:23">
      <c r="A84" s="63"/>
      <c r="B84" s="142"/>
      <c r="C84" s="142"/>
      <c r="D84" s="67"/>
      <c r="E84" s="67"/>
      <c r="F84" s="67"/>
      <c r="G84" s="67"/>
      <c r="H84" s="67"/>
      <c r="I84" s="67"/>
      <c r="J84" s="67"/>
      <c r="K84" s="67"/>
      <c r="L84" s="68"/>
      <c r="M84" s="68"/>
      <c r="N84" s="68"/>
      <c r="O84" s="68"/>
      <c r="P84" s="67"/>
      <c r="Q84" s="67"/>
      <c r="R84" s="67"/>
      <c r="S84" s="62"/>
      <c r="T84" s="62"/>
      <c r="U84" s="62"/>
      <c r="V84" s="62"/>
      <c r="W84" s="62"/>
    </row>
    <row r="85" spans="1:23">
      <c r="A85" s="63"/>
      <c r="B85" s="142"/>
      <c r="C85" s="142"/>
      <c r="D85" s="67"/>
      <c r="E85" s="67"/>
      <c r="F85" s="67"/>
      <c r="G85" s="67"/>
      <c r="H85" s="67"/>
      <c r="I85" s="67"/>
      <c r="J85" s="67"/>
      <c r="K85" s="67"/>
      <c r="L85" s="68"/>
      <c r="M85" s="68"/>
      <c r="N85" s="68"/>
      <c r="O85" s="68"/>
      <c r="P85" s="67"/>
      <c r="Q85" s="67"/>
      <c r="R85" s="67"/>
      <c r="S85" s="62"/>
      <c r="T85" s="62"/>
      <c r="U85" s="62"/>
      <c r="V85" s="62"/>
      <c r="W85" s="62"/>
    </row>
    <row r="86" spans="1:23">
      <c r="A86" s="63"/>
      <c r="B86" s="142"/>
      <c r="C86" s="142"/>
      <c r="D86" s="67"/>
      <c r="E86" s="67"/>
      <c r="F86" s="67"/>
      <c r="G86" s="67"/>
      <c r="H86" s="67"/>
      <c r="I86" s="67"/>
      <c r="J86" s="67"/>
      <c r="K86" s="67"/>
      <c r="L86" s="68"/>
      <c r="M86" s="68"/>
      <c r="N86" s="68"/>
      <c r="O86" s="68"/>
      <c r="P86" s="67"/>
      <c r="Q86" s="67"/>
      <c r="R86" s="67"/>
      <c r="S86" s="62"/>
      <c r="T86" s="62"/>
      <c r="U86" s="62"/>
      <c r="V86" s="62"/>
      <c r="W86" s="62"/>
    </row>
    <row r="87" spans="1:23">
      <c r="A87" s="63"/>
      <c r="B87" s="142"/>
      <c r="C87" s="142"/>
      <c r="D87" s="67"/>
      <c r="E87" s="67"/>
      <c r="F87" s="67"/>
      <c r="G87" s="67"/>
      <c r="H87" s="67"/>
      <c r="I87" s="67"/>
      <c r="J87" s="67"/>
      <c r="K87" s="67"/>
      <c r="L87" s="68"/>
      <c r="M87" s="68"/>
      <c r="N87" s="68"/>
      <c r="O87" s="68"/>
      <c r="P87" s="67"/>
      <c r="Q87" s="67"/>
      <c r="R87" s="67"/>
      <c r="S87" s="62"/>
      <c r="T87" s="62"/>
      <c r="U87" s="62"/>
      <c r="V87" s="62"/>
      <c r="W87" s="62"/>
    </row>
    <row r="88" spans="1:23">
      <c r="A88" s="63"/>
      <c r="B88" s="142"/>
      <c r="C88" s="142"/>
      <c r="D88" s="67"/>
      <c r="E88" s="67"/>
      <c r="F88" s="67"/>
      <c r="G88" s="67"/>
      <c r="H88" s="67"/>
      <c r="I88" s="67"/>
      <c r="J88" s="67"/>
      <c r="K88" s="67"/>
      <c r="L88" s="68"/>
      <c r="M88" s="68"/>
      <c r="N88" s="68"/>
      <c r="O88" s="68"/>
      <c r="P88" s="67"/>
      <c r="Q88" s="67"/>
      <c r="R88" s="67"/>
      <c r="S88" s="62"/>
      <c r="T88" s="62"/>
      <c r="U88" s="62"/>
      <c r="V88" s="62"/>
      <c r="W88" s="62"/>
    </row>
    <row r="89" spans="1:23">
      <c r="A89" s="63"/>
      <c r="B89" s="142"/>
      <c r="C89" s="142"/>
      <c r="D89" s="67"/>
      <c r="E89" s="67"/>
      <c r="F89" s="67"/>
      <c r="G89" s="67"/>
      <c r="H89" s="67"/>
      <c r="I89" s="67"/>
      <c r="J89" s="67"/>
      <c r="K89" s="67"/>
      <c r="L89" s="68"/>
      <c r="M89" s="68"/>
      <c r="N89" s="68"/>
      <c r="O89" s="68"/>
      <c r="P89" s="67"/>
      <c r="Q89" s="67"/>
      <c r="R89" s="67"/>
      <c r="S89" s="62"/>
      <c r="T89" s="62"/>
      <c r="U89" s="62"/>
      <c r="V89" s="62"/>
      <c r="W89" s="62"/>
    </row>
    <row r="90" spans="1:23">
      <c r="A90" s="63"/>
      <c r="B90" s="142"/>
      <c r="C90" s="142"/>
      <c r="D90" s="67"/>
      <c r="E90" s="67"/>
      <c r="F90" s="67"/>
      <c r="G90" s="67"/>
      <c r="H90" s="67"/>
      <c r="I90" s="67"/>
      <c r="J90" s="67"/>
      <c r="K90" s="67"/>
      <c r="L90" s="68"/>
      <c r="M90" s="68"/>
      <c r="N90" s="68"/>
      <c r="O90" s="68"/>
      <c r="P90" s="67"/>
      <c r="Q90" s="67"/>
      <c r="R90" s="67"/>
      <c r="S90" s="62"/>
      <c r="T90" s="62"/>
      <c r="U90" s="62"/>
      <c r="V90" s="62"/>
      <c r="W90" s="62"/>
    </row>
    <row r="91" spans="1:23">
      <c r="A91" s="63"/>
      <c r="B91" s="142"/>
      <c r="C91" s="142"/>
      <c r="D91" s="67"/>
      <c r="E91" s="67"/>
      <c r="F91" s="67"/>
      <c r="G91" s="67"/>
      <c r="H91" s="67"/>
      <c r="I91" s="67"/>
      <c r="J91" s="67"/>
      <c r="K91" s="67"/>
      <c r="L91" s="68"/>
      <c r="M91" s="68"/>
      <c r="N91" s="68"/>
      <c r="O91" s="68"/>
      <c r="P91" s="67"/>
      <c r="Q91" s="67"/>
      <c r="R91" s="67"/>
      <c r="S91" s="62"/>
      <c r="T91" s="62"/>
      <c r="U91" s="62"/>
      <c r="V91" s="62"/>
      <c r="W91" s="62"/>
    </row>
    <row r="92" spans="1:23">
      <c r="A92" s="63"/>
      <c r="B92" s="142"/>
      <c r="C92" s="142"/>
      <c r="D92" s="67"/>
      <c r="E92" s="67"/>
      <c r="F92" s="67"/>
      <c r="G92" s="67"/>
      <c r="H92" s="67"/>
      <c r="I92" s="67"/>
      <c r="J92" s="67"/>
      <c r="K92" s="67"/>
      <c r="L92" s="68"/>
      <c r="M92" s="68"/>
      <c r="N92" s="68"/>
      <c r="O92" s="68"/>
      <c r="P92" s="67"/>
      <c r="Q92" s="67"/>
      <c r="R92" s="67"/>
      <c r="S92" s="62"/>
      <c r="T92" s="62"/>
      <c r="U92" s="62"/>
      <c r="V92" s="62"/>
      <c r="W92" s="62"/>
    </row>
    <row r="93" spans="1:23">
      <c r="A93" s="63"/>
      <c r="B93" s="142"/>
      <c r="C93" s="142"/>
      <c r="D93" s="67"/>
      <c r="E93" s="67"/>
      <c r="F93" s="67"/>
      <c r="G93" s="67"/>
      <c r="H93" s="67"/>
      <c r="I93" s="67"/>
      <c r="J93" s="67"/>
      <c r="K93" s="67"/>
      <c r="L93" s="68"/>
      <c r="M93" s="68"/>
      <c r="N93" s="68"/>
      <c r="O93" s="68"/>
      <c r="P93" s="67"/>
      <c r="Q93" s="67"/>
      <c r="R93" s="67"/>
      <c r="S93" s="62"/>
      <c r="T93" s="62"/>
      <c r="U93" s="62"/>
      <c r="V93" s="62"/>
      <c r="W93" s="62"/>
    </row>
    <row r="94" spans="1:23">
      <c r="A94" s="63"/>
      <c r="B94" s="142"/>
      <c r="C94" s="142"/>
      <c r="D94" s="67"/>
      <c r="E94" s="67"/>
      <c r="F94" s="67"/>
      <c r="G94" s="67"/>
      <c r="H94" s="67"/>
      <c r="I94" s="67"/>
      <c r="J94" s="67"/>
      <c r="K94" s="67"/>
      <c r="L94" s="68"/>
      <c r="M94" s="68"/>
      <c r="N94" s="68"/>
      <c r="O94" s="68"/>
      <c r="P94" s="67"/>
      <c r="Q94" s="67"/>
      <c r="R94" s="67"/>
      <c r="S94" s="62"/>
      <c r="T94" s="62"/>
      <c r="U94" s="62"/>
      <c r="V94" s="62"/>
      <c r="W94" s="62"/>
    </row>
    <row r="95" spans="1:23">
      <c r="A95" s="63"/>
      <c r="B95" s="142"/>
      <c r="C95" s="142"/>
      <c r="D95" s="67"/>
      <c r="E95" s="67"/>
      <c r="F95" s="67"/>
      <c r="G95" s="67"/>
      <c r="H95" s="67"/>
      <c r="I95" s="67"/>
      <c r="J95" s="67"/>
      <c r="K95" s="67"/>
      <c r="L95" s="68"/>
      <c r="M95" s="68"/>
      <c r="N95" s="68"/>
      <c r="O95" s="68"/>
      <c r="P95" s="67"/>
      <c r="Q95" s="67"/>
      <c r="R95" s="67"/>
      <c r="S95" s="62"/>
      <c r="T95" s="62"/>
      <c r="U95" s="62"/>
      <c r="V95" s="62"/>
      <c r="W95" s="62"/>
    </row>
    <row r="96" spans="1:23">
      <c r="A96" s="63"/>
      <c r="B96" s="142"/>
      <c r="C96" s="142"/>
      <c r="D96" s="67"/>
      <c r="E96" s="67"/>
      <c r="F96" s="67"/>
      <c r="G96" s="67"/>
      <c r="H96" s="67"/>
      <c r="I96" s="67"/>
      <c r="J96" s="67"/>
      <c r="K96" s="67"/>
      <c r="L96" s="68"/>
      <c r="M96" s="68"/>
      <c r="N96" s="68"/>
      <c r="O96" s="68"/>
      <c r="P96" s="67"/>
      <c r="Q96" s="67"/>
      <c r="R96" s="67"/>
      <c r="S96" s="62"/>
      <c r="T96" s="62"/>
      <c r="U96" s="62"/>
      <c r="V96" s="62"/>
      <c r="W96" s="62"/>
    </row>
    <row r="97" spans="1:23">
      <c r="A97" s="63"/>
      <c r="B97" s="142"/>
      <c r="C97" s="142"/>
      <c r="D97" s="67"/>
      <c r="E97" s="67"/>
      <c r="F97" s="67"/>
      <c r="G97" s="67"/>
      <c r="H97" s="67"/>
      <c r="I97" s="67"/>
      <c r="J97" s="67"/>
      <c r="K97" s="67"/>
      <c r="L97" s="68"/>
      <c r="M97" s="68"/>
      <c r="N97" s="68"/>
      <c r="O97" s="68"/>
      <c r="P97" s="67"/>
      <c r="Q97" s="67"/>
      <c r="R97" s="67"/>
      <c r="S97" s="62"/>
      <c r="T97" s="62"/>
      <c r="U97" s="62"/>
      <c r="V97" s="62"/>
      <c r="W97" s="62"/>
    </row>
    <row r="98" spans="1:23">
      <c r="A98" s="63"/>
      <c r="B98" s="142"/>
      <c r="C98" s="142"/>
      <c r="D98" s="67"/>
      <c r="E98" s="67"/>
      <c r="F98" s="67"/>
      <c r="G98" s="67"/>
      <c r="H98" s="67"/>
      <c r="I98" s="67"/>
      <c r="J98" s="67"/>
      <c r="K98" s="67"/>
      <c r="L98" s="68"/>
      <c r="M98" s="68"/>
      <c r="N98" s="68"/>
      <c r="O98" s="68"/>
      <c r="P98" s="67"/>
      <c r="Q98" s="67"/>
      <c r="R98" s="67"/>
      <c r="S98" s="62"/>
      <c r="T98" s="62"/>
      <c r="U98" s="62"/>
      <c r="V98" s="62"/>
      <c r="W98" s="62"/>
    </row>
    <row r="99" spans="1:23">
      <c r="A99" s="63"/>
      <c r="B99" s="142"/>
      <c r="C99" s="142"/>
      <c r="D99" s="67"/>
      <c r="E99" s="67"/>
      <c r="F99" s="67"/>
      <c r="G99" s="67"/>
      <c r="H99" s="67"/>
      <c r="I99" s="67"/>
      <c r="J99" s="67"/>
      <c r="K99" s="67"/>
      <c r="L99" s="68"/>
      <c r="M99" s="68"/>
      <c r="N99" s="68"/>
      <c r="O99" s="68"/>
      <c r="P99" s="67"/>
      <c r="Q99" s="67"/>
      <c r="R99" s="67"/>
      <c r="S99" s="62"/>
      <c r="T99" s="62"/>
      <c r="U99" s="62"/>
      <c r="V99" s="62"/>
      <c r="W99" s="62"/>
    </row>
    <row r="100" spans="1:23">
      <c r="A100" s="63"/>
      <c r="B100" s="142"/>
      <c r="C100" s="142"/>
      <c r="D100" s="67"/>
      <c r="E100" s="67"/>
      <c r="F100" s="67"/>
      <c r="G100" s="67"/>
      <c r="H100" s="67"/>
      <c r="I100" s="67"/>
      <c r="J100" s="67"/>
      <c r="K100" s="67"/>
      <c r="L100" s="68"/>
      <c r="M100" s="68"/>
      <c r="N100" s="68"/>
      <c r="O100" s="68"/>
      <c r="P100" s="67"/>
      <c r="Q100" s="67"/>
      <c r="R100" s="67"/>
      <c r="S100" s="62"/>
      <c r="T100" s="62"/>
      <c r="U100" s="62"/>
      <c r="V100" s="62"/>
      <c r="W100" s="62"/>
    </row>
    <row r="101" spans="1:23">
      <c r="A101" s="63"/>
      <c r="B101" s="142"/>
      <c r="C101" s="142"/>
      <c r="D101" s="67"/>
      <c r="E101" s="67"/>
      <c r="F101" s="67"/>
      <c r="G101" s="67"/>
      <c r="H101" s="67"/>
      <c r="I101" s="67"/>
      <c r="J101" s="67"/>
      <c r="K101" s="67"/>
      <c r="L101" s="68"/>
      <c r="M101" s="68"/>
      <c r="N101" s="68"/>
      <c r="O101" s="68"/>
      <c r="P101" s="67"/>
      <c r="Q101" s="67"/>
      <c r="R101" s="67"/>
      <c r="S101" s="62"/>
      <c r="T101" s="62"/>
      <c r="U101" s="62"/>
      <c r="V101" s="62"/>
      <c r="W101" s="62"/>
    </row>
    <row r="102" spans="1:23">
      <c r="A102" s="63"/>
      <c r="B102" s="142"/>
      <c r="C102" s="142"/>
      <c r="D102" s="67"/>
      <c r="E102" s="67"/>
      <c r="F102" s="67"/>
      <c r="G102" s="67"/>
      <c r="H102" s="67"/>
      <c r="I102" s="67"/>
      <c r="J102" s="67"/>
      <c r="K102" s="67"/>
      <c r="L102" s="68"/>
      <c r="M102" s="68"/>
      <c r="N102" s="68"/>
      <c r="O102" s="68"/>
      <c r="P102" s="67"/>
      <c r="Q102" s="67"/>
      <c r="R102" s="67"/>
      <c r="S102" s="62"/>
      <c r="T102" s="62"/>
      <c r="U102" s="62"/>
      <c r="V102" s="62"/>
      <c r="W102" s="62"/>
    </row>
    <row r="103" spans="1:23">
      <c r="A103" s="63"/>
      <c r="B103" s="142"/>
      <c r="C103" s="142"/>
      <c r="D103" s="67"/>
      <c r="E103" s="67"/>
      <c r="F103" s="67"/>
      <c r="G103" s="67"/>
      <c r="H103" s="67"/>
      <c r="I103" s="67"/>
      <c r="J103" s="67"/>
      <c r="K103" s="67"/>
      <c r="L103" s="68"/>
      <c r="M103" s="68"/>
      <c r="N103" s="68"/>
      <c r="O103" s="68"/>
      <c r="P103" s="67"/>
      <c r="Q103" s="67"/>
      <c r="R103" s="67"/>
      <c r="S103" s="62"/>
      <c r="T103" s="62"/>
      <c r="U103" s="62"/>
      <c r="V103" s="62"/>
      <c r="W103" s="62"/>
    </row>
    <row r="104" spans="1:23">
      <c r="A104" s="63"/>
      <c r="B104" s="142"/>
      <c r="C104" s="142"/>
      <c r="D104" s="67"/>
      <c r="E104" s="67"/>
      <c r="F104" s="67"/>
      <c r="G104" s="67"/>
      <c r="H104" s="67"/>
      <c r="I104" s="67"/>
      <c r="J104" s="67"/>
      <c r="K104" s="67"/>
      <c r="L104" s="68"/>
      <c r="M104" s="68"/>
      <c r="N104" s="68"/>
      <c r="O104" s="68"/>
      <c r="P104" s="67"/>
      <c r="Q104" s="67"/>
      <c r="R104" s="67"/>
      <c r="S104" s="62"/>
      <c r="T104" s="62"/>
      <c r="U104" s="62"/>
      <c r="V104" s="62"/>
      <c r="W104" s="62"/>
    </row>
    <row r="105" spans="1:23">
      <c r="A105" s="63"/>
      <c r="B105" s="142"/>
      <c r="C105" s="142"/>
      <c r="D105" s="67"/>
      <c r="E105" s="67"/>
      <c r="F105" s="67"/>
      <c r="G105" s="67"/>
      <c r="H105" s="67"/>
      <c r="I105" s="67"/>
      <c r="J105" s="67"/>
      <c r="K105" s="67"/>
      <c r="L105" s="68"/>
      <c r="M105" s="68"/>
      <c r="N105" s="68"/>
      <c r="O105" s="68"/>
      <c r="P105" s="67"/>
      <c r="Q105" s="67"/>
      <c r="R105" s="67"/>
      <c r="S105" s="62"/>
      <c r="T105" s="62"/>
      <c r="U105" s="62"/>
      <c r="V105" s="62"/>
      <c r="W105" s="62"/>
    </row>
    <row r="106" spans="1:23">
      <c r="A106" s="63"/>
      <c r="B106" s="142"/>
      <c r="C106" s="142"/>
      <c r="D106" s="67"/>
      <c r="E106" s="67"/>
      <c r="F106" s="67"/>
      <c r="G106" s="67"/>
      <c r="H106" s="67"/>
      <c r="I106" s="67"/>
      <c r="J106" s="67"/>
      <c r="K106" s="67"/>
      <c r="L106" s="68"/>
      <c r="M106" s="68"/>
      <c r="N106" s="68"/>
      <c r="O106" s="68"/>
      <c r="P106" s="67"/>
      <c r="Q106" s="67"/>
      <c r="R106" s="67"/>
      <c r="S106" s="62"/>
      <c r="T106" s="62"/>
      <c r="U106" s="62"/>
      <c r="V106" s="62"/>
      <c r="W106" s="62"/>
    </row>
    <row r="107" spans="1:23">
      <c r="A107" s="63"/>
      <c r="B107" s="142"/>
      <c r="C107" s="142"/>
      <c r="D107" s="67"/>
      <c r="E107" s="67"/>
      <c r="F107" s="67"/>
      <c r="G107" s="67"/>
      <c r="H107" s="67"/>
      <c r="I107" s="67"/>
      <c r="J107" s="67"/>
      <c r="K107" s="67"/>
      <c r="L107" s="68"/>
      <c r="M107" s="68"/>
      <c r="N107" s="68"/>
      <c r="O107" s="68"/>
      <c r="P107" s="67"/>
      <c r="Q107" s="67"/>
      <c r="R107" s="67"/>
      <c r="S107" s="62"/>
      <c r="T107" s="62"/>
      <c r="U107" s="62"/>
      <c r="V107" s="62"/>
      <c r="W107" s="62"/>
    </row>
    <row r="108" spans="1:23">
      <c r="A108" s="63"/>
      <c r="B108" s="142"/>
      <c r="C108" s="142"/>
      <c r="D108" s="67"/>
      <c r="E108" s="67"/>
      <c r="F108" s="67"/>
      <c r="G108" s="67"/>
      <c r="H108" s="67"/>
      <c r="I108" s="67"/>
      <c r="J108" s="67"/>
      <c r="K108" s="67"/>
      <c r="L108" s="68"/>
      <c r="M108" s="68"/>
      <c r="N108" s="68"/>
      <c r="O108" s="68"/>
      <c r="P108" s="67"/>
      <c r="Q108" s="67"/>
      <c r="R108" s="67"/>
      <c r="S108" s="62"/>
      <c r="T108" s="62"/>
      <c r="U108" s="62"/>
      <c r="V108" s="62"/>
      <c r="W108" s="62"/>
    </row>
    <row r="109" spans="1:23">
      <c r="A109" s="63"/>
      <c r="B109" s="142"/>
      <c r="C109" s="142"/>
      <c r="D109" s="67"/>
      <c r="E109" s="67"/>
      <c r="F109" s="67"/>
      <c r="G109" s="67"/>
      <c r="H109" s="67"/>
      <c r="I109" s="67"/>
      <c r="J109" s="67"/>
      <c r="K109" s="67"/>
      <c r="L109" s="68"/>
      <c r="M109" s="68"/>
      <c r="N109" s="68"/>
      <c r="O109" s="68"/>
      <c r="P109" s="67"/>
      <c r="Q109" s="67"/>
      <c r="R109" s="67"/>
      <c r="S109" s="62"/>
      <c r="T109" s="62"/>
      <c r="U109" s="62"/>
      <c r="V109" s="62"/>
      <c r="W109" s="62"/>
    </row>
    <row r="110" spans="1:23">
      <c r="A110" s="62"/>
      <c r="B110" s="142"/>
      <c r="C110" s="142"/>
      <c r="D110" s="67"/>
      <c r="E110" s="67"/>
      <c r="F110" s="67"/>
      <c r="G110" s="67"/>
      <c r="H110" s="67"/>
      <c r="I110" s="67"/>
      <c r="J110" s="67"/>
      <c r="K110" s="67"/>
      <c r="L110" s="68"/>
      <c r="M110" s="68"/>
      <c r="N110" s="68"/>
      <c r="O110" s="68"/>
      <c r="P110" s="67"/>
      <c r="Q110" s="67"/>
      <c r="R110" s="67"/>
      <c r="S110" s="62"/>
      <c r="T110" s="62"/>
      <c r="U110" s="62"/>
      <c r="V110" s="62"/>
      <c r="W110" s="62"/>
    </row>
    <row r="111" spans="1:23">
      <c r="A111" s="62"/>
      <c r="B111" s="62"/>
      <c r="C111" s="62"/>
      <c r="D111" s="62"/>
      <c r="E111" s="62"/>
      <c r="F111" s="62"/>
      <c r="G111" s="62"/>
      <c r="H111" s="62"/>
      <c r="I111" s="62"/>
      <c r="J111" s="62"/>
      <c r="K111" s="62"/>
      <c r="L111" s="62"/>
      <c r="M111" s="62"/>
      <c r="N111" s="62"/>
      <c r="O111" s="62"/>
      <c r="P111" s="62"/>
      <c r="Q111" s="62"/>
      <c r="R111" s="62"/>
      <c r="S111" s="62"/>
      <c r="T111" s="62"/>
      <c r="U111" s="62"/>
      <c r="V111" s="62"/>
      <c r="W111" s="62"/>
    </row>
    <row r="112" spans="1:23">
      <c r="A112" s="62"/>
      <c r="B112" s="62"/>
      <c r="C112" s="62"/>
      <c r="D112" s="62"/>
      <c r="E112" s="62"/>
      <c r="F112" s="62"/>
      <c r="G112" s="62"/>
      <c r="H112" s="62"/>
      <c r="I112" s="62"/>
      <c r="J112" s="62"/>
      <c r="K112" s="62"/>
      <c r="L112" s="62"/>
      <c r="M112" s="62"/>
      <c r="N112" s="62"/>
      <c r="O112" s="62"/>
      <c r="P112" s="62"/>
      <c r="Q112" s="62"/>
      <c r="R112" s="62"/>
      <c r="S112" s="62"/>
      <c r="T112" s="62"/>
      <c r="U112" s="62"/>
      <c r="V112" s="62"/>
      <c r="W112" s="62"/>
    </row>
    <row r="113" spans="1:23">
      <c r="A113" s="62"/>
      <c r="B113" s="62"/>
      <c r="C113" s="62"/>
      <c r="D113" s="62"/>
      <c r="E113" s="62"/>
      <c r="F113" s="62"/>
      <c r="G113" s="62"/>
      <c r="H113" s="62"/>
      <c r="I113" s="62"/>
      <c r="J113" s="62"/>
      <c r="K113" s="62"/>
      <c r="L113" s="62"/>
      <c r="M113" s="62"/>
      <c r="N113" s="62"/>
      <c r="O113" s="62"/>
      <c r="P113" s="62"/>
      <c r="Q113" s="62"/>
      <c r="R113" s="62"/>
      <c r="S113" s="62"/>
      <c r="T113" s="62"/>
      <c r="U113" s="62"/>
      <c r="V113" s="62"/>
      <c r="W113" s="62"/>
    </row>
    <row r="114" spans="1:23">
      <c r="A114" s="62"/>
      <c r="B114" s="62"/>
      <c r="C114" s="62"/>
      <c r="D114" s="62"/>
      <c r="E114" s="62"/>
      <c r="F114" s="62"/>
      <c r="G114" s="62"/>
      <c r="H114" s="62"/>
      <c r="I114" s="62"/>
      <c r="J114" s="62"/>
      <c r="K114" s="62"/>
      <c r="L114" s="62"/>
      <c r="M114" s="62"/>
      <c r="N114" s="62"/>
      <c r="O114" s="62"/>
      <c r="P114" s="62"/>
      <c r="Q114" s="62"/>
      <c r="R114" s="62"/>
      <c r="S114" s="62"/>
      <c r="T114" s="62"/>
      <c r="U114" s="62"/>
      <c r="V114" s="62"/>
      <c r="W114" s="62"/>
    </row>
    <row r="115" spans="1:23">
      <c r="A115" s="62"/>
      <c r="B115" s="62"/>
      <c r="C115" s="62"/>
      <c r="D115" s="62"/>
      <c r="E115" s="62"/>
      <c r="F115" s="62"/>
      <c r="G115" s="62"/>
      <c r="H115" s="62"/>
      <c r="I115" s="62"/>
      <c r="J115" s="62"/>
      <c r="K115" s="62"/>
      <c r="L115" s="62"/>
      <c r="M115" s="62"/>
      <c r="N115" s="62"/>
      <c r="O115" s="62"/>
      <c r="P115" s="62"/>
      <c r="Q115" s="62"/>
      <c r="R115" s="62"/>
      <c r="S115" s="62"/>
      <c r="T115" s="62"/>
      <c r="U115" s="62"/>
      <c r="V115" s="62"/>
      <c r="W115" s="62"/>
    </row>
    <row r="137" spans="12:12">
      <c r="L137" s="16">
        <f>SUM(L15:L136)</f>
        <v>121834.14000000001</v>
      </c>
    </row>
  </sheetData>
  <mergeCells count="2">
    <mergeCell ref="A7:A8"/>
    <mergeCell ref="A11:A12"/>
  </mergeCells>
  <pageMargins left="0.7" right="0.7" top="0.75" bottom="0.75" header="0.3" footer="0.3"/>
  <pageSetup paperSize="9" orientation="landscape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>
  <dimension ref="A5:W137"/>
  <sheetViews>
    <sheetView topLeftCell="A31" workbookViewId="0">
      <selection activeCell="B52" sqref="B52"/>
    </sheetView>
  </sheetViews>
  <sheetFormatPr defaultRowHeight="14.4"/>
  <cols>
    <col min="1" max="1" width="7.88671875" style="1" customWidth="1"/>
    <col min="2" max="2" width="22" style="1" customWidth="1"/>
    <col min="3" max="3" width="12.21875" style="1" customWidth="1"/>
    <col min="4" max="4" width="4.77734375" style="1" customWidth="1"/>
    <col min="5" max="5" width="9.88671875" style="1" customWidth="1"/>
    <col min="6" max="6" width="7.6640625" style="1" customWidth="1"/>
    <col min="7" max="7" width="6.6640625" style="1" customWidth="1"/>
    <col min="8" max="8" width="7.44140625" style="1" customWidth="1"/>
    <col min="9" max="9" width="5.88671875" style="1" customWidth="1"/>
    <col min="10" max="10" width="6" style="1" customWidth="1"/>
    <col min="11" max="11" width="8.44140625" style="1" customWidth="1"/>
    <col min="12" max="12" width="8.21875" style="1" customWidth="1"/>
    <col min="13" max="13" width="7.33203125" style="1" customWidth="1"/>
    <col min="14" max="16384" width="8.88671875" style="1"/>
  </cols>
  <sheetData>
    <row r="5" spans="1:23" ht="20.399999999999999">
      <c r="A5" s="58" t="s">
        <v>3</v>
      </c>
      <c r="B5" s="58" t="s">
        <v>4</v>
      </c>
      <c r="C5" s="58" t="s">
        <v>5</v>
      </c>
      <c r="D5" s="58" t="s">
        <v>6</v>
      </c>
      <c r="E5" s="58" t="s">
        <v>37</v>
      </c>
      <c r="F5" s="58" t="s">
        <v>7</v>
      </c>
      <c r="G5" s="58" t="s">
        <v>8</v>
      </c>
      <c r="H5" s="58" t="s">
        <v>9</v>
      </c>
      <c r="I5" s="58" t="s">
        <v>10</v>
      </c>
      <c r="J5" s="59" t="s">
        <v>18</v>
      </c>
      <c r="K5" s="59" t="s">
        <v>17</v>
      </c>
      <c r="L5" s="58" t="s">
        <v>11</v>
      </c>
      <c r="M5" s="58" t="s">
        <v>36</v>
      </c>
      <c r="N5" s="58" t="s">
        <v>12</v>
      </c>
      <c r="O5" s="58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125</v>
      </c>
    </row>
    <row r="6" spans="1:23">
      <c r="A6" s="63"/>
      <c r="B6" s="179"/>
      <c r="C6" s="179"/>
      <c r="D6" s="179"/>
      <c r="E6" s="179"/>
      <c r="F6" s="179"/>
      <c r="G6" s="179"/>
      <c r="H6" s="179"/>
      <c r="I6" s="179"/>
      <c r="J6" s="179"/>
      <c r="K6" s="179"/>
      <c r="L6" s="61"/>
      <c r="M6" s="61"/>
      <c r="N6" s="179"/>
      <c r="O6" s="62"/>
      <c r="P6" s="62"/>
      <c r="Q6" s="62"/>
      <c r="R6" s="62"/>
      <c r="S6" s="62"/>
      <c r="U6" s="17"/>
    </row>
    <row r="7" spans="1:23">
      <c r="A7" s="53" t="s">
        <v>1542</v>
      </c>
      <c r="B7" s="42" t="s">
        <v>1545</v>
      </c>
      <c r="C7" s="42" t="s">
        <v>88</v>
      </c>
      <c r="D7" s="42" t="s">
        <v>16</v>
      </c>
      <c r="E7" s="42" t="s">
        <v>1547</v>
      </c>
      <c r="F7" s="42">
        <v>101</v>
      </c>
      <c r="G7" s="42"/>
      <c r="H7" s="42">
        <v>8630</v>
      </c>
      <c r="I7" s="42">
        <v>155</v>
      </c>
      <c r="J7" s="42">
        <v>0.5</v>
      </c>
      <c r="K7" s="42">
        <v>78</v>
      </c>
      <c r="L7" s="43">
        <f t="shared" ref="L7" si="0">H7-K7</f>
        <v>8552</v>
      </c>
      <c r="M7" s="43"/>
      <c r="N7" s="43">
        <f t="shared" ref="N7" si="1">L7-M7</f>
        <v>8552</v>
      </c>
      <c r="O7" s="43">
        <f t="shared" ref="O7" si="2">H7/1000*70</f>
        <v>604.1</v>
      </c>
      <c r="P7" s="42">
        <v>19000</v>
      </c>
      <c r="Q7" s="42">
        <v>19.649999999999999</v>
      </c>
      <c r="R7" s="42">
        <f t="shared" ref="R7" si="3">L7*Q7</f>
        <v>168046.8</v>
      </c>
      <c r="S7" s="42"/>
      <c r="T7" s="62"/>
      <c r="U7" s="62"/>
      <c r="V7" s="62"/>
      <c r="W7" s="62"/>
    </row>
    <row r="8" spans="1:23">
      <c r="A8" s="53"/>
      <c r="B8" s="42"/>
      <c r="C8" s="42"/>
      <c r="D8" s="42"/>
      <c r="E8" s="42"/>
      <c r="F8" s="42"/>
      <c r="G8" s="42"/>
      <c r="H8" s="42"/>
      <c r="I8" s="42"/>
      <c r="J8" s="42"/>
      <c r="K8" s="42"/>
      <c r="L8" s="43"/>
      <c r="M8" s="43"/>
      <c r="N8" s="43"/>
      <c r="O8" s="43"/>
      <c r="P8" s="42"/>
      <c r="Q8" s="42"/>
      <c r="R8" s="42"/>
      <c r="S8" s="62"/>
      <c r="T8" s="62"/>
      <c r="U8" s="62"/>
      <c r="V8" s="62"/>
      <c r="W8" s="62"/>
    </row>
    <row r="9" spans="1:23">
      <c r="A9" s="53" t="s">
        <v>1587</v>
      </c>
      <c r="B9" s="42" t="s">
        <v>1545</v>
      </c>
      <c r="C9" s="42" t="s">
        <v>88</v>
      </c>
      <c r="D9" s="42" t="s">
        <v>16</v>
      </c>
      <c r="E9" s="42" t="s">
        <v>1591</v>
      </c>
      <c r="F9" s="42">
        <v>628</v>
      </c>
      <c r="G9" s="42"/>
      <c r="H9" s="42">
        <v>21330</v>
      </c>
      <c r="I9" s="42">
        <v>425</v>
      </c>
      <c r="J9" s="42">
        <v>0.13</v>
      </c>
      <c r="K9" s="42">
        <f t="shared" ref="K9" si="4">I9*J9</f>
        <v>55.25</v>
      </c>
      <c r="L9" s="43">
        <f t="shared" ref="L9:L12" si="5">H9-K9</f>
        <v>21274.75</v>
      </c>
      <c r="M9" s="43"/>
      <c r="N9" s="43">
        <f t="shared" ref="N9:N12" si="6">L9-M9</f>
        <v>21274.75</v>
      </c>
      <c r="O9" s="43">
        <f t="shared" ref="O9:O12" si="7">H9/1000*70</f>
        <v>1493.1</v>
      </c>
      <c r="P9" s="42">
        <v>30000</v>
      </c>
      <c r="Q9" s="42">
        <v>19.8</v>
      </c>
      <c r="R9" s="42">
        <f t="shared" ref="R9:R12" si="8">L9*Q9</f>
        <v>421240.05</v>
      </c>
      <c r="S9" s="62"/>
      <c r="T9" s="62"/>
      <c r="U9" s="62"/>
      <c r="V9" s="62"/>
      <c r="W9" s="62"/>
    </row>
    <row r="10" spans="1:23">
      <c r="A10" s="377" t="s">
        <v>1650</v>
      </c>
      <c r="B10" s="42" t="s">
        <v>1651</v>
      </c>
      <c r="C10" s="42" t="s">
        <v>88</v>
      </c>
      <c r="D10" s="42" t="s">
        <v>16</v>
      </c>
      <c r="E10" s="42" t="s">
        <v>1652</v>
      </c>
      <c r="F10" s="42">
        <v>144</v>
      </c>
      <c r="G10" s="42">
        <v>1156</v>
      </c>
      <c r="H10" s="42">
        <v>18190</v>
      </c>
      <c r="I10" s="42">
        <v>283</v>
      </c>
      <c r="J10" s="42">
        <v>0.13</v>
      </c>
      <c r="K10" s="42">
        <v>37</v>
      </c>
      <c r="L10" s="43">
        <f t="shared" si="5"/>
        <v>18153</v>
      </c>
      <c r="M10" s="43"/>
      <c r="N10" s="43">
        <f t="shared" si="6"/>
        <v>18153</v>
      </c>
      <c r="O10" s="43">
        <f t="shared" si="7"/>
        <v>1273.3000000000002</v>
      </c>
      <c r="P10" s="192">
        <v>0</v>
      </c>
      <c r="Q10" s="192">
        <v>19.8</v>
      </c>
      <c r="R10" s="42">
        <f t="shared" si="8"/>
        <v>359429.4</v>
      </c>
      <c r="S10" s="62"/>
      <c r="T10" s="62"/>
      <c r="U10" s="62"/>
      <c r="V10" s="62"/>
      <c r="W10" s="62"/>
    </row>
    <row r="11" spans="1:23">
      <c r="A11" s="377"/>
      <c r="B11" s="42" t="s">
        <v>1605</v>
      </c>
      <c r="C11" s="42" t="s">
        <v>88</v>
      </c>
      <c r="D11" s="42" t="s">
        <v>16</v>
      </c>
      <c r="E11" s="42" t="s">
        <v>383</v>
      </c>
      <c r="F11" s="42">
        <v>629</v>
      </c>
      <c r="G11" s="42"/>
      <c r="H11" s="42">
        <v>5000</v>
      </c>
      <c r="I11" s="42">
        <v>100</v>
      </c>
      <c r="J11" s="42">
        <v>0.13</v>
      </c>
      <c r="K11" s="42">
        <f t="shared" ref="K11" si="9">I11*J11</f>
        <v>13</v>
      </c>
      <c r="L11" s="43">
        <f t="shared" si="5"/>
        <v>4987</v>
      </c>
      <c r="M11" s="43"/>
      <c r="N11" s="43">
        <f t="shared" si="6"/>
        <v>4987</v>
      </c>
      <c r="O11" s="43">
        <f t="shared" si="7"/>
        <v>350</v>
      </c>
      <c r="P11" s="192">
        <v>0</v>
      </c>
      <c r="Q11" s="192">
        <v>19.8</v>
      </c>
      <c r="R11" s="42">
        <f t="shared" si="8"/>
        <v>98742.6</v>
      </c>
      <c r="S11" s="62"/>
      <c r="T11" s="62"/>
      <c r="U11" s="62"/>
      <c r="V11" s="62"/>
      <c r="W11" s="62"/>
    </row>
    <row r="12" spans="1:23">
      <c r="A12" s="181" t="s">
        <v>1699</v>
      </c>
      <c r="B12" s="42" t="s">
        <v>1545</v>
      </c>
      <c r="C12" s="42" t="s">
        <v>88</v>
      </c>
      <c r="D12" s="42" t="s">
        <v>16</v>
      </c>
      <c r="E12" s="42" t="s">
        <v>1700</v>
      </c>
      <c r="F12" s="42">
        <v>140</v>
      </c>
      <c r="G12" s="42"/>
      <c r="H12" s="42">
        <v>7500</v>
      </c>
      <c r="I12" s="42">
        <f>H12/50</f>
        <v>150</v>
      </c>
      <c r="J12" s="42">
        <v>0.13</v>
      </c>
      <c r="K12" s="42">
        <v>20</v>
      </c>
      <c r="L12" s="43">
        <f t="shared" si="5"/>
        <v>7480</v>
      </c>
      <c r="M12" s="43"/>
      <c r="N12" s="43">
        <f t="shared" si="6"/>
        <v>7480</v>
      </c>
      <c r="O12" s="43">
        <f t="shared" si="7"/>
        <v>525</v>
      </c>
      <c r="P12" s="203">
        <v>0</v>
      </c>
      <c r="Q12" s="203">
        <v>19</v>
      </c>
      <c r="R12" s="42">
        <f t="shared" si="8"/>
        <v>142120</v>
      </c>
      <c r="S12" s="62"/>
      <c r="T12" s="62"/>
      <c r="U12" s="62"/>
      <c r="V12" s="62"/>
      <c r="W12" s="62"/>
    </row>
    <row r="13" spans="1:23">
      <c r="A13" s="62"/>
      <c r="B13" s="67"/>
      <c r="C13" s="67"/>
      <c r="D13" s="67"/>
      <c r="E13" s="67"/>
      <c r="F13" s="67"/>
      <c r="G13" s="67"/>
      <c r="H13" s="67"/>
      <c r="I13" s="67"/>
      <c r="J13" s="67"/>
      <c r="K13" s="67"/>
      <c r="L13" s="68"/>
      <c r="M13" s="68"/>
      <c r="N13" s="68"/>
      <c r="O13" s="68"/>
      <c r="P13" s="67"/>
      <c r="Q13" s="67"/>
      <c r="R13" s="62"/>
      <c r="S13" s="62"/>
      <c r="T13" s="62"/>
      <c r="U13" s="62"/>
      <c r="V13" s="62"/>
      <c r="W13" s="62"/>
    </row>
    <row r="14" spans="1:23">
      <c r="A14" s="62" t="s">
        <v>1749</v>
      </c>
      <c r="B14" s="42" t="s">
        <v>1545</v>
      </c>
      <c r="C14" s="42" t="s">
        <v>88</v>
      </c>
      <c r="D14" s="42" t="s">
        <v>16</v>
      </c>
      <c r="E14" s="42" t="s">
        <v>1751</v>
      </c>
      <c r="F14" s="42">
        <v>139</v>
      </c>
      <c r="G14" s="42"/>
      <c r="H14" s="42">
        <v>15360</v>
      </c>
      <c r="I14" s="42">
        <v>312</v>
      </c>
      <c r="J14" s="42">
        <v>0.5</v>
      </c>
      <c r="K14" s="42">
        <f t="shared" ref="K14" si="10">I14*J14</f>
        <v>156</v>
      </c>
      <c r="L14" s="43">
        <f t="shared" ref="L14" si="11">H14-K14</f>
        <v>15204</v>
      </c>
      <c r="M14" s="43"/>
      <c r="N14" s="43">
        <f t="shared" ref="N14" si="12">L14-M14</f>
        <v>15204</v>
      </c>
      <c r="O14" s="43">
        <f t="shared" ref="O14" si="13">H14/1000*70</f>
        <v>1075.2</v>
      </c>
      <c r="P14" s="210">
        <v>0</v>
      </c>
      <c r="Q14" s="210">
        <v>19</v>
      </c>
      <c r="R14" s="42">
        <f t="shared" ref="R14" si="14">L14*Q14</f>
        <v>288876</v>
      </c>
      <c r="S14" s="62"/>
      <c r="T14" s="62"/>
      <c r="U14" s="62"/>
      <c r="V14" s="62"/>
      <c r="W14" s="62"/>
    </row>
    <row r="15" spans="1:23">
      <c r="A15" s="21"/>
      <c r="B15" s="67"/>
      <c r="C15" s="67"/>
      <c r="D15" s="67"/>
      <c r="E15" s="142"/>
      <c r="F15" s="67"/>
      <c r="G15" s="67"/>
      <c r="H15" s="67"/>
      <c r="I15" s="67"/>
      <c r="J15" s="67"/>
      <c r="K15" s="67"/>
      <c r="L15" s="68"/>
      <c r="M15" s="68"/>
      <c r="N15" s="68"/>
      <c r="O15" s="68"/>
      <c r="P15" s="67"/>
      <c r="Q15" s="62"/>
      <c r="R15" s="62"/>
      <c r="S15" s="62"/>
      <c r="T15" s="62"/>
      <c r="U15" s="62"/>
      <c r="V15" s="62"/>
      <c r="W15" s="62"/>
    </row>
    <row r="16" spans="1:23">
      <c r="A16" s="377" t="s">
        <v>1768</v>
      </c>
      <c r="B16" s="42" t="s">
        <v>1545</v>
      </c>
      <c r="C16" s="42" t="s">
        <v>88</v>
      </c>
      <c r="D16" s="42" t="s">
        <v>16</v>
      </c>
      <c r="E16" s="42" t="s">
        <v>1769</v>
      </c>
      <c r="F16" s="42">
        <v>1949</v>
      </c>
      <c r="G16" s="42"/>
      <c r="H16" s="42">
        <v>4910</v>
      </c>
      <c r="I16" s="42">
        <v>100</v>
      </c>
      <c r="J16" s="42">
        <v>0.5</v>
      </c>
      <c r="K16" s="42">
        <f t="shared" ref="K16:K17" si="15">I16*J16</f>
        <v>50</v>
      </c>
      <c r="L16" s="43">
        <f t="shared" ref="L16:L17" si="16">H16-K16</f>
        <v>4860</v>
      </c>
      <c r="M16" s="43"/>
      <c r="N16" s="43">
        <f t="shared" ref="N16:N17" si="17">L16-M16</f>
        <v>4860</v>
      </c>
      <c r="O16" s="43">
        <f t="shared" ref="O16:O17" si="18">H16/1000*70</f>
        <v>343.7</v>
      </c>
      <c r="P16" s="213">
        <v>0</v>
      </c>
      <c r="Q16" s="213">
        <v>19</v>
      </c>
      <c r="R16" s="42">
        <f t="shared" ref="R16:R17" si="19">L16*Q16</f>
        <v>92340</v>
      </c>
      <c r="S16" s="62"/>
      <c r="T16" s="62"/>
      <c r="U16" s="62"/>
      <c r="V16" s="62"/>
      <c r="W16" s="62"/>
    </row>
    <row r="17" spans="1:23">
      <c r="A17" s="377"/>
      <c r="B17" s="42" t="s">
        <v>1545</v>
      </c>
      <c r="C17" s="42" t="s">
        <v>88</v>
      </c>
      <c r="D17" s="42" t="s">
        <v>16</v>
      </c>
      <c r="E17" s="42" t="s">
        <v>1770</v>
      </c>
      <c r="F17" s="42">
        <v>1949</v>
      </c>
      <c r="G17" s="42"/>
      <c r="H17" s="42">
        <v>5140</v>
      </c>
      <c r="I17" s="42">
        <v>100</v>
      </c>
      <c r="J17" s="42">
        <v>0.5</v>
      </c>
      <c r="K17" s="42">
        <f t="shared" si="15"/>
        <v>50</v>
      </c>
      <c r="L17" s="43">
        <f t="shared" si="16"/>
        <v>5090</v>
      </c>
      <c r="M17" s="43"/>
      <c r="N17" s="43">
        <f t="shared" si="17"/>
        <v>5090</v>
      </c>
      <c r="O17" s="43">
        <f t="shared" si="18"/>
        <v>359.79999999999995</v>
      </c>
      <c r="P17" s="213">
        <v>0</v>
      </c>
      <c r="Q17" s="213">
        <v>19</v>
      </c>
      <c r="R17" s="42">
        <f t="shared" si="19"/>
        <v>96710</v>
      </c>
      <c r="S17" s="62"/>
      <c r="T17" s="62"/>
      <c r="U17" s="62"/>
      <c r="V17" s="62"/>
      <c r="W17" s="62"/>
    </row>
    <row r="18" spans="1:23">
      <c r="A18" s="63"/>
      <c r="B18" s="67"/>
      <c r="C18" s="67"/>
      <c r="D18" s="67"/>
      <c r="E18" s="142"/>
      <c r="F18" s="67"/>
      <c r="G18" s="67"/>
      <c r="H18" s="67"/>
      <c r="I18" s="67"/>
      <c r="J18" s="67"/>
      <c r="K18" s="67"/>
      <c r="L18" s="68"/>
      <c r="M18" s="68"/>
      <c r="N18" s="68"/>
      <c r="O18" s="68"/>
      <c r="P18" s="67"/>
      <c r="Q18" s="62"/>
      <c r="R18" s="62"/>
      <c r="S18" s="62"/>
      <c r="T18" s="62"/>
      <c r="U18" s="62"/>
      <c r="V18" s="62"/>
      <c r="W18" s="62"/>
    </row>
    <row r="19" spans="1:23">
      <c r="A19" s="150" t="s">
        <v>1811</v>
      </c>
      <c r="B19" s="42" t="s">
        <v>1545</v>
      </c>
      <c r="C19" s="42" t="s">
        <v>88</v>
      </c>
      <c r="D19" s="42" t="s">
        <v>16</v>
      </c>
      <c r="E19" s="42" t="s">
        <v>1812</v>
      </c>
      <c r="F19" s="42">
        <v>707</v>
      </c>
      <c r="G19" s="42"/>
      <c r="H19" s="42">
        <v>15340</v>
      </c>
      <c r="I19" s="42">
        <v>254</v>
      </c>
      <c r="J19" s="42">
        <v>0.5</v>
      </c>
      <c r="K19" s="42">
        <f t="shared" ref="K19" si="20">I19*J19</f>
        <v>127</v>
      </c>
      <c r="L19" s="43">
        <f t="shared" ref="L19" si="21">H19-K19</f>
        <v>15213</v>
      </c>
      <c r="M19" s="43"/>
      <c r="N19" s="43">
        <f t="shared" ref="N19" si="22">L19-M19</f>
        <v>15213</v>
      </c>
      <c r="O19" s="43">
        <f t="shared" ref="O19" si="23">H19/1000*70</f>
        <v>1073.8</v>
      </c>
      <c r="P19" s="222">
        <v>0</v>
      </c>
      <c r="Q19" s="222">
        <v>19</v>
      </c>
      <c r="R19" s="42">
        <f t="shared" ref="R19" si="24">L19*Q19</f>
        <v>289047</v>
      </c>
      <c r="S19" s="62"/>
      <c r="T19" s="62"/>
      <c r="U19" s="62"/>
      <c r="V19" s="62"/>
      <c r="W19" s="62"/>
    </row>
    <row r="20" spans="1:23">
      <c r="A20" s="150"/>
      <c r="B20" s="67"/>
      <c r="C20" s="67"/>
      <c r="D20" s="67"/>
      <c r="E20" s="67"/>
      <c r="F20" s="67"/>
      <c r="G20" s="67"/>
      <c r="H20" s="67"/>
      <c r="I20" s="67"/>
      <c r="J20" s="67"/>
      <c r="K20" s="67"/>
      <c r="L20" s="68"/>
      <c r="M20" s="68"/>
      <c r="N20" s="68"/>
      <c r="O20" s="68"/>
      <c r="P20" s="67"/>
      <c r="Q20" s="67"/>
      <c r="R20" s="67"/>
      <c r="S20" s="62"/>
      <c r="T20" s="62"/>
      <c r="U20" s="62"/>
      <c r="V20" s="62"/>
      <c r="W20" s="62"/>
    </row>
    <row r="21" spans="1:23">
      <c r="A21" s="21" t="s">
        <v>1831</v>
      </c>
      <c r="B21" s="42" t="s">
        <v>1545</v>
      </c>
      <c r="C21" s="42" t="s">
        <v>91</v>
      </c>
      <c r="D21" s="42" t="s">
        <v>16</v>
      </c>
      <c r="E21" s="42" t="s">
        <v>1169</v>
      </c>
      <c r="F21" s="42">
        <v>2799</v>
      </c>
      <c r="G21" s="42"/>
      <c r="H21" s="42">
        <v>4990</v>
      </c>
      <c r="I21" s="42">
        <v>98</v>
      </c>
      <c r="J21" s="42">
        <v>0.13</v>
      </c>
      <c r="K21" s="42">
        <v>13</v>
      </c>
      <c r="L21" s="43">
        <f t="shared" ref="L21" si="25">H21-K21</f>
        <v>4977</v>
      </c>
      <c r="M21" s="43"/>
      <c r="N21" s="43">
        <f t="shared" ref="N21" si="26">L21-M21</f>
        <v>4977</v>
      </c>
      <c r="O21" s="43">
        <f t="shared" ref="O21" si="27">H21/1000*70</f>
        <v>349.3</v>
      </c>
      <c r="P21" s="226">
        <v>0</v>
      </c>
      <c r="Q21" s="226">
        <v>14</v>
      </c>
      <c r="R21" s="42">
        <f t="shared" ref="R21" si="28">L21*Q21</f>
        <v>69678</v>
      </c>
      <c r="S21" s="62"/>
      <c r="T21" s="62"/>
      <c r="U21" s="62"/>
      <c r="V21" s="62"/>
      <c r="W21" s="62"/>
    </row>
    <row r="22" spans="1:23">
      <c r="A22" s="62"/>
      <c r="B22" s="67"/>
      <c r="C22" s="67"/>
      <c r="D22" s="67"/>
      <c r="E22" s="67"/>
      <c r="F22" s="67"/>
      <c r="G22" s="67"/>
      <c r="H22" s="67"/>
      <c r="I22" s="67"/>
      <c r="J22" s="67"/>
      <c r="K22" s="68"/>
      <c r="L22" s="68"/>
      <c r="M22" s="68"/>
      <c r="N22" s="68"/>
      <c r="O22" s="68"/>
      <c r="P22" s="67"/>
      <c r="Q22" s="67"/>
      <c r="R22" s="62"/>
      <c r="S22" s="62"/>
      <c r="T22" s="62"/>
      <c r="U22" s="62"/>
      <c r="V22" s="62"/>
      <c r="W22" s="62"/>
    </row>
    <row r="23" spans="1:23">
      <c r="A23" s="374" t="s">
        <v>1840</v>
      </c>
      <c r="B23" s="42" t="s">
        <v>1545</v>
      </c>
      <c r="C23" s="42" t="s">
        <v>1377</v>
      </c>
      <c r="D23" s="42" t="s">
        <v>16</v>
      </c>
      <c r="E23" s="42" t="s">
        <v>1169</v>
      </c>
      <c r="F23" s="42">
        <v>393</v>
      </c>
      <c r="G23" s="42"/>
      <c r="H23" s="42">
        <v>990</v>
      </c>
      <c r="I23" s="42">
        <v>20</v>
      </c>
      <c r="J23" s="42">
        <v>0.75</v>
      </c>
      <c r="K23" s="42">
        <f t="shared" ref="K23:K24" si="29">I23*J23</f>
        <v>15</v>
      </c>
      <c r="L23" s="43">
        <f t="shared" ref="L23:L24" si="30">H23-K23</f>
        <v>975</v>
      </c>
      <c r="M23" s="43"/>
      <c r="N23" s="43">
        <f t="shared" ref="N23:N24" si="31">L23-M23</f>
        <v>975</v>
      </c>
      <c r="O23" s="43">
        <f t="shared" ref="O23:O24" si="32">H23/1000*70</f>
        <v>69.3</v>
      </c>
      <c r="P23" s="227">
        <v>0</v>
      </c>
      <c r="Q23" s="227">
        <v>17.5</v>
      </c>
      <c r="R23" s="42">
        <f t="shared" ref="R23:R24" si="33">L23*Q23</f>
        <v>17062.5</v>
      </c>
      <c r="S23" s="62"/>
      <c r="T23" s="62"/>
      <c r="U23" s="62"/>
      <c r="V23" s="62"/>
      <c r="W23" s="62"/>
    </row>
    <row r="24" spans="1:23">
      <c r="A24" s="374"/>
      <c r="B24" s="42" t="s">
        <v>1545</v>
      </c>
      <c r="C24" s="42" t="s">
        <v>287</v>
      </c>
      <c r="D24" s="42" t="s">
        <v>16</v>
      </c>
      <c r="E24" s="42" t="s">
        <v>1169</v>
      </c>
      <c r="F24" s="42">
        <v>393</v>
      </c>
      <c r="G24" s="42"/>
      <c r="H24" s="42">
        <v>1980</v>
      </c>
      <c r="I24" s="42">
        <v>40</v>
      </c>
      <c r="J24" s="42">
        <v>0.13</v>
      </c>
      <c r="K24" s="42">
        <f t="shared" si="29"/>
        <v>5.2</v>
      </c>
      <c r="L24" s="43">
        <f t="shared" si="30"/>
        <v>1974.8</v>
      </c>
      <c r="M24" s="43"/>
      <c r="N24" s="43">
        <f t="shared" si="31"/>
        <v>1974.8</v>
      </c>
      <c r="O24" s="43">
        <f t="shared" si="32"/>
        <v>138.6</v>
      </c>
      <c r="P24" s="227">
        <v>0</v>
      </c>
      <c r="Q24" s="227">
        <v>8.5</v>
      </c>
      <c r="R24" s="42">
        <f t="shared" si="33"/>
        <v>16785.8</v>
      </c>
      <c r="S24" s="62"/>
      <c r="T24" s="62"/>
      <c r="U24" s="62"/>
      <c r="V24" s="62"/>
      <c r="W24" s="62"/>
    </row>
    <row r="25" spans="1:23">
      <c r="A25" s="63"/>
      <c r="B25" s="67"/>
      <c r="C25" s="67"/>
      <c r="D25" s="67"/>
      <c r="E25" s="67"/>
      <c r="F25" s="67"/>
      <c r="G25" s="67"/>
      <c r="H25" s="67"/>
      <c r="I25" s="67"/>
      <c r="J25" s="67"/>
      <c r="K25" s="68"/>
      <c r="L25" s="68"/>
      <c r="M25" s="68"/>
      <c r="N25" s="68"/>
      <c r="O25" s="68"/>
      <c r="P25" s="67"/>
      <c r="Q25" s="62"/>
      <c r="R25" s="62"/>
      <c r="S25" s="62"/>
      <c r="T25" s="62"/>
      <c r="U25" s="62"/>
      <c r="V25" s="62"/>
      <c r="W25" s="62"/>
    </row>
    <row r="26" spans="1:23">
      <c r="A26" s="63" t="s">
        <v>1918</v>
      </c>
      <c r="B26" s="42" t="s">
        <v>1545</v>
      </c>
      <c r="C26" s="42" t="s">
        <v>91</v>
      </c>
      <c r="D26" s="42" t="s">
        <v>16</v>
      </c>
      <c r="E26" s="42" t="s">
        <v>1919</v>
      </c>
      <c r="F26" s="42">
        <v>397</v>
      </c>
      <c r="G26" s="42"/>
      <c r="H26" s="42">
        <v>9800</v>
      </c>
      <c r="I26" s="42">
        <v>184</v>
      </c>
      <c r="J26" s="42">
        <v>0.13</v>
      </c>
      <c r="K26" s="42">
        <v>24</v>
      </c>
      <c r="L26" s="43">
        <f t="shared" ref="L26" si="34">H26-K26</f>
        <v>9776</v>
      </c>
      <c r="M26" s="43"/>
      <c r="N26" s="43">
        <f t="shared" ref="N26" si="35">L26-M26</f>
        <v>9776</v>
      </c>
      <c r="O26" s="43">
        <f t="shared" ref="O26" si="36">H26/1000*70</f>
        <v>686</v>
      </c>
      <c r="P26" s="42">
        <v>0</v>
      </c>
      <c r="Q26" s="42">
        <v>12.2</v>
      </c>
      <c r="R26" s="42">
        <f t="shared" ref="R26" si="37">L26*Q26</f>
        <v>119267.2</v>
      </c>
      <c r="S26" s="62"/>
      <c r="T26" s="62"/>
      <c r="U26" s="62"/>
      <c r="V26" s="62"/>
      <c r="W26" s="62"/>
    </row>
    <row r="27" spans="1:23">
      <c r="A27" s="63"/>
      <c r="B27" s="67"/>
      <c r="C27" s="67"/>
      <c r="D27" s="67"/>
      <c r="E27" s="67"/>
      <c r="F27" s="67"/>
      <c r="G27" s="67"/>
      <c r="H27" s="67"/>
      <c r="I27" s="67"/>
      <c r="J27" s="67"/>
      <c r="K27" s="67"/>
      <c r="L27" s="68"/>
      <c r="M27" s="68"/>
      <c r="N27" s="68"/>
      <c r="O27" s="68"/>
      <c r="P27" s="67"/>
      <c r="Q27" s="62"/>
      <c r="R27" s="62"/>
      <c r="S27" s="62"/>
      <c r="T27" s="62"/>
      <c r="U27" s="62"/>
      <c r="V27" s="62"/>
      <c r="W27" s="62"/>
    </row>
    <row r="28" spans="1:23">
      <c r="A28" s="63" t="s">
        <v>1931</v>
      </c>
      <c r="B28" s="42" t="s">
        <v>1545</v>
      </c>
      <c r="C28" s="42" t="s">
        <v>1933</v>
      </c>
      <c r="D28" s="42" t="s">
        <v>16</v>
      </c>
      <c r="E28" s="42" t="s">
        <v>1934</v>
      </c>
      <c r="F28" s="42">
        <v>139</v>
      </c>
      <c r="G28" s="42"/>
      <c r="H28" s="42">
        <v>5960</v>
      </c>
      <c r="I28" s="42">
        <v>120</v>
      </c>
      <c r="J28" s="42">
        <v>0.13</v>
      </c>
      <c r="K28" s="42">
        <v>16</v>
      </c>
      <c r="L28" s="43">
        <f t="shared" ref="L28" si="38">H28-K28</f>
        <v>5944</v>
      </c>
      <c r="M28" s="43"/>
      <c r="N28" s="43">
        <f t="shared" ref="N28" si="39">L28-M28</f>
        <v>5944</v>
      </c>
      <c r="O28" s="43">
        <f t="shared" ref="O28" si="40">H28/1000*70</f>
        <v>417.2</v>
      </c>
      <c r="P28" s="42">
        <v>0</v>
      </c>
      <c r="Q28" s="42">
        <v>9</v>
      </c>
      <c r="R28" s="42">
        <f t="shared" ref="R28" si="41">L28*Q28</f>
        <v>53496</v>
      </c>
      <c r="S28" s="62"/>
      <c r="T28" s="62"/>
      <c r="U28" s="62"/>
      <c r="V28" s="62"/>
      <c r="W28" s="62"/>
    </row>
    <row r="29" spans="1:23">
      <c r="A29" s="63"/>
      <c r="B29" s="67"/>
      <c r="C29" s="67"/>
      <c r="D29" s="67"/>
      <c r="E29" s="67"/>
      <c r="F29" s="67"/>
      <c r="G29" s="67"/>
      <c r="H29" s="67"/>
      <c r="I29" s="67"/>
      <c r="J29" s="67"/>
      <c r="K29" s="67"/>
      <c r="L29" s="68"/>
      <c r="M29" s="68"/>
      <c r="N29" s="68"/>
      <c r="O29" s="68"/>
      <c r="P29" s="67"/>
      <c r="Q29" s="62"/>
      <c r="R29" s="62"/>
      <c r="S29" s="62"/>
      <c r="T29" s="62"/>
      <c r="U29" s="62"/>
      <c r="V29" s="62"/>
      <c r="W29" s="62"/>
    </row>
    <row r="30" spans="1:23">
      <c r="A30" s="63" t="s">
        <v>1945</v>
      </c>
      <c r="B30" s="42" t="s">
        <v>1946</v>
      </c>
      <c r="C30" s="42" t="s">
        <v>1947</v>
      </c>
      <c r="D30" s="42" t="s">
        <v>16</v>
      </c>
      <c r="E30" s="42" t="s">
        <v>1948</v>
      </c>
      <c r="F30" s="42">
        <v>138</v>
      </c>
      <c r="G30" s="42"/>
      <c r="H30" s="42">
        <v>4030</v>
      </c>
      <c r="I30" s="42">
        <v>80</v>
      </c>
      <c r="J30" s="42">
        <v>0.13</v>
      </c>
      <c r="K30" s="43">
        <f t="shared" ref="K30" si="42">I30*J30</f>
        <v>10.4</v>
      </c>
      <c r="L30" s="43">
        <f t="shared" ref="L30" si="43">H30-K30</f>
        <v>4019.6</v>
      </c>
      <c r="M30" s="43"/>
      <c r="N30" s="43">
        <f t="shared" ref="N30" si="44">L30-M30</f>
        <v>4019.6</v>
      </c>
      <c r="O30" s="43">
        <f t="shared" ref="O30" si="45">H30/1000*70</f>
        <v>282.10000000000002</v>
      </c>
      <c r="P30" s="42">
        <v>0</v>
      </c>
      <c r="Q30" s="42">
        <v>18</v>
      </c>
      <c r="R30" s="42">
        <f t="shared" ref="R30" si="46">L30*Q30</f>
        <v>72352.800000000003</v>
      </c>
      <c r="S30" s="62"/>
      <c r="T30" s="62"/>
      <c r="U30" s="62"/>
      <c r="V30" s="62"/>
      <c r="W30" s="62"/>
    </row>
    <row r="31" spans="1:23">
      <c r="A31" s="63"/>
      <c r="B31" s="67"/>
      <c r="C31" s="67"/>
      <c r="D31" s="67"/>
      <c r="E31" s="67"/>
      <c r="F31" s="67"/>
      <c r="G31" s="67"/>
      <c r="H31" s="67"/>
      <c r="I31" s="67"/>
      <c r="J31" s="67"/>
      <c r="K31" s="67"/>
      <c r="L31" s="68"/>
      <c r="M31" s="68"/>
      <c r="N31" s="68"/>
      <c r="O31" s="68"/>
      <c r="P31" s="67"/>
      <c r="Q31" s="62"/>
      <c r="R31" s="62"/>
      <c r="S31" s="62"/>
      <c r="T31" s="62"/>
      <c r="U31" s="62"/>
      <c r="V31" s="62"/>
      <c r="W31" s="62"/>
    </row>
    <row r="32" spans="1:23">
      <c r="A32" s="374" t="s">
        <v>1954</v>
      </c>
      <c r="B32" s="42" t="s">
        <v>1545</v>
      </c>
      <c r="C32" s="42" t="s">
        <v>1933</v>
      </c>
      <c r="D32" s="42" t="s">
        <v>16</v>
      </c>
      <c r="E32" s="42" t="s">
        <v>1955</v>
      </c>
      <c r="F32" s="42">
        <v>138</v>
      </c>
      <c r="G32" s="42"/>
      <c r="H32" s="42">
        <v>12290</v>
      </c>
      <c r="I32" s="42">
        <v>320</v>
      </c>
      <c r="J32" s="42">
        <v>0.13</v>
      </c>
      <c r="K32" s="43">
        <f t="shared" ref="K32:K33" si="47">I32*J32</f>
        <v>41.6</v>
      </c>
      <c r="L32" s="43">
        <f t="shared" ref="L32:L33" si="48">H32-K32</f>
        <v>12248.4</v>
      </c>
      <c r="M32" s="43"/>
      <c r="N32" s="43">
        <f t="shared" ref="N32:N33" si="49">L32-M32</f>
        <v>12248.4</v>
      </c>
      <c r="O32" s="43">
        <f t="shared" ref="O32:O33" si="50">H32/1000*70</f>
        <v>860.3</v>
      </c>
      <c r="P32" s="42">
        <v>0</v>
      </c>
      <c r="Q32" s="42">
        <v>8.5</v>
      </c>
      <c r="R32" s="42">
        <f t="shared" ref="R32:R33" si="51">L32*Q32</f>
        <v>104111.4</v>
      </c>
      <c r="S32" s="62"/>
      <c r="T32" s="62"/>
      <c r="U32" s="62"/>
      <c r="V32" s="62"/>
      <c r="W32" s="62"/>
    </row>
    <row r="33" spans="1:23">
      <c r="A33" s="374"/>
      <c r="B33" s="42" t="s">
        <v>1545</v>
      </c>
      <c r="C33" s="42" t="s">
        <v>88</v>
      </c>
      <c r="D33" s="42" t="s">
        <v>16</v>
      </c>
      <c r="E33" s="42" t="s">
        <v>1487</v>
      </c>
      <c r="F33" s="42">
        <v>407</v>
      </c>
      <c r="G33" s="42"/>
      <c r="H33" s="42">
        <v>2000</v>
      </c>
      <c r="I33" s="42">
        <v>40</v>
      </c>
      <c r="J33" s="42">
        <v>0.5</v>
      </c>
      <c r="K33" s="43">
        <f t="shared" si="47"/>
        <v>20</v>
      </c>
      <c r="L33" s="43">
        <f t="shared" si="48"/>
        <v>1980</v>
      </c>
      <c r="M33" s="43"/>
      <c r="N33" s="43">
        <f t="shared" si="49"/>
        <v>1980</v>
      </c>
      <c r="O33" s="43">
        <f t="shared" si="50"/>
        <v>140</v>
      </c>
      <c r="P33" s="42"/>
      <c r="Q33" s="42">
        <v>19</v>
      </c>
      <c r="R33" s="42">
        <f t="shared" si="51"/>
        <v>37620</v>
      </c>
      <c r="S33" s="62"/>
      <c r="T33" s="62"/>
      <c r="U33" s="62"/>
      <c r="V33" s="62"/>
      <c r="W33" s="62"/>
    </row>
    <row r="34" spans="1:23">
      <c r="A34" s="63"/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8"/>
      <c r="M34" s="68"/>
      <c r="N34" s="68"/>
      <c r="O34" s="68"/>
      <c r="P34" s="67"/>
      <c r="Q34" s="62"/>
      <c r="R34" s="62"/>
      <c r="S34" s="62"/>
      <c r="T34" s="62"/>
      <c r="U34" s="62"/>
      <c r="V34" s="62"/>
      <c r="W34" s="62"/>
    </row>
    <row r="35" spans="1:23">
      <c r="A35" s="63" t="s">
        <v>1967</v>
      </c>
      <c r="B35" s="42" t="s">
        <v>1545</v>
      </c>
      <c r="C35" s="42" t="s">
        <v>88</v>
      </c>
      <c r="D35" s="42" t="s">
        <v>16</v>
      </c>
      <c r="E35" s="42" t="s">
        <v>1968</v>
      </c>
      <c r="F35" s="42">
        <v>4896</v>
      </c>
      <c r="G35" s="42"/>
      <c r="H35" s="42">
        <v>6270</v>
      </c>
      <c r="I35" s="42">
        <v>125</v>
      </c>
      <c r="J35" s="42">
        <v>0.5</v>
      </c>
      <c r="K35" s="43">
        <f t="shared" ref="K35" si="52">I35*J35</f>
        <v>62.5</v>
      </c>
      <c r="L35" s="43">
        <f t="shared" ref="L35" si="53">H35-K35</f>
        <v>6207.5</v>
      </c>
      <c r="M35" s="43"/>
      <c r="N35" s="43">
        <f t="shared" ref="N35" si="54">L35-M35</f>
        <v>6207.5</v>
      </c>
      <c r="O35" s="43">
        <f t="shared" ref="O35" si="55">H35/1000*70</f>
        <v>438.9</v>
      </c>
      <c r="P35" s="42">
        <v>0</v>
      </c>
      <c r="Q35" s="42">
        <v>18.5</v>
      </c>
      <c r="R35" s="42">
        <f t="shared" ref="R35" si="56">L35*Q35</f>
        <v>114838.75</v>
      </c>
      <c r="S35" s="62"/>
      <c r="T35" s="62"/>
      <c r="U35" s="62"/>
      <c r="V35" s="62"/>
      <c r="W35" s="62"/>
    </row>
    <row r="36" spans="1:23">
      <c r="A36" s="63"/>
      <c r="B36" s="67"/>
      <c r="C36" s="67"/>
      <c r="D36" s="67"/>
      <c r="E36" s="67"/>
      <c r="F36" s="67"/>
      <c r="G36" s="67"/>
      <c r="H36" s="67"/>
      <c r="I36" s="67"/>
      <c r="J36" s="67"/>
      <c r="K36" s="68"/>
      <c r="L36" s="68"/>
      <c r="M36" s="68"/>
      <c r="N36" s="68"/>
      <c r="O36" s="68"/>
      <c r="P36" s="67"/>
      <c r="Q36" s="62"/>
      <c r="R36" s="62"/>
      <c r="S36" s="62"/>
      <c r="T36" s="62"/>
      <c r="U36" s="62"/>
      <c r="V36" s="62"/>
      <c r="W36" s="62"/>
    </row>
    <row r="37" spans="1:23">
      <c r="A37" s="63" t="s">
        <v>2003</v>
      </c>
      <c r="B37" s="240" t="s">
        <v>1545</v>
      </c>
      <c r="C37" s="240" t="s">
        <v>287</v>
      </c>
      <c r="D37" s="240" t="s">
        <v>16</v>
      </c>
      <c r="E37" s="240" t="s">
        <v>2004</v>
      </c>
      <c r="F37" s="240">
        <v>138</v>
      </c>
      <c r="G37" s="240"/>
      <c r="H37" s="240">
        <v>15990</v>
      </c>
      <c r="I37" s="240">
        <v>320</v>
      </c>
      <c r="J37" s="240">
        <v>0.13</v>
      </c>
      <c r="K37" s="5">
        <f t="shared" ref="K37" si="57">I37*J37</f>
        <v>41.6</v>
      </c>
      <c r="L37" s="19">
        <f t="shared" ref="L37" si="58">H37-K37</f>
        <v>15948.4</v>
      </c>
      <c r="M37" s="19"/>
      <c r="N37" s="43">
        <f t="shared" ref="N37" si="59">L37-M37</f>
        <v>15948.4</v>
      </c>
      <c r="O37" s="5">
        <f t="shared" ref="O37" si="60">H37/1000*70</f>
        <v>1119.3</v>
      </c>
      <c r="P37" s="240">
        <v>0</v>
      </c>
      <c r="Q37" s="240">
        <v>8.5</v>
      </c>
      <c r="R37" s="42">
        <f t="shared" ref="R37" si="61">L37*Q37</f>
        <v>135561.4</v>
      </c>
      <c r="S37" s="62"/>
      <c r="T37" s="62"/>
      <c r="U37" s="62"/>
      <c r="V37" s="62"/>
      <c r="W37" s="62"/>
    </row>
    <row r="38" spans="1:23">
      <c r="A38" s="63"/>
      <c r="B38" s="67"/>
      <c r="C38" s="67"/>
      <c r="D38" s="67"/>
      <c r="E38" s="67"/>
      <c r="F38" s="67"/>
      <c r="G38" s="67"/>
      <c r="H38" s="67"/>
      <c r="I38" s="67"/>
      <c r="J38" s="67"/>
      <c r="K38" s="68"/>
      <c r="L38" s="68"/>
      <c r="M38" s="68"/>
      <c r="N38" s="68"/>
      <c r="O38" s="68"/>
      <c r="P38" s="67"/>
      <c r="Q38" s="62"/>
      <c r="R38" s="62"/>
      <c r="S38" s="62"/>
      <c r="T38" s="62"/>
      <c r="U38" s="62"/>
      <c r="V38" s="62"/>
      <c r="W38" s="62"/>
    </row>
    <row r="39" spans="1:23">
      <c r="A39" s="63" t="s">
        <v>2100</v>
      </c>
      <c r="B39" s="42" t="s">
        <v>1545</v>
      </c>
      <c r="C39" s="42" t="s">
        <v>88</v>
      </c>
      <c r="D39" s="42" t="s">
        <v>16</v>
      </c>
      <c r="E39" s="42" t="s">
        <v>2101</v>
      </c>
      <c r="F39" s="42">
        <v>651</v>
      </c>
      <c r="G39" s="42"/>
      <c r="H39" s="42">
        <v>4990</v>
      </c>
      <c r="I39" s="42">
        <v>100</v>
      </c>
      <c r="J39" s="42">
        <v>0.5</v>
      </c>
      <c r="K39" s="43">
        <f t="shared" ref="K39" si="62">I39*J39</f>
        <v>50</v>
      </c>
      <c r="L39" s="43">
        <f t="shared" ref="L39" si="63">H39-K39</f>
        <v>4940</v>
      </c>
      <c r="M39" s="43"/>
      <c r="N39" s="43">
        <f t="shared" ref="N39" si="64">L39-M39</f>
        <v>4940</v>
      </c>
      <c r="O39" s="43">
        <f t="shared" ref="O39" si="65">H39/1000*70</f>
        <v>349.3</v>
      </c>
      <c r="P39" s="42">
        <v>0</v>
      </c>
      <c r="Q39" s="42">
        <v>19</v>
      </c>
      <c r="R39" s="42">
        <f t="shared" ref="R39" si="66">L39*Q39</f>
        <v>93860</v>
      </c>
      <c r="S39" s="62"/>
      <c r="T39" s="62"/>
      <c r="U39" s="62"/>
      <c r="V39" s="62"/>
      <c r="W39" s="62"/>
    </row>
    <row r="40" spans="1:23">
      <c r="A40" s="63"/>
      <c r="B40" s="67"/>
      <c r="C40" s="67"/>
      <c r="D40" s="67"/>
      <c r="E40" s="67"/>
      <c r="F40" s="67"/>
      <c r="G40" s="67"/>
      <c r="H40" s="67"/>
      <c r="I40" s="67"/>
      <c r="J40" s="67"/>
      <c r="K40" s="68"/>
      <c r="L40" s="68"/>
      <c r="M40" s="68"/>
      <c r="N40" s="68"/>
      <c r="O40" s="68"/>
      <c r="P40" s="67"/>
      <c r="Q40" s="62"/>
      <c r="R40" s="62"/>
      <c r="S40" s="62"/>
      <c r="T40" s="62"/>
      <c r="U40" s="62"/>
      <c r="V40" s="62"/>
      <c r="W40" s="62"/>
    </row>
    <row r="41" spans="1:23">
      <c r="A41" s="63" t="s">
        <v>2212</v>
      </c>
      <c r="B41" s="42" t="s">
        <v>1545</v>
      </c>
      <c r="C41" s="42" t="s">
        <v>621</v>
      </c>
      <c r="D41" s="42" t="s">
        <v>16</v>
      </c>
      <c r="E41" s="42" t="s">
        <v>2213</v>
      </c>
      <c r="F41" s="42">
        <v>8863</v>
      </c>
      <c r="G41" s="42"/>
      <c r="H41" s="42">
        <v>12500</v>
      </c>
      <c r="I41" s="42">
        <v>250</v>
      </c>
      <c r="J41" s="42">
        <v>0.13</v>
      </c>
      <c r="K41" s="43">
        <f t="shared" ref="K41" si="67">I41*J41</f>
        <v>32.5</v>
      </c>
      <c r="L41" s="43">
        <f t="shared" ref="L41" si="68">H41-K41</f>
        <v>12467.5</v>
      </c>
      <c r="M41" s="43"/>
      <c r="N41" s="43">
        <f t="shared" ref="N41" si="69">L41-M41</f>
        <v>12467.5</v>
      </c>
      <c r="O41" s="43">
        <f t="shared" ref="O41" si="70">H41/1000*70</f>
        <v>875</v>
      </c>
      <c r="P41" s="42">
        <v>9000</v>
      </c>
      <c r="Q41" s="42">
        <v>0</v>
      </c>
      <c r="R41" s="42">
        <f t="shared" ref="R41" si="71">L41*Q41</f>
        <v>0</v>
      </c>
      <c r="S41" s="62"/>
      <c r="T41" s="62"/>
      <c r="U41" s="62"/>
      <c r="V41" s="62"/>
      <c r="W41" s="62"/>
    </row>
    <row r="42" spans="1:23">
      <c r="A42" s="63"/>
      <c r="B42" s="67"/>
      <c r="C42" s="67"/>
      <c r="D42" s="67"/>
      <c r="E42" s="67"/>
      <c r="F42" s="67"/>
      <c r="G42" s="67"/>
      <c r="H42" s="67"/>
      <c r="I42" s="67"/>
      <c r="J42" s="67"/>
      <c r="K42" s="68"/>
      <c r="L42" s="68"/>
      <c r="M42" s="68"/>
      <c r="N42" s="68"/>
      <c r="O42" s="68"/>
      <c r="P42" s="67"/>
      <c r="Q42" s="62"/>
      <c r="R42" s="62"/>
      <c r="S42" s="62"/>
      <c r="T42" s="62"/>
      <c r="U42" s="62"/>
      <c r="V42" s="62"/>
      <c r="W42" s="62"/>
    </row>
    <row r="43" spans="1:23">
      <c r="A43" s="63" t="s">
        <v>2288</v>
      </c>
      <c r="B43" s="42" t="s">
        <v>2250</v>
      </c>
      <c r="C43" s="42" t="s">
        <v>287</v>
      </c>
      <c r="D43" s="42" t="s">
        <v>16</v>
      </c>
      <c r="E43" s="42" t="s">
        <v>2293</v>
      </c>
      <c r="F43" s="42">
        <v>2542</v>
      </c>
      <c r="G43" s="42"/>
      <c r="H43" s="42">
        <v>20350</v>
      </c>
      <c r="I43" s="42">
        <v>407</v>
      </c>
      <c r="J43" s="42">
        <v>0.13</v>
      </c>
      <c r="K43" s="43">
        <f t="shared" ref="K43" si="72">I43*J43</f>
        <v>52.910000000000004</v>
      </c>
      <c r="L43" s="43">
        <f t="shared" ref="L43" si="73">H43-K43</f>
        <v>20297.09</v>
      </c>
      <c r="M43" s="43"/>
      <c r="N43" s="43">
        <f t="shared" ref="N43" si="74">L43-M43</f>
        <v>20297.09</v>
      </c>
      <c r="O43" s="43">
        <f t="shared" ref="O43" si="75">H43/1000*70</f>
        <v>1424.5</v>
      </c>
      <c r="P43" s="42">
        <v>0</v>
      </c>
      <c r="Q43" s="42"/>
      <c r="R43" s="42">
        <f t="shared" ref="R43" si="76">L43*Q43</f>
        <v>0</v>
      </c>
      <c r="S43" s="62"/>
      <c r="T43" s="62"/>
      <c r="U43" s="62"/>
      <c r="V43" s="62"/>
      <c r="W43" s="62"/>
    </row>
    <row r="44" spans="1:23">
      <c r="A44" s="63"/>
      <c r="B44" s="67"/>
      <c r="C44" s="67"/>
      <c r="D44" s="67"/>
      <c r="E44" s="67"/>
      <c r="F44" s="67"/>
      <c r="G44" s="67"/>
      <c r="H44" s="67"/>
      <c r="I44" s="67"/>
      <c r="J44" s="67"/>
      <c r="K44" s="68"/>
      <c r="L44" s="68"/>
      <c r="M44" s="68"/>
      <c r="N44" s="68"/>
      <c r="O44" s="68"/>
      <c r="P44" s="67"/>
      <c r="Q44" s="62"/>
      <c r="R44" s="62"/>
      <c r="S44" s="62"/>
      <c r="T44" s="62"/>
      <c r="U44" s="62"/>
      <c r="V44" s="62"/>
      <c r="W44" s="62"/>
    </row>
    <row r="45" spans="1:23">
      <c r="A45" s="63" t="s">
        <v>2296</v>
      </c>
      <c r="B45" s="42" t="s">
        <v>2250</v>
      </c>
      <c r="C45" s="42" t="s">
        <v>287</v>
      </c>
      <c r="D45" s="42" t="s">
        <v>16</v>
      </c>
      <c r="E45" s="42" t="s">
        <v>2305</v>
      </c>
      <c r="F45" s="42">
        <v>483</v>
      </c>
      <c r="G45" s="42"/>
      <c r="H45" s="42">
        <v>19620</v>
      </c>
      <c r="I45" s="42">
        <v>390</v>
      </c>
      <c r="J45" s="42">
        <v>0.13</v>
      </c>
      <c r="K45" s="43">
        <f t="shared" ref="K45" si="77">I45*J45</f>
        <v>50.7</v>
      </c>
      <c r="L45" s="43">
        <f t="shared" ref="L45" si="78">H45-K45</f>
        <v>19569.3</v>
      </c>
      <c r="M45" s="43"/>
      <c r="N45" s="43">
        <f t="shared" ref="N45" si="79">L45-M45</f>
        <v>19569.3</v>
      </c>
      <c r="O45" s="43">
        <f t="shared" ref="O45" si="80">H45/1000*70</f>
        <v>1373.4</v>
      </c>
      <c r="P45" s="42">
        <v>0</v>
      </c>
      <c r="Q45" s="42"/>
      <c r="R45" s="42">
        <f t="shared" ref="R45" si="81">L45*Q45</f>
        <v>0</v>
      </c>
      <c r="S45" s="62"/>
      <c r="T45" s="62"/>
      <c r="U45" s="62"/>
      <c r="V45" s="62"/>
      <c r="W45" s="62"/>
    </row>
    <row r="46" spans="1:23">
      <c r="A46" s="63"/>
      <c r="B46" s="67"/>
      <c r="C46" s="67"/>
      <c r="D46" s="67"/>
      <c r="E46" s="67"/>
      <c r="F46" s="67"/>
      <c r="G46" s="67"/>
      <c r="H46" s="67"/>
      <c r="I46" s="67"/>
      <c r="J46" s="67"/>
      <c r="K46" s="68"/>
      <c r="L46" s="68"/>
      <c r="M46" s="68"/>
      <c r="N46" s="68"/>
      <c r="O46" s="68"/>
      <c r="P46" s="67"/>
      <c r="Q46" s="62"/>
      <c r="R46" s="62"/>
      <c r="S46" s="62"/>
      <c r="T46" s="62"/>
      <c r="U46" s="62"/>
      <c r="V46" s="62"/>
      <c r="W46" s="62"/>
    </row>
    <row r="47" spans="1:23">
      <c r="A47" s="63" t="s">
        <v>2328</v>
      </c>
      <c r="B47" s="42" t="s">
        <v>2250</v>
      </c>
      <c r="C47" s="42" t="s">
        <v>287</v>
      </c>
      <c r="D47" s="42" t="s">
        <v>16</v>
      </c>
      <c r="E47" s="42" t="s">
        <v>2330</v>
      </c>
      <c r="F47" s="42">
        <v>201</v>
      </c>
      <c r="G47" s="42"/>
      <c r="H47" s="42">
        <v>17970</v>
      </c>
      <c r="I47" s="42">
        <v>370</v>
      </c>
      <c r="J47" s="42">
        <v>0.13</v>
      </c>
      <c r="K47" s="43">
        <f t="shared" ref="K47" si="82">I47*J47</f>
        <v>48.1</v>
      </c>
      <c r="L47" s="43">
        <f t="shared" ref="L47" si="83">H47-K47</f>
        <v>17921.900000000001</v>
      </c>
      <c r="M47" s="43"/>
      <c r="N47" s="43">
        <f t="shared" ref="N47" si="84">L47-M47</f>
        <v>17921.900000000001</v>
      </c>
      <c r="O47" s="43">
        <f t="shared" ref="O47" si="85">H47/1000*70</f>
        <v>1257.8999999999999</v>
      </c>
      <c r="P47" s="42">
        <v>0</v>
      </c>
      <c r="Q47" s="42">
        <v>8.5</v>
      </c>
      <c r="R47" s="42">
        <f t="shared" ref="R47" si="86">L47*Q47</f>
        <v>152336.15000000002</v>
      </c>
      <c r="S47" s="62"/>
      <c r="T47" s="62"/>
      <c r="U47" s="62"/>
      <c r="V47" s="62"/>
      <c r="W47" s="62"/>
    </row>
    <row r="48" spans="1:23">
      <c r="A48" s="63"/>
      <c r="B48" s="67"/>
      <c r="C48" s="67"/>
      <c r="D48" s="67"/>
      <c r="E48" s="67"/>
      <c r="F48" s="67"/>
      <c r="G48" s="67"/>
      <c r="H48" s="67"/>
      <c r="I48" s="67"/>
      <c r="J48" s="67"/>
      <c r="K48" s="68"/>
      <c r="L48" s="68"/>
      <c r="M48" s="68"/>
      <c r="N48" s="68"/>
      <c r="O48" s="68"/>
      <c r="P48" s="67"/>
      <c r="Q48" s="62"/>
      <c r="R48" s="62"/>
      <c r="S48" s="62"/>
      <c r="T48" s="62"/>
      <c r="U48" s="62"/>
      <c r="V48" s="62"/>
      <c r="W48" s="62"/>
    </row>
    <row r="49" spans="1:23">
      <c r="A49" s="63" t="s">
        <v>2533</v>
      </c>
      <c r="B49" s="42" t="s">
        <v>2250</v>
      </c>
      <c r="C49" s="42" t="s">
        <v>118</v>
      </c>
      <c r="D49" s="42" t="s">
        <v>16</v>
      </c>
      <c r="E49" s="42" t="s">
        <v>2532</v>
      </c>
      <c r="F49" s="42">
        <v>536</v>
      </c>
      <c r="G49" s="42"/>
      <c r="H49" s="42">
        <v>4120</v>
      </c>
      <c r="I49" s="42">
        <v>43</v>
      </c>
      <c r="J49" s="42">
        <v>0.13</v>
      </c>
      <c r="K49" s="43">
        <f t="shared" ref="K49" si="87">I49*J49</f>
        <v>5.59</v>
      </c>
      <c r="L49" s="43">
        <f t="shared" ref="L49" si="88">H49-K49</f>
        <v>4114.41</v>
      </c>
      <c r="M49" s="43"/>
      <c r="N49" s="43">
        <f t="shared" ref="N49" si="89">L49-M49</f>
        <v>4114.41</v>
      </c>
      <c r="O49" s="43">
        <f t="shared" ref="O49" si="90">H49/1000*70</f>
        <v>288.40000000000003</v>
      </c>
      <c r="P49" s="42">
        <v>0</v>
      </c>
      <c r="Q49" s="42">
        <v>26</v>
      </c>
      <c r="R49" s="42">
        <f t="shared" ref="R49" si="91">L49*Q49</f>
        <v>106974.66</v>
      </c>
      <c r="S49" s="62"/>
      <c r="T49" s="62"/>
      <c r="U49" s="62"/>
      <c r="V49" s="62"/>
      <c r="W49" s="62"/>
    </row>
    <row r="50" spans="1:23">
      <c r="A50" s="63"/>
      <c r="B50" s="67"/>
      <c r="C50" s="67"/>
      <c r="D50" s="67"/>
      <c r="E50" s="67"/>
      <c r="F50" s="67"/>
      <c r="G50" s="67"/>
      <c r="H50" s="67"/>
      <c r="I50" s="67"/>
      <c r="J50" s="67"/>
      <c r="K50" s="68"/>
      <c r="L50" s="68"/>
      <c r="M50" s="68"/>
      <c r="N50" s="68"/>
      <c r="O50" s="68"/>
      <c r="P50" s="67"/>
      <c r="Q50" s="62"/>
      <c r="R50" s="62"/>
      <c r="S50" s="62"/>
      <c r="T50" s="62"/>
      <c r="U50" s="62"/>
      <c r="V50" s="62"/>
      <c r="W50" s="62"/>
    </row>
    <row r="51" spans="1:23">
      <c r="A51" s="63"/>
      <c r="B51" s="67"/>
      <c r="C51" s="67"/>
      <c r="D51" s="67"/>
      <c r="E51" s="67"/>
      <c r="F51" s="67"/>
      <c r="G51" s="67"/>
      <c r="H51" s="67"/>
      <c r="I51" s="67"/>
      <c r="J51" s="67"/>
      <c r="K51" s="68"/>
      <c r="L51" s="68"/>
      <c r="M51" s="68"/>
      <c r="N51" s="68"/>
      <c r="O51" s="68"/>
      <c r="P51" s="67"/>
      <c r="Q51" s="62"/>
      <c r="R51" s="62"/>
      <c r="S51" s="62"/>
      <c r="T51" s="62"/>
      <c r="U51" s="62"/>
      <c r="V51" s="62"/>
      <c r="W51" s="62"/>
    </row>
    <row r="52" spans="1:23">
      <c r="A52" s="63"/>
      <c r="B52" s="67"/>
      <c r="C52" s="67"/>
      <c r="D52" s="67"/>
      <c r="E52" s="67"/>
      <c r="F52" s="67"/>
      <c r="G52" s="67"/>
      <c r="H52" s="67"/>
      <c r="I52" s="67"/>
      <c r="J52" s="67"/>
      <c r="K52" s="68"/>
      <c r="L52" s="68"/>
      <c r="M52" s="68"/>
      <c r="N52" s="68"/>
      <c r="O52" s="68"/>
      <c r="P52" s="149"/>
      <c r="Q52" s="62"/>
      <c r="R52" s="62"/>
      <c r="S52" s="62"/>
      <c r="T52" s="62"/>
      <c r="U52" s="62"/>
      <c r="V52" s="62"/>
      <c r="W52" s="62"/>
    </row>
    <row r="53" spans="1:23">
      <c r="A53" s="63"/>
      <c r="B53" s="67"/>
      <c r="C53" s="67"/>
      <c r="D53" s="67"/>
      <c r="E53" s="67"/>
      <c r="F53" s="67"/>
      <c r="G53" s="67"/>
      <c r="H53" s="67"/>
      <c r="I53" s="67"/>
      <c r="J53" s="67"/>
      <c r="K53" s="68"/>
      <c r="L53" s="68"/>
      <c r="M53" s="68"/>
      <c r="N53" s="68"/>
      <c r="O53" s="68"/>
      <c r="P53" s="149"/>
      <c r="Q53" s="62"/>
      <c r="R53" s="62"/>
      <c r="S53" s="62"/>
      <c r="T53" s="62"/>
      <c r="U53" s="62"/>
      <c r="V53" s="62"/>
      <c r="W53" s="62"/>
    </row>
    <row r="54" spans="1:23">
      <c r="A54" s="63"/>
      <c r="B54" s="67"/>
      <c r="C54" s="67"/>
      <c r="D54" s="67"/>
      <c r="E54" s="67"/>
      <c r="F54" s="67"/>
      <c r="G54" s="67"/>
      <c r="H54" s="67"/>
      <c r="I54" s="67"/>
      <c r="J54" s="67"/>
      <c r="K54" s="68"/>
      <c r="L54" s="68"/>
      <c r="M54" s="68"/>
      <c r="N54" s="68"/>
      <c r="O54" s="68"/>
      <c r="P54" s="149"/>
      <c r="Q54" s="62"/>
      <c r="R54" s="62"/>
      <c r="S54" s="62"/>
      <c r="T54" s="62"/>
      <c r="U54" s="62"/>
      <c r="V54" s="62"/>
      <c r="W54" s="62"/>
    </row>
    <row r="55" spans="1:23">
      <c r="A55" s="63"/>
      <c r="B55" s="67"/>
      <c r="C55" s="67"/>
      <c r="D55" s="67"/>
      <c r="E55" s="67"/>
      <c r="F55" s="67"/>
      <c r="G55" s="67"/>
      <c r="H55" s="67"/>
      <c r="I55" s="67"/>
      <c r="J55" s="67"/>
      <c r="K55" s="68"/>
      <c r="L55" s="68"/>
      <c r="M55" s="68"/>
      <c r="N55" s="68"/>
      <c r="O55" s="68"/>
      <c r="P55" s="149"/>
      <c r="Q55" s="62"/>
      <c r="R55" s="62"/>
      <c r="S55" s="62"/>
      <c r="T55" s="62"/>
      <c r="U55" s="62"/>
      <c r="V55" s="62"/>
      <c r="W55" s="62"/>
    </row>
    <row r="56" spans="1:23">
      <c r="A56" s="63"/>
      <c r="B56" s="67"/>
      <c r="C56" s="67"/>
      <c r="D56" s="67"/>
      <c r="E56" s="67"/>
      <c r="F56" s="67"/>
      <c r="G56" s="67"/>
      <c r="H56" s="67"/>
      <c r="I56" s="67"/>
      <c r="J56" s="67"/>
      <c r="K56" s="68"/>
      <c r="L56" s="68"/>
      <c r="M56" s="68"/>
      <c r="N56" s="68"/>
      <c r="O56" s="68"/>
      <c r="P56" s="149"/>
      <c r="Q56" s="62"/>
      <c r="R56" s="62"/>
      <c r="S56" s="62"/>
      <c r="T56" s="62"/>
      <c r="U56" s="62"/>
      <c r="V56" s="62"/>
      <c r="W56" s="62"/>
    </row>
    <row r="57" spans="1:23">
      <c r="A57" s="63"/>
      <c r="B57" s="67"/>
      <c r="C57" s="67"/>
      <c r="D57" s="67"/>
      <c r="E57" s="67"/>
      <c r="F57" s="67"/>
      <c r="G57" s="67"/>
      <c r="H57" s="67"/>
      <c r="I57" s="67"/>
      <c r="J57" s="67"/>
      <c r="K57" s="68"/>
      <c r="L57" s="68"/>
      <c r="M57" s="68"/>
      <c r="N57" s="68"/>
      <c r="O57" s="68"/>
      <c r="P57" s="149"/>
      <c r="Q57" s="62"/>
      <c r="R57" s="62"/>
      <c r="S57" s="62"/>
      <c r="T57" s="62"/>
      <c r="U57" s="62"/>
      <c r="V57" s="62"/>
      <c r="W57" s="62"/>
    </row>
    <row r="58" spans="1:23">
      <c r="A58" s="63"/>
      <c r="B58" s="67"/>
      <c r="C58" s="67"/>
      <c r="D58" s="67"/>
      <c r="E58" s="67"/>
      <c r="F58" s="67"/>
      <c r="G58" s="67"/>
      <c r="H58" s="67"/>
      <c r="I58" s="67"/>
      <c r="J58" s="67"/>
      <c r="K58" s="68"/>
      <c r="L58" s="68"/>
      <c r="M58" s="68"/>
      <c r="N58" s="68"/>
      <c r="O58" s="68"/>
      <c r="P58" s="67"/>
      <c r="Q58" s="67"/>
      <c r="R58" s="67"/>
      <c r="S58" s="62"/>
      <c r="T58" s="62"/>
      <c r="U58" s="62"/>
      <c r="V58" s="62"/>
      <c r="W58" s="62"/>
    </row>
    <row r="59" spans="1:23">
      <c r="A59" s="63"/>
      <c r="B59" s="67"/>
      <c r="C59" s="67"/>
      <c r="D59" s="67"/>
      <c r="E59" s="67"/>
      <c r="F59" s="67"/>
      <c r="G59" s="67"/>
      <c r="H59" s="67"/>
      <c r="I59" s="67"/>
      <c r="J59" s="67"/>
      <c r="K59" s="68"/>
      <c r="L59" s="68"/>
      <c r="M59" s="68"/>
      <c r="N59" s="68"/>
      <c r="O59" s="68"/>
      <c r="P59" s="67"/>
      <c r="Q59" s="67"/>
      <c r="R59" s="67"/>
      <c r="S59" s="62"/>
      <c r="T59" s="62"/>
      <c r="U59" s="62"/>
      <c r="V59" s="62"/>
      <c r="W59" s="62"/>
    </row>
    <row r="60" spans="1:23">
      <c r="A60" s="63"/>
      <c r="B60" s="67"/>
      <c r="C60" s="67"/>
      <c r="D60" s="67"/>
      <c r="E60" s="67"/>
      <c r="F60" s="67"/>
      <c r="G60" s="67"/>
      <c r="H60" s="67"/>
      <c r="I60" s="67"/>
      <c r="J60" s="67"/>
      <c r="K60" s="68"/>
      <c r="L60" s="68"/>
      <c r="M60" s="68"/>
      <c r="N60" s="68"/>
      <c r="O60" s="68"/>
      <c r="P60" s="67"/>
      <c r="Q60" s="67"/>
      <c r="R60" s="67"/>
      <c r="S60" s="62"/>
      <c r="T60" s="62"/>
      <c r="U60" s="62"/>
      <c r="V60" s="62"/>
      <c r="W60" s="62"/>
    </row>
    <row r="61" spans="1:23">
      <c r="A61" s="63"/>
      <c r="B61" s="67"/>
      <c r="C61" s="67"/>
      <c r="D61" s="67"/>
      <c r="E61" s="67"/>
      <c r="F61" s="67"/>
      <c r="G61" s="67"/>
      <c r="H61" s="67"/>
      <c r="I61" s="67"/>
      <c r="J61" s="67"/>
      <c r="K61" s="68"/>
      <c r="L61" s="68"/>
      <c r="M61" s="68"/>
      <c r="N61" s="68"/>
      <c r="O61" s="68"/>
      <c r="P61" s="67"/>
      <c r="Q61" s="67"/>
      <c r="R61" s="67"/>
      <c r="S61" s="62"/>
      <c r="T61" s="62"/>
      <c r="U61" s="62"/>
      <c r="V61" s="62"/>
      <c r="W61" s="62"/>
    </row>
    <row r="62" spans="1:23">
      <c r="A62" s="63"/>
      <c r="B62" s="67"/>
      <c r="C62" s="67"/>
      <c r="D62" s="67"/>
      <c r="E62" s="67"/>
      <c r="F62" s="67"/>
      <c r="G62" s="67"/>
      <c r="H62" s="67"/>
      <c r="I62" s="67"/>
      <c r="J62" s="67"/>
      <c r="K62" s="68"/>
      <c r="L62" s="68"/>
      <c r="M62" s="68"/>
      <c r="N62" s="68"/>
      <c r="O62" s="68"/>
      <c r="P62" s="67"/>
      <c r="Q62" s="67"/>
      <c r="R62" s="67"/>
      <c r="S62" s="62"/>
      <c r="T62" s="62"/>
      <c r="U62" s="62"/>
      <c r="V62" s="62"/>
      <c r="W62" s="62"/>
    </row>
    <row r="63" spans="1:23">
      <c r="A63" s="63"/>
      <c r="B63" s="67"/>
      <c r="C63" s="67"/>
      <c r="D63" s="67"/>
      <c r="E63" s="67"/>
      <c r="F63" s="67"/>
      <c r="G63" s="67"/>
      <c r="H63" s="67"/>
      <c r="I63" s="67"/>
      <c r="J63" s="67"/>
      <c r="K63" s="68"/>
      <c r="L63" s="68"/>
      <c r="M63" s="68"/>
      <c r="N63" s="68"/>
      <c r="O63" s="68"/>
      <c r="P63" s="67"/>
      <c r="Q63" s="67"/>
      <c r="R63" s="67"/>
      <c r="S63" s="62"/>
      <c r="T63" s="62"/>
      <c r="U63" s="62"/>
      <c r="V63" s="62"/>
      <c r="W63" s="62"/>
    </row>
    <row r="64" spans="1:23">
      <c r="A64" s="63"/>
      <c r="B64" s="67"/>
      <c r="C64" s="67"/>
      <c r="D64" s="67"/>
      <c r="E64" s="67"/>
      <c r="F64" s="67"/>
      <c r="G64" s="67"/>
      <c r="H64" s="67"/>
      <c r="I64" s="67"/>
      <c r="J64" s="67"/>
      <c r="K64" s="68"/>
      <c r="L64" s="68"/>
      <c r="M64" s="68"/>
      <c r="N64" s="68"/>
      <c r="O64" s="68"/>
      <c r="P64" s="67"/>
      <c r="Q64" s="67"/>
      <c r="R64" s="67"/>
      <c r="S64" s="62"/>
      <c r="T64" s="62"/>
      <c r="U64" s="62"/>
      <c r="V64" s="62"/>
      <c r="W64" s="62"/>
    </row>
    <row r="65" spans="1:23">
      <c r="A65" s="63"/>
      <c r="B65" s="67"/>
      <c r="C65" s="67"/>
      <c r="D65" s="67"/>
      <c r="E65" s="67"/>
      <c r="F65" s="67"/>
      <c r="G65" s="67"/>
      <c r="H65" s="67"/>
      <c r="I65" s="67"/>
      <c r="J65" s="67"/>
      <c r="K65" s="68"/>
      <c r="L65" s="68"/>
      <c r="M65" s="68"/>
      <c r="N65" s="68"/>
      <c r="O65" s="68"/>
      <c r="P65" s="149"/>
      <c r="Q65" s="67"/>
      <c r="R65" s="67"/>
      <c r="S65" s="62"/>
      <c r="T65" s="62"/>
      <c r="U65" s="62"/>
      <c r="V65" s="62"/>
      <c r="W65" s="62"/>
    </row>
    <row r="66" spans="1:23">
      <c r="A66" s="63"/>
      <c r="B66" s="67"/>
      <c r="C66" s="67"/>
      <c r="D66" s="67"/>
      <c r="E66" s="67"/>
      <c r="F66" s="67"/>
      <c r="G66" s="67"/>
      <c r="H66" s="67"/>
      <c r="I66" s="67"/>
      <c r="J66" s="67"/>
      <c r="K66" s="67"/>
      <c r="L66" s="68"/>
      <c r="M66" s="68"/>
      <c r="N66" s="68"/>
      <c r="O66" s="68"/>
      <c r="P66" s="67"/>
      <c r="Q66" s="67"/>
      <c r="R66" s="67"/>
      <c r="S66" s="62"/>
      <c r="T66" s="62"/>
      <c r="U66" s="62"/>
      <c r="V66" s="62"/>
      <c r="W66" s="62"/>
    </row>
    <row r="67" spans="1:23">
      <c r="A67" s="63"/>
      <c r="B67" s="67"/>
      <c r="C67" s="67"/>
      <c r="D67" s="67"/>
      <c r="E67" s="67"/>
      <c r="F67" s="67"/>
      <c r="G67" s="67"/>
      <c r="H67" s="67"/>
      <c r="I67" s="67"/>
      <c r="J67" s="67"/>
      <c r="K67" s="67"/>
      <c r="L67" s="68"/>
      <c r="M67" s="68"/>
      <c r="N67" s="68"/>
      <c r="O67" s="68"/>
      <c r="P67" s="67"/>
      <c r="Q67" s="67"/>
      <c r="R67" s="67"/>
      <c r="S67" s="62"/>
      <c r="T67" s="62"/>
      <c r="U67" s="62"/>
      <c r="V67" s="62"/>
      <c r="W67" s="62"/>
    </row>
    <row r="68" spans="1:23">
      <c r="A68" s="63"/>
      <c r="B68" s="67"/>
      <c r="C68" s="67"/>
      <c r="D68" s="67"/>
      <c r="E68" s="67"/>
      <c r="F68" s="67"/>
      <c r="G68" s="67"/>
      <c r="H68" s="67"/>
      <c r="I68" s="67"/>
      <c r="J68" s="67"/>
      <c r="K68" s="67"/>
      <c r="L68" s="68"/>
      <c r="M68" s="68"/>
      <c r="N68" s="68"/>
      <c r="O68" s="68"/>
      <c r="P68" s="67"/>
      <c r="Q68" s="67"/>
      <c r="R68" s="67"/>
      <c r="S68" s="62"/>
      <c r="T68" s="62"/>
      <c r="U68" s="62"/>
      <c r="V68" s="62"/>
      <c r="W68" s="62"/>
    </row>
    <row r="69" spans="1:23">
      <c r="A69" s="63"/>
      <c r="B69" s="67"/>
      <c r="C69" s="67"/>
      <c r="D69" s="67"/>
      <c r="E69" s="67"/>
      <c r="F69" s="67"/>
      <c r="G69" s="67"/>
      <c r="H69" s="67"/>
      <c r="I69" s="67"/>
      <c r="J69" s="67"/>
      <c r="K69" s="67"/>
      <c r="L69" s="68"/>
      <c r="M69" s="68"/>
      <c r="N69" s="68"/>
      <c r="O69" s="68"/>
      <c r="P69" s="67"/>
      <c r="Q69" s="67"/>
      <c r="R69" s="67"/>
      <c r="S69" s="62"/>
      <c r="T69" s="62"/>
      <c r="U69" s="62"/>
      <c r="V69" s="62"/>
      <c r="W69" s="62"/>
    </row>
    <row r="70" spans="1:23">
      <c r="A70" s="63"/>
      <c r="B70" s="67"/>
      <c r="C70" s="67"/>
      <c r="D70" s="67"/>
      <c r="E70" s="67"/>
      <c r="F70" s="67"/>
      <c r="G70" s="67"/>
      <c r="H70" s="67"/>
      <c r="I70" s="67"/>
      <c r="J70" s="67"/>
      <c r="K70" s="67"/>
      <c r="L70" s="68"/>
      <c r="M70" s="68"/>
      <c r="N70" s="68"/>
      <c r="O70" s="68"/>
      <c r="P70" s="67"/>
      <c r="Q70" s="67"/>
      <c r="R70" s="67"/>
      <c r="S70" s="62"/>
      <c r="T70" s="62"/>
      <c r="U70" s="62"/>
      <c r="V70" s="62"/>
      <c r="W70" s="62"/>
    </row>
    <row r="71" spans="1:23">
      <c r="A71" s="63"/>
      <c r="B71" s="67"/>
      <c r="C71" s="67"/>
      <c r="D71" s="67"/>
      <c r="E71" s="67"/>
      <c r="F71" s="67"/>
      <c r="G71" s="67"/>
      <c r="H71" s="67"/>
      <c r="I71" s="67"/>
      <c r="J71" s="67"/>
      <c r="K71" s="67"/>
      <c r="L71" s="68"/>
      <c r="M71" s="68"/>
      <c r="N71" s="68"/>
      <c r="O71" s="68"/>
      <c r="P71" s="67"/>
      <c r="Q71" s="67"/>
      <c r="R71" s="67"/>
      <c r="S71" s="62"/>
      <c r="T71" s="62"/>
      <c r="U71" s="62"/>
      <c r="V71" s="62"/>
      <c r="W71" s="62"/>
    </row>
    <row r="72" spans="1:23">
      <c r="A72" s="63"/>
      <c r="B72" s="67"/>
      <c r="C72" s="67"/>
      <c r="D72" s="67"/>
      <c r="E72" s="67"/>
      <c r="F72" s="67"/>
      <c r="G72" s="67"/>
      <c r="H72" s="67"/>
      <c r="I72" s="67"/>
      <c r="J72" s="67"/>
      <c r="K72" s="67"/>
      <c r="L72" s="68"/>
      <c r="M72" s="68"/>
      <c r="N72" s="68"/>
      <c r="O72" s="68"/>
      <c r="P72" s="67"/>
      <c r="Q72" s="67"/>
      <c r="R72" s="67"/>
      <c r="S72" s="62"/>
      <c r="T72" s="62"/>
      <c r="U72" s="62"/>
      <c r="V72" s="62"/>
      <c r="W72" s="62"/>
    </row>
    <row r="73" spans="1:23">
      <c r="A73" s="62"/>
      <c r="B73" s="67"/>
      <c r="C73" s="67"/>
      <c r="D73" s="67"/>
      <c r="E73" s="67"/>
      <c r="F73" s="67"/>
      <c r="G73" s="67"/>
      <c r="H73" s="67"/>
      <c r="I73" s="67"/>
      <c r="J73" s="67"/>
      <c r="K73" s="67"/>
      <c r="L73" s="68"/>
      <c r="M73" s="68"/>
      <c r="N73" s="68"/>
      <c r="O73" s="68"/>
      <c r="P73" s="67"/>
      <c r="Q73" s="67"/>
      <c r="R73" s="67"/>
      <c r="S73" s="62"/>
      <c r="T73" s="62"/>
      <c r="U73" s="62"/>
      <c r="V73" s="62"/>
      <c r="W73" s="62"/>
    </row>
    <row r="74" spans="1:23">
      <c r="A74" s="63"/>
      <c r="B74" s="67"/>
      <c r="C74" s="67"/>
      <c r="D74" s="67"/>
      <c r="E74" s="67"/>
      <c r="F74" s="67"/>
      <c r="G74" s="67"/>
      <c r="H74" s="67"/>
      <c r="I74" s="67"/>
      <c r="J74" s="67"/>
      <c r="K74" s="67"/>
      <c r="L74" s="68"/>
      <c r="M74" s="68"/>
      <c r="N74" s="68"/>
      <c r="O74" s="68"/>
      <c r="P74" s="67"/>
      <c r="Q74" s="67"/>
      <c r="R74" s="67"/>
      <c r="S74" s="62"/>
      <c r="T74" s="62"/>
      <c r="U74" s="62"/>
      <c r="V74" s="62"/>
      <c r="W74" s="62"/>
    </row>
    <row r="75" spans="1:23">
      <c r="A75" s="63"/>
      <c r="B75" s="67"/>
      <c r="C75" s="67"/>
      <c r="D75" s="67"/>
      <c r="E75" s="67"/>
      <c r="F75" s="67"/>
      <c r="G75" s="67"/>
      <c r="H75" s="67"/>
      <c r="I75" s="67"/>
      <c r="J75" s="67"/>
      <c r="K75" s="67"/>
      <c r="L75" s="68"/>
      <c r="M75" s="68"/>
      <c r="N75" s="68"/>
      <c r="O75" s="68"/>
      <c r="P75" s="67"/>
      <c r="Q75" s="67"/>
      <c r="R75" s="67"/>
      <c r="S75" s="62"/>
      <c r="T75" s="62"/>
      <c r="U75" s="62"/>
      <c r="V75" s="62"/>
      <c r="W75" s="62"/>
    </row>
    <row r="76" spans="1:23">
      <c r="A76" s="63"/>
      <c r="B76" s="67"/>
      <c r="C76" s="67"/>
      <c r="D76" s="67"/>
      <c r="E76" s="67"/>
      <c r="F76" s="67"/>
      <c r="G76" s="67"/>
      <c r="H76" s="67"/>
      <c r="I76" s="67"/>
      <c r="J76" s="67"/>
      <c r="K76" s="67"/>
      <c r="L76" s="68"/>
      <c r="M76" s="68"/>
      <c r="N76" s="68"/>
      <c r="O76" s="68"/>
      <c r="P76" s="67"/>
      <c r="Q76" s="67"/>
      <c r="R76" s="67"/>
      <c r="S76" s="62"/>
      <c r="T76" s="62"/>
      <c r="U76" s="62"/>
      <c r="V76" s="62"/>
      <c r="W76" s="62"/>
    </row>
    <row r="77" spans="1:23">
      <c r="A77" s="63"/>
      <c r="B77" s="67"/>
      <c r="C77" s="67"/>
      <c r="D77" s="67"/>
      <c r="E77" s="67"/>
      <c r="F77" s="67"/>
      <c r="G77" s="67"/>
      <c r="H77" s="67"/>
      <c r="I77" s="67"/>
      <c r="J77" s="67"/>
      <c r="K77" s="67"/>
      <c r="L77" s="68"/>
      <c r="M77" s="68"/>
      <c r="N77" s="68"/>
      <c r="O77" s="68"/>
      <c r="P77" s="67"/>
      <c r="Q77" s="67"/>
      <c r="R77" s="67"/>
      <c r="S77" s="62"/>
      <c r="T77" s="62"/>
      <c r="U77" s="62"/>
      <c r="V77" s="62"/>
      <c r="W77" s="62"/>
    </row>
    <row r="78" spans="1:23">
      <c r="A78" s="63"/>
      <c r="B78" s="67"/>
      <c r="C78" s="67"/>
      <c r="D78" s="67"/>
      <c r="E78" s="67"/>
      <c r="F78" s="67"/>
      <c r="G78" s="67"/>
      <c r="H78" s="67"/>
      <c r="I78" s="67"/>
      <c r="J78" s="67"/>
      <c r="K78" s="67"/>
      <c r="L78" s="68"/>
      <c r="M78" s="68"/>
      <c r="N78" s="68"/>
      <c r="O78" s="68"/>
      <c r="P78" s="67"/>
      <c r="Q78" s="67"/>
      <c r="R78" s="67"/>
      <c r="S78" s="62"/>
      <c r="T78" s="62"/>
      <c r="U78" s="62"/>
      <c r="V78" s="62"/>
      <c r="W78" s="62"/>
    </row>
    <row r="79" spans="1:23">
      <c r="A79" s="63"/>
      <c r="B79" s="67"/>
      <c r="C79" s="67"/>
      <c r="D79" s="67"/>
      <c r="E79" s="67"/>
      <c r="F79" s="67"/>
      <c r="G79" s="67"/>
      <c r="H79" s="67"/>
      <c r="I79" s="67"/>
      <c r="J79" s="67"/>
      <c r="K79" s="67"/>
      <c r="L79" s="68"/>
      <c r="M79" s="68"/>
      <c r="N79" s="68"/>
      <c r="O79" s="68"/>
      <c r="P79" s="67"/>
      <c r="Q79" s="67"/>
      <c r="R79" s="67"/>
      <c r="S79" s="62"/>
      <c r="T79" s="62"/>
      <c r="U79" s="62"/>
      <c r="V79" s="62"/>
      <c r="W79" s="62"/>
    </row>
    <row r="80" spans="1:23">
      <c r="A80" s="63"/>
      <c r="B80" s="67"/>
      <c r="C80" s="67"/>
      <c r="D80" s="67"/>
      <c r="E80" s="67"/>
      <c r="F80" s="67"/>
      <c r="G80" s="67"/>
      <c r="H80" s="67"/>
      <c r="I80" s="67"/>
      <c r="J80" s="67"/>
      <c r="K80" s="67"/>
      <c r="L80" s="68"/>
      <c r="M80" s="68"/>
      <c r="N80" s="68"/>
      <c r="O80" s="68"/>
      <c r="P80" s="67"/>
      <c r="Q80" s="67"/>
      <c r="R80" s="67"/>
      <c r="S80" s="62"/>
      <c r="T80" s="62"/>
      <c r="U80" s="62"/>
      <c r="V80" s="62"/>
      <c r="W80" s="62"/>
    </row>
    <row r="81" spans="1:23">
      <c r="A81" s="63"/>
      <c r="B81" s="67"/>
      <c r="C81" s="67"/>
      <c r="D81" s="67"/>
      <c r="E81" s="67"/>
      <c r="F81" s="67"/>
      <c r="G81" s="67"/>
      <c r="H81" s="67"/>
      <c r="I81" s="67"/>
      <c r="J81" s="67"/>
      <c r="K81" s="67"/>
      <c r="L81" s="68"/>
      <c r="M81" s="68"/>
      <c r="N81" s="68"/>
      <c r="O81" s="68"/>
      <c r="P81" s="67"/>
      <c r="Q81" s="67"/>
      <c r="R81" s="67"/>
      <c r="S81" s="62"/>
      <c r="T81" s="62"/>
      <c r="U81" s="62"/>
      <c r="V81" s="62"/>
      <c r="W81" s="62"/>
    </row>
    <row r="82" spans="1:23">
      <c r="A82" s="63"/>
      <c r="B82" s="67"/>
      <c r="C82" s="67"/>
      <c r="D82" s="67"/>
      <c r="E82" s="67"/>
      <c r="F82" s="67"/>
      <c r="G82" s="67"/>
      <c r="H82" s="67"/>
      <c r="I82" s="67"/>
      <c r="J82" s="67"/>
      <c r="K82" s="67"/>
      <c r="L82" s="68"/>
      <c r="M82" s="68"/>
      <c r="N82" s="68"/>
      <c r="O82" s="68"/>
      <c r="P82" s="67"/>
      <c r="Q82" s="67"/>
      <c r="R82" s="67"/>
      <c r="S82" s="62"/>
      <c r="T82" s="62"/>
      <c r="U82" s="62"/>
      <c r="V82" s="62"/>
      <c r="W82" s="62"/>
    </row>
    <row r="83" spans="1:23">
      <c r="A83" s="62"/>
      <c r="B83" s="67"/>
      <c r="C83" s="67"/>
      <c r="D83" s="67"/>
      <c r="E83" s="67"/>
      <c r="F83" s="67"/>
      <c r="G83" s="67"/>
      <c r="H83" s="67"/>
      <c r="I83" s="67"/>
      <c r="J83" s="67"/>
      <c r="K83" s="67"/>
      <c r="L83" s="68"/>
      <c r="M83" s="68"/>
      <c r="N83" s="68"/>
      <c r="O83" s="68"/>
      <c r="P83" s="67"/>
      <c r="Q83" s="67"/>
      <c r="R83" s="67"/>
      <c r="S83" s="62"/>
      <c r="T83" s="62"/>
      <c r="U83" s="62"/>
      <c r="V83" s="62"/>
      <c r="W83" s="62"/>
    </row>
    <row r="84" spans="1:23">
      <c r="A84" s="63"/>
      <c r="B84" s="142"/>
      <c r="C84" s="142"/>
      <c r="D84" s="67"/>
      <c r="E84" s="67"/>
      <c r="F84" s="67"/>
      <c r="G84" s="67"/>
      <c r="H84" s="67"/>
      <c r="I84" s="67"/>
      <c r="J84" s="67"/>
      <c r="K84" s="67"/>
      <c r="L84" s="68"/>
      <c r="M84" s="68"/>
      <c r="N84" s="68"/>
      <c r="O84" s="68"/>
      <c r="P84" s="67"/>
      <c r="Q84" s="67"/>
      <c r="R84" s="67"/>
      <c r="S84" s="62"/>
      <c r="T84" s="62"/>
      <c r="U84" s="62"/>
      <c r="V84" s="62"/>
      <c r="W84" s="62"/>
    </row>
    <row r="85" spans="1:23">
      <c r="A85" s="63"/>
      <c r="B85" s="142"/>
      <c r="C85" s="142"/>
      <c r="D85" s="67"/>
      <c r="E85" s="67"/>
      <c r="F85" s="67"/>
      <c r="G85" s="67"/>
      <c r="H85" s="67"/>
      <c r="I85" s="67"/>
      <c r="J85" s="67"/>
      <c r="K85" s="67"/>
      <c r="L85" s="68"/>
      <c r="M85" s="68"/>
      <c r="N85" s="68"/>
      <c r="O85" s="68"/>
      <c r="P85" s="67"/>
      <c r="Q85" s="67"/>
      <c r="R85" s="67"/>
      <c r="S85" s="62"/>
      <c r="T85" s="62"/>
      <c r="U85" s="62"/>
      <c r="V85" s="62"/>
      <c r="W85" s="62"/>
    </row>
    <row r="86" spans="1:23">
      <c r="A86" s="63"/>
      <c r="B86" s="142"/>
      <c r="C86" s="142"/>
      <c r="D86" s="67"/>
      <c r="E86" s="67"/>
      <c r="F86" s="67"/>
      <c r="G86" s="67"/>
      <c r="H86" s="67"/>
      <c r="I86" s="67"/>
      <c r="J86" s="67"/>
      <c r="K86" s="67"/>
      <c r="L86" s="68"/>
      <c r="M86" s="68"/>
      <c r="N86" s="68"/>
      <c r="O86" s="68"/>
      <c r="P86" s="67"/>
      <c r="Q86" s="67"/>
      <c r="R86" s="67"/>
      <c r="S86" s="62"/>
      <c r="T86" s="62"/>
      <c r="U86" s="62"/>
      <c r="V86" s="62"/>
      <c r="W86" s="62"/>
    </row>
    <row r="87" spans="1:23">
      <c r="A87" s="63"/>
      <c r="B87" s="142"/>
      <c r="C87" s="142"/>
      <c r="D87" s="67"/>
      <c r="E87" s="67"/>
      <c r="F87" s="67"/>
      <c r="G87" s="67"/>
      <c r="H87" s="67"/>
      <c r="I87" s="67"/>
      <c r="J87" s="67"/>
      <c r="K87" s="67"/>
      <c r="L87" s="68"/>
      <c r="M87" s="68"/>
      <c r="N87" s="68"/>
      <c r="O87" s="68"/>
      <c r="P87" s="67"/>
      <c r="Q87" s="67"/>
      <c r="R87" s="67"/>
      <c r="S87" s="62"/>
      <c r="T87" s="62"/>
      <c r="U87" s="62"/>
      <c r="V87" s="62"/>
      <c r="W87" s="62"/>
    </row>
    <row r="88" spans="1:23">
      <c r="A88" s="63"/>
      <c r="B88" s="142"/>
      <c r="C88" s="142"/>
      <c r="D88" s="67"/>
      <c r="E88" s="67"/>
      <c r="F88" s="67"/>
      <c r="G88" s="67"/>
      <c r="H88" s="67"/>
      <c r="I88" s="67"/>
      <c r="J88" s="67"/>
      <c r="K88" s="67"/>
      <c r="L88" s="68"/>
      <c r="M88" s="68"/>
      <c r="N88" s="68"/>
      <c r="O88" s="68"/>
      <c r="P88" s="67"/>
      <c r="Q88" s="67"/>
      <c r="R88" s="67"/>
      <c r="S88" s="62"/>
      <c r="T88" s="62"/>
      <c r="U88" s="62"/>
      <c r="V88" s="62"/>
      <c r="W88" s="62"/>
    </row>
    <row r="89" spans="1:23">
      <c r="A89" s="63"/>
      <c r="B89" s="142"/>
      <c r="C89" s="142"/>
      <c r="D89" s="67"/>
      <c r="E89" s="67"/>
      <c r="F89" s="67"/>
      <c r="G89" s="67"/>
      <c r="H89" s="67"/>
      <c r="I89" s="67"/>
      <c r="J89" s="67"/>
      <c r="K89" s="67"/>
      <c r="L89" s="68"/>
      <c r="M89" s="68"/>
      <c r="N89" s="68"/>
      <c r="O89" s="68"/>
      <c r="P89" s="67"/>
      <c r="Q89" s="67"/>
      <c r="R89" s="67"/>
      <c r="S89" s="62"/>
      <c r="T89" s="62"/>
      <c r="U89" s="62"/>
      <c r="V89" s="62"/>
      <c r="W89" s="62"/>
    </row>
    <row r="90" spans="1:23">
      <c r="A90" s="63"/>
      <c r="B90" s="142"/>
      <c r="C90" s="142"/>
      <c r="D90" s="67"/>
      <c r="E90" s="67"/>
      <c r="F90" s="67"/>
      <c r="G90" s="67"/>
      <c r="H90" s="67"/>
      <c r="I90" s="67"/>
      <c r="J90" s="67"/>
      <c r="K90" s="67"/>
      <c r="L90" s="68"/>
      <c r="M90" s="68"/>
      <c r="N90" s="68"/>
      <c r="O90" s="68"/>
      <c r="P90" s="67"/>
      <c r="Q90" s="67"/>
      <c r="R90" s="67"/>
      <c r="S90" s="62"/>
      <c r="T90" s="62"/>
      <c r="U90" s="62"/>
      <c r="V90" s="62"/>
      <c r="W90" s="62"/>
    </row>
    <row r="91" spans="1:23">
      <c r="A91" s="63"/>
      <c r="B91" s="142"/>
      <c r="C91" s="142"/>
      <c r="D91" s="67"/>
      <c r="E91" s="67"/>
      <c r="F91" s="67"/>
      <c r="G91" s="67"/>
      <c r="H91" s="67"/>
      <c r="I91" s="67"/>
      <c r="J91" s="67"/>
      <c r="K91" s="67"/>
      <c r="L91" s="68"/>
      <c r="M91" s="68"/>
      <c r="N91" s="68"/>
      <c r="O91" s="68"/>
      <c r="P91" s="67"/>
      <c r="Q91" s="67"/>
      <c r="R91" s="67"/>
      <c r="S91" s="62"/>
      <c r="T91" s="62"/>
      <c r="U91" s="62"/>
      <c r="V91" s="62"/>
      <c r="W91" s="62"/>
    </row>
    <row r="92" spans="1:23">
      <c r="A92" s="63"/>
      <c r="B92" s="142"/>
      <c r="C92" s="142"/>
      <c r="D92" s="67"/>
      <c r="E92" s="67"/>
      <c r="F92" s="67"/>
      <c r="G92" s="67"/>
      <c r="H92" s="67"/>
      <c r="I92" s="67"/>
      <c r="J92" s="67"/>
      <c r="K92" s="67"/>
      <c r="L92" s="68"/>
      <c r="M92" s="68"/>
      <c r="N92" s="68"/>
      <c r="O92" s="68"/>
      <c r="P92" s="67"/>
      <c r="Q92" s="67"/>
      <c r="R92" s="67"/>
      <c r="S92" s="62"/>
      <c r="T92" s="62"/>
      <c r="U92" s="62"/>
      <c r="V92" s="62"/>
      <c r="W92" s="62"/>
    </row>
    <row r="93" spans="1:23">
      <c r="A93" s="63"/>
      <c r="B93" s="142"/>
      <c r="C93" s="142"/>
      <c r="D93" s="67"/>
      <c r="E93" s="67"/>
      <c r="F93" s="67"/>
      <c r="G93" s="67"/>
      <c r="H93" s="67"/>
      <c r="I93" s="67"/>
      <c r="J93" s="67"/>
      <c r="K93" s="67"/>
      <c r="L93" s="68"/>
      <c r="M93" s="68"/>
      <c r="N93" s="68"/>
      <c r="O93" s="68"/>
      <c r="P93" s="67"/>
      <c r="Q93" s="67"/>
      <c r="R93" s="67"/>
      <c r="S93" s="62"/>
      <c r="T93" s="62"/>
      <c r="U93" s="62"/>
      <c r="V93" s="62"/>
      <c r="W93" s="62"/>
    </row>
    <row r="94" spans="1:23">
      <c r="A94" s="63"/>
      <c r="B94" s="142"/>
      <c r="C94" s="142"/>
      <c r="D94" s="67"/>
      <c r="E94" s="67"/>
      <c r="F94" s="67"/>
      <c r="G94" s="67"/>
      <c r="H94" s="67"/>
      <c r="I94" s="67"/>
      <c r="J94" s="67"/>
      <c r="K94" s="67"/>
      <c r="L94" s="68"/>
      <c r="M94" s="68"/>
      <c r="N94" s="68"/>
      <c r="O94" s="68"/>
      <c r="P94" s="67"/>
      <c r="Q94" s="67"/>
      <c r="R94" s="67"/>
      <c r="S94" s="62"/>
      <c r="T94" s="62"/>
      <c r="U94" s="62"/>
      <c r="V94" s="62"/>
      <c r="W94" s="62"/>
    </row>
    <row r="95" spans="1:23">
      <c r="A95" s="63"/>
      <c r="B95" s="142"/>
      <c r="C95" s="142"/>
      <c r="D95" s="67"/>
      <c r="E95" s="67"/>
      <c r="F95" s="67"/>
      <c r="G95" s="67"/>
      <c r="H95" s="67"/>
      <c r="I95" s="67"/>
      <c r="J95" s="67"/>
      <c r="K95" s="67"/>
      <c r="L95" s="68"/>
      <c r="M95" s="68"/>
      <c r="N95" s="68"/>
      <c r="O95" s="68"/>
      <c r="P95" s="67"/>
      <c r="Q95" s="67"/>
      <c r="R95" s="67"/>
      <c r="S95" s="62"/>
      <c r="T95" s="62"/>
      <c r="U95" s="62"/>
      <c r="V95" s="62"/>
      <c r="W95" s="62"/>
    </row>
    <row r="96" spans="1:23">
      <c r="A96" s="63"/>
      <c r="B96" s="142"/>
      <c r="C96" s="142"/>
      <c r="D96" s="67"/>
      <c r="E96" s="67"/>
      <c r="F96" s="67"/>
      <c r="G96" s="67"/>
      <c r="H96" s="67"/>
      <c r="I96" s="67"/>
      <c r="J96" s="67"/>
      <c r="K96" s="67"/>
      <c r="L96" s="68"/>
      <c r="M96" s="68"/>
      <c r="N96" s="68"/>
      <c r="O96" s="68"/>
      <c r="P96" s="67"/>
      <c r="Q96" s="67"/>
      <c r="R96" s="67"/>
      <c r="S96" s="62"/>
      <c r="T96" s="62"/>
      <c r="U96" s="62"/>
      <c r="V96" s="62"/>
      <c r="W96" s="62"/>
    </row>
    <row r="97" spans="1:23">
      <c r="A97" s="63"/>
      <c r="B97" s="142"/>
      <c r="C97" s="142"/>
      <c r="D97" s="67"/>
      <c r="E97" s="67"/>
      <c r="F97" s="67"/>
      <c r="G97" s="67"/>
      <c r="H97" s="67"/>
      <c r="I97" s="67"/>
      <c r="J97" s="67"/>
      <c r="K97" s="67"/>
      <c r="L97" s="68"/>
      <c r="M97" s="68"/>
      <c r="N97" s="68"/>
      <c r="O97" s="68"/>
      <c r="P97" s="67"/>
      <c r="Q97" s="67"/>
      <c r="R97" s="67"/>
      <c r="S97" s="62"/>
      <c r="T97" s="62"/>
      <c r="U97" s="62"/>
      <c r="V97" s="62"/>
      <c r="W97" s="62"/>
    </row>
    <row r="98" spans="1:23">
      <c r="A98" s="63"/>
      <c r="B98" s="142"/>
      <c r="C98" s="142"/>
      <c r="D98" s="67"/>
      <c r="E98" s="67"/>
      <c r="F98" s="67"/>
      <c r="G98" s="67"/>
      <c r="H98" s="67"/>
      <c r="I98" s="67"/>
      <c r="J98" s="67"/>
      <c r="K98" s="67"/>
      <c r="L98" s="68"/>
      <c r="M98" s="68"/>
      <c r="N98" s="68"/>
      <c r="O98" s="68"/>
      <c r="P98" s="67"/>
      <c r="Q98" s="67"/>
      <c r="R98" s="67"/>
      <c r="S98" s="62"/>
      <c r="T98" s="62"/>
      <c r="U98" s="62"/>
      <c r="V98" s="62"/>
      <c r="W98" s="62"/>
    </row>
    <row r="99" spans="1:23">
      <c r="A99" s="63"/>
      <c r="B99" s="142"/>
      <c r="C99" s="142"/>
      <c r="D99" s="67"/>
      <c r="E99" s="67"/>
      <c r="F99" s="67"/>
      <c r="G99" s="67"/>
      <c r="H99" s="67"/>
      <c r="I99" s="67"/>
      <c r="J99" s="67"/>
      <c r="K99" s="67"/>
      <c r="L99" s="68"/>
      <c r="M99" s="68"/>
      <c r="N99" s="68"/>
      <c r="O99" s="68"/>
      <c r="P99" s="67"/>
      <c r="Q99" s="67"/>
      <c r="R99" s="67"/>
      <c r="S99" s="62"/>
      <c r="T99" s="62"/>
      <c r="U99" s="62"/>
      <c r="V99" s="62"/>
      <c r="W99" s="62"/>
    </row>
    <row r="100" spans="1:23">
      <c r="A100" s="63"/>
      <c r="B100" s="142"/>
      <c r="C100" s="142"/>
      <c r="D100" s="67"/>
      <c r="E100" s="67"/>
      <c r="F100" s="67"/>
      <c r="G100" s="67"/>
      <c r="H100" s="67"/>
      <c r="I100" s="67"/>
      <c r="J100" s="67"/>
      <c r="K100" s="67"/>
      <c r="L100" s="68"/>
      <c r="M100" s="68"/>
      <c r="N100" s="68"/>
      <c r="O100" s="68"/>
      <c r="P100" s="67"/>
      <c r="Q100" s="67"/>
      <c r="R100" s="67"/>
      <c r="S100" s="62"/>
      <c r="T100" s="62"/>
      <c r="U100" s="62"/>
      <c r="V100" s="62"/>
      <c r="W100" s="62"/>
    </row>
    <row r="101" spans="1:23">
      <c r="A101" s="63"/>
      <c r="B101" s="142"/>
      <c r="C101" s="142"/>
      <c r="D101" s="67"/>
      <c r="E101" s="67"/>
      <c r="F101" s="67"/>
      <c r="G101" s="67"/>
      <c r="H101" s="67"/>
      <c r="I101" s="67"/>
      <c r="J101" s="67"/>
      <c r="K101" s="67"/>
      <c r="L101" s="68"/>
      <c r="M101" s="68"/>
      <c r="N101" s="68"/>
      <c r="O101" s="68"/>
      <c r="P101" s="67"/>
      <c r="Q101" s="67"/>
      <c r="R101" s="67"/>
      <c r="S101" s="62"/>
      <c r="T101" s="62"/>
      <c r="U101" s="62"/>
      <c r="V101" s="62"/>
      <c r="W101" s="62"/>
    </row>
    <row r="102" spans="1:23">
      <c r="A102" s="63"/>
      <c r="B102" s="142"/>
      <c r="C102" s="142"/>
      <c r="D102" s="67"/>
      <c r="E102" s="67"/>
      <c r="F102" s="67"/>
      <c r="G102" s="67"/>
      <c r="H102" s="67"/>
      <c r="I102" s="67"/>
      <c r="J102" s="67"/>
      <c r="K102" s="67"/>
      <c r="L102" s="68"/>
      <c r="M102" s="68"/>
      <c r="N102" s="68"/>
      <c r="O102" s="68"/>
      <c r="P102" s="67"/>
      <c r="Q102" s="67"/>
      <c r="R102" s="67"/>
      <c r="S102" s="62"/>
      <c r="T102" s="62"/>
      <c r="U102" s="62"/>
      <c r="V102" s="62"/>
      <c r="W102" s="62"/>
    </row>
    <row r="103" spans="1:23">
      <c r="A103" s="63"/>
      <c r="B103" s="142"/>
      <c r="C103" s="142"/>
      <c r="D103" s="67"/>
      <c r="E103" s="67"/>
      <c r="F103" s="67"/>
      <c r="G103" s="67"/>
      <c r="H103" s="67"/>
      <c r="I103" s="67"/>
      <c r="J103" s="67"/>
      <c r="K103" s="67"/>
      <c r="L103" s="68"/>
      <c r="M103" s="68"/>
      <c r="N103" s="68"/>
      <c r="O103" s="68"/>
      <c r="P103" s="67"/>
      <c r="Q103" s="67"/>
      <c r="R103" s="67"/>
      <c r="S103" s="62"/>
      <c r="T103" s="62"/>
      <c r="U103" s="62"/>
      <c r="V103" s="62"/>
      <c r="W103" s="62"/>
    </row>
    <row r="104" spans="1:23">
      <c r="A104" s="63"/>
      <c r="B104" s="142"/>
      <c r="C104" s="142"/>
      <c r="D104" s="67"/>
      <c r="E104" s="67"/>
      <c r="F104" s="67"/>
      <c r="G104" s="67"/>
      <c r="H104" s="67"/>
      <c r="I104" s="67"/>
      <c r="J104" s="67"/>
      <c r="K104" s="67"/>
      <c r="L104" s="68"/>
      <c r="M104" s="68"/>
      <c r="N104" s="68"/>
      <c r="O104" s="68"/>
      <c r="P104" s="67"/>
      <c r="Q104" s="67"/>
      <c r="R104" s="67"/>
      <c r="S104" s="62"/>
      <c r="T104" s="62"/>
      <c r="U104" s="62"/>
      <c r="V104" s="62"/>
      <c r="W104" s="62"/>
    </row>
    <row r="105" spans="1:23">
      <c r="A105" s="63"/>
      <c r="B105" s="142"/>
      <c r="C105" s="142"/>
      <c r="D105" s="67"/>
      <c r="E105" s="67"/>
      <c r="F105" s="67"/>
      <c r="G105" s="67"/>
      <c r="H105" s="67"/>
      <c r="I105" s="67"/>
      <c r="J105" s="67"/>
      <c r="K105" s="67"/>
      <c r="L105" s="68"/>
      <c r="M105" s="68"/>
      <c r="N105" s="68"/>
      <c r="O105" s="68"/>
      <c r="P105" s="67"/>
      <c r="Q105" s="67"/>
      <c r="R105" s="67"/>
      <c r="S105" s="62"/>
      <c r="T105" s="62"/>
      <c r="U105" s="62"/>
      <c r="V105" s="62"/>
      <c r="W105" s="62"/>
    </row>
    <row r="106" spans="1:23">
      <c r="A106" s="63"/>
      <c r="B106" s="142"/>
      <c r="C106" s="142"/>
      <c r="D106" s="67"/>
      <c r="E106" s="67"/>
      <c r="F106" s="67"/>
      <c r="G106" s="67"/>
      <c r="H106" s="67"/>
      <c r="I106" s="67"/>
      <c r="J106" s="67"/>
      <c r="K106" s="67"/>
      <c r="L106" s="68"/>
      <c r="M106" s="68"/>
      <c r="N106" s="68"/>
      <c r="O106" s="68"/>
      <c r="P106" s="67"/>
      <c r="Q106" s="67"/>
      <c r="R106" s="67"/>
      <c r="S106" s="62"/>
      <c r="T106" s="62"/>
      <c r="U106" s="62"/>
      <c r="V106" s="62"/>
      <c r="W106" s="62"/>
    </row>
    <row r="107" spans="1:23">
      <c r="A107" s="63"/>
      <c r="B107" s="142"/>
      <c r="C107" s="142"/>
      <c r="D107" s="67"/>
      <c r="E107" s="67"/>
      <c r="F107" s="67"/>
      <c r="G107" s="67"/>
      <c r="H107" s="67"/>
      <c r="I107" s="67"/>
      <c r="J107" s="67"/>
      <c r="K107" s="67"/>
      <c r="L107" s="68"/>
      <c r="M107" s="68"/>
      <c r="N107" s="68"/>
      <c r="O107" s="68"/>
      <c r="P107" s="67"/>
      <c r="Q107" s="67"/>
      <c r="R107" s="67"/>
      <c r="S107" s="62"/>
      <c r="T107" s="62"/>
      <c r="U107" s="62"/>
      <c r="V107" s="62"/>
      <c r="W107" s="62"/>
    </row>
    <row r="108" spans="1:23">
      <c r="A108" s="63"/>
      <c r="B108" s="142"/>
      <c r="C108" s="142"/>
      <c r="D108" s="67"/>
      <c r="E108" s="67"/>
      <c r="F108" s="67"/>
      <c r="G108" s="67"/>
      <c r="H108" s="67"/>
      <c r="I108" s="67"/>
      <c r="J108" s="67"/>
      <c r="K108" s="67"/>
      <c r="L108" s="68"/>
      <c r="M108" s="68"/>
      <c r="N108" s="68"/>
      <c r="O108" s="68"/>
      <c r="P108" s="67"/>
      <c r="Q108" s="67"/>
      <c r="R108" s="67"/>
      <c r="S108" s="62"/>
      <c r="T108" s="62"/>
      <c r="U108" s="62"/>
      <c r="V108" s="62"/>
      <c r="W108" s="62"/>
    </row>
    <row r="109" spans="1:23">
      <c r="A109" s="63"/>
      <c r="B109" s="142"/>
      <c r="C109" s="142"/>
      <c r="D109" s="67"/>
      <c r="E109" s="67"/>
      <c r="F109" s="67"/>
      <c r="G109" s="67"/>
      <c r="H109" s="67"/>
      <c r="I109" s="67"/>
      <c r="J109" s="67"/>
      <c r="K109" s="67"/>
      <c r="L109" s="68"/>
      <c r="M109" s="68"/>
      <c r="N109" s="68"/>
      <c r="O109" s="68"/>
      <c r="P109" s="67"/>
      <c r="Q109" s="67"/>
      <c r="R109" s="67"/>
      <c r="S109" s="62"/>
      <c r="T109" s="62"/>
      <c r="U109" s="62"/>
      <c r="V109" s="62"/>
      <c r="W109" s="62"/>
    </row>
    <row r="110" spans="1:23">
      <c r="A110" s="62"/>
      <c r="B110" s="142"/>
      <c r="C110" s="142"/>
      <c r="D110" s="67"/>
      <c r="E110" s="67"/>
      <c r="F110" s="67"/>
      <c r="G110" s="67"/>
      <c r="H110" s="67"/>
      <c r="I110" s="67"/>
      <c r="J110" s="67"/>
      <c r="K110" s="67"/>
      <c r="L110" s="68"/>
      <c r="M110" s="68"/>
      <c r="N110" s="68"/>
      <c r="O110" s="68"/>
      <c r="P110" s="67"/>
      <c r="Q110" s="67"/>
      <c r="R110" s="67"/>
      <c r="S110" s="62"/>
      <c r="T110" s="62"/>
      <c r="U110" s="62"/>
      <c r="V110" s="62"/>
      <c r="W110" s="62"/>
    </row>
    <row r="111" spans="1:23">
      <c r="A111" s="62"/>
      <c r="B111" s="62"/>
      <c r="C111" s="62"/>
      <c r="D111" s="62"/>
      <c r="E111" s="62"/>
      <c r="F111" s="62"/>
      <c r="G111" s="62"/>
      <c r="H111" s="62"/>
      <c r="I111" s="62"/>
      <c r="J111" s="62"/>
      <c r="K111" s="62"/>
      <c r="L111" s="62"/>
      <c r="M111" s="62"/>
      <c r="N111" s="62"/>
      <c r="O111" s="62"/>
      <c r="P111" s="62"/>
      <c r="Q111" s="62"/>
      <c r="R111" s="62"/>
      <c r="S111" s="62"/>
      <c r="T111" s="62"/>
      <c r="U111" s="62"/>
      <c r="V111" s="62"/>
      <c r="W111" s="62"/>
    </row>
    <row r="112" spans="1:23">
      <c r="A112" s="62"/>
      <c r="B112" s="62"/>
      <c r="C112" s="62"/>
      <c r="D112" s="62"/>
      <c r="E112" s="62"/>
      <c r="F112" s="62"/>
      <c r="G112" s="62"/>
      <c r="H112" s="62"/>
      <c r="I112" s="62"/>
      <c r="J112" s="62"/>
      <c r="K112" s="62"/>
      <c r="L112" s="62"/>
      <c r="M112" s="62"/>
      <c r="N112" s="62"/>
      <c r="O112" s="62"/>
      <c r="P112" s="62"/>
      <c r="Q112" s="62"/>
      <c r="R112" s="62"/>
      <c r="S112" s="62"/>
      <c r="T112" s="62"/>
      <c r="U112" s="62"/>
      <c r="V112" s="62"/>
      <c r="W112" s="62"/>
    </row>
    <row r="113" spans="1:23">
      <c r="A113" s="62"/>
      <c r="B113" s="62"/>
      <c r="C113" s="62"/>
      <c r="D113" s="62"/>
      <c r="E113" s="62"/>
      <c r="F113" s="62"/>
      <c r="G113" s="62"/>
      <c r="H113" s="62"/>
      <c r="I113" s="62"/>
      <c r="J113" s="62"/>
      <c r="K113" s="62"/>
      <c r="L113" s="62"/>
      <c r="M113" s="62"/>
      <c r="N113" s="62"/>
      <c r="O113" s="62"/>
      <c r="P113" s="62"/>
      <c r="Q113" s="62"/>
      <c r="R113" s="62"/>
      <c r="S113" s="62"/>
      <c r="T113" s="62"/>
      <c r="U113" s="62"/>
      <c r="V113" s="62"/>
      <c r="W113" s="62"/>
    </row>
    <row r="114" spans="1:23">
      <c r="A114" s="62"/>
      <c r="B114" s="62"/>
      <c r="C114" s="62"/>
      <c r="D114" s="62"/>
      <c r="E114" s="62"/>
      <c r="F114" s="62"/>
      <c r="G114" s="62"/>
      <c r="H114" s="62"/>
      <c r="I114" s="62"/>
      <c r="J114" s="62"/>
      <c r="K114" s="62"/>
      <c r="L114" s="62"/>
      <c r="M114" s="62"/>
      <c r="N114" s="62"/>
      <c r="O114" s="62"/>
      <c r="P114" s="62"/>
      <c r="Q114" s="62"/>
      <c r="R114" s="62"/>
      <c r="S114" s="62"/>
      <c r="T114" s="62"/>
      <c r="U114" s="62"/>
      <c r="V114" s="62"/>
      <c r="W114" s="62"/>
    </row>
    <row r="115" spans="1:23">
      <c r="A115" s="62"/>
      <c r="B115" s="62"/>
      <c r="C115" s="62"/>
      <c r="D115" s="62"/>
      <c r="E115" s="62"/>
      <c r="F115" s="62"/>
      <c r="G115" s="62"/>
      <c r="H115" s="62"/>
      <c r="I115" s="62"/>
      <c r="J115" s="62"/>
      <c r="K115" s="62"/>
      <c r="L115" s="62"/>
      <c r="M115" s="62"/>
      <c r="N115" s="62"/>
      <c r="O115" s="62"/>
      <c r="P115" s="62"/>
      <c r="Q115" s="62"/>
      <c r="R115" s="62"/>
      <c r="S115" s="62"/>
      <c r="T115" s="62"/>
      <c r="U115" s="62"/>
      <c r="V115" s="62"/>
      <c r="W115" s="62"/>
    </row>
    <row r="137" spans="12:12">
      <c r="L137" s="16">
        <f>SUM(L15:L136)</f>
        <v>168523.9</v>
      </c>
    </row>
  </sheetData>
  <mergeCells count="4">
    <mergeCell ref="A10:A11"/>
    <mergeCell ref="A16:A17"/>
    <mergeCell ref="A23:A24"/>
    <mergeCell ref="A32:A33"/>
  </mergeCells>
  <pageMargins left="0.7" right="0.7" top="0.75" bottom="0.75" header="0.3" footer="0.3"/>
  <pageSetup paperSize="9" orientation="landscape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>
  <dimension ref="A5:W137"/>
  <sheetViews>
    <sheetView workbookViewId="0">
      <selection activeCell="B17" sqref="B17"/>
    </sheetView>
  </sheetViews>
  <sheetFormatPr defaultRowHeight="14.4"/>
  <cols>
    <col min="1" max="1" width="7.88671875" style="1" customWidth="1"/>
    <col min="2" max="2" width="22" style="1" customWidth="1"/>
    <col min="3" max="3" width="7.77734375" style="1" customWidth="1"/>
    <col min="4" max="4" width="4.77734375" style="1" customWidth="1"/>
    <col min="5" max="5" width="9.88671875" style="1" customWidth="1"/>
    <col min="6" max="6" width="7.6640625" style="1" customWidth="1"/>
    <col min="7" max="7" width="6.6640625" style="1" customWidth="1"/>
    <col min="8" max="8" width="7.44140625" style="1" customWidth="1"/>
    <col min="9" max="9" width="5.88671875" style="1" customWidth="1"/>
    <col min="10" max="10" width="6" style="1" customWidth="1"/>
    <col min="11" max="11" width="8.44140625" style="1" customWidth="1"/>
    <col min="12" max="12" width="8.21875" style="1" customWidth="1"/>
    <col min="13" max="13" width="7.33203125" style="1" customWidth="1"/>
    <col min="14" max="16384" width="8.88671875" style="1"/>
  </cols>
  <sheetData>
    <row r="5" spans="1:23" ht="20.399999999999999">
      <c r="A5" s="58" t="s">
        <v>3</v>
      </c>
      <c r="B5" s="58" t="s">
        <v>4</v>
      </c>
      <c r="C5" s="58" t="s">
        <v>5</v>
      </c>
      <c r="D5" s="58" t="s">
        <v>6</v>
      </c>
      <c r="E5" s="58" t="s">
        <v>37</v>
      </c>
      <c r="F5" s="58" t="s">
        <v>7</v>
      </c>
      <c r="G5" s="58" t="s">
        <v>8</v>
      </c>
      <c r="H5" s="58" t="s">
        <v>9</v>
      </c>
      <c r="I5" s="58" t="s">
        <v>10</v>
      </c>
      <c r="J5" s="59" t="s">
        <v>18</v>
      </c>
      <c r="K5" s="59" t="s">
        <v>17</v>
      </c>
      <c r="L5" s="58" t="s">
        <v>11</v>
      </c>
      <c r="M5" s="58" t="s">
        <v>36</v>
      </c>
      <c r="N5" s="58" t="s">
        <v>12</v>
      </c>
      <c r="O5" s="58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125</v>
      </c>
    </row>
    <row r="6" spans="1:23">
      <c r="A6" s="63"/>
      <c r="B6" s="184"/>
      <c r="C6" s="184"/>
      <c r="D6" s="184"/>
      <c r="E6" s="184"/>
      <c r="F6" s="184"/>
      <c r="G6" s="184"/>
      <c r="H6" s="184"/>
      <c r="I6" s="184"/>
      <c r="J6" s="184"/>
      <c r="K6" s="184"/>
      <c r="L6" s="61"/>
      <c r="M6" s="61"/>
      <c r="N6" s="184"/>
      <c r="O6" s="62"/>
      <c r="P6" s="62"/>
      <c r="Q6" s="62"/>
      <c r="R6" s="62"/>
      <c r="S6" s="62"/>
      <c r="U6" s="17"/>
    </row>
    <row r="7" spans="1:23">
      <c r="A7" s="53" t="s">
        <v>1615</v>
      </c>
      <c r="B7" s="42" t="s">
        <v>1617</v>
      </c>
      <c r="C7" s="42" t="s">
        <v>88</v>
      </c>
      <c r="D7" s="42" t="s">
        <v>16</v>
      </c>
      <c r="E7" s="42" t="s">
        <v>1618</v>
      </c>
      <c r="F7" s="42">
        <v>1367</v>
      </c>
      <c r="G7" s="42"/>
      <c r="H7" s="42">
        <v>19010</v>
      </c>
      <c r="I7" s="42">
        <v>272</v>
      </c>
      <c r="J7" s="42">
        <v>0.13</v>
      </c>
      <c r="K7" s="42">
        <v>35</v>
      </c>
      <c r="L7" s="43">
        <f t="shared" ref="L7:L8" si="0">H7-K7</f>
        <v>18975</v>
      </c>
      <c r="M7" s="43">
        <f>L7*2%</f>
        <v>379.5</v>
      </c>
      <c r="N7" s="43">
        <f t="shared" ref="N7:N8" si="1">L7-M7</f>
        <v>18595.5</v>
      </c>
      <c r="O7" s="43">
        <f t="shared" ref="O7:O8" si="2">H7/1000*70</f>
        <v>1330.7</v>
      </c>
      <c r="P7" s="42">
        <v>33000</v>
      </c>
      <c r="Q7" s="42">
        <v>19.8</v>
      </c>
      <c r="R7" s="42">
        <f t="shared" ref="R7:R8" si="3">L7*Q7</f>
        <v>375705</v>
      </c>
      <c r="S7" s="42"/>
      <c r="T7" s="62"/>
      <c r="U7" s="62"/>
      <c r="V7" s="62"/>
      <c r="W7" s="62"/>
    </row>
    <row r="8" spans="1:23">
      <c r="A8" s="53" t="s">
        <v>1650</v>
      </c>
      <c r="B8" s="42" t="s">
        <v>1617</v>
      </c>
      <c r="C8" s="42" t="s">
        <v>88</v>
      </c>
      <c r="D8" s="42" t="s">
        <v>16</v>
      </c>
      <c r="E8" s="42" t="s">
        <v>1653</v>
      </c>
      <c r="F8" s="42">
        <v>1370</v>
      </c>
      <c r="G8" s="42"/>
      <c r="H8" s="42">
        <v>19770</v>
      </c>
      <c r="I8" s="42">
        <v>263</v>
      </c>
      <c r="J8" s="42">
        <v>0.13</v>
      </c>
      <c r="K8" s="42">
        <v>34</v>
      </c>
      <c r="L8" s="43">
        <f t="shared" si="0"/>
        <v>19736</v>
      </c>
      <c r="M8" s="43"/>
      <c r="N8" s="43">
        <f t="shared" si="1"/>
        <v>19736</v>
      </c>
      <c r="O8" s="43">
        <f t="shared" si="2"/>
        <v>1383.8999999999999</v>
      </c>
      <c r="P8" s="192">
        <v>12500</v>
      </c>
      <c r="Q8" s="192">
        <v>19.8</v>
      </c>
      <c r="R8" s="42">
        <f t="shared" si="3"/>
        <v>390772.8</v>
      </c>
      <c r="S8" s="62"/>
      <c r="T8" s="62"/>
      <c r="U8" s="62"/>
      <c r="V8" s="62"/>
      <c r="W8" s="62"/>
    </row>
    <row r="9" spans="1:23">
      <c r="A9" s="53"/>
      <c r="B9" s="42"/>
      <c r="C9" s="42"/>
      <c r="D9" s="42"/>
      <c r="E9" s="42"/>
      <c r="F9" s="42"/>
      <c r="G9" s="42"/>
      <c r="H9" s="42"/>
      <c r="I9" s="42"/>
      <c r="J9" s="42"/>
      <c r="K9" s="42"/>
      <c r="L9" s="43"/>
      <c r="M9" s="43"/>
      <c r="N9" s="43"/>
      <c r="O9" s="43"/>
      <c r="P9" s="42"/>
      <c r="Q9" s="42"/>
      <c r="R9" s="42"/>
      <c r="S9" s="62"/>
      <c r="T9" s="62"/>
      <c r="U9" s="62"/>
      <c r="V9" s="62"/>
      <c r="W9" s="62"/>
    </row>
    <row r="10" spans="1:23">
      <c r="A10" s="150" t="s">
        <v>1721</v>
      </c>
      <c r="B10" s="92" t="s">
        <v>1617</v>
      </c>
      <c r="C10" s="92" t="s">
        <v>88</v>
      </c>
      <c r="D10" s="42" t="s">
        <v>16</v>
      </c>
      <c r="E10" s="42" t="s">
        <v>1725</v>
      </c>
      <c r="F10" s="42">
        <v>968</v>
      </c>
      <c r="G10" s="42"/>
      <c r="H10" s="42">
        <v>21880</v>
      </c>
      <c r="I10" s="42">
        <v>320</v>
      </c>
      <c r="J10" s="42">
        <v>0.13</v>
      </c>
      <c r="K10" s="42">
        <v>42</v>
      </c>
      <c r="L10" s="43">
        <f t="shared" ref="L10" si="4">H10-K10</f>
        <v>21838</v>
      </c>
      <c r="M10" s="43"/>
      <c r="N10" s="43">
        <f t="shared" ref="N10" si="5">L10-M10</f>
        <v>21838</v>
      </c>
      <c r="O10" s="43">
        <f t="shared" ref="O10" si="6">H10/1000*70</f>
        <v>1531.6</v>
      </c>
      <c r="P10" s="205">
        <v>0</v>
      </c>
      <c r="Q10" s="205">
        <v>19</v>
      </c>
      <c r="R10" s="42">
        <f t="shared" ref="R10" si="7">L10*Q10</f>
        <v>414922</v>
      </c>
      <c r="S10" s="62"/>
      <c r="T10" s="62"/>
      <c r="U10" s="62"/>
      <c r="V10" s="62"/>
      <c r="W10" s="62"/>
    </row>
    <row r="11" spans="1:23">
      <c r="A11" s="181"/>
      <c r="B11" s="42"/>
      <c r="C11" s="42"/>
      <c r="D11" s="42"/>
      <c r="E11" s="42"/>
      <c r="F11" s="42"/>
      <c r="G11" s="42"/>
      <c r="H11" s="42"/>
      <c r="I11" s="42"/>
      <c r="J11" s="42"/>
      <c r="K11" s="42"/>
      <c r="L11" s="43"/>
      <c r="M11" s="43"/>
      <c r="N11" s="43"/>
      <c r="O11" s="43"/>
      <c r="P11" s="42"/>
      <c r="Q11" s="42"/>
      <c r="R11" s="42"/>
      <c r="S11" s="62"/>
      <c r="T11" s="62"/>
      <c r="U11" s="62"/>
      <c r="V11" s="62"/>
      <c r="W11" s="62"/>
    </row>
    <row r="12" spans="1:23">
      <c r="A12" s="377" t="s">
        <v>1778</v>
      </c>
      <c r="B12" s="42" t="s">
        <v>1617</v>
      </c>
      <c r="C12" s="42" t="s">
        <v>88</v>
      </c>
      <c r="D12" s="42" t="s">
        <v>16</v>
      </c>
      <c r="E12" s="42" t="s">
        <v>1779</v>
      </c>
      <c r="F12" s="42">
        <v>1304</v>
      </c>
      <c r="G12" s="42"/>
      <c r="H12" s="42">
        <v>20480</v>
      </c>
      <c r="I12" s="42">
        <v>282</v>
      </c>
      <c r="J12" s="42">
        <v>0.5</v>
      </c>
      <c r="K12" s="42">
        <f t="shared" ref="K12" si="8">I12*J12</f>
        <v>141</v>
      </c>
      <c r="L12" s="43">
        <f t="shared" ref="L12:L14" si="9">H12-K12</f>
        <v>20339</v>
      </c>
      <c r="M12" s="43"/>
      <c r="N12" s="43">
        <f t="shared" ref="N12:N14" si="10">L12-M12</f>
        <v>20339</v>
      </c>
      <c r="O12" s="43">
        <f t="shared" ref="O12:O14" si="11">H12/1000*70</f>
        <v>1433.6000000000001</v>
      </c>
      <c r="P12" s="216">
        <v>0</v>
      </c>
      <c r="Q12" s="216">
        <v>19</v>
      </c>
      <c r="R12" s="42">
        <f t="shared" ref="R12:R14" si="12">L12*Q12</f>
        <v>386441</v>
      </c>
      <c r="S12" s="62"/>
      <c r="T12" s="62"/>
      <c r="U12" s="62"/>
      <c r="V12" s="62"/>
      <c r="W12" s="62"/>
    </row>
    <row r="13" spans="1:23">
      <c r="A13" s="377"/>
      <c r="B13" s="42" t="s">
        <v>1617</v>
      </c>
      <c r="C13" s="42" t="s">
        <v>88</v>
      </c>
      <c r="D13" s="42" t="s">
        <v>16</v>
      </c>
      <c r="E13" s="42" t="s">
        <v>1780</v>
      </c>
      <c r="F13" s="42">
        <v>1303</v>
      </c>
      <c r="G13" s="42"/>
      <c r="H13" s="42">
        <v>22860</v>
      </c>
      <c r="I13" s="42">
        <v>366</v>
      </c>
      <c r="J13" s="42">
        <v>0.13</v>
      </c>
      <c r="K13" s="42">
        <v>48</v>
      </c>
      <c r="L13" s="43">
        <f t="shared" si="9"/>
        <v>22812</v>
      </c>
      <c r="M13" s="43"/>
      <c r="N13" s="43">
        <f t="shared" si="10"/>
        <v>22812</v>
      </c>
      <c r="O13" s="43">
        <f t="shared" si="11"/>
        <v>1600.2</v>
      </c>
      <c r="P13" s="216">
        <v>0</v>
      </c>
      <c r="Q13" s="216">
        <v>19</v>
      </c>
      <c r="R13" s="42">
        <f t="shared" si="12"/>
        <v>433428</v>
      </c>
      <c r="S13" s="62"/>
      <c r="T13" s="62"/>
      <c r="U13" s="62"/>
      <c r="V13" s="62"/>
      <c r="W13" s="62"/>
    </row>
    <row r="14" spans="1:23">
      <c r="A14" s="62" t="s">
        <v>2036</v>
      </c>
      <c r="B14" s="42" t="s">
        <v>1617</v>
      </c>
      <c r="C14" s="42" t="s">
        <v>88</v>
      </c>
      <c r="D14" s="42" t="s">
        <v>16</v>
      </c>
      <c r="E14" s="42" t="s">
        <v>2043</v>
      </c>
      <c r="F14" s="42">
        <v>0</v>
      </c>
      <c r="G14" s="42"/>
      <c r="H14" s="42">
        <v>19840</v>
      </c>
      <c r="I14" s="42">
        <v>335</v>
      </c>
      <c r="J14" s="42">
        <v>0.5</v>
      </c>
      <c r="K14" s="43">
        <f t="shared" ref="K14" si="13">I14*J14</f>
        <v>167.5</v>
      </c>
      <c r="L14" s="43">
        <f t="shared" si="9"/>
        <v>19672.5</v>
      </c>
      <c r="M14" s="43"/>
      <c r="N14" s="43">
        <f t="shared" si="10"/>
        <v>19672.5</v>
      </c>
      <c r="O14" s="43">
        <f t="shared" si="11"/>
        <v>1388.8</v>
      </c>
      <c r="P14" s="42">
        <v>0</v>
      </c>
      <c r="Q14" s="42">
        <v>18.5</v>
      </c>
      <c r="R14" s="42">
        <f t="shared" si="12"/>
        <v>363941.25</v>
      </c>
      <c r="S14" s="62"/>
      <c r="T14" s="62"/>
      <c r="U14" s="62"/>
      <c r="V14" s="62"/>
      <c r="W14" s="62"/>
    </row>
    <row r="15" spans="1:23">
      <c r="A15" s="21"/>
      <c r="B15" s="67"/>
      <c r="C15" s="67"/>
      <c r="D15" s="67"/>
      <c r="E15" s="142"/>
      <c r="F15" s="67"/>
      <c r="G15" s="67"/>
      <c r="H15" s="67"/>
      <c r="I15" s="67"/>
      <c r="J15" s="67"/>
      <c r="K15" s="67"/>
      <c r="L15" s="68"/>
      <c r="M15" s="68"/>
      <c r="N15" s="68"/>
      <c r="O15" s="68"/>
      <c r="P15" s="67"/>
      <c r="Q15" s="62"/>
      <c r="R15" s="62"/>
      <c r="S15" s="62"/>
      <c r="T15" s="62"/>
      <c r="U15" s="62"/>
      <c r="V15" s="62"/>
      <c r="W15" s="62"/>
    </row>
    <row r="16" spans="1:23">
      <c r="A16" s="21"/>
      <c r="B16" s="184"/>
      <c r="C16" s="184"/>
      <c r="D16" s="184"/>
      <c r="E16" s="184"/>
      <c r="F16" s="184"/>
      <c r="G16" s="184"/>
      <c r="H16" s="184"/>
      <c r="I16" s="184"/>
      <c r="J16" s="67"/>
      <c r="K16" s="61"/>
      <c r="L16" s="65"/>
      <c r="M16" s="61"/>
      <c r="N16" s="183"/>
      <c r="O16" s="62"/>
      <c r="P16" s="62"/>
      <c r="Q16" s="62"/>
      <c r="R16" s="62"/>
      <c r="S16" s="62"/>
      <c r="T16" s="62"/>
      <c r="U16" s="62"/>
      <c r="V16" s="62"/>
      <c r="W16" s="62"/>
    </row>
    <row r="17" spans="1:23">
      <c r="A17" s="63"/>
      <c r="B17" s="67"/>
      <c r="C17" s="67"/>
      <c r="D17" s="67"/>
      <c r="E17" s="142"/>
      <c r="F17" s="67"/>
      <c r="G17" s="67"/>
      <c r="H17" s="67"/>
      <c r="I17" s="67"/>
      <c r="J17" s="67"/>
      <c r="K17" s="68"/>
      <c r="L17" s="68"/>
      <c r="M17" s="68"/>
      <c r="N17" s="68"/>
      <c r="O17" s="68"/>
      <c r="P17" s="67"/>
      <c r="Q17" s="62"/>
      <c r="R17" s="62"/>
      <c r="S17" s="62"/>
      <c r="T17" s="62"/>
      <c r="U17" s="62"/>
      <c r="V17" s="62"/>
      <c r="W17" s="62"/>
    </row>
    <row r="18" spans="1:23">
      <c r="A18" s="63"/>
      <c r="B18" s="67"/>
      <c r="C18" s="67"/>
      <c r="D18" s="67"/>
      <c r="E18" s="142"/>
      <c r="F18" s="67"/>
      <c r="G18" s="67"/>
      <c r="H18" s="67"/>
      <c r="I18" s="67"/>
      <c r="J18" s="67"/>
      <c r="K18" s="67"/>
      <c r="L18" s="68"/>
      <c r="M18" s="68"/>
      <c r="N18" s="68"/>
      <c r="O18" s="68"/>
      <c r="P18" s="67"/>
      <c r="Q18" s="62"/>
      <c r="R18" s="62"/>
      <c r="S18" s="62"/>
      <c r="T18" s="62"/>
      <c r="U18" s="62"/>
      <c r="V18" s="62"/>
      <c r="W18" s="62"/>
    </row>
    <row r="19" spans="1:23">
      <c r="A19" s="150"/>
      <c r="B19" s="67"/>
      <c r="C19" s="67"/>
      <c r="D19" s="67"/>
      <c r="E19" s="67"/>
      <c r="F19" s="67"/>
      <c r="G19" s="67"/>
      <c r="H19" s="67"/>
      <c r="I19" s="67"/>
      <c r="J19" s="67"/>
      <c r="K19" s="68"/>
      <c r="L19" s="68"/>
      <c r="M19" s="68"/>
      <c r="N19" s="68"/>
      <c r="O19" s="68"/>
      <c r="P19" s="67"/>
      <c r="Q19" s="67"/>
      <c r="R19" s="67"/>
      <c r="S19" s="62"/>
      <c r="T19" s="62"/>
      <c r="U19" s="62"/>
      <c r="V19" s="62"/>
      <c r="W19" s="62"/>
    </row>
    <row r="20" spans="1:23">
      <c r="A20" s="150"/>
      <c r="B20" s="67"/>
      <c r="C20" s="67"/>
      <c r="D20" s="67"/>
      <c r="E20" s="67"/>
      <c r="F20" s="67"/>
      <c r="G20" s="67"/>
      <c r="H20" s="67"/>
      <c r="I20" s="67"/>
      <c r="J20" s="67"/>
      <c r="K20" s="67"/>
      <c r="L20" s="68"/>
      <c r="M20" s="68"/>
      <c r="N20" s="68"/>
      <c r="O20" s="68"/>
      <c r="P20" s="67"/>
      <c r="Q20" s="67"/>
      <c r="R20" s="67"/>
      <c r="S20" s="62"/>
      <c r="T20" s="62"/>
      <c r="U20" s="62"/>
      <c r="V20" s="62"/>
      <c r="W20" s="62"/>
    </row>
    <row r="21" spans="1:23">
      <c r="A21" s="21"/>
      <c r="B21" s="67"/>
      <c r="C21" s="67"/>
      <c r="D21" s="67"/>
      <c r="E21" s="67"/>
      <c r="F21" s="67"/>
      <c r="G21" s="67"/>
      <c r="H21" s="67"/>
      <c r="I21" s="67"/>
      <c r="J21" s="67"/>
      <c r="K21" s="67"/>
      <c r="L21" s="68"/>
      <c r="M21" s="68"/>
      <c r="N21" s="68"/>
      <c r="O21" s="68"/>
      <c r="P21" s="67"/>
      <c r="Q21" s="67"/>
      <c r="R21" s="62"/>
      <c r="S21" s="62"/>
      <c r="T21" s="62"/>
      <c r="U21" s="62"/>
      <c r="V21" s="62"/>
      <c r="W21" s="62"/>
    </row>
    <row r="22" spans="1:23">
      <c r="A22" s="62"/>
      <c r="B22" s="67"/>
      <c r="C22" s="67"/>
      <c r="D22" s="67"/>
      <c r="E22" s="67"/>
      <c r="F22" s="67"/>
      <c r="G22" s="67"/>
      <c r="H22" s="67"/>
      <c r="I22" s="67"/>
      <c r="J22" s="67"/>
      <c r="K22" s="68"/>
      <c r="L22" s="68"/>
      <c r="M22" s="68"/>
      <c r="N22" s="68"/>
      <c r="O22" s="68"/>
      <c r="P22" s="67"/>
      <c r="Q22" s="67"/>
      <c r="R22" s="62"/>
      <c r="S22" s="62"/>
      <c r="T22" s="62"/>
      <c r="U22" s="62"/>
      <c r="V22" s="62"/>
      <c r="W22" s="62"/>
    </row>
    <row r="23" spans="1:23">
      <c r="A23" s="63"/>
      <c r="B23" s="67"/>
      <c r="C23" s="67"/>
      <c r="D23" s="67"/>
      <c r="E23" s="67"/>
      <c r="F23" s="67"/>
      <c r="G23" s="67"/>
      <c r="H23" s="67"/>
      <c r="I23" s="67"/>
      <c r="J23" s="67"/>
      <c r="K23" s="68"/>
      <c r="L23" s="68">
        <f>SUM(L7:L22)</f>
        <v>123372.5</v>
      </c>
      <c r="M23" s="68"/>
      <c r="N23" s="68"/>
      <c r="O23" s="68"/>
      <c r="P23" s="67"/>
      <c r="Q23" s="62"/>
      <c r="R23" s="62"/>
      <c r="S23" s="62"/>
      <c r="T23" s="62"/>
      <c r="U23" s="62"/>
      <c r="V23" s="62"/>
      <c r="W23" s="62"/>
    </row>
    <row r="24" spans="1:23">
      <c r="A24" s="63"/>
      <c r="B24" s="67"/>
      <c r="C24" s="67"/>
      <c r="D24" s="67"/>
      <c r="E24" s="67"/>
      <c r="F24" s="67"/>
      <c r="G24" s="67"/>
      <c r="H24" s="67"/>
      <c r="I24" s="67"/>
      <c r="J24" s="67"/>
      <c r="K24" s="67"/>
      <c r="L24" s="68"/>
      <c r="M24" s="68"/>
      <c r="N24" s="68"/>
      <c r="O24" s="68"/>
      <c r="P24" s="67"/>
      <c r="Q24" s="62"/>
      <c r="R24" s="62"/>
      <c r="S24" s="62"/>
      <c r="T24" s="62"/>
      <c r="U24" s="62"/>
      <c r="V24" s="62"/>
      <c r="W24" s="62"/>
    </row>
    <row r="25" spans="1:23">
      <c r="A25" s="63"/>
      <c r="B25" s="67"/>
      <c r="C25" s="67"/>
      <c r="D25" s="67"/>
      <c r="E25" s="67"/>
      <c r="F25" s="67"/>
      <c r="G25" s="67"/>
      <c r="H25" s="67"/>
      <c r="I25" s="67"/>
      <c r="J25" s="67"/>
      <c r="K25" s="68"/>
      <c r="L25" s="68"/>
      <c r="M25" s="68"/>
      <c r="N25" s="68"/>
      <c r="O25" s="68"/>
      <c r="P25" s="67"/>
      <c r="Q25" s="62"/>
      <c r="R25" s="62"/>
      <c r="S25" s="62"/>
      <c r="T25" s="62"/>
      <c r="U25" s="62"/>
      <c r="V25" s="62"/>
      <c r="W25" s="62"/>
    </row>
    <row r="26" spans="1:23">
      <c r="A26" s="63"/>
      <c r="B26" s="67"/>
      <c r="C26" s="67"/>
      <c r="D26" s="67"/>
      <c r="E26" s="67"/>
      <c r="F26" s="67"/>
      <c r="G26" s="67"/>
      <c r="H26" s="67"/>
      <c r="I26" s="67"/>
      <c r="J26" s="67"/>
      <c r="K26" s="68"/>
      <c r="L26" s="68"/>
      <c r="M26" s="68"/>
      <c r="N26" s="68"/>
      <c r="O26" s="68"/>
      <c r="P26" s="67"/>
      <c r="Q26" s="62"/>
      <c r="R26" s="62"/>
      <c r="S26" s="62"/>
      <c r="T26" s="62"/>
      <c r="U26" s="62"/>
      <c r="V26" s="62"/>
      <c r="W26" s="62"/>
    </row>
    <row r="27" spans="1:23">
      <c r="A27" s="63"/>
      <c r="B27" s="67"/>
      <c r="C27" s="67"/>
      <c r="D27" s="67"/>
      <c r="E27" s="67"/>
      <c r="F27" s="67"/>
      <c r="G27" s="67"/>
      <c r="H27" s="67"/>
      <c r="I27" s="67"/>
      <c r="J27" s="67"/>
      <c r="K27" s="67"/>
      <c r="L27" s="68"/>
      <c r="M27" s="68"/>
      <c r="N27" s="68"/>
      <c r="O27" s="68"/>
      <c r="P27" s="67"/>
      <c r="Q27" s="62"/>
      <c r="R27" s="62"/>
      <c r="S27" s="62"/>
      <c r="T27" s="62"/>
      <c r="U27" s="62"/>
      <c r="V27" s="62"/>
      <c r="W27" s="62"/>
    </row>
    <row r="28" spans="1:23">
      <c r="A28" s="63"/>
      <c r="B28" s="67"/>
      <c r="C28" s="67"/>
      <c r="D28" s="67"/>
      <c r="E28" s="67"/>
      <c r="F28" s="67"/>
      <c r="G28" s="67"/>
      <c r="H28" s="67"/>
      <c r="I28" s="67"/>
      <c r="J28" s="67"/>
      <c r="K28" s="67"/>
      <c r="L28" s="68"/>
      <c r="M28" s="68"/>
      <c r="N28" s="68"/>
      <c r="O28" s="68"/>
      <c r="P28" s="67"/>
      <c r="Q28" s="62"/>
      <c r="R28" s="62"/>
      <c r="S28" s="62"/>
      <c r="T28" s="62"/>
      <c r="U28" s="62"/>
      <c r="V28" s="62"/>
      <c r="W28" s="62"/>
    </row>
    <row r="29" spans="1:23">
      <c r="A29" s="63"/>
      <c r="B29" s="67"/>
      <c r="C29" s="67"/>
      <c r="D29" s="67"/>
      <c r="E29" s="67"/>
      <c r="F29" s="67"/>
      <c r="G29" s="67"/>
      <c r="H29" s="67"/>
      <c r="I29" s="67"/>
      <c r="J29" s="67"/>
      <c r="K29" s="67"/>
      <c r="L29" s="68"/>
      <c r="M29" s="68"/>
      <c r="N29" s="68"/>
      <c r="O29" s="68"/>
      <c r="P29" s="67"/>
      <c r="Q29" s="62"/>
      <c r="R29" s="62"/>
      <c r="S29" s="62"/>
      <c r="T29" s="62"/>
      <c r="U29" s="62"/>
      <c r="V29" s="62"/>
      <c r="W29" s="62"/>
    </row>
    <row r="30" spans="1:23">
      <c r="A30" s="63"/>
      <c r="B30" s="67"/>
      <c r="C30" s="67"/>
      <c r="D30" s="67"/>
      <c r="E30" s="67"/>
      <c r="F30" s="67"/>
      <c r="G30" s="67"/>
      <c r="H30" s="67"/>
      <c r="I30" s="67"/>
      <c r="J30" s="67"/>
      <c r="K30" s="68"/>
      <c r="L30" s="68"/>
      <c r="M30" s="68"/>
      <c r="N30" s="68"/>
      <c r="O30" s="68"/>
      <c r="P30" s="67"/>
      <c r="Q30" s="62"/>
      <c r="R30" s="62"/>
      <c r="S30" s="62"/>
      <c r="T30" s="62"/>
      <c r="U30" s="62"/>
      <c r="V30" s="62"/>
      <c r="W30" s="62"/>
    </row>
    <row r="31" spans="1:23">
      <c r="A31" s="63"/>
      <c r="B31" s="67"/>
      <c r="C31" s="67"/>
      <c r="D31" s="67"/>
      <c r="E31" s="67"/>
      <c r="F31" s="67"/>
      <c r="G31" s="67"/>
      <c r="H31" s="67"/>
      <c r="I31" s="67"/>
      <c r="J31" s="67"/>
      <c r="K31" s="67"/>
      <c r="L31" s="68"/>
      <c r="M31" s="68"/>
      <c r="N31" s="68"/>
      <c r="O31" s="68"/>
      <c r="P31" s="67"/>
      <c r="Q31" s="62"/>
      <c r="R31" s="62"/>
      <c r="S31" s="62"/>
      <c r="T31" s="62"/>
      <c r="U31" s="62"/>
      <c r="V31" s="62"/>
      <c r="W31" s="62"/>
    </row>
    <row r="32" spans="1:23">
      <c r="A32" s="63"/>
      <c r="B32" s="67"/>
      <c r="C32" s="67"/>
      <c r="D32" s="67"/>
      <c r="E32" s="67"/>
      <c r="F32" s="67"/>
      <c r="G32" s="67"/>
      <c r="H32" s="67"/>
      <c r="I32" s="67"/>
      <c r="J32" s="67"/>
      <c r="K32" s="68"/>
      <c r="L32" s="68"/>
      <c r="M32" s="68"/>
      <c r="N32" s="68"/>
      <c r="O32" s="68"/>
      <c r="P32" s="67"/>
      <c r="Q32" s="62"/>
      <c r="R32" s="62"/>
      <c r="S32" s="62"/>
      <c r="T32" s="62"/>
      <c r="U32" s="62"/>
      <c r="V32" s="62"/>
      <c r="W32" s="62"/>
    </row>
    <row r="33" spans="1:23">
      <c r="A33" s="63"/>
      <c r="B33" s="67"/>
      <c r="C33" s="67"/>
      <c r="D33" s="67"/>
      <c r="E33" s="67"/>
      <c r="F33" s="67"/>
      <c r="G33" s="67"/>
      <c r="H33" s="67"/>
      <c r="I33" s="67"/>
      <c r="J33" s="67"/>
      <c r="K33" s="67"/>
      <c r="L33" s="68"/>
      <c r="M33" s="68"/>
      <c r="N33" s="68"/>
      <c r="O33" s="68"/>
      <c r="P33" s="67"/>
      <c r="Q33" s="62"/>
      <c r="R33" s="62"/>
      <c r="S33" s="62"/>
      <c r="T33" s="62"/>
      <c r="U33" s="62"/>
      <c r="V33" s="62"/>
      <c r="W33" s="62"/>
    </row>
    <row r="34" spans="1:23">
      <c r="A34" s="63"/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8"/>
      <c r="M34" s="68"/>
      <c r="N34" s="68"/>
      <c r="O34" s="68"/>
      <c r="P34" s="67"/>
      <c r="Q34" s="62"/>
      <c r="R34" s="62"/>
      <c r="S34" s="62"/>
      <c r="T34" s="62"/>
      <c r="U34" s="62"/>
      <c r="V34" s="62"/>
      <c r="W34" s="62"/>
    </row>
    <row r="35" spans="1:23">
      <c r="A35" s="63"/>
      <c r="B35" s="67"/>
      <c r="C35" s="67"/>
      <c r="D35" s="67"/>
      <c r="E35" s="67"/>
      <c r="F35" s="67"/>
      <c r="G35" s="67"/>
      <c r="H35" s="67"/>
      <c r="I35" s="67"/>
      <c r="J35" s="67"/>
      <c r="K35" s="68"/>
      <c r="L35" s="68"/>
      <c r="M35" s="68"/>
      <c r="N35" s="68"/>
      <c r="O35" s="68"/>
      <c r="P35" s="67"/>
      <c r="Q35" s="62"/>
      <c r="R35" s="62"/>
      <c r="S35" s="62"/>
      <c r="T35" s="62"/>
      <c r="U35" s="62"/>
      <c r="V35" s="62"/>
      <c r="W35" s="62"/>
    </row>
    <row r="36" spans="1:23">
      <c r="A36" s="63"/>
      <c r="B36" s="67"/>
      <c r="C36" s="67"/>
      <c r="D36" s="67"/>
      <c r="E36" s="67"/>
      <c r="F36" s="67"/>
      <c r="G36" s="67"/>
      <c r="H36" s="67"/>
      <c r="I36" s="67"/>
      <c r="J36" s="67"/>
      <c r="K36" s="68"/>
      <c r="L36" s="68"/>
      <c r="M36" s="68"/>
      <c r="N36" s="68"/>
      <c r="O36" s="68"/>
      <c r="P36" s="67"/>
      <c r="Q36" s="62"/>
      <c r="R36" s="62"/>
      <c r="S36" s="62"/>
      <c r="T36" s="62"/>
      <c r="U36" s="62"/>
      <c r="V36" s="62"/>
      <c r="W36" s="62"/>
    </row>
    <row r="37" spans="1:23">
      <c r="A37" s="63"/>
      <c r="B37" s="67"/>
      <c r="C37" s="67"/>
      <c r="D37" s="67"/>
      <c r="E37" s="67"/>
      <c r="F37" s="67"/>
      <c r="G37" s="67"/>
      <c r="H37" s="67"/>
      <c r="I37" s="67"/>
      <c r="J37" s="67"/>
      <c r="K37" s="68"/>
      <c r="L37" s="68"/>
      <c r="M37" s="68"/>
      <c r="N37" s="68"/>
      <c r="O37" s="68"/>
      <c r="P37" s="67"/>
      <c r="Q37" s="62"/>
      <c r="R37" s="62"/>
      <c r="S37" s="62"/>
      <c r="T37" s="62"/>
      <c r="U37" s="62"/>
      <c r="V37" s="62"/>
      <c r="W37" s="62"/>
    </row>
    <row r="38" spans="1:23">
      <c r="A38" s="63"/>
      <c r="B38" s="67"/>
      <c r="C38" s="67"/>
      <c r="D38" s="67"/>
      <c r="E38" s="67"/>
      <c r="F38" s="67"/>
      <c r="G38" s="67"/>
      <c r="H38" s="67"/>
      <c r="I38" s="67"/>
      <c r="J38" s="67"/>
      <c r="K38" s="68"/>
      <c r="L38" s="68"/>
      <c r="M38" s="68"/>
      <c r="N38" s="68"/>
      <c r="O38" s="68"/>
      <c r="P38" s="67"/>
      <c r="Q38" s="62"/>
      <c r="R38" s="62"/>
      <c r="S38" s="62"/>
      <c r="T38" s="62"/>
      <c r="U38" s="62"/>
      <c r="V38" s="62"/>
      <c r="W38" s="62"/>
    </row>
    <row r="39" spans="1:23">
      <c r="A39" s="63"/>
      <c r="B39" s="67"/>
      <c r="C39" s="67"/>
      <c r="D39" s="67"/>
      <c r="E39" s="67"/>
      <c r="F39" s="67"/>
      <c r="G39" s="67"/>
      <c r="H39" s="67"/>
      <c r="I39" s="67"/>
      <c r="J39" s="67"/>
      <c r="K39" s="68"/>
      <c r="L39" s="68"/>
      <c r="M39" s="68"/>
      <c r="N39" s="68"/>
      <c r="O39" s="68"/>
      <c r="P39" s="67"/>
      <c r="Q39" s="62"/>
      <c r="R39" s="62"/>
      <c r="S39" s="62"/>
      <c r="T39" s="62"/>
      <c r="U39" s="62"/>
      <c r="V39" s="62"/>
      <c r="W39" s="62"/>
    </row>
    <row r="40" spans="1:23">
      <c r="A40" s="63"/>
      <c r="B40" s="67"/>
      <c r="C40" s="67"/>
      <c r="D40" s="67"/>
      <c r="E40" s="67"/>
      <c r="F40" s="67"/>
      <c r="G40" s="67"/>
      <c r="H40" s="67"/>
      <c r="I40" s="67"/>
      <c r="J40" s="67"/>
      <c r="K40" s="68"/>
      <c r="L40" s="68"/>
      <c r="M40" s="68"/>
      <c r="N40" s="68"/>
      <c r="O40" s="68"/>
      <c r="P40" s="67"/>
      <c r="Q40" s="62"/>
      <c r="R40" s="62"/>
      <c r="S40" s="62"/>
      <c r="T40" s="62"/>
      <c r="U40" s="62"/>
      <c r="V40" s="62"/>
      <c r="W40" s="62"/>
    </row>
    <row r="41" spans="1:23">
      <c r="A41" s="63"/>
      <c r="B41" s="67"/>
      <c r="C41" s="67"/>
      <c r="D41" s="67"/>
      <c r="E41" s="67"/>
      <c r="F41" s="67"/>
      <c r="G41" s="67"/>
      <c r="H41" s="67"/>
      <c r="I41" s="67"/>
      <c r="J41" s="67"/>
      <c r="K41" s="68"/>
      <c r="L41" s="68"/>
      <c r="M41" s="68"/>
      <c r="N41" s="68"/>
      <c r="O41" s="68"/>
      <c r="P41" s="67"/>
      <c r="Q41" s="62"/>
      <c r="R41" s="62"/>
      <c r="S41" s="62"/>
      <c r="T41" s="62"/>
      <c r="U41" s="62"/>
      <c r="V41" s="62"/>
      <c r="W41" s="62"/>
    </row>
    <row r="42" spans="1:23">
      <c r="A42" s="63"/>
      <c r="B42" s="67"/>
      <c r="C42" s="67"/>
      <c r="D42" s="67"/>
      <c r="E42" s="67"/>
      <c r="F42" s="67"/>
      <c r="G42" s="67"/>
      <c r="H42" s="67"/>
      <c r="I42" s="67"/>
      <c r="J42" s="67"/>
      <c r="K42" s="68"/>
      <c r="L42" s="68"/>
      <c r="M42" s="68"/>
      <c r="N42" s="68"/>
      <c r="O42" s="68"/>
      <c r="P42" s="67"/>
      <c r="Q42" s="62"/>
      <c r="R42" s="62"/>
      <c r="S42" s="62"/>
      <c r="T42" s="62"/>
      <c r="U42" s="62"/>
      <c r="V42" s="62"/>
      <c r="W42" s="62"/>
    </row>
    <row r="43" spans="1:23">
      <c r="A43" s="63"/>
      <c r="B43" s="67"/>
      <c r="C43" s="67"/>
      <c r="D43" s="67"/>
      <c r="E43" s="67"/>
      <c r="F43" s="67"/>
      <c r="G43" s="67"/>
      <c r="H43" s="67"/>
      <c r="I43" s="67"/>
      <c r="J43" s="67"/>
      <c r="K43" s="68"/>
      <c r="L43" s="68"/>
      <c r="M43" s="68"/>
      <c r="N43" s="68"/>
      <c r="O43" s="68"/>
      <c r="P43" s="67"/>
      <c r="Q43" s="62"/>
      <c r="R43" s="62"/>
      <c r="S43" s="62"/>
      <c r="T43" s="62"/>
      <c r="U43" s="62"/>
      <c r="V43" s="62"/>
      <c r="W43" s="62"/>
    </row>
    <row r="44" spans="1:23">
      <c r="A44" s="63"/>
      <c r="B44" s="67"/>
      <c r="C44" s="67"/>
      <c r="D44" s="67"/>
      <c r="E44" s="67"/>
      <c r="F44" s="67"/>
      <c r="G44" s="67"/>
      <c r="H44" s="67"/>
      <c r="I44" s="67"/>
      <c r="J44" s="67"/>
      <c r="K44" s="68"/>
      <c r="L44" s="68"/>
      <c r="M44" s="68"/>
      <c r="N44" s="68"/>
      <c r="O44" s="68"/>
      <c r="P44" s="67"/>
      <c r="Q44" s="62"/>
      <c r="R44" s="62"/>
      <c r="S44" s="62"/>
      <c r="T44" s="62"/>
      <c r="U44" s="62"/>
      <c r="V44" s="62"/>
      <c r="W44" s="62"/>
    </row>
    <row r="45" spans="1:23">
      <c r="A45" s="63"/>
      <c r="B45" s="67"/>
      <c r="C45" s="67"/>
      <c r="D45" s="67"/>
      <c r="E45" s="67"/>
      <c r="F45" s="98"/>
      <c r="G45" s="98"/>
      <c r="H45" s="98"/>
      <c r="I45" s="98"/>
      <c r="J45" s="98"/>
      <c r="K45" s="68"/>
      <c r="L45" s="68"/>
      <c r="M45" s="68"/>
      <c r="N45" s="68"/>
      <c r="O45" s="68"/>
      <c r="P45" s="99"/>
      <c r="Q45" s="62"/>
      <c r="R45" s="62"/>
      <c r="S45" s="62"/>
      <c r="T45" s="62"/>
      <c r="U45" s="62"/>
      <c r="V45" s="62"/>
      <c r="W45" s="62"/>
    </row>
    <row r="46" spans="1:23">
      <c r="A46" s="63"/>
      <c r="B46" s="67"/>
      <c r="C46" s="67"/>
      <c r="D46" s="67"/>
      <c r="E46" s="67"/>
      <c r="F46" s="67"/>
      <c r="G46" s="67"/>
      <c r="H46" s="67"/>
      <c r="I46" s="67"/>
      <c r="J46" s="67"/>
      <c r="K46" s="68"/>
      <c r="L46" s="68"/>
      <c r="M46" s="68"/>
      <c r="N46" s="68"/>
      <c r="O46" s="68"/>
      <c r="P46" s="67"/>
      <c r="Q46" s="62"/>
      <c r="R46" s="62"/>
      <c r="S46" s="62"/>
      <c r="T46" s="62"/>
      <c r="U46" s="62"/>
      <c r="V46" s="62"/>
      <c r="W46" s="62"/>
    </row>
    <row r="47" spans="1:23">
      <c r="A47" s="63"/>
      <c r="B47" s="67"/>
      <c r="C47" s="67"/>
      <c r="D47" s="67"/>
      <c r="E47" s="67"/>
      <c r="F47" s="67"/>
      <c r="G47" s="67"/>
      <c r="H47" s="67"/>
      <c r="I47" s="67"/>
      <c r="J47" s="67"/>
      <c r="K47" s="68"/>
      <c r="L47" s="68"/>
      <c r="M47" s="68"/>
      <c r="N47" s="68"/>
      <c r="O47" s="68"/>
      <c r="P47" s="67"/>
      <c r="Q47" s="62"/>
      <c r="R47" s="62"/>
      <c r="S47" s="62"/>
      <c r="T47" s="62"/>
      <c r="U47" s="62"/>
      <c r="V47" s="62"/>
      <c r="W47" s="62"/>
    </row>
    <row r="48" spans="1:23">
      <c r="A48" s="63"/>
      <c r="B48" s="67"/>
      <c r="C48" s="67"/>
      <c r="D48" s="67"/>
      <c r="E48" s="67"/>
      <c r="F48" s="67"/>
      <c r="G48" s="67"/>
      <c r="H48" s="67"/>
      <c r="I48" s="67"/>
      <c r="J48" s="67"/>
      <c r="K48" s="68"/>
      <c r="L48" s="68"/>
      <c r="M48" s="68"/>
      <c r="N48" s="68"/>
      <c r="O48" s="68"/>
      <c r="P48" s="67"/>
      <c r="Q48" s="62"/>
      <c r="R48" s="62"/>
      <c r="S48" s="62"/>
      <c r="T48" s="62"/>
      <c r="U48" s="62"/>
      <c r="V48" s="62"/>
      <c r="W48" s="62"/>
    </row>
    <row r="49" spans="1:23">
      <c r="A49" s="63"/>
      <c r="B49" s="67"/>
      <c r="C49" s="67"/>
      <c r="D49" s="67"/>
      <c r="E49" s="67"/>
      <c r="F49" s="67"/>
      <c r="G49" s="67"/>
      <c r="H49" s="67"/>
      <c r="I49" s="67"/>
      <c r="J49" s="67"/>
      <c r="K49" s="68"/>
      <c r="L49" s="68"/>
      <c r="M49" s="68"/>
      <c r="N49" s="68"/>
      <c r="O49" s="68"/>
      <c r="P49" s="67"/>
      <c r="Q49" s="62"/>
      <c r="R49" s="62"/>
      <c r="S49" s="62"/>
      <c r="T49" s="62"/>
      <c r="U49" s="62"/>
      <c r="V49" s="62"/>
      <c r="W49" s="62"/>
    </row>
    <row r="50" spans="1:23">
      <c r="A50" s="63"/>
      <c r="B50" s="67"/>
      <c r="C50" s="67"/>
      <c r="D50" s="67"/>
      <c r="E50" s="67"/>
      <c r="F50" s="67"/>
      <c r="G50" s="67"/>
      <c r="H50" s="67"/>
      <c r="I50" s="67"/>
      <c r="J50" s="67"/>
      <c r="K50" s="68"/>
      <c r="L50" s="68"/>
      <c r="M50" s="68"/>
      <c r="N50" s="68"/>
      <c r="O50" s="68"/>
      <c r="P50" s="67"/>
      <c r="Q50" s="62"/>
      <c r="R50" s="62"/>
      <c r="S50" s="62"/>
      <c r="T50" s="62"/>
      <c r="U50" s="62"/>
      <c r="V50" s="62"/>
      <c r="W50" s="62"/>
    </row>
    <row r="51" spans="1:23">
      <c r="A51" s="63"/>
      <c r="B51" s="67"/>
      <c r="C51" s="67"/>
      <c r="D51" s="67"/>
      <c r="E51" s="67"/>
      <c r="F51" s="67"/>
      <c r="G51" s="67"/>
      <c r="H51" s="67"/>
      <c r="I51" s="67"/>
      <c r="J51" s="67"/>
      <c r="K51" s="68"/>
      <c r="L51" s="68"/>
      <c r="M51" s="68"/>
      <c r="N51" s="68"/>
      <c r="O51" s="68"/>
      <c r="P51" s="67"/>
      <c r="Q51" s="62"/>
      <c r="R51" s="62"/>
      <c r="S51" s="62"/>
      <c r="T51" s="62"/>
      <c r="U51" s="62"/>
      <c r="V51" s="62"/>
      <c r="W51" s="62"/>
    </row>
    <row r="52" spans="1:23">
      <c r="A52" s="63"/>
      <c r="B52" s="67"/>
      <c r="C52" s="67"/>
      <c r="D52" s="67"/>
      <c r="E52" s="67"/>
      <c r="F52" s="67"/>
      <c r="G52" s="67"/>
      <c r="H52" s="67"/>
      <c r="I52" s="67"/>
      <c r="J52" s="67"/>
      <c r="K52" s="68"/>
      <c r="L52" s="68"/>
      <c r="M52" s="68"/>
      <c r="N52" s="68"/>
      <c r="O52" s="68"/>
      <c r="P52" s="149"/>
      <c r="Q52" s="62"/>
      <c r="R52" s="62"/>
      <c r="S52" s="62"/>
      <c r="T52" s="62"/>
      <c r="U52" s="62"/>
      <c r="V52" s="62"/>
      <c r="W52" s="62"/>
    </row>
    <row r="53" spans="1:23">
      <c r="A53" s="63"/>
      <c r="B53" s="67"/>
      <c r="C53" s="67"/>
      <c r="D53" s="67"/>
      <c r="E53" s="67"/>
      <c r="F53" s="67"/>
      <c r="G53" s="67"/>
      <c r="H53" s="67"/>
      <c r="I53" s="67"/>
      <c r="J53" s="67"/>
      <c r="K53" s="68"/>
      <c r="L53" s="68"/>
      <c r="M53" s="68"/>
      <c r="N53" s="68"/>
      <c r="O53" s="68"/>
      <c r="P53" s="149"/>
      <c r="Q53" s="62"/>
      <c r="R53" s="62"/>
      <c r="S53" s="62"/>
      <c r="T53" s="62"/>
      <c r="U53" s="62"/>
      <c r="V53" s="62"/>
      <c r="W53" s="62"/>
    </row>
    <row r="54" spans="1:23">
      <c r="A54" s="63"/>
      <c r="B54" s="67"/>
      <c r="C54" s="67"/>
      <c r="D54" s="67"/>
      <c r="E54" s="67"/>
      <c r="F54" s="67"/>
      <c r="G54" s="67"/>
      <c r="H54" s="67"/>
      <c r="I54" s="67"/>
      <c r="J54" s="67"/>
      <c r="K54" s="68"/>
      <c r="L54" s="68"/>
      <c r="M54" s="68"/>
      <c r="N54" s="68"/>
      <c r="O54" s="68"/>
      <c r="P54" s="149"/>
      <c r="Q54" s="62"/>
      <c r="R54" s="62"/>
      <c r="S54" s="62"/>
      <c r="T54" s="62"/>
      <c r="U54" s="62"/>
      <c r="V54" s="62"/>
      <c r="W54" s="62"/>
    </row>
    <row r="55" spans="1:23">
      <c r="A55" s="63"/>
      <c r="B55" s="67"/>
      <c r="C55" s="67"/>
      <c r="D55" s="67"/>
      <c r="E55" s="67"/>
      <c r="F55" s="67"/>
      <c r="G55" s="67"/>
      <c r="H55" s="67"/>
      <c r="I55" s="67"/>
      <c r="J55" s="67"/>
      <c r="K55" s="68"/>
      <c r="L55" s="68"/>
      <c r="M55" s="68"/>
      <c r="N55" s="68"/>
      <c r="O55" s="68"/>
      <c r="P55" s="149"/>
      <c r="Q55" s="62"/>
      <c r="R55" s="62"/>
      <c r="S55" s="62"/>
      <c r="T55" s="62"/>
      <c r="U55" s="62"/>
      <c r="V55" s="62"/>
      <c r="W55" s="62"/>
    </row>
    <row r="56" spans="1:23">
      <c r="A56" s="63"/>
      <c r="B56" s="67"/>
      <c r="C56" s="67"/>
      <c r="D56" s="67"/>
      <c r="E56" s="67"/>
      <c r="F56" s="67"/>
      <c r="G56" s="67"/>
      <c r="H56" s="67"/>
      <c r="I56" s="67"/>
      <c r="J56" s="67"/>
      <c r="K56" s="68"/>
      <c r="L56" s="68"/>
      <c r="M56" s="68"/>
      <c r="N56" s="68"/>
      <c r="O56" s="68"/>
      <c r="P56" s="149"/>
      <c r="Q56" s="62"/>
      <c r="R56" s="62"/>
      <c r="S56" s="62"/>
      <c r="T56" s="62"/>
      <c r="U56" s="62"/>
      <c r="V56" s="62"/>
      <c r="W56" s="62"/>
    </row>
    <row r="57" spans="1:23">
      <c r="A57" s="63"/>
      <c r="B57" s="67"/>
      <c r="C57" s="67"/>
      <c r="D57" s="67"/>
      <c r="E57" s="67"/>
      <c r="F57" s="67"/>
      <c r="G57" s="67"/>
      <c r="H57" s="67"/>
      <c r="I57" s="67"/>
      <c r="J57" s="67"/>
      <c r="K57" s="68"/>
      <c r="L57" s="68"/>
      <c r="M57" s="68"/>
      <c r="N57" s="68"/>
      <c r="O57" s="68"/>
      <c r="P57" s="149"/>
      <c r="Q57" s="62"/>
      <c r="R57" s="62"/>
      <c r="S57" s="62"/>
      <c r="T57" s="62"/>
      <c r="U57" s="62"/>
      <c r="V57" s="62"/>
      <c r="W57" s="62"/>
    </row>
    <row r="58" spans="1:23">
      <c r="A58" s="63"/>
      <c r="B58" s="67"/>
      <c r="C58" s="67"/>
      <c r="D58" s="67"/>
      <c r="E58" s="67"/>
      <c r="F58" s="67"/>
      <c r="G58" s="67"/>
      <c r="H58" s="67"/>
      <c r="I58" s="67"/>
      <c r="J58" s="67"/>
      <c r="K58" s="68"/>
      <c r="L58" s="68"/>
      <c r="M58" s="68"/>
      <c r="N58" s="68"/>
      <c r="O58" s="68"/>
      <c r="P58" s="67"/>
      <c r="Q58" s="67"/>
      <c r="R58" s="67"/>
      <c r="S58" s="62"/>
      <c r="T58" s="62"/>
      <c r="U58" s="62"/>
      <c r="V58" s="62"/>
      <c r="W58" s="62"/>
    </row>
    <row r="59" spans="1:23">
      <c r="A59" s="63"/>
      <c r="B59" s="67"/>
      <c r="C59" s="67"/>
      <c r="D59" s="67"/>
      <c r="E59" s="67"/>
      <c r="F59" s="67"/>
      <c r="G59" s="67"/>
      <c r="H59" s="67"/>
      <c r="I59" s="67"/>
      <c r="J59" s="67"/>
      <c r="K59" s="68"/>
      <c r="L59" s="68"/>
      <c r="M59" s="68"/>
      <c r="N59" s="68"/>
      <c r="O59" s="68"/>
      <c r="P59" s="67"/>
      <c r="Q59" s="67"/>
      <c r="R59" s="67"/>
      <c r="S59" s="62"/>
      <c r="T59" s="62"/>
      <c r="U59" s="62"/>
      <c r="V59" s="62"/>
      <c r="W59" s="62"/>
    </row>
    <row r="60" spans="1:23">
      <c r="A60" s="63"/>
      <c r="B60" s="67"/>
      <c r="C60" s="67"/>
      <c r="D60" s="67"/>
      <c r="E60" s="67"/>
      <c r="F60" s="67"/>
      <c r="G60" s="67"/>
      <c r="H60" s="67"/>
      <c r="I60" s="67"/>
      <c r="J60" s="67"/>
      <c r="K60" s="68"/>
      <c r="L60" s="68"/>
      <c r="M60" s="68"/>
      <c r="N60" s="68"/>
      <c r="O60" s="68"/>
      <c r="P60" s="67"/>
      <c r="Q60" s="67"/>
      <c r="R60" s="67"/>
      <c r="S60" s="62"/>
      <c r="T60" s="62"/>
      <c r="U60" s="62"/>
      <c r="V60" s="62"/>
      <c r="W60" s="62"/>
    </row>
    <row r="61" spans="1:23">
      <c r="A61" s="63"/>
      <c r="B61" s="67"/>
      <c r="C61" s="67"/>
      <c r="D61" s="67"/>
      <c r="E61" s="67"/>
      <c r="F61" s="67"/>
      <c r="G61" s="67"/>
      <c r="H61" s="67"/>
      <c r="I61" s="67"/>
      <c r="J61" s="67"/>
      <c r="K61" s="68"/>
      <c r="L61" s="68"/>
      <c r="M61" s="68"/>
      <c r="N61" s="68"/>
      <c r="O61" s="68"/>
      <c r="P61" s="67"/>
      <c r="Q61" s="67"/>
      <c r="R61" s="67"/>
      <c r="S61" s="62"/>
      <c r="T61" s="62"/>
      <c r="U61" s="62"/>
      <c r="V61" s="62"/>
      <c r="W61" s="62"/>
    </row>
    <row r="62" spans="1:23">
      <c r="A62" s="63"/>
      <c r="B62" s="67"/>
      <c r="C62" s="67"/>
      <c r="D62" s="67"/>
      <c r="E62" s="67"/>
      <c r="F62" s="67"/>
      <c r="G62" s="67"/>
      <c r="H62" s="67"/>
      <c r="I62" s="67"/>
      <c r="J62" s="67"/>
      <c r="K62" s="68"/>
      <c r="L62" s="68"/>
      <c r="M62" s="68"/>
      <c r="N62" s="68"/>
      <c r="O62" s="68"/>
      <c r="P62" s="67"/>
      <c r="Q62" s="67"/>
      <c r="R62" s="67"/>
      <c r="S62" s="62"/>
      <c r="T62" s="62"/>
      <c r="U62" s="62"/>
      <c r="V62" s="62"/>
      <c r="W62" s="62"/>
    </row>
    <row r="63" spans="1:23">
      <c r="A63" s="63"/>
      <c r="B63" s="67"/>
      <c r="C63" s="67"/>
      <c r="D63" s="67"/>
      <c r="E63" s="67"/>
      <c r="F63" s="67"/>
      <c r="G63" s="67"/>
      <c r="H63" s="67"/>
      <c r="I63" s="67"/>
      <c r="J63" s="67"/>
      <c r="K63" s="68"/>
      <c r="L63" s="68"/>
      <c r="M63" s="68"/>
      <c r="N63" s="68"/>
      <c r="O63" s="68"/>
      <c r="P63" s="67"/>
      <c r="Q63" s="67"/>
      <c r="R63" s="67"/>
      <c r="S63" s="62"/>
      <c r="T63" s="62"/>
      <c r="U63" s="62"/>
      <c r="V63" s="62"/>
      <c r="W63" s="62"/>
    </row>
    <row r="64" spans="1:23">
      <c r="A64" s="63"/>
      <c r="B64" s="67"/>
      <c r="C64" s="67"/>
      <c r="D64" s="67"/>
      <c r="E64" s="67"/>
      <c r="F64" s="67"/>
      <c r="G64" s="67"/>
      <c r="H64" s="67"/>
      <c r="I64" s="67"/>
      <c r="J64" s="67"/>
      <c r="K64" s="68"/>
      <c r="L64" s="68"/>
      <c r="M64" s="68"/>
      <c r="N64" s="68"/>
      <c r="O64" s="68"/>
      <c r="P64" s="67"/>
      <c r="Q64" s="67"/>
      <c r="R64" s="67"/>
      <c r="S64" s="62"/>
      <c r="T64" s="62"/>
      <c r="U64" s="62"/>
      <c r="V64" s="62"/>
      <c r="W64" s="62"/>
    </row>
    <row r="65" spans="1:23">
      <c r="A65" s="63"/>
      <c r="B65" s="67"/>
      <c r="C65" s="67"/>
      <c r="D65" s="67"/>
      <c r="E65" s="67"/>
      <c r="F65" s="67"/>
      <c r="G65" s="67"/>
      <c r="H65" s="67"/>
      <c r="I65" s="67"/>
      <c r="J65" s="67"/>
      <c r="K65" s="68"/>
      <c r="L65" s="68"/>
      <c r="M65" s="68"/>
      <c r="N65" s="68"/>
      <c r="O65" s="68"/>
      <c r="P65" s="149"/>
      <c r="Q65" s="67"/>
      <c r="R65" s="67"/>
      <c r="S65" s="62"/>
      <c r="T65" s="62"/>
      <c r="U65" s="62"/>
      <c r="V65" s="62"/>
      <c r="W65" s="62"/>
    </row>
    <row r="66" spans="1:23">
      <c r="A66" s="63"/>
      <c r="B66" s="67"/>
      <c r="C66" s="67"/>
      <c r="D66" s="67"/>
      <c r="E66" s="67"/>
      <c r="F66" s="67"/>
      <c r="G66" s="67"/>
      <c r="H66" s="67"/>
      <c r="I66" s="67"/>
      <c r="J66" s="67"/>
      <c r="K66" s="67"/>
      <c r="L66" s="68"/>
      <c r="M66" s="68"/>
      <c r="N66" s="68"/>
      <c r="O66" s="68"/>
      <c r="P66" s="67"/>
      <c r="Q66" s="67"/>
      <c r="R66" s="67"/>
      <c r="S66" s="62"/>
      <c r="T66" s="62"/>
      <c r="U66" s="62"/>
      <c r="V66" s="62"/>
      <c r="W66" s="62"/>
    </row>
    <row r="67" spans="1:23">
      <c r="A67" s="63"/>
      <c r="B67" s="67"/>
      <c r="C67" s="67"/>
      <c r="D67" s="67"/>
      <c r="E67" s="67"/>
      <c r="F67" s="67"/>
      <c r="G67" s="67"/>
      <c r="H67" s="67"/>
      <c r="I67" s="67"/>
      <c r="J67" s="67"/>
      <c r="K67" s="67"/>
      <c r="L67" s="68"/>
      <c r="M67" s="68"/>
      <c r="N67" s="68"/>
      <c r="O67" s="68"/>
      <c r="P67" s="67"/>
      <c r="Q67" s="67"/>
      <c r="R67" s="67"/>
      <c r="S67" s="62"/>
      <c r="T67" s="62"/>
      <c r="U67" s="62"/>
      <c r="V67" s="62"/>
      <c r="W67" s="62"/>
    </row>
    <row r="68" spans="1:23">
      <c r="A68" s="63"/>
      <c r="B68" s="67"/>
      <c r="C68" s="67"/>
      <c r="D68" s="67"/>
      <c r="E68" s="67"/>
      <c r="F68" s="67"/>
      <c r="G68" s="67"/>
      <c r="H68" s="67"/>
      <c r="I68" s="67"/>
      <c r="J68" s="67"/>
      <c r="K68" s="67"/>
      <c r="L68" s="68"/>
      <c r="M68" s="68"/>
      <c r="N68" s="68"/>
      <c r="O68" s="68"/>
      <c r="P68" s="67"/>
      <c r="Q68" s="67"/>
      <c r="R68" s="67"/>
      <c r="S68" s="62"/>
      <c r="T68" s="62"/>
      <c r="U68" s="62"/>
      <c r="V68" s="62"/>
      <c r="W68" s="62"/>
    </row>
    <row r="69" spans="1:23">
      <c r="A69" s="63"/>
      <c r="B69" s="67"/>
      <c r="C69" s="67"/>
      <c r="D69" s="67"/>
      <c r="E69" s="67"/>
      <c r="F69" s="67"/>
      <c r="G69" s="67"/>
      <c r="H69" s="67"/>
      <c r="I69" s="67"/>
      <c r="J69" s="67"/>
      <c r="K69" s="67"/>
      <c r="L69" s="68"/>
      <c r="M69" s="68"/>
      <c r="N69" s="68"/>
      <c r="O69" s="68"/>
      <c r="P69" s="67"/>
      <c r="Q69" s="67"/>
      <c r="R69" s="67"/>
      <c r="S69" s="62"/>
      <c r="T69" s="62"/>
      <c r="U69" s="62"/>
      <c r="V69" s="62"/>
      <c r="W69" s="62"/>
    </row>
    <row r="70" spans="1:23">
      <c r="A70" s="63"/>
      <c r="B70" s="67"/>
      <c r="C70" s="67"/>
      <c r="D70" s="67"/>
      <c r="E70" s="67"/>
      <c r="F70" s="67"/>
      <c r="G70" s="67"/>
      <c r="H70" s="67"/>
      <c r="I70" s="67"/>
      <c r="J70" s="67"/>
      <c r="K70" s="67"/>
      <c r="L70" s="68"/>
      <c r="M70" s="68"/>
      <c r="N70" s="68"/>
      <c r="O70" s="68"/>
      <c r="P70" s="67"/>
      <c r="Q70" s="67"/>
      <c r="R70" s="67"/>
      <c r="S70" s="62"/>
      <c r="T70" s="62"/>
      <c r="U70" s="62"/>
      <c r="V70" s="62"/>
      <c r="W70" s="62"/>
    </row>
    <row r="71" spans="1:23">
      <c r="A71" s="63"/>
      <c r="B71" s="67"/>
      <c r="C71" s="67"/>
      <c r="D71" s="67"/>
      <c r="E71" s="67"/>
      <c r="F71" s="67"/>
      <c r="G71" s="67"/>
      <c r="H71" s="67"/>
      <c r="I71" s="67"/>
      <c r="J71" s="67"/>
      <c r="K71" s="67"/>
      <c r="L71" s="68"/>
      <c r="M71" s="68"/>
      <c r="N71" s="68"/>
      <c r="O71" s="68"/>
      <c r="P71" s="67"/>
      <c r="Q71" s="67"/>
      <c r="R71" s="67"/>
      <c r="S71" s="62"/>
      <c r="T71" s="62"/>
      <c r="U71" s="62"/>
      <c r="V71" s="62"/>
      <c r="W71" s="62"/>
    </row>
    <row r="72" spans="1:23">
      <c r="A72" s="63"/>
      <c r="B72" s="67"/>
      <c r="C72" s="67"/>
      <c r="D72" s="67"/>
      <c r="E72" s="67"/>
      <c r="F72" s="67"/>
      <c r="G72" s="67"/>
      <c r="H72" s="67"/>
      <c r="I72" s="67"/>
      <c r="J72" s="67"/>
      <c r="K72" s="67"/>
      <c r="L72" s="68"/>
      <c r="M72" s="68"/>
      <c r="N72" s="68"/>
      <c r="O72" s="68"/>
      <c r="P72" s="67"/>
      <c r="Q72" s="67"/>
      <c r="R72" s="67"/>
      <c r="S72" s="62"/>
      <c r="T72" s="62"/>
      <c r="U72" s="62"/>
      <c r="V72" s="62"/>
      <c r="W72" s="62"/>
    </row>
    <row r="73" spans="1:23">
      <c r="A73" s="62"/>
      <c r="B73" s="67"/>
      <c r="C73" s="67"/>
      <c r="D73" s="67"/>
      <c r="E73" s="67"/>
      <c r="F73" s="67"/>
      <c r="G73" s="67"/>
      <c r="H73" s="67"/>
      <c r="I73" s="67"/>
      <c r="J73" s="67"/>
      <c r="K73" s="67"/>
      <c r="L73" s="68"/>
      <c r="M73" s="68"/>
      <c r="N73" s="68"/>
      <c r="O73" s="68"/>
      <c r="P73" s="67"/>
      <c r="Q73" s="67"/>
      <c r="R73" s="67"/>
      <c r="S73" s="62"/>
      <c r="T73" s="62"/>
      <c r="U73" s="62"/>
      <c r="V73" s="62"/>
      <c r="W73" s="62"/>
    </row>
    <row r="74" spans="1:23">
      <c r="A74" s="63"/>
      <c r="B74" s="67"/>
      <c r="C74" s="67"/>
      <c r="D74" s="67"/>
      <c r="E74" s="67"/>
      <c r="F74" s="67"/>
      <c r="G74" s="67"/>
      <c r="H74" s="67"/>
      <c r="I74" s="67"/>
      <c r="J74" s="67"/>
      <c r="K74" s="67"/>
      <c r="L74" s="68"/>
      <c r="M74" s="68"/>
      <c r="N74" s="68"/>
      <c r="O74" s="68"/>
      <c r="P74" s="67"/>
      <c r="Q74" s="67"/>
      <c r="R74" s="67"/>
      <c r="S74" s="62"/>
      <c r="T74" s="62"/>
      <c r="U74" s="62"/>
      <c r="V74" s="62"/>
      <c r="W74" s="62"/>
    </row>
    <row r="75" spans="1:23">
      <c r="A75" s="63"/>
      <c r="B75" s="67"/>
      <c r="C75" s="67"/>
      <c r="D75" s="67"/>
      <c r="E75" s="67"/>
      <c r="F75" s="67"/>
      <c r="G75" s="67"/>
      <c r="H75" s="67"/>
      <c r="I75" s="67"/>
      <c r="J75" s="67"/>
      <c r="K75" s="67"/>
      <c r="L75" s="68"/>
      <c r="M75" s="68"/>
      <c r="N75" s="68"/>
      <c r="O75" s="68"/>
      <c r="P75" s="67"/>
      <c r="Q75" s="67"/>
      <c r="R75" s="67"/>
      <c r="S75" s="62"/>
      <c r="T75" s="62"/>
      <c r="U75" s="62"/>
      <c r="V75" s="62"/>
      <c r="W75" s="62"/>
    </row>
    <row r="76" spans="1:23">
      <c r="A76" s="63"/>
      <c r="B76" s="67"/>
      <c r="C76" s="67"/>
      <c r="D76" s="67"/>
      <c r="E76" s="67"/>
      <c r="F76" s="67"/>
      <c r="G76" s="67"/>
      <c r="H76" s="67"/>
      <c r="I76" s="67"/>
      <c r="J76" s="67"/>
      <c r="K76" s="67"/>
      <c r="L76" s="68"/>
      <c r="M76" s="68"/>
      <c r="N76" s="68"/>
      <c r="O76" s="68"/>
      <c r="P76" s="67"/>
      <c r="Q76" s="67"/>
      <c r="R76" s="67"/>
      <c r="S76" s="62"/>
      <c r="T76" s="62"/>
      <c r="U76" s="62"/>
      <c r="V76" s="62"/>
      <c r="W76" s="62"/>
    </row>
    <row r="77" spans="1:23">
      <c r="A77" s="63"/>
      <c r="B77" s="67"/>
      <c r="C77" s="67"/>
      <c r="D77" s="67"/>
      <c r="E77" s="67"/>
      <c r="F77" s="67"/>
      <c r="G77" s="67"/>
      <c r="H77" s="67"/>
      <c r="I77" s="67"/>
      <c r="J77" s="67"/>
      <c r="K77" s="67"/>
      <c r="L77" s="68"/>
      <c r="M77" s="68"/>
      <c r="N77" s="68"/>
      <c r="O77" s="68"/>
      <c r="P77" s="67"/>
      <c r="Q77" s="67"/>
      <c r="R77" s="67"/>
      <c r="S77" s="62"/>
      <c r="T77" s="62"/>
      <c r="U77" s="62"/>
      <c r="V77" s="62"/>
      <c r="W77" s="62"/>
    </row>
    <row r="78" spans="1:23">
      <c r="A78" s="63"/>
      <c r="B78" s="67"/>
      <c r="C78" s="67"/>
      <c r="D78" s="67"/>
      <c r="E78" s="67"/>
      <c r="F78" s="67"/>
      <c r="G78" s="67"/>
      <c r="H78" s="67"/>
      <c r="I78" s="67"/>
      <c r="J78" s="67"/>
      <c r="K78" s="67"/>
      <c r="L78" s="68"/>
      <c r="M78" s="68"/>
      <c r="N78" s="68"/>
      <c r="O78" s="68"/>
      <c r="P78" s="67"/>
      <c r="Q78" s="67"/>
      <c r="R78" s="67"/>
      <c r="S78" s="62"/>
      <c r="T78" s="62"/>
      <c r="U78" s="62"/>
      <c r="V78" s="62"/>
      <c r="W78" s="62"/>
    </row>
    <row r="79" spans="1:23">
      <c r="A79" s="63"/>
      <c r="B79" s="67"/>
      <c r="C79" s="67"/>
      <c r="D79" s="67"/>
      <c r="E79" s="67"/>
      <c r="F79" s="67"/>
      <c r="G79" s="67"/>
      <c r="H79" s="67"/>
      <c r="I79" s="67"/>
      <c r="J79" s="67"/>
      <c r="K79" s="67"/>
      <c r="L79" s="68"/>
      <c r="M79" s="68"/>
      <c r="N79" s="68"/>
      <c r="O79" s="68"/>
      <c r="P79" s="67"/>
      <c r="Q79" s="67"/>
      <c r="R79" s="67"/>
      <c r="S79" s="62"/>
      <c r="T79" s="62"/>
      <c r="U79" s="62"/>
      <c r="V79" s="62"/>
      <c r="W79" s="62"/>
    </row>
    <row r="80" spans="1:23">
      <c r="A80" s="63"/>
      <c r="B80" s="67"/>
      <c r="C80" s="67"/>
      <c r="D80" s="67"/>
      <c r="E80" s="67"/>
      <c r="F80" s="67"/>
      <c r="G80" s="67"/>
      <c r="H80" s="67"/>
      <c r="I80" s="67"/>
      <c r="J80" s="67"/>
      <c r="K80" s="67"/>
      <c r="L80" s="68"/>
      <c r="M80" s="68"/>
      <c r="N80" s="68"/>
      <c r="O80" s="68"/>
      <c r="P80" s="67"/>
      <c r="Q80" s="67"/>
      <c r="R80" s="67"/>
      <c r="S80" s="62"/>
      <c r="T80" s="62"/>
      <c r="U80" s="62"/>
      <c r="V80" s="62"/>
      <c r="W80" s="62"/>
    </row>
    <row r="81" spans="1:23">
      <c r="A81" s="63"/>
      <c r="B81" s="67"/>
      <c r="C81" s="67"/>
      <c r="D81" s="67"/>
      <c r="E81" s="67"/>
      <c r="F81" s="67"/>
      <c r="G81" s="67"/>
      <c r="H81" s="67"/>
      <c r="I81" s="67"/>
      <c r="J81" s="67"/>
      <c r="K81" s="67"/>
      <c r="L81" s="68"/>
      <c r="M81" s="68"/>
      <c r="N81" s="68"/>
      <c r="O81" s="68"/>
      <c r="P81" s="67"/>
      <c r="Q81" s="67"/>
      <c r="R81" s="67"/>
      <c r="S81" s="62"/>
      <c r="T81" s="62"/>
      <c r="U81" s="62"/>
      <c r="V81" s="62"/>
      <c r="W81" s="62"/>
    </row>
    <row r="82" spans="1:23">
      <c r="A82" s="63"/>
      <c r="B82" s="67"/>
      <c r="C82" s="67"/>
      <c r="D82" s="67"/>
      <c r="E82" s="67"/>
      <c r="F82" s="67"/>
      <c r="G82" s="67"/>
      <c r="H82" s="67"/>
      <c r="I82" s="67"/>
      <c r="J82" s="67"/>
      <c r="K82" s="67"/>
      <c r="L82" s="68"/>
      <c r="M82" s="68"/>
      <c r="N82" s="68"/>
      <c r="O82" s="68"/>
      <c r="P82" s="67"/>
      <c r="Q82" s="67"/>
      <c r="R82" s="67"/>
      <c r="S82" s="62"/>
      <c r="T82" s="62"/>
      <c r="U82" s="62"/>
      <c r="V82" s="62"/>
      <c r="W82" s="62"/>
    </row>
    <row r="83" spans="1:23">
      <c r="A83" s="62"/>
      <c r="B83" s="67"/>
      <c r="C83" s="67"/>
      <c r="D83" s="67"/>
      <c r="E83" s="67"/>
      <c r="F83" s="67"/>
      <c r="G83" s="67"/>
      <c r="H83" s="67"/>
      <c r="I83" s="67"/>
      <c r="J83" s="67"/>
      <c r="K83" s="67"/>
      <c r="L83" s="68"/>
      <c r="M83" s="68"/>
      <c r="N83" s="68"/>
      <c r="O83" s="68"/>
      <c r="P83" s="67"/>
      <c r="Q83" s="67"/>
      <c r="R83" s="67"/>
      <c r="S83" s="62"/>
      <c r="T83" s="62"/>
      <c r="U83" s="62"/>
      <c r="V83" s="62"/>
      <c r="W83" s="62"/>
    </row>
    <row r="84" spans="1:23">
      <c r="A84" s="63"/>
      <c r="B84" s="142"/>
      <c r="C84" s="142"/>
      <c r="D84" s="67"/>
      <c r="E84" s="67"/>
      <c r="F84" s="67"/>
      <c r="G84" s="67"/>
      <c r="H84" s="67"/>
      <c r="I84" s="67"/>
      <c r="J84" s="67"/>
      <c r="K84" s="67"/>
      <c r="L84" s="68"/>
      <c r="M84" s="68"/>
      <c r="N84" s="68"/>
      <c r="O84" s="68"/>
      <c r="P84" s="67"/>
      <c r="Q84" s="67"/>
      <c r="R84" s="67"/>
      <c r="S84" s="62"/>
      <c r="T84" s="62"/>
      <c r="U84" s="62"/>
      <c r="V84" s="62"/>
      <c r="W84" s="62"/>
    </row>
    <row r="85" spans="1:23">
      <c r="A85" s="63"/>
      <c r="B85" s="142"/>
      <c r="C85" s="142"/>
      <c r="D85" s="67"/>
      <c r="E85" s="67"/>
      <c r="F85" s="67"/>
      <c r="G85" s="67"/>
      <c r="H85" s="67"/>
      <c r="I85" s="67"/>
      <c r="J85" s="67"/>
      <c r="K85" s="67"/>
      <c r="L85" s="68"/>
      <c r="M85" s="68"/>
      <c r="N85" s="68"/>
      <c r="O85" s="68"/>
      <c r="P85" s="67"/>
      <c r="Q85" s="67"/>
      <c r="R85" s="67"/>
      <c r="S85" s="62"/>
      <c r="T85" s="62"/>
      <c r="U85" s="62"/>
      <c r="V85" s="62"/>
      <c r="W85" s="62"/>
    </row>
    <row r="86" spans="1:23">
      <c r="A86" s="63"/>
      <c r="B86" s="142"/>
      <c r="C86" s="142"/>
      <c r="D86" s="67"/>
      <c r="E86" s="67"/>
      <c r="F86" s="67"/>
      <c r="G86" s="67"/>
      <c r="H86" s="67"/>
      <c r="I86" s="67"/>
      <c r="J86" s="67"/>
      <c r="K86" s="67"/>
      <c r="L86" s="68"/>
      <c r="M86" s="68"/>
      <c r="N86" s="68"/>
      <c r="O86" s="68"/>
      <c r="P86" s="67"/>
      <c r="Q86" s="67"/>
      <c r="R86" s="67"/>
      <c r="S86" s="62"/>
      <c r="T86" s="62"/>
      <c r="U86" s="62"/>
      <c r="V86" s="62"/>
      <c r="W86" s="62"/>
    </row>
    <row r="87" spans="1:23">
      <c r="A87" s="63"/>
      <c r="B87" s="142"/>
      <c r="C87" s="142"/>
      <c r="D87" s="67"/>
      <c r="E87" s="67"/>
      <c r="F87" s="67"/>
      <c r="G87" s="67"/>
      <c r="H87" s="67"/>
      <c r="I87" s="67"/>
      <c r="J87" s="67"/>
      <c r="K87" s="67"/>
      <c r="L87" s="68"/>
      <c r="M87" s="68"/>
      <c r="N87" s="68"/>
      <c r="O87" s="68"/>
      <c r="P87" s="67"/>
      <c r="Q87" s="67"/>
      <c r="R87" s="67"/>
      <c r="S87" s="62"/>
      <c r="T87" s="62"/>
      <c r="U87" s="62"/>
      <c r="V87" s="62"/>
      <c r="W87" s="62"/>
    </row>
    <row r="88" spans="1:23">
      <c r="A88" s="63"/>
      <c r="B88" s="142"/>
      <c r="C88" s="142"/>
      <c r="D88" s="67"/>
      <c r="E88" s="67"/>
      <c r="F88" s="67"/>
      <c r="G88" s="67"/>
      <c r="H88" s="67"/>
      <c r="I88" s="67"/>
      <c r="J88" s="67"/>
      <c r="K88" s="67"/>
      <c r="L88" s="68"/>
      <c r="M88" s="68"/>
      <c r="N88" s="68"/>
      <c r="O88" s="68"/>
      <c r="P88" s="67"/>
      <c r="Q88" s="67"/>
      <c r="R88" s="67"/>
      <c r="S88" s="62"/>
      <c r="T88" s="62"/>
      <c r="U88" s="62"/>
      <c r="V88" s="62"/>
      <c r="W88" s="62"/>
    </row>
    <row r="89" spans="1:23">
      <c r="A89" s="63"/>
      <c r="B89" s="142"/>
      <c r="C89" s="142"/>
      <c r="D89" s="67"/>
      <c r="E89" s="67"/>
      <c r="F89" s="67"/>
      <c r="G89" s="67"/>
      <c r="H89" s="67"/>
      <c r="I89" s="67"/>
      <c r="J89" s="67"/>
      <c r="K89" s="67"/>
      <c r="L89" s="68"/>
      <c r="M89" s="68"/>
      <c r="N89" s="68"/>
      <c r="O89" s="68"/>
      <c r="P89" s="67"/>
      <c r="Q89" s="67"/>
      <c r="R89" s="67"/>
      <c r="S89" s="62"/>
      <c r="T89" s="62"/>
      <c r="U89" s="62"/>
      <c r="V89" s="62"/>
      <c r="W89" s="62"/>
    </row>
    <row r="90" spans="1:23">
      <c r="A90" s="63"/>
      <c r="B90" s="142"/>
      <c r="C90" s="142"/>
      <c r="D90" s="67"/>
      <c r="E90" s="67"/>
      <c r="F90" s="67"/>
      <c r="G90" s="67"/>
      <c r="H90" s="67"/>
      <c r="I90" s="67"/>
      <c r="J90" s="67"/>
      <c r="K90" s="67"/>
      <c r="L90" s="68"/>
      <c r="M90" s="68"/>
      <c r="N90" s="68"/>
      <c r="O90" s="68"/>
      <c r="P90" s="67"/>
      <c r="Q90" s="67"/>
      <c r="R90" s="67"/>
      <c r="S90" s="62"/>
      <c r="T90" s="62"/>
      <c r="U90" s="62"/>
      <c r="V90" s="62"/>
      <c r="W90" s="62"/>
    </row>
    <row r="91" spans="1:23">
      <c r="A91" s="63"/>
      <c r="B91" s="142"/>
      <c r="C91" s="142"/>
      <c r="D91" s="67"/>
      <c r="E91" s="67"/>
      <c r="F91" s="67"/>
      <c r="G91" s="67"/>
      <c r="H91" s="67"/>
      <c r="I91" s="67"/>
      <c r="J91" s="67"/>
      <c r="K91" s="67"/>
      <c r="L91" s="68"/>
      <c r="M91" s="68"/>
      <c r="N91" s="68"/>
      <c r="O91" s="68"/>
      <c r="P91" s="67"/>
      <c r="Q91" s="67"/>
      <c r="R91" s="67"/>
      <c r="S91" s="62"/>
      <c r="T91" s="62"/>
      <c r="U91" s="62"/>
      <c r="V91" s="62"/>
      <c r="W91" s="62"/>
    </row>
    <row r="92" spans="1:23">
      <c r="A92" s="63"/>
      <c r="B92" s="142"/>
      <c r="C92" s="142"/>
      <c r="D92" s="67"/>
      <c r="E92" s="67"/>
      <c r="F92" s="67"/>
      <c r="G92" s="67"/>
      <c r="H92" s="67"/>
      <c r="I92" s="67"/>
      <c r="J92" s="67"/>
      <c r="K92" s="67"/>
      <c r="L92" s="68"/>
      <c r="M92" s="68"/>
      <c r="N92" s="68"/>
      <c r="O92" s="68"/>
      <c r="P92" s="67"/>
      <c r="Q92" s="67"/>
      <c r="R92" s="67"/>
      <c r="S92" s="62"/>
      <c r="T92" s="62"/>
      <c r="U92" s="62"/>
      <c r="V92" s="62"/>
      <c r="W92" s="62"/>
    </row>
    <row r="93" spans="1:23">
      <c r="A93" s="63"/>
      <c r="B93" s="142"/>
      <c r="C93" s="142"/>
      <c r="D93" s="67"/>
      <c r="E93" s="67"/>
      <c r="F93" s="67"/>
      <c r="G93" s="67"/>
      <c r="H93" s="67"/>
      <c r="I93" s="67"/>
      <c r="J93" s="67"/>
      <c r="K93" s="67"/>
      <c r="L93" s="68"/>
      <c r="M93" s="68"/>
      <c r="N93" s="68"/>
      <c r="O93" s="68"/>
      <c r="P93" s="67"/>
      <c r="Q93" s="67"/>
      <c r="R93" s="67"/>
      <c r="S93" s="62"/>
      <c r="T93" s="62"/>
      <c r="U93" s="62"/>
      <c r="V93" s="62"/>
      <c r="W93" s="62"/>
    </row>
    <row r="94" spans="1:23">
      <c r="A94" s="63"/>
      <c r="B94" s="142"/>
      <c r="C94" s="142"/>
      <c r="D94" s="67"/>
      <c r="E94" s="67"/>
      <c r="F94" s="67"/>
      <c r="G94" s="67"/>
      <c r="H94" s="67"/>
      <c r="I94" s="67"/>
      <c r="J94" s="67"/>
      <c r="K94" s="67"/>
      <c r="L94" s="68"/>
      <c r="M94" s="68"/>
      <c r="N94" s="68"/>
      <c r="O94" s="68"/>
      <c r="P94" s="67"/>
      <c r="Q94" s="67"/>
      <c r="R94" s="67"/>
      <c r="S94" s="62"/>
      <c r="T94" s="62"/>
      <c r="U94" s="62"/>
      <c r="V94" s="62"/>
      <c r="W94" s="62"/>
    </row>
    <row r="95" spans="1:23">
      <c r="A95" s="63"/>
      <c r="B95" s="142"/>
      <c r="C95" s="142"/>
      <c r="D95" s="67"/>
      <c r="E95" s="67"/>
      <c r="F95" s="67"/>
      <c r="G95" s="67"/>
      <c r="H95" s="67"/>
      <c r="I95" s="67"/>
      <c r="J95" s="67"/>
      <c r="K95" s="67"/>
      <c r="L95" s="68"/>
      <c r="M95" s="68"/>
      <c r="N95" s="68"/>
      <c r="O95" s="68"/>
      <c r="P95" s="67"/>
      <c r="Q95" s="67"/>
      <c r="R95" s="67"/>
      <c r="S95" s="62"/>
      <c r="T95" s="62"/>
      <c r="U95" s="62"/>
      <c r="V95" s="62"/>
      <c r="W95" s="62"/>
    </row>
    <row r="96" spans="1:23">
      <c r="A96" s="63"/>
      <c r="B96" s="142"/>
      <c r="C96" s="142"/>
      <c r="D96" s="67"/>
      <c r="E96" s="67"/>
      <c r="F96" s="67"/>
      <c r="G96" s="67"/>
      <c r="H96" s="67"/>
      <c r="I96" s="67"/>
      <c r="J96" s="67"/>
      <c r="K96" s="67"/>
      <c r="L96" s="68"/>
      <c r="M96" s="68"/>
      <c r="N96" s="68"/>
      <c r="O96" s="68"/>
      <c r="P96" s="67"/>
      <c r="Q96" s="67"/>
      <c r="R96" s="67"/>
      <c r="S96" s="62"/>
      <c r="T96" s="62"/>
      <c r="U96" s="62"/>
      <c r="V96" s="62"/>
      <c r="W96" s="62"/>
    </row>
    <row r="97" spans="1:23">
      <c r="A97" s="63"/>
      <c r="B97" s="142"/>
      <c r="C97" s="142"/>
      <c r="D97" s="67"/>
      <c r="E97" s="67"/>
      <c r="F97" s="67"/>
      <c r="G97" s="67"/>
      <c r="H97" s="67"/>
      <c r="I97" s="67"/>
      <c r="J97" s="67"/>
      <c r="K97" s="67"/>
      <c r="L97" s="68"/>
      <c r="M97" s="68"/>
      <c r="N97" s="68"/>
      <c r="O97" s="68"/>
      <c r="P97" s="67"/>
      <c r="Q97" s="67"/>
      <c r="R97" s="67"/>
      <c r="S97" s="62"/>
      <c r="T97" s="62"/>
      <c r="U97" s="62"/>
      <c r="V97" s="62"/>
      <c r="W97" s="62"/>
    </row>
    <row r="98" spans="1:23">
      <c r="A98" s="63"/>
      <c r="B98" s="142"/>
      <c r="C98" s="142"/>
      <c r="D98" s="67"/>
      <c r="E98" s="67"/>
      <c r="F98" s="67"/>
      <c r="G98" s="67"/>
      <c r="H98" s="67"/>
      <c r="I98" s="67"/>
      <c r="J98" s="67"/>
      <c r="K98" s="67"/>
      <c r="L98" s="68"/>
      <c r="M98" s="68"/>
      <c r="N98" s="68"/>
      <c r="O98" s="68"/>
      <c r="P98" s="67"/>
      <c r="Q98" s="67"/>
      <c r="R98" s="67"/>
      <c r="S98" s="62"/>
      <c r="T98" s="62"/>
      <c r="U98" s="62"/>
      <c r="V98" s="62"/>
      <c r="W98" s="62"/>
    </row>
    <row r="99" spans="1:23">
      <c r="A99" s="63"/>
      <c r="B99" s="142"/>
      <c r="C99" s="142"/>
      <c r="D99" s="67"/>
      <c r="E99" s="67"/>
      <c r="F99" s="67"/>
      <c r="G99" s="67"/>
      <c r="H99" s="67"/>
      <c r="I99" s="67"/>
      <c r="J99" s="67"/>
      <c r="K99" s="67"/>
      <c r="L99" s="68"/>
      <c r="M99" s="68"/>
      <c r="N99" s="68"/>
      <c r="O99" s="68"/>
      <c r="P99" s="67"/>
      <c r="Q99" s="67"/>
      <c r="R99" s="67"/>
      <c r="S99" s="62"/>
      <c r="T99" s="62"/>
      <c r="U99" s="62"/>
      <c r="V99" s="62"/>
      <c r="W99" s="62"/>
    </row>
    <row r="100" spans="1:23">
      <c r="A100" s="63"/>
      <c r="B100" s="142"/>
      <c r="C100" s="142"/>
      <c r="D100" s="67"/>
      <c r="E100" s="67"/>
      <c r="F100" s="67"/>
      <c r="G100" s="67"/>
      <c r="H100" s="67"/>
      <c r="I100" s="67"/>
      <c r="J100" s="67"/>
      <c r="K100" s="67"/>
      <c r="L100" s="68"/>
      <c r="M100" s="68"/>
      <c r="N100" s="68"/>
      <c r="O100" s="68"/>
      <c r="P100" s="67"/>
      <c r="Q100" s="67"/>
      <c r="R100" s="67"/>
      <c r="S100" s="62"/>
      <c r="T100" s="62"/>
      <c r="U100" s="62"/>
      <c r="V100" s="62"/>
      <c r="W100" s="62"/>
    </row>
    <row r="101" spans="1:23">
      <c r="A101" s="63"/>
      <c r="B101" s="142"/>
      <c r="C101" s="142"/>
      <c r="D101" s="67"/>
      <c r="E101" s="67"/>
      <c r="F101" s="67"/>
      <c r="G101" s="67"/>
      <c r="H101" s="67"/>
      <c r="I101" s="67"/>
      <c r="J101" s="67"/>
      <c r="K101" s="67"/>
      <c r="L101" s="68"/>
      <c r="M101" s="68"/>
      <c r="N101" s="68"/>
      <c r="O101" s="68"/>
      <c r="P101" s="67"/>
      <c r="Q101" s="67"/>
      <c r="R101" s="67"/>
      <c r="S101" s="62"/>
      <c r="T101" s="62"/>
      <c r="U101" s="62"/>
      <c r="V101" s="62"/>
      <c r="W101" s="62"/>
    </row>
    <row r="102" spans="1:23">
      <c r="A102" s="63"/>
      <c r="B102" s="142"/>
      <c r="C102" s="142"/>
      <c r="D102" s="67"/>
      <c r="E102" s="67"/>
      <c r="F102" s="67"/>
      <c r="G102" s="67"/>
      <c r="H102" s="67"/>
      <c r="I102" s="67"/>
      <c r="J102" s="67"/>
      <c r="K102" s="67"/>
      <c r="L102" s="68"/>
      <c r="M102" s="68"/>
      <c r="N102" s="68"/>
      <c r="O102" s="68"/>
      <c r="P102" s="67"/>
      <c r="Q102" s="67"/>
      <c r="R102" s="67"/>
      <c r="S102" s="62"/>
      <c r="T102" s="62"/>
      <c r="U102" s="62"/>
      <c r="V102" s="62"/>
      <c r="W102" s="62"/>
    </row>
    <row r="103" spans="1:23">
      <c r="A103" s="63"/>
      <c r="B103" s="142"/>
      <c r="C103" s="142"/>
      <c r="D103" s="67"/>
      <c r="E103" s="67"/>
      <c r="F103" s="67"/>
      <c r="G103" s="67"/>
      <c r="H103" s="67"/>
      <c r="I103" s="67"/>
      <c r="J103" s="67"/>
      <c r="K103" s="67"/>
      <c r="L103" s="68"/>
      <c r="M103" s="68"/>
      <c r="N103" s="68"/>
      <c r="O103" s="68"/>
      <c r="P103" s="67"/>
      <c r="Q103" s="67"/>
      <c r="R103" s="67"/>
      <c r="S103" s="62"/>
      <c r="T103" s="62"/>
      <c r="U103" s="62"/>
      <c r="V103" s="62"/>
      <c r="W103" s="62"/>
    </row>
    <row r="104" spans="1:23">
      <c r="A104" s="63"/>
      <c r="B104" s="142"/>
      <c r="C104" s="142"/>
      <c r="D104" s="67"/>
      <c r="E104" s="67"/>
      <c r="F104" s="67"/>
      <c r="G104" s="67"/>
      <c r="H104" s="67"/>
      <c r="I104" s="67"/>
      <c r="J104" s="67"/>
      <c r="K104" s="67"/>
      <c r="L104" s="68"/>
      <c r="M104" s="68"/>
      <c r="N104" s="68"/>
      <c r="O104" s="68"/>
      <c r="P104" s="67"/>
      <c r="Q104" s="67"/>
      <c r="R104" s="67"/>
      <c r="S104" s="62"/>
      <c r="T104" s="62"/>
      <c r="U104" s="62"/>
      <c r="V104" s="62"/>
      <c r="W104" s="62"/>
    </row>
    <row r="105" spans="1:23">
      <c r="A105" s="63"/>
      <c r="B105" s="142"/>
      <c r="C105" s="142"/>
      <c r="D105" s="67"/>
      <c r="E105" s="67"/>
      <c r="F105" s="67"/>
      <c r="G105" s="67"/>
      <c r="H105" s="67"/>
      <c r="I105" s="67"/>
      <c r="J105" s="67"/>
      <c r="K105" s="67"/>
      <c r="L105" s="68"/>
      <c r="M105" s="68"/>
      <c r="N105" s="68"/>
      <c r="O105" s="68"/>
      <c r="P105" s="67"/>
      <c r="Q105" s="67"/>
      <c r="R105" s="67"/>
      <c r="S105" s="62"/>
      <c r="T105" s="62"/>
      <c r="U105" s="62"/>
      <c r="V105" s="62"/>
      <c r="W105" s="62"/>
    </row>
    <row r="106" spans="1:23">
      <c r="A106" s="63"/>
      <c r="B106" s="142"/>
      <c r="C106" s="142"/>
      <c r="D106" s="67"/>
      <c r="E106" s="67"/>
      <c r="F106" s="67"/>
      <c r="G106" s="67"/>
      <c r="H106" s="67"/>
      <c r="I106" s="67"/>
      <c r="J106" s="67"/>
      <c r="K106" s="67"/>
      <c r="L106" s="68"/>
      <c r="M106" s="68"/>
      <c r="N106" s="68"/>
      <c r="O106" s="68"/>
      <c r="P106" s="67"/>
      <c r="Q106" s="67"/>
      <c r="R106" s="67"/>
      <c r="S106" s="62"/>
      <c r="T106" s="62"/>
      <c r="U106" s="62"/>
      <c r="V106" s="62"/>
      <c r="W106" s="62"/>
    </row>
    <row r="107" spans="1:23">
      <c r="A107" s="63"/>
      <c r="B107" s="142"/>
      <c r="C107" s="142"/>
      <c r="D107" s="67"/>
      <c r="E107" s="67"/>
      <c r="F107" s="67"/>
      <c r="G107" s="67"/>
      <c r="H107" s="67"/>
      <c r="I107" s="67"/>
      <c r="J107" s="67"/>
      <c r="K107" s="67"/>
      <c r="L107" s="68"/>
      <c r="M107" s="68"/>
      <c r="N107" s="68"/>
      <c r="O107" s="68"/>
      <c r="P107" s="67"/>
      <c r="Q107" s="67"/>
      <c r="R107" s="67"/>
      <c r="S107" s="62"/>
      <c r="T107" s="62"/>
      <c r="U107" s="62"/>
      <c r="V107" s="62"/>
      <c r="W107" s="62"/>
    </row>
    <row r="108" spans="1:23">
      <c r="A108" s="63"/>
      <c r="B108" s="142"/>
      <c r="C108" s="142"/>
      <c r="D108" s="67"/>
      <c r="E108" s="67"/>
      <c r="F108" s="67"/>
      <c r="G108" s="67"/>
      <c r="H108" s="67"/>
      <c r="I108" s="67"/>
      <c r="J108" s="67"/>
      <c r="K108" s="67"/>
      <c r="L108" s="68"/>
      <c r="M108" s="68"/>
      <c r="N108" s="68"/>
      <c r="O108" s="68"/>
      <c r="P108" s="67"/>
      <c r="Q108" s="67"/>
      <c r="R108" s="67"/>
      <c r="S108" s="62"/>
      <c r="T108" s="62"/>
      <c r="U108" s="62"/>
      <c r="V108" s="62"/>
      <c r="W108" s="62"/>
    </row>
    <row r="109" spans="1:23">
      <c r="A109" s="63"/>
      <c r="B109" s="142"/>
      <c r="C109" s="142"/>
      <c r="D109" s="67"/>
      <c r="E109" s="67"/>
      <c r="F109" s="67"/>
      <c r="G109" s="67"/>
      <c r="H109" s="67"/>
      <c r="I109" s="67"/>
      <c r="J109" s="67"/>
      <c r="K109" s="67"/>
      <c r="L109" s="68"/>
      <c r="M109" s="68"/>
      <c r="N109" s="68"/>
      <c r="O109" s="68"/>
      <c r="P109" s="67"/>
      <c r="Q109" s="67"/>
      <c r="R109" s="67"/>
      <c r="S109" s="62"/>
      <c r="T109" s="62"/>
      <c r="U109" s="62"/>
      <c r="V109" s="62"/>
      <c r="W109" s="62"/>
    </row>
    <row r="110" spans="1:23">
      <c r="A110" s="62"/>
      <c r="B110" s="142"/>
      <c r="C110" s="142"/>
      <c r="D110" s="67"/>
      <c r="E110" s="67"/>
      <c r="F110" s="67"/>
      <c r="G110" s="67"/>
      <c r="H110" s="67"/>
      <c r="I110" s="67"/>
      <c r="J110" s="67"/>
      <c r="K110" s="67"/>
      <c r="L110" s="68"/>
      <c r="M110" s="68"/>
      <c r="N110" s="68"/>
      <c r="O110" s="68"/>
      <c r="P110" s="67"/>
      <c r="Q110" s="67"/>
      <c r="R110" s="67"/>
      <c r="S110" s="62"/>
      <c r="T110" s="62"/>
      <c r="U110" s="62"/>
      <c r="V110" s="62"/>
      <c r="W110" s="62"/>
    </row>
    <row r="111" spans="1:23">
      <c r="A111" s="62"/>
      <c r="B111" s="62"/>
      <c r="C111" s="62"/>
      <c r="D111" s="62"/>
      <c r="E111" s="62"/>
      <c r="F111" s="62"/>
      <c r="G111" s="62"/>
      <c r="H111" s="62"/>
      <c r="I111" s="62"/>
      <c r="J111" s="62"/>
      <c r="K111" s="62"/>
      <c r="L111" s="62"/>
      <c r="M111" s="62"/>
      <c r="N111" s="62"/>
      <c r="O111" s="62"/>
      <c r="P111" s="62"/>
      <c r="Q111" s="62"/>
      <c r="R111" s="62"/>
      <c r="S111" s="62"/>
      <c r="T111" s="62"/>
      <c r="U111" s="62"/>
      <c r="V111" s="62"/>
      <c r="W111" s="62"/>
    </row>
    <row r="112" spans="1:23">
      <c r="A112" s="62"/>
      <c r="B112" s="62"/>
      <c r="C112" s="62"/>
      <c r="D112" s="62"/>
      <c r="E112" s="62"/>
      <c r="F112" s="62"/>
      <c r="G112" s="62"/>
      <c r="H112" s="62"/>
      <c r="I112" s="62"/>
      <c r="J112" s="62"/>
      <c r="K112" s="62"/>
      <c r="L112" s="62"/>
      <c r="M112" s="62"/>
      <c r="N112" s="62"/>
      <c r="O112" s="62"/>
      <c r="P112" s="62"/>
      <c r="Q112" s="62"/>
      <c r="R112" s="62"/>
      <c r="S112" s="62"/>
      <c r="T112" s="62"/>
      <c r="U112" s="62"/>
      <c r="V112" s="62"/>
      <c r="W112" s="62"/>
    </row>
    <row r="113" spans="1:23">
      <c r="A113" s="62"/>
      <c r="B113" s="62"/>
      <c r="C113" s="62"/>
      <c r="D113" s="62"/>
      <c r="E113" s="62"/>
      <c r="F113" s="62"/>
      <c r="G113" s="62"/>
      <c r="H113" s="62"/>
      <c r="I113" s="62"/>
      <c r="J113" s="62"/>
      <c r="K113" s="62"/>
      <c r="L113" s="62"/>
      <c r="M113" s="62"/>
      <c r="N113" s="62"/>
      <c r="O113" s="62"/>
      <c r="P113" s="62"/>
      <c r="Q113" s="62"/>
      <c r="R113" s="62"/>
      <c r="S113" s="62"/>
      <c r="T113" s="62"/>
      <c r="U113" s="62"/>
      <c r="V113" s="62"/>
      <c r="W113" s="62"/>
    </row>
    <row r="114" spans="1:23">
      <c r="A114" s="62"/>
      <c r="B114" s="62"/>
      <c r="C114" s="62"/>
      <c r="D114" s="62"/>
      <c r="E114" s="62"/>
      <c r="F114" s="62"/>
      <c r="G114" s="62"/>
      <c r="H114" s="62"/>
      <c r="I114" s="62"/>
      <c r="J114" s="62"/>
      <c r="K114" s="62"/>
      <c r="L114" s="62"/>
      <c r="M114" s="62"/>
      <c r="N114" s="62"/>
      <c r="O114" s="62"/>
      <c r="P114" s="62"/>
      <c r="Q114" s="62"/>
      <c r="R114" s="62"/>
      <c r="S114" s="62"/>
      <c r="T114" s="62"/>
      <c r="U114" s="62"/>
      <c r="V114" s="62"/>
      <c r="W114" s="62"/>
    </row>
    <row r="115" spans="1:23">
      <c r="A115" s="62"/>
      <c r="B115" s="62"/>
      <c r="C115" s="62"/>
      <c r="D115" s="62"/>
      <c r="E115" s="62"/>
      <c r="F115" s="62"/>
      <c r="G115" s="62"/>
      <c r="H115" s="62"/>
      <c r="I115" s="62"/>
      <c r="J115" s="62"/>
      <c r="K115" s="62"/>
      <c r="L115" s="62"/>
      <c r="M115" s="62"/>
      <c r="N115" s="62"/>
      <c r="O115" s="62"/>
      <c r="P115" s="62"/>
      <c r="Q115" s="62"/>
      <c r="R115" s="62"/>
      <c r="S115" s="62"/>
      <c r="T115" s="62"/>
      <c r="U115" s="62"/>
      <c r="V115" s="62"/>
      <c r="W115" s="62"/>
    </row>
    <row r="137" spans="12:12">
      <c r="L137" s="16">
        <f>SUM(L15:L136)</f>
        <v>123372.5</v>
      </c>
    </row>
  </sheetData>
  <mergeCells count="1">
    <mergeCell ref="A12:A13"/>
  </mergeCells>
  <pageMargins left="0.7" right="0.7" top="0.75" bottom="0.75" header="0.3" footer="0.3"/>
  <pageSetup paperSize="9" orientation="landscape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>
  <dimension ref="A5:W137"/>
  <sheetViews>
    <sheetView workbookViewId="0">
      <selection activeCell="B12" sqref="B12"/>
    </sheetView>
  </sheetViews>
  <sheetFormatPr defaultRowHeight="14.4"/>
  <cols>
    <col min="1" max="1" width="7.88671875" style="1" customWidth="1"/>
    <col min="2" max="2" width="22" style="1" customWidth="1"/>
    <col min="3" max="3" width="7.77734375" style="1" customWidth="1"/>
    <col min="4" max="4" width="4.77734375" style="1" customWidth="1"/>
    <col min="5" max="5" width="9.88671875" style="1" customWidth="1"/>
    <col min="6" max="6" width="7.6640625" style="1" customWidth="1"/>
    <col min="7" max="7" width="6.6640625" style="1" customWidth="1"/>
    <col min="8" max="8" width="7.44140625" style="1" customWidth="1"/>
    <col min="9" max="9" width="5.88671875" style="1" customWidth="1"/>
    <col min="10" max="10" width="6" style="1" customWidth="1"/>
    <col min="11" max="11" width="8.44140625" style="1" customWidth="1"/>
    <col min="12" max="12" width="8.21875" style="1" customWidth="1"/>
    <col min="13" max="13" width="7.33203125" style="1" customWidth="1"/>
    <col min="14" max="18" width="8.88671875" style="1"/>
    <col min="19" max="19" width="16.21875" style="1" customWidth="1"/>
    <col min="20" max="16384" width="8.88671875" style="1"/>
  </cols>
  <sheetData>
    <row r="5" spans="1:23" ht="20.399999999999999">
      <c r="A5" s="58" t="s">
        <v>3</v>
      </c>
      <c r="B5" s="58" t="s">
        <v>4</v>
      </c>
      <c r="C5" s="58" t="s">
        <v>5</v>
      </c>
      <c r="D5" s="58" t="s">
        <v>6</v>
      </c>
      <c r="E5" s="58" t="s">
        <v>37</v>
      </c>
      <c r="F5" s="58" t="s">
        <v>7</v>
      </c>
      <c r="G5" s="58" t="s">
        <v>8</v>
      </c>
      <c r="H5" s="58" t="s">
        <v>9</v>
      </c>
      <c r="I5" s="58" t="s">
        <v>10</v>
      </c>
      <c r="J5" s="59" t="s">
        <v>18</v>
      </c>
      <c r="K5" s="59" t="s">
        <v>17</v>
      </c>
      <c r="L5" s="58" t="s">
        <v>11</v>
      </c>
      <c r="M5" s="58" t="s">
        <v>36</v>
      </c>
      <c r="N5" s="58" t="s">
        <v>12</v>
      </c>
      <c r="O5" s="58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125</v>
      </c>
    </row>
    <row r="6" spans="1:23">
      <c r="A6" s="63"/>
      <c r="B6" s="186"/>
      <c r="C6" s="186"/>
      <c r="D6" s="186"/>
      <c r="E6" s="186"/>
      <c r="F6" s="186"/>
      <c r="G6" s="186"/>
      <c r="H6" s="186"/>
      <c r="I6" s="186"/>
      <c r="J6" s="186"/>
      <c r="K6" s="186"/>
      <c r="L6" s="61"/>
      <c r="M6" s="61"/>
      <c r="N6" s="186"/>
      <c r="O6" s="62"/>
      <c r="P6" s="62"/>
      <c r="Q6" s="62"/>
      <c r="R6" s="62"/>
      <c r="S6" s="62"/>
      <c r="U6" s="17"/>
    </row>
    <row r="7" spans="1:23">
      <c r="A7" s="53" t="s">
        <v>1625</v>
      </c>
      <c r="B7" s="42" t="s">
        <v>1629</v>
      </c>
      <c r="C7" s="42" t="s">
        <v>88</v>
      </c>
      <c r="D7" s="42" t="s">
        <v>16</v>
      </c>
      <c r="E7" s="42" t="s">
        <v>1630</v>
      </c>
      <c r="F7" s="42">
        <v>1</v>
      </c>
      <c r="G7" s="42"/>
      <c r="H7" s="42">
        <v>15970</v>
      </c>
      <c r="I7" s="42">
        <v>260</v>
      </c>
      <c r="J7" s="42">
        <v>0.5</v>
      </c>
      <c r="K7" s="42">
        <f t="shared" ref="K7:K9" si="0">I7*J7</f>
        <v>130</v>
      </c>
      <c r="L7" s="43">
        <f t="shared" ref="L7:L9" si="1">H7-K7</f>
        <v>15840</v>
      </c>
      <c r="M7" s="43"/>
      <c r="N7" s="43">
        <f t="shared" ref="N7:N9" si="2">L7-M7</f>
        <v>15840</v>
      </c>
      <c r="O7" s="43">
        <f t="shared" ref="O7:O9" si="3">H7/1000*70</f>
        <v>1117.9000000000001</v>
      </c>
      <c r="P7" s="42">
        <v>35000</v>
      </c>
      <c r="Q7" s="42">
        <v>19.8</v>
      </c>
      <c r="R7" s="42">
        <f t="shared" ref="R7:R9" si="4">L7*Q7</f>
        <v>313632</v>
      </c>
      <c r="S7" s="42"/>
      <c r="T7" s="62"/>
      <c r="U7" s="62"/>
      <c r="V7" s="62"/>
      <c r="W7" s="62"/>
    </row>
    <row r="8" spans="1:23">
      <c r="A8" s="53" t="s">
        <v>1654</v>
      </c>
      <c r="B8" s="42" t="s">
        <v>1629</v>
      </c>
      <c r="C8" s="42" t="s">
        <v>88</v>
      </c>
      <c r="D8" s="42" t="s">
        <v>16</v>
      </c>
      <c r="E8" s="42" t="s">
        <v>1659</v>
      </c>
      <c r="F8" s="42">
        <v>0</v>
      </c>
      <c r="G8" s="42"/>
      <c r="H8" s="42">
        <v>21070</v>
      </c>
      <c r="I8" s="42">
        <v>350</v>
      </c>
      <c r="J8" s="42">
        <v>0.5</v>
      </c>
      <c r="K8" s="42">
        <f t="shared" si="0"/>
        <v>175</v>
      </c>
      <c r="L8" s="43">
        <f t="shared" si="1"/>
        <v>20895</v>
      </c>
      <c r="M8" s="43">
        <f>L8*2.5%</f>
        <v>522.375</v>
      </c>
      <c r="N8" s="43">
        <f t="shared" si="2"/>
        <v>20372.625</v>
      </c>
      <c r="O8" s="43">
        <f t="shared" si="3"/>
        <v>1474.9</v>
      </c>
      <c r="P8" s="193">
        <v>33700</v>
      </c>
      <c r="Q8" s="193">
        <v>19.8</v>
      </c>
      <c r="R8" s="42">
        <f t="shared" si="4"/>
        <v>413721</v>
      </c>
      <c r="S8" s="42" t="s">
        <v>1663</v>
      </c>
      <c r="T8" s="62"/>
      <c r="U8" s="62"/>
      <c r="V8" s="62"/>
      <c r="W8" s="62"/>
    </row>
    <row r="9" spans="1:23">
      <c r="A9" s="53" t="s">
        <v>1664</v>
      </c>
      <c r="B9" s="42" t="s">
        <v>1667</v>
      </c>
      <c r="C9" s="42" t="s">
        <v>88</v>
      </c>
      <c r="D9" s="42" t="s">
        <v>16</v>
      </c>
      <c r="E9" s="42" t="s">
        <v>1668</v>
      </c>
      <c r="F9" s="42">
        <v>5</v>
      </c>
      <c r="G9" s="42"/>
      <c r="H9" s="42">
        <v>16210</v>
      </c>
      <c r="I9" s="42">
        <v>290</v>
      </c>
      <c r="J9" s="42">
        <v>0.5</v>
      </c>
      <c r="K9" s="42">
        <f t="shared" si="0"/>
        <v>145</v>
      </c>
      <c r="L9" s="43">
        <f t="shared" si="1"/>
        <v>16065</v>
      </c>
      <c r="M9" s="43"/>
      <c r="N9" s="43">
        <f t="shared" si="2"/>
        <v>16065</v>
      </c>
      <c r="O9" s="43">
        <f t="shared" si="3"/>
        <v>1134.7</v>
      </c>
      <c r="P9" s="194">
        <v>0</v>
      </c>
      <c r="Q9" s="194">
        <v>19.8</v>
      </c>
      <c r="R9" s="42">
        <f t="shared" si="4"/>
        <v>318087</v>
      </c>
      <c r="S9" s="62"/>
      <c r="T9" s="62"/>
      <c r="U9" s="62"/>
      <c r="V9" s="62"/>
      <c r="W9" s="62"/>
    </row>
    <row r="10" spans="1:23">
      <c r="A10" s="150"/>
      <c r="B10" s="42"/>
      <c r="C10" s="42"/>
      <c r="D10" s="42"/>
      <c r="E10" s="42"/>
      <c r="F10" s="42"/>
      <c r="G10" s="42"/>
      <c r="H10" s="42"/>
      <c r="I10" s="42"/>
      <c r="J10" s="42"/>
      <c r="K10" s="42"/>
      <c r="L10" s="43"/>
      <c r="M10" s="43"/>
      <c r="N10" s="43"/>
      <c r="O10" s="43"/>
      <c r="P10" s="42"/>
      <c r="Q10" s="42"/>
      <c r="R10" s="42"/>
      <c r="S10" s="62"/>
      <c r="T10" s="62"/>
      <c r="U10" s="62"/>
      <c r="V10" s="62"/>
      <c r="W10" s="62"/>
    </row>
    <row r="11" spans="1:23">
      <c r="A11" s="181"/>
      <c r="B11" s="42"/>
      <c r="C11" s="42"/>
      <c r="D11" s="42"/>
      <c r="E11" s="42"/>
      <c r="F11" s="42"/>
      <c r="G11" s="42"/>
      <c r="H11" s="42"/>
      <c r="I11" s="42"/>
      <c r="J11" s="42"/>
      <c r="K11" s="42"/>
      <c r="L11" s="43"/>
      <c r="M11" s="43"/>
      <c r="N11" s="43"/>
      <c r="O11" s="43"/>
      <c r="P11" s="42"/>
      <c r="Q11" s="42"/>
      <c r="R11" s="42"/>
      <c r="S11" s="62"/>
      <c r="T11" s="62"/>
      <c r="U11" s="62"/>
      <c r="V11" s="62"/>
      <c r="W11" s="62"/>
    </row>
    <row r="12" spans="1:23">
      <c r="A12" s="181"/>
      <c r="B12" s="42"/>
      <c r="C12" s="42"/>
      <c r="D12" s="42"/>
      <c r="E12" s="42"/>
      <c r="F12" s="42"/>
      <c r="G12" s="42"/>
      <c r="H12" s="42"/>
      <c r="I12" s="42"/>
      <c r="J12" s="42"/>
      <c r="K12" s="42"/>
      <c r="L12" s="43"/>
      <c r="M12" s="43"/>
      <c r="N12" s="43"/>
      <c r="O12" s="43"/>
      <c r="P12" s="42"/>
      <c r="Q12" s="42"/>
      <c r="R12" s="42"/>
      <c r="S12" s="62"/>
      <c r="T12" s="62"/>
      <c r="U12" s="62"/>
      <c r="V12" s="62"/>
      <c r="W12" s="62"/>
    </row>
    <row r="13" spans="1:23">
      <c r="A13" s="62"/>
      <c r="B13" s="67"/>
      <c r="C13" s="67"/>
      <c r="D13" s="67"/>
      <c r="E13" s="67"/>
      <c r="F13" s="67"/>
      <c r="G13" s="67"/>
      <c r="H13" s="67"/>
      <c r="I13" s="67"/>
      <c r="J13" s="67"/>
      <c r="K13" s="67"/>
      <c r="L13" s="68"/>
      <c r="M13" s="68"/>
      <c r="N13" s="68"/>
      <c r="O13" s="68"/>
      <c r="P13" s="67"/>
      <c r="Q13" s="67"/>
      <c r="R13" s="62"/>
      <c r="S13" s="62"/>
      <c r="T13" s="62"/>
      <c r="U13" s="62"/>
      <c r="V13" s="62"/>
      <c r="W13" s="62"/>
    </row>
    <row r="14" spans="1:23">
      <c r="A14" s="62"/>
      <c r="B14" s="67"/>
      <c r="C14" s="67"/>
      <c r="D14" s="67"/>
      <c r="E14" s="67"/>
      <c r="F14" s="67"/>
      <c r="G14" s="67"/>
      <c r="H14" s="67"/>
      <c r="I14" s="67"/>
      <c r="J14" s="67"/>
      <c r="K14" s="67"/>
      <c r="L14" s="68"/>
      <c r="M14" s="68"/>
      <c r="N14" s="68"/>
      <c r="O14" s="68"/>
      <c r="P14" s="67"/>
      <c r="Q14" s="67"/>
      <c r="R14" s="62"/>
      <c r="S14" s="62"/>
      <c r="T14" s="62"/>
      <c r="U14" s="62"/>
      <c r="V14" s="62"/>
      <c r="W14" s="62"/>
    </row>
    <row r="15" spans="1:23">
      <c r="A15" s="21"/>
      <c r="B15" s="67"/>
      <c r="C15" s="67"/>
      <c r="D15" s="67"/>
      <c r="E15" s="142"/>
      <c r="F15" s="67"/>
      <c r="G15" s="67"/>
      <c r="H15" s="67"/>
      <c r="I15" s="67"/>
      <c r="J15" s="67"/>
      <c r="K15" s="67"/>
      <c r="L15" s="68"/>
      <c r="M15" s="68"/>
      <c r="N15" s="68"/>
      <c r="O15" s="68"/>
      <c r="P15" s="67"/>
      <c r="Q15" s="62"/>
      <c r="R15" s="62"/>
      <c r="S15" s="62"/>
      <c r="T15" s="62"/>
      <c r="U15" s="62"/>
      <c r="V15" s="62"/>
      <c r="W15" s="62"/>
    </row>
    <row r="16" spans="1:23">
      <c r="A16" s="21"/>
      <c r="B16" s="186"/>
      <c r="C16" s="186"/>
      <c r="D16" s="186"/>
      <c r="E16" s="186"/>
      <c r="F16" s="186"/>
      <c r="G16" s="186"/>
      <c r="H16" s="186"/>
      <c r="I16" s="186"/>
      <c r="J16" s="67"/>
      <c r="K16" s="61"/>
      <c r="L16" s="65"/>
      <c r="M16" s="61"/>
      <c r="N16" s="185"/>
      <c r="O16" s="62"/>
      <c r="P16" s="62"/>
      <c r="Q16" s="62"/>
      <c r="R16" s="62"/>
      <c r="S16" s="62"/>
      <c r="T16" s="62"/>
      <c r="U16" s="62"/>
      <c r="V16" s="62"/>
      <c r="W16" s="62"/>
    </row>
    <row r="17" spans="1:23">
      <c r="A17" s="63"/>
      <c r="B17" s="67"/>
      <c r="C17" s="67"/>
      <c r="D17" s="67"/>
      <c r="E17" s="142"/>
      <c r="F17" s="67"/>
      <c r="G17" s="67"/>
      <c r="H17" s="67"/>
      <c r="I17" s="67"/>
      <c r="J17" s="67"/>
      <c r="K17" s="68"/>
      <c r="L17" s="68"/>
      <c r="M17" s="68"/>
      <c r="N17" s="68"/>
      <c r="O17" s="68"/>
      <c r="P17" s="67"/>
      <c r="Q17" s="62"/>
      <c r="R17" s="62"/>
      <c r="S17" s="62"/>
      <c r="T17" s="62"/>
      <c r="U17" s="62"/>
      <c r="V17" s="62"/>
      <c r="W17" s="62"/>
    </row>
    <row r="18" spans="1:23">
      <c r="A18" s="63"/>
      <c r="B18" s="67"/>
      <c r="C18" s="67"/>
      <c r="D18" s="67"/>
      <c r="E18" s="142"/>
      <c r="F18" s="67"/>
      <c r="G18" s="67"/>
      <c r="H18" s="67"/>
      <c r="I18" s="67"/>
      <c r="J18" s="67"/>
      <c r="K18" s="67"/>
      <c r="L18" s="68"/>
      <c r="M18" s="68"/>
      <c r="N18" s="68"/>
      <c r="O18" s="68"/>
      <c r="P18" s="67"/>
      <c r="Q18" s="62"/>
      <c r="R18" s="62"/>
      <c r="S18" s="62"/>
      <c r="T18" s="62"/>
      <c r="U18" s="62"/>
      <c r="V18" s="62"/>
      <c r="W18" s="62"/>
    </row>
    <row r="19" spans="1:23">
      <c r="A19" s="150"/>
      <c r="B19" s="67"/>
      <c r="C19" s="67"/>
      <c r="D19" s="67"/>
      <c r="E19" s="67"/>
      <c r="F19" s="67"/>
      <c r="G19" s="67"/>
      <c r="H19" s="67"/>
      <c r="I19" s="67"/>
      <c r="J19" s="67"/>
      <c r="K19" s="68"/>
      <c r="L19" s="68"/>
      <c r="M19" s="68"/>
      <c r="N19" s="68"/>
      <c r="O19" s="68"/>
      <c r="P19" s="67"/>
      <c r="Q19" s="67"/>
      <c r="R19" s="67"/>
      <c r="S19" s="62"/>
      <c r="T19" s="62"/>
      <c r="U19" s="62"/>
      <c r="V19" s="62"/>
      <c r="W19" s="62"/>
    </row>
    <row r="20" spans="1:23">
      <c r="A20" s="150"/>
      <c r="B20" s="67"/>
      <c r="C20" s="67"/>
      <c r="D20" s="67"/>
      <c r="E20" s="67"/>
      <c r="F20" s="67"/>
      <c r="G20" s="67"/>
      <c r="H20" s="67"/>
      <c r="I20" s="67"/>
      <c r="J20" s="67"/>
      <c r="K20" s="67"/>
      <c r="L20" s="68"/>
      <c r="M20" s="68"/>
      <c r="N20" s="68"/>
      <c r="O20" s="68"/>
      <c r="P20" s="67"/>
      <c r="Q20" s="67"/>
      <c r="R20" s="67"/>
      <c r="S20" s="62"/>
      <c r="T20" s="62"/>
      <c r="U20" s="62"/>
      <c r="V20" s="62"/>
      <c r="W20" s="62"/>
    </row>
    <row r="21" spans="1:23">
      <c r="A21" s="21"/>
      <c r="B21" s="67"/>
      <c r="C21" s="67"/>
      <c r="D21" s="67"/>
      <c r="E21" s="67"/>
      <c r="F21" s="67"/>
      <c r="G21" s="67"/>
      <c r="H21" s="67"/>
      <c r="I21" s="67"/>
      <c r="J21" s="67"/>
      <c r="K21" s="67"/>
      <c r="L21" s="68"/>
      <c r="M21" s="68"/>
      <c r="N21" s="68"/>
      <c r="O21" s="68"/>
      <c r="P21" s="67"/>
      <c r="Q21" s="67"/>
      <c r="R21" s="62"/>
      <c r="S21" s="62"/>
      <c r="T21" s="62"/>
      <c r="U21" s="62"/>
      <c r="V21" s="62"/>
      <c r="W21" s="62"/>
    </row>
    <row r="22" spans="1:23">
      <c r="A22" s="62"/>
      <c r="B22" s="67"/>
      <c r="C22" s="67"/>
      <c r="D22" s="67"/>
      <c r="E22" s="67"/>
      <c r="F22" s="67"/>
      <c r="G22" s="67"/>
      <c r="H22" s="67"/>
      <c r="I22" s="67"/>
      <c r="J22" s="67"/>
      <c r="K22" s="68"/>
      <c r="L22" s="68"/>
      <c r="M22" s="68"/>
      <c r="N22" s="68"/>
      <c r="O22" s="68"/>
      <c r="P22" s="67"/>
      <c r="Q22" s="67"/>
      <c r="R22" s="62"/>
      <c r="S22" s="62"/>
      <c r="T22" s="62"/>
      <c r="U22" s="62"/>
      <c r="V22" s="62"/>
      <c r="W22" s="62"/>
    </row>
    <row r="23" spans="1:23">
      <c r="A23" s="63"/>
      <c r="B23" s="67"/>
      <c r="C23" s="67"/>
      <c r="D23" s="67"/>
      <c r="E23" s="67"/>
      <c r="F23" s="67"/>
      <c r="G23" s="67"/>
      <c r="H23" s="67"/>
      <c r="I23" s="67"/>
      <c r="J23" s="67"/>
      <c r="K23" s="68"/>
      <c r="L23" s="68">
        <f>SUM(L7:L22)</f>
        <v>52800</v>
      </c>
      <c r="M23" s="68"/>
      <c r="N23" s="68"/>
      <c r="O23" s="68"/>
      <c r="P23" s="67"/>
      <c r="Q23" s="62"/>
      <c r="R23" s="62"/>
      <c r="S23" s="62"/>
      <c r="T23" s="62"/>
      <c r="U23" s="62"/>
      <c r="V23" s="62"/>
      <c r="W23" s="62"/>
    </row>
    <row r="24" spans="1:23">
      <c r="A24" s="63"/>
      <c r="B24" s="67"/>
      <c r="C24" s="67"/>
      <c r="D24" s="67"/>
      <c r="E24" s="67"/>
      <c r="F24" s="67"/>
      <c r="G24" s="67"/>
      <c r="H24" s="67"/>
      <c r="I24" s="67"/>
      <c r="J24" s="67"/>
      <c r="K24" s="67"/>
      <c r="L24" s="68"/>
      <c r="M24" s="68"/>
      <c r="N24" s="68"/>
      <c r="O24" s="68"/>
      <c r="P24" s="67"/>
      <c r="Q24" s="62"/>
      <c r="R24" s="62"/>
      <c r="S24" s="62"/>
      <c r="T24" s="62"/>
      <c r="U24" s="62"/>
      <c r="V24" s="62"/>
      <c r="W24" s="62"/>
    </row>
    <row r="25" spans="1:23">
      <c r="A25" s="63"/>
      <c r="B25" s="67"/>
      <c r="C25" s="67"/>
      <c r="D25" s="67"/>
      <c r="E25" s="67"/>
      <c r="F25" s="67"/>
      <c r="G25" s="67"/>
      <c r="H25" s="67"/>
      <c r="I25" s="67"/>
      <c r="J25" s="67"/>
      <c r="K25" s="68"/>
      <c r="L25" s="68"/>
      <c r="M25" s="68"/>
      <c r="N25" s="68"/>
      <c r="O25" s="68"/>
      <c r="P25" s="67"/>
      <c r="Q25" s="62"/>
      <c r="R25" s="62"/>
      <c r="S25" s="62"/>
      <c r="T25" s="62"/>
      <c r="U25" s="62"/>
      <c r="V25" s="62"/>
      <c r="W25" s="62"/>
    </row>
    <row r="26" spans="1:23">
      <c r="A26" s="63"/>
      <c r="B26" s="67"/>
      <c r="C26" s="67"/>
      <c r="D26" s="67"/>
      <c r="E26" s="67"/>
      <c r="F26" s="67"/>
      <c r="G26" s="67"/>
      <c r="H26" s="67"/>
      <c r="I26" s="67"/>
      <c r="J26" s="67"/>
      <c r="K26" s="68"/>
      <c r="L26" s="68"/>
      <c r="M26" s="68"/>
      <c r="N26" s="68"/>
      <c r="O26" s="68"/>
      <c r="P26" s="67"/>
      <c r="Q26" s="62"/>
      <c r="R26" s="62"/>
      <c r="S26" s="62"/>
      <c r="T26" s="62"/>
      <c r="U26" s="62"/>
      <c r="V26" s="62"/>
      <c r="W26" s="62"/>
    </row>
    <row r="27" spans="1:23">
      <c r="A27" s="63"/>
      <c r="B27" s="67"/>
      <c r="C27" s="67"/>
      <c r="D27" s="67"/>
      <c r="E27" s="67"/>
      <c r="F27" s="67"/>
      <c r="G27" s="67"/>
      <c r="H27" s="67"/>
      <c r="I27" s="67"/>
      <c r="J27" s="67"/>
      <c r="K27" s="67"/>
      <c r="L27" s="68"/>
      <c r="M27" s="68"/>
      <c r="N27" s="68"/>
      <c r="O27" s="68"/>
      <c r="P27" s="67"/>
      <c r="Q27" s="62"/>
      <c r="R27" s="62"/>
      <c r="S27" s="62"/>
      <c r="T27" s="62"/>
      <c r="U27" s="62"/>
      <c r="V27" s="62"/>
      <c r="W27" s="62"/>
    </row>
    <row r="28" spans="1:23">
      <c r="A28" s="63"/>
      <c r="B28" s="67"/>
      <c r="C28" s="67"/>
      <c r="D28" s="67"/>
      <c r="E28" s="67"/>
      <c r="F28" s="67"/>
      <c r="G28" s="67"/>
      <c r="H28" s="67"/>
      <c r="I28" s="67"/>
      <c r="J28" s="67"/>
      <c r="K28" s="67"/>
      <c r="L28" s="68"/>
      <c r="M28" s="68"/>
      <c r="N28" s="68"/>
      <c r="O28" s="68"/>
      <c r="P28" s="67"/>
      <c r="Q28" s="62"/>
      <c r="R28" s="62"/>
      <c r="S28" s="62"/>
      <c r="T28" s="62"/>
      <c r="U28" s="62"/>
      <c r="V28" s="62"/>
      <c r="W28" s="62"/>
    </row>
    <row r="29" spans="1:23">
      <c r="A29" s="63"/>
      <c r="B29" s="67"/>
      <c r="C29" s="67"/>
      <c r="D29" s="67"/>
      <c r="E29" s="67"/>
      <c r="F29" s="67"/>
      <c r="G29" s="67"/>
      <c r="H29" s="67"/>
      <c r="I29" s="67"/>
      <c r="J29" s="67"/>
      <c r="K29" s="67"/>
      <c r="L29" s="68"/>
      <c r="M29" s="68"/>
      <c r="N29" s="68"/>
      <c r="O29" s="68"/>
      <c r="P29" s="67"/>
      <c r="Q29" s="62"/>
      <c r="R29" s="62"/>
      <c r="S29" s="62"/>
      <c r="T29" s="62"/>
      <c r="U29" s="62"/>
      <c r="V29" s="62"/>
      <c r="W29" s="62"/>
    </row>
    <row r="30" spans="1:23">
      <c r="A30" s="63"/>
      <c r="B30" s="67"/>
      <c r="C30" s="67"/>
      <c r="D30" s="67"/>
      <c r="E30" s="67"/>
      <c r="F30" s="67"/>
      <c r="G30" s="67"/>
      <c r="H30" s="67"/>
      <c r="I30" s="67"/>
      <c r="J30" s="67"/>
      <c r="K30" s="68"/>
      <c r="L30" s="68"/>
      <c r="M30" s="68"/>
      <c r="N30" s="68"/>
      <c r="O30" s="68"/>
      <c r="P30" s="67"/>
      <c r="Q30" s="62"/>
      <c r="R30" s="62"/>
      <c r="S30" s="62"/>
      <c r="T30" s="62"/>
      <c r="U30" s="62"/>
      <c r="V30" s="62"/>
      <c r="W30" s="62"/>
    </row>
    <row r="31" spans="1:23">
      <c r="A31" s="63"/>
      <c r="B31" s="67"/>
      <c r="C31" s="67"/>
      <c r="D31" s="67"/>
      <c r="E31" s="67"/>
      <c r="F31" s="67"/>
      <c r="G31" s="67"/>
      <c r="H31" s="67"/>
      <c r="I31" s="67"/>
      <c r="J31" s="67"/>
      <c r="K31" s="67"/>
      <c r="L31" s="68"/>
      <c r="M31" s="68"/>
      <c r="N31" s="68"/>
      <c r="O31" s="68"/>
      <c r="P31" s="67"/>
      <c r="Q31" s="62"/>
      <c r="R31" s="62"/>
      <c r="S31" s="62"/>
      <c r="T31" s="62"/>
      <c r="U31" s="62"/>
      <c r="V31" s="62"/>
      <c r="W31" s="62"/>
    </row>
    <row r="32" spans="1:23">
      <c r="A32" s="63"/>
      <c r="B32" s="67"/>
      <c r="C32" s="67"/>
      <c r="D32" s="67"/>
      <c r="E32" s="67"/>
      <c r="F32" s="67"/>
      <c r="G32" s="67"/>
      <c r="H32" s="67"/>
      <c r="I32" s="67"/>
      <c r="J32" s="67"/>
      <c r="K32" s="68"/>
      <c r="L32" s="68"/>
      <c r="M32" s="68"/>
      <c r="N32" s="68"/>
      <c r="O32" s="68"/>
      <c r="P32" s="67"/>
      <c r="Q32" s="62"/>
      <c r="R32" s="62"/>
      <c r="S32" s="62"/>
      <c r="T32" s="62"/>
      <c r="U32" s="62"/>
      <c r="V32" s="62"/>
      <c r="W32" s="62"/>
    </row>
    <row r="33" spans="1:23">
      <c r="A33" s="63"/>
      <c r="B33" s="67"/>
      <c r="C33" s="67"/>
      <c r="D33" s="67"/>
      <c r="E33" s="67"/>
      <c r="F33" s="67"/>
      <c r="G33" s="67"/>
      <c r="H33" s="67"/>
      <c r="I33" s="67"/>
      <c r="J33" s="67"/>
      <c r="K33" s="67"/>
      <c r="L33" s="68"/>
      <c r="M33" s="68"/>
      <c r="N33" s="68"/>
      <c r="O33" s="68"/>
      <c r="P33" s="67"/>
      <c r="Q33" s="62"/>
      <c r="R33" s="62"/>
      <c r="S33" s="62"/>
      <c r="T33" s="62"/>
      <c r="U33" s="62"/>
      <c r="V33" s="62"/>
      <c r="W33" s="62"/>
    </row>
    <row r="34" spans="1:23">
      <c r="A34" s="63"/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8"/>
      <c r="M34" s="68"/>
      <c r="N34" s="68"/>
      <c r="O34" s="68"/>
      <c r="P34" s="67"/>
      <c r="Q34" s="62"/>
      <c r="R34" s="62"/>
      <c r="S34" s="62"/>
      <c r="T34" s="62"/>
      <c r="U34" s="62"/>
      <c r="V34" s="62"/>
      <c r="W34" s="62"/>
    </row>
    <row r="35" spans="1:23">
      <c r="A35" s="63"/>
      <c r="B35" s="67"/>
      <c r="C35" s="67"/>
      <c r="D35" s="67"/>
      <c r="E35" s="67"/>
      <c r="F35" s="67"/>
      <c r="G35" s="67"/>
      <c r="H35" s="67"/>
      <c r="I35" s="67"/>
      <c r="J35" s="67"/>
      <c r="K35" s="68"/>
      <c r="L35" s="68"/>
      <c r="M35" s="68"/>
      <c r="N35" s="68"/>
      <c r="O35" s="68"/>
      <c r="P35" s="67"/>
      <c r="Q35" s="62"/>
      <c r="R35" s="62"/>
      <c r="S35" s="62"/>
      <c r="T35" s="62"/>
      <c r="U35" s="62"/>
      <c r="V35" s="62"/>
      <c r="W35" s="62"/>
    </row>
    <row r="36" spans="1:23">
      <c r="A36" s="63"/>
      <c r="B36" s="67"/>
      <c r="C36" s="67"/>
      <c r="D36" s="67"/>
      <c r="E36" s="67"/>
      <c r="F36" s="67"/>
      <c r="G36" s="67"/>
      <c r="H36" s="67"/>
      <c r="I36" s="67"/>
      <c r="J36" s="67"/>
      <c r="K36" s="68"/>
      <c r="L36" s="68"/>
      <c r="M36" s="68"/>
      <c r="N36" s="68"/>
      <c r="O36" s="68"/>
      <c r="P36" s="67"/>
      <c r="Q36" s="62"/>
      <c r="R36" s="62"/>
      <c r="S36" s="62"/>
      <c r="T36" s="62"/>
      <c r="U36" s="62"/>
      <c r="V36" s="62"/>
      <c r="W36" s="62"/>
    </row>
    <row r="37" spans="1:23">
      <c r="A37" s="63"/>
      <c r="B37" s="67"/>
      <c r="C37" s="67"/>
      <c r="D37" s="67"/>
      <c r="E37" s="67"/>
      <c r="F37" s="67"/>
      <c r="G37" s="67"/>
      <c r="H37" s="67"/>
      <c r="I37" s="67"/>
      <c r="J37" s="67"/>
      <c r="K37" s="68"/>
      <c r="L37" s="68"/>
      <c r="M37" s="68"/>
      <c r="N37" s="68"/>
      <c r="O37" s="68"/>
      <c r="P37" s="67"/>
      <c r="Q37" s="62"/>
      <c r="R37" s="62"/>
      <c r="S37" s="62"/>
      <c r="T37" s="62"/>
      <c r="U37" s="62"/>
      <c r="V37" s="62"/>
      <c r="W37" s="62"/>
    </row>
    <row r="38" spans="1:23">
      <c r="A38" s="63"/>
      <c r="B38" s="67"/>
      <c r="C38" s="67"/>
      <c r="D38" s="67"/>
      <c r="E38" s="67"/>
      <c r="F38" s="67"/>
      <c r="G38" s="67"/>
      <c r="H38" s="67"/>
      <c r="I38" s="67"/>
      <c r="J38" s="67"/>
      <c r="K38" s="68"/>
      <c r="L38" s="68"/>
      <c r="M38" s="68"/>
      <c r="N38" s="68"/>
      <c r="O38" s="68"/>
      <c r="P38" s="67"/>
      <c r="Q38" s="62"/>
      <c r="R38" s="62"/>
      <c r="S38" s="62"/>
      <c r="T38" s="62"/>
      <c r="U38" s="62"/>
      <c r="V38" s="62"/>
      <c r="W38" s="62"/>
    </row>
    <row r="39" spans="1:23">
      <c r="A39" s="63"/>
      <c r="B39" s="67"/>
      <c r="C39" s="67"/>
      <c r="D39" s="67"/>
      <c r="E39" s="67"/>
      <c r="F39" s="67"/>
      <c r="G39" s="67"/>
      <c r="H39" s="67"/>
      <c r="I39" s="67"/>
      <c r="J39" s="67"/>
      <c r="K39" s="68"/>
      <c r="L39" s="68"/>
      <c r="M39" s="68"/>
      <c r="N39" s="68"/>
      <c r="O39" s="68"/>
      <c r="P39" s="67"/>
      <c r="Q39" s="62"/>
      <c r="R39" s="62"/>
      <c r="S39" s="62"/>
      <c r="T39" s="62"/>
      <c r="U39" s="62"/>
      <c r="V39" s="62"/>
      <c r="W39" s="62"/>
    </row>
    <row r="40" spans="1:23">
      <c r="A40" s="63"/>
      <c r="B40" s="67"/>
      <c r="C40" s="67"/>
      <c r="D40" s="67"/>
      <c r="E40" s="67"/>
      <c r="F40" s="67"/>
      <c r="G40" s="67"/>
      <c r="H40" s="67"/>
      <c r="I40" s="67"/>
      <c r="J40" s="67"/>
      <c r="K40" s="68"/>
      <c r="L40" s="68"/>
      <c r="M40" s="68"/>
      <c r="N40" s="68"/>
      <c r="O40" s="68"/>
      <c r="P40" s="67"/>
      <c r="Q40" s="62"/>
      <c r="R40" s="62"/>
      <c r="S40" s="62"/>
      <c r="T40" s="62"/>
      <c r="U40" s="62"/>
      <c r="V40" s="62"/>
      <c r="W40" s="62"/>
    </row>
    <row r="41" spans="1:23">
      <c r="A41" s="63"/>
      <c r="B41" s="67"/>
      <c r="C41" s="67"/>
      <c r="D41" s="67"/>
      <c r="E41" s="67"/>
      <c r="F41" s="67"/>
      <c r="G41" s="67"/>
      <c r="H41" s="67"/>
      <c r="I41" s="67"/>
      <c r="J41" s="67"/>
      <c r="K41" s="68"/>
      <c r="L41" s="68"/>
      <c r="M41" s="68"/>
      <c r="N41" s="68"/>
      <c r="O41" s="68"/>
      <c r="P41" s="67"/>
      <c r="Q41" s="62"/>
      <c r="R41" s="62"/>
      <c r="S41" s="62"/>
      <c r="T41" s="62"/>
      <c r="U41" s="62"/>
      <c r="V41" s="62"/>
      <c r="W41" s="62"/>
    </row>
    <row r="42" spans="1:23">
      <c r="A42" s="63"/>
      <c r="B42" s="67"/>
      <c r="C42" s="67"/>
      <c r="D42" s="67"/>
      <c r="E42" s="67"/>
      <c r="F42" s="67"/>
      <c r="G42" s="67"/>
      <c r="H42" s="67"/>
      <c r="I42" s="67"/>
      <c r="J42" s="67"/>
      <c r="K42" s="68"/>
      <c r="L42" s="68"/>
      <c r="M42" s="68"/>
      <c r="N42" s="68"/>
      <c r="O42" s="68"/>
      <c r="P42" s="67"/>
      <c r="Q42" s="62"/>
      <c r="R42" s="62"/>
      <c r="S42" s="62"/>
      <c r="T42" s="62"/>
      <c r="U42" s="62"/>
      <c r="V42" s="62"/>
      <c r="W42" s="62"/>
    </row>
    <row r="43" spans="1:23">
      <c r="A43" s="63"/>
      <c r="B43" s="67"/>
      <c r="C43" s="67"/>
      <c r="D43" s="67"/>
      <c r="E43" s="67"/>
      <c r="F43" s="67"/>
      <c r="G43" s="67"/>
      <c r="H43" s="67"/>
      <c r="I43" s="67"/>
      <c r="J43" s="67"/>
      <c r="K43" s="68"/>
      <c r="L43" s="68"/>
      <c r="M43" s="68"/>
      <c r="N43" s="68"/>
      <c r="O43" s="68"/>
      <c r="P43" s="67"/>
      <c r="Q43" s="62"/>
      <c r="R43" s="62"/>
      <c r="S43" s="62"/>
      <c r="T43" s="62"/>
      <c r="U43" s="62"/>
      <c r="V43" s="62"/>
      <c r="W43" s="62"/>
    </row>
    <row r="44" spans="1:23">
      <c r="A44" s="63"/>
      <c r="B44" s="67"/>
      <c r="C44" s="67"/>
      <c r="D44" s="67"/>
      <c r="E44" s="67"/>
      <c r="F44" s="67"/>
      <c r="G44" s="67"/>
      <c r="H44" s="67"/>
      <c r="I44" s="67"/>
      <c r="J44" s="67"/>
      <c r="K44" s="68"/>
      <c r="L44" s="68"/>
      <c r="M44" s="68"/>
      <c r="N44" s="68"/>
      <c r="O44" s="68"/>
      <c r="P44" s="67"/>
      <c r="Q44" s="62"/>
      <c r="R44" s="62"/>
      <c r="S44" s="62"/>
      <c r="T44" s="62"/>
      <c r="U44" s="62"/>
      <c r="V44" s="62"/>
      <c r="W44" s="62"/>
    </row>
    <row r="45" spans="1:23">
      <c r="A45" s="63"/>
      <c r="B45" s="67"/>
      <c r="C45" s="67"/>
      <c r="D45" s="67"/>
      <c r="E45" s="67"/>
      <c r="F45" s="98"/>
      <c r="G45" s="98"/>
      <c r="H45" s="98"/>
      <c r="I45" s="98"/>
      <c r="J45" s="98"/>
      <c r="K45" s="68"/>
      <c r="L45" s="68"/>
      <c r="M45" s="68"/>
      <c r="N45" s="68"/>
      <c r="O45" s="68"/>
      <c r="P45" s="99"/>
      <c r="Q45" s="62"/>
      <c r="R45" s="62"/>
      <c r="S45" s="62"/>
      <c r="T45" s="62"/>
      <c r="U45" s="62"/>
      <c r="V45" s="62"/>
      <c r="W45" s="62"/>
    </row>
    <row r="46" spans="1:23">
      <c r="A46" s="63"/>
      <c r="B46" s="67"/>
      <c r="C46" s="67"/>
      <c r="D46" s="67"/>
      <c r="E46" s="67"/>
      <c r="F46" s="67"/>
      <c r="G46" s="67"/>
      <c r="H46" s="67"/>
      <c r="I46" s="67"/>
      <c r="J46" s="67"/>
      <c r="K46" s="68"/>
      <c r="L46" s="68"/>
      <c r="M46" s="68"/>
      <c r="N46" s="68"/>
      <c r="O46" s="68"/>
      <c r="P46" s="67"/>
      <c r="Q46" s="62"/>
      <c r="R46" s="62"/>
      <c r="S46" s="62"/>
      <c r="T46" s="62"/>
      <c r="U46" s="62"/>
      <c r="V46" s="62"/>
      <c r="W46" s="62"/>
    </row>
    <row r="47" spans="1:23">
      <c r="A47" s="63"/>
      <c r="B47" s="67"/>
      <c r="C47" s="67"/>
      <c r="D47" s="67"/>
      <c r="E47" s="67"/>
      <c r="F47" s="67"/>
      <c r="G47" s="67"/>
      <c r="H47" s="67"/>
      <c r="I47" s="67"/>
      <c r="J47" s="67"/>
      <c r="K47" s="68"/>
      <c r="L47" s="68"/>
      <c r="M47" s="68"/>
      <c r="N47" s="68"/>
      <c r="O47" s="68"/>
      <c r="P47" s="67"/>
      <c r="Q47" s="62"/>
      <c r="R47" s="62"/>
      <c r="S47" s="62"/>
      <c r="T47" s="62"/>
      <c r="U47" s="62"/>
      <c r="V47" s="62"/>
      <c r="W47" s="62"/>
    </row>
    <row r="48" spans="1:23">
      <c r="A48" s="63"/>
      <c r="B48" s="67"/>
      <c r="C48" s="67"/>
      <c r="D48" s="67"/>
      <c r="E48" s="67"/>
      <c r="F48" s="67"/>
      <c r="G48" s="67"/>
      <c r="H48" s="67"/>
      <c r="I48" s="67"/>
      <c r="J48" s="67"/>
      <c r="K48" s="68"/>
      <c r="L48" s="68"/>
      <c r="M48" s="68"/>
      <c r="N48" s="68"/>
      <c r="O48" s="68"/>
      <c r="P48" s="67"/>
      <c r="Q48" s="62"/>
      <c r="R48" s="62"/>
      <c r="S48" s="62"/>
      <c r="T48" s="62"/>
      <c r="U48" s="62"/>
      <c r="V48" s="62"/>
      <c r="W48" s="62"/>
    </row>
    <row r="49" spans="1:23">
      <c r="A49" s="63"/>
      <c r="B49" s="67"/>
      <c r="C49" s="67"/>
      <c r="D49" s="67"/>
      <c r="E49" s="67"/>
      <c r="F49" s="67"/>
      <c r="G49" s="67"/>
      <c r="H49" s="67"/>
      <c r="I49" s="67"/>
      <c r="J49" s="67"/>
      <c r="K49" s="68"/>
      <c r="L49" s="68"/>
      <c r="M49" s="68"/>
      <c r="N49" s="68"/>
      <c r="O49" s="68"/>
      <c r="P49" s="67"/>
      <c r="Q49" s="62"/>
      <c r="R49" s="62"/>
      <c r="S49" s="62"/>
      <c r="T49" s="62"/>
      <c r="U49" s="62"/>
      <c r="V49" s="62"/>
      <c r="W49" s="62"/>
    </row>
    <row r="50" spans="1:23">
      <c r="A50" s="63"/>
      <c r="B50" s="67"/>
      <c r="C50" s="67"/>
      <c r="D50" s="67"/>
      <c r="E50" s="67"/>
      <c r="F50" s="67"/>
      <c r="G50" s="67"/>
      <c r="H50" s="67"/>
      <c r="I50" s="67"/>
      <c r="J50" s="67"/>
      <c r="K50" s="68"/>
      <c r="L50" s="68"/>
      <c r="M50" s="68"/>
      <c r="N50" s="68"/>
      <c r="O50" s="68"/>
      <c r="P50" s="67"/>
      <c r="Q50" s="62"/>
      <c r="R50" s="62"/>
      <c r="S50" s="62"/>
      <c r="T50" s="62"/>
      <c r="U50" s="62"/>
      <c r="V50" s="62"/>
      <c r="W50" s="62"/>
    </row>
    <row r="51" spans="1:23">
      <c r="A51" s="63"/>
      <c r="B51" s="67"/>
      <c r="C51" s="67"/>
      <c r="D51" s="67"/>
      <c r="E51" s="67"/>
      <c r="F51" s="67"/>
      <c r="G51" s="67"/>
      <c r="H51" s="67"/>
      <c r="I51" s="67"/>
      <c r="J51" s="67"/>
      <c r="K51" s="68"/>
      <c r="L51" s="68"/>
      <c r="M51" s="68"/>
      <c r="N51" s="68"/>
      <c r="O51" s="68"/>
      <c r="P51" s="67"/>
      <c r="Q51" s="62"/>
      <c r="R51" s="62"/>
      <c r="S51" s="62"/>
      <c r="T51" s="62"/>
      <c r="U51" s="62"/>
      <c r="V51" s="62"/>
      <c r="W51" s="62"/>
    </row>
    <row r="52" spans="1:23">
      <c r="A52" s="63"/>
      <c r="B52" s="67"/>
      <c r="C52" s="67"/>
      <c r="D52" s="67"/>
      <c r="E52" s="67"/>
      <c r="F52" s="67"/>
      <c r="G52" s="67"/>
      <c r="H52" s="67"/>
      <c r="I52" s="67"/>
      <c r="J52" s="67"/>
      <c r="K52" s="68"/>
      <c r="L52" s="68"/>
      <c r="M52" s="68"/>
      <c r="N52" s="68"/>
      <c r="O52" s="68"/>
      <c r="P52" s="149"/>
      <c r="Q52" s="62"/>
      <c r="R52" s="62"/>
      <c r="S52" s="62"/>
      <c r="T52" s="62"/>
      <c r="U52" s="62"/>
      <c r="V52" s="62"/>
      <c r="W52" s="62"/>
    </row>
    <row r="53" spans="1:23">
      <c r="A53" s="63"/>
      <c r="B53" s="67"/>
      <c r="C53" s="67"/>
      <c r="D53" s="67"/>
      <c r="E53" s="67"/>
      <c r="F53" s="67"/>
      <c r="G53" s="67"/>
      <c r="H53" s="67"/>
      <c r="I53" s="67"/>
      <c r="J53" s="67"/>
      <c r="K53" s="68"/>
      <c r="L53" s="68"/>
      <c r="M53" s="68"/>
      <c r="N53" s="68"/>
      <c r="O53" s="68"/>
      <c r="P53" s="149"/>
      <c r="Q53" s="62"/>
      <c r="R53" s="62"/>
      <c r="S53" s="62"/>
      <c r="T53" s="62"/>
      <c r="U53" s="62"/>
      <c r="V53" s="62"/>
      <c r="W53" s="62"/>
    </row>
    <row r="54" spans="1:23">
      <c r="A54" s="63"/>
      <c r="B54" s="67"/>
      <c r="C54" s="67"/>
      <c r="D54" s="67"/>
      <c r="E54" s="67"/>
      <c r="F54" s="67"/>
      <c r="G54" s="67"/>
      <c r="H54" s="67"/>
      <c r="I54" s="67"/>
      <c r="J54" s="67"/>
      <c r="K54" s="68"/>
      <c r="L54" s="68"/>
      <c r="M54" s="68"/>
      <c r="N54" s="68"/>
      <c r="O54" s="68"/>
      <c r="P54" s="149"/>
      <c r="Q54" s="62"/>
      <c r="R54" s="62"/>
      <c r="S54" s="62"/>
      <c r="T54" s="62"/>
      <c r="U54" s="62"/>
      <c r="V54" s="62"/>
      <c r="W54" s="62"/>
    </row>
    <row r="55" spans="1:23">
      <c r="A55" s="63"/>
      <c r="B55" s="67"/>
      <c r="C55" s="67"/>
      <c r="D55" s="67"/>
      <c r="E55" s="67"/>
      <c r="F55" s="67"/>
      <c r="G55" s="67"/>
      <c r="H55" s="67"/>
      <c r="I55" s="67"/>
      <c r="J55" s="67"/>
      <c r="K55" s="68"/>
      <c r="L55" s="68"/>
      <c r="M55" s="68"/>
      <c r="N55" s="68"/>
      <c r="O55" s="68"/>
      <c r="P55" s="149"/>
      <c r="Q55" s="62"/>
      <c r="R55" s="62"/>
      <c r="S55" s="62"/>
      <c r="T55" s="62"/>
      <c r="U55" s="62"/>
      <c r="V55" s="62"/>
      <c r="W55" s="62"/>
    </row>
    <row r="56" spans="1:23">
      <c r="A56" s="63"/>
      <c r="B56" s="67"/>
      <c r="C56" s="67"/>
      <c r="D56" s="67"/>
      <c r="E56" s="67"/>
      <c r="F56" s="67"/>
      <c r="G56" s="67"/>
      <c r="H56" s="67"/>
      <c r="I56" s="67"/>
      <c r="J56" s="67"/>
      <c r="K56" s="68"/>
      <c r="L56" s="68"/>
      <c r="M56" s="68"/>
      <c r="N56" s="68"/>
      <c r="O56" s="68"/>
      <c r="P56" s="149"/>
      <c r="Q56" s="62"/>
      <c r="R56" s="62"/>
      <c r="S56" s="62"/>
      <c r="T56" s="62"/>
      <c r="U56" s="62"/>
      <c r="V56" s="62"/>
      <c r="W56" s="62"/>
    </row>
    <row r="57" spans="1:23">
      <c r="A57" s="63"/>
      <c r="B57" s="67"/>
      <c r="C57" s="67"/>
      <c r="D57" s="67"/>
      <c r="E57" s="67"/>
      <c r="F57" s="67"/>
      <c r="G57" s="67"/>
      <c r="H57" s="67"/>
      <c r="I57" s="67"/>
      <c r="J57" s="67"/>
      <c r="K57" s="68"/>
      <c r="L57" s="68"/>
      <c r="M57" s="68"/>
      <c r="N57" s="68"/>
      <c r="O57" s="68"/>
      <c r="P57" s="149"/>
      <c r="Q57" s="62"/>
      <c r="R57" s="62"/>
      <c r="S57" s="62"/>
      <c r="T57" s="62"/>
      <c r="U57" s="62"/>
      <c r="V57" s="62"/>
      <c r="W57" s="62"/>
    </row>
    <row r="58" spans="1:23">
      <c r="A58" s="63"/>
      <c r="B58" s="67"/>
      <c r="C58" s="67"/>
      <c r="D58" s="67"/>
      <c r="E58" s="67"/>
      <c r="F58" s="67"/>
      <c r="G58" s="67"/>
      <c r="H58" s="67"/>
      <c r="I58" s="67"/>
      <c r="J58" s="67"/>
      <c r="K58" s="68"/>
      <c r="L58" s="68"/>
      <c r="M58" s="68"/>
      <c r="N58" s="68"/>
      <c r="O58" s="68"/>
      <c r="P58" s="67"/>
      <c r="Q58" s="67"/>
      <c r="R58" s="67"/>
      <c r="S58" s="62"/>
      <c r="T58" s="62"/>
      <c r="U58" s="62"/>
      <c r="V58" s="62"/>
      <c r="W58" s="62"/>
    </row>
    <row r="59" spans="1:23">
      <c r="A59" s="63"/>
      <c r="B59" s="67"/>
      <c r="C59" s="67"/>
      <c r="D59" s="67"/>
      <c r="E59" s="67"/>
      <c r="F59" s="67"/>
      <c r="G59" s="67"/>
      <c r="H59" s="67"/>
      <c r="I59" s="67"/>
      <c r="J59" s="67"/>
      <c r="K59" s="68"/>
      <c r="L59" s="68"/>
      <c r="M59" s="68"/>
      <c r="N59" s="68"/>
      <c r="O59" s="68"/>
      <c r="P59" s="67"/>
      <c r="Q59" s="67"/>
      <c r="R59" s="67"/>
      <c r="S59" s="62"/>
      <c r="T59" s="62"/>
      <c r="U59" s="62"/>
      <c r="V59" s="62"/>
      <c r="W59" s="62"/>
    </row>
    <row r="60" spans="1:23">
      <c r="A60" s="63"/>
      <c r="B60" s="67"/>
      <c r="C60" s="67"/>
      <c r="D60" s="67"/>
      <c r="E60" s="67"/>
      <c r="F60" s="67"/>
      <c r="G60" s="67"/>
      <c r="H60" s="67"/>
      <c r="I60" s="67"/>
      <c r="J60" s="67"/>
      <c r="K60" s="68"/>
      <c r="L60" s="68"/>
      <c r="M60" s="68"/>
      <c r="N60" s="68"/>
      <c r="O60" s="68"/>
      <c r="P60" s="67"/>
      <c r="Q60" s="67"/>
      <c r="R60" s="67"/>
      <c r="S60" s="62"/>
      <c r="T60" s="62"/>
      <c r="U60" s="62"/>
      <c r="V60" s="62"/>
      <c r="W60" s="62"/>
    </row>
    <row r="61" spans="1:23">
      <c r="A61" s="63"/>
      <c r="B61" s="67"/>
      <c r="C61" s="67"/>
      <c r="D61" s="67"/>
      <c r="E61" s="67"/>
      <c r="F61" s="67"/>
      <c r="G61" s="67"/>
      <c r="H61" s="67"/>
      <c r="I61" s="67"/>
      <c r="J61" s="67"/>
      <c r="K61" s="68"/>
      <c r="L61" s="68"/>
      <c r="M61" s="68"/>
      <c r="N61" s="68"/>
      <c r="O61" s="68"/>
      <c r="P61" s="67"/>
      <c r="Q61" s="67"/>
      <c r="R61" s="67"/>
      <c r="S61" s="62"/>
      <c r="T61" s="62"/>
      <c r="U61" s="62"/>
      <c r="V61" s="62"/>
      <c r="W61" s="62"/>
    </row>
    <row r="62" spans="1:23">
      <c r="A62" s="63"/>
      <c r="B62" s="67"/>
      <c r="C62" s="67"/>
      <c r="D62" s="67"/>
      <c r="E62" s="67"/>
      <c r="F62" s="67"/>
      <c r="G62" s="67"/>
      <c r="H62" s="67"/>
      <c r="I62" s="67"/>
      <c r="J62" s="67"/>
      <c r="K62" s="68"/>
      <c r="L62" s="68"/>
      <c r="M62" s="68"/>
      <c r="N62" s="68"/>
      <c r="O62" s="68"/>
      <c r="P62" s="67"/>
      <c r="Q62" s="67"/>
      <c r="R62" s="67"/>
      <c r="S62" s="62"/>
      <c r="T62" s="62"/>
      <c r="U62" s="62"/>
      <c r="V62" s="62"/>
      <c r="W62" s="62"/>
    </row>
    <row r="63" spans="1:23">
      <c r="A63" s="63"/>
      <c r="B63" s="67"/>
      <c r="C63" s="67"/>
      <c r="D63" s="67"/>
      <c r="E63" s="67"/>
      <c r="F63" s="67"/>
      <c r="G63" s="67"/>
      <c r="H63" s="67"/>
      <c r="I63" s="67"/>
      <c r="J63" s="67"/>
      <c r="K63" s="68"/>
      <c r="L63" s="68"/>
      <c r="M63" s="68"/>
      <c r="N63" s="68"/>
      <c r="O63" s="68"/>
      <c r="P63" s="67"/>
      <c r="Q63" s="67"/>
      <c r="R63" s="67"/>
      <c r="S63" s="62"/>
      <c r="T63" s="62"/>
      <c r="U63" s="62"/>
      <c r="V63" s="62"/>
      <c r="W63" s="62"/>
    </row>
    <row r="64" spans="1:23">
      <c r="A64" s="63"/>
      <c r="B64" s="67"/>
      <c r="C64" s="67"/>
      <c r="D64" s="67"/>
      <c r="E64" s="67"/>
      <c r="F64" s="67"/>
      <c r="G64" s="67"/>
      <c r="H64" s="67"/>
      <c r="I64" s="67"/>
      <c r="J64" s="67"/>
      <c r="K64" s="68"/>
      <c r="L64" s="68"/>
      <c r="M64" s="68"/>
      <c r="N64" s="68"/>
      <c r="O64" s="68"/>
      <c r="P64" s="67"/>
      <c r="Q64" s="67"/>
      <c r="R64" s="67"/>
      <c r="S64" s="62"/>
      <c r="T64" s="62"/>
      <c r="U64" s="62"/>
      <c r="V64" s="62"/>
      <c r="W64" s="62"/>
    </row>
    <row r="65" spans="1:23">
      <c r="A65" s="63"/>
      <c r="B65" s="67"/>
      <c r="C65" s="67"/>
      <c r="D65" s="67"/>
      <c r="E65" s="67"/>
      <c r="F65" s="67"/>
      <c r="G65" s="67"/>
      <c r="H65" s="67"/>
      <c r="I65" s="67"/>
      <c r="J65" s="67"/>
      <c r="K65" s="68"/>
      <c r="L65" s="68"/>
      <c r="M65" s="68"/>
      <c r="N65" s="68"/>
      <c r="O65" s="68"/>
      <c r="P65" s="149"/>
      <c r="Q65" s="67"/>
      <c r="R65" s="67"/>
      <c r="S65" s="62"/>
      <c r="T65" s="62"/>
      <c r="U65" s="62"/>
      <c r="V65" s="62"/>
      <c r="W65" s="62"/>
    </row>
    <row r="66" spans="1:23">
      <c r="A66" s="63"/>
      <c r="B66" s="67"/>
      <c r="C66" s="67"/>
      <c r="D66" s="67"/>
      <c r="E66" s="67"/>
      <c r="F66" s="67"/>
      <c r="G66" s="67"/>
      <c r="H66" s="67"/>
      <c r="I66" s="67"/>
      <c r="J66" s="67"/>
      <c r="K66" s="67"/>
      <c r="L66" s="68"/>
      <c r="M66" s="68"/>
      <c r="N66" s="68"/>
      <c r="O66" s="68"/>
      <c r="P66" s="67"/>
      <c r="Q66" s="67"/>
      <c r="R66" s="67"/>
      <c r="S66" s="62"/>
      <c r="T66" s="62"/>
      <c r="U66" s="62"/>
      <c r="V66" s="62"/>
      <c r="W66" s="62"/>
    </row>
    <row r="67" spans="1:23">
      <c r="A67" s="63"/>
      <c r="B67" s="67"/>
      <c r="C67" s="67"/>
      <c r="D67" s="67"/>
      <c r="E67" s="67"/>
      <c r="F67" s="67"/>
      <c r="G67" s="67"/>
      <c r="H67" s="67"/>
      <c r="I67" s="67"/>
      <c r="J67" s="67"/>
      <c r="K67" s="67"/>
      <c r="L67" s="68"/>
      <c r="M67" s="68"/>
      <c r="N67" s="68"/>
      <c r="O67" s="68"/>
      <c r="P67" s="67"/>
      <c r="Q67" s="67"/>
      <c r="R67" s="67"/>
      <c r="S67" s="62"/>
      <c r="T67" s="62"/>
      <c r="U67" s="62"/>
      <c r="V67" s="62"/>
      <c r="W67" s="62"/>
    </row>
    <row r="68" spans="1:23">
      <c r="A68" s="63"/>
      <c r="B68" s="67"/>
      <c r="C68" s="67"/>
      <c r="D68" s="67"/>
      <c r="E68" s="67"/>
      <c r="F68" s="67"/>
      <c r="G68" s="67"/>
      <c r="H68" s="67"/>
      <c r="I68" s="67"/>
      <c r="J68" s="67"/>
      <c r="K68" s="67"/>
      <c r="L68" s="68"/>
      <c r="M68" s="68"/>
      <c r="N68" s="68"/>
      <c r="O68" s="68"/>
      <c r="P68" s="67"/>
      <c r="Q68" s="67"/>
      <c r="R68" s="67"/>
      <c r="S68" s="62"/>
      <c r="T68" s="62"/>
      <c r="U68" s="62"/>
      <c r="V68" s="62"/>
      <c r="W68" s="62"/>
    </row>
    <row r="69" spans="1:23">
      <c r="A69" s="63"/>
      <c r="B69" s="67"/>
      <c r="C69" s="67"/>
      <c r="D69" s="67"/>
      <c r="E69" s="67"/>
      <c r="F69" s="67"/>
      <c r="G69" s="67"/>
      <c r="H69" s="67"/>
      <c r="I69" s="67"/>
      <c r="J69" s="67"/>
      <c r="K69" s="67"/>
      <c r="L69" s="68"/>
      <c r="M69" s="68"/>
      <c r="N69" s="68"/>
      <c r="O69" s="68"/>
      <c r="P69" s="67"/>
      <c r="Q69" s="67"/>
      <c r="R69" s="67"/>
      <c r="S69" s="62"/>
      <c r="T69" s="62"/>
      <c r="U69" s="62"/>
      <c r="V69" s="62"/>
      <c r="W69" s="62"/>
    </row>
    <row r="70" spans="1:23">
      <c r="A70" s="63"/>
      <c r="B70" s="67"/>
      <c r="C70" s="67"/>
      <c r="D70" s="67"/>
      <c r="E70" s="67"/>
      <c r="F70" s="67"/>
      <c r="G70" s="67"/>
      <c r="H70" s="67"/>
      <c r="I70" s="67"/>
      <c r="J70" s="67"/>
      <c r="K70" s="67"/>
      <c r="L70" s="68"/>
      <c r="M70" s="68"/>
      <c r="N70" s="68"/>
      <c r="O70" s="68"/>
      <c r="P70" s="67"/>
      <c r="Q70" s="67"/>
      <c r="R70" s="67"/>
      <c r="S70" s="62"/>
      <c r="T70" s="62"/>
      <c r="U70" s="62"/>
      <c r="V70" s="62"/>
      <c r="W70" s="62"/>
    </row>
    <row r="71" spans="1:23">
      <c r="A71" s="63"/>
      <c r="B71" s="67"/>
      <c r="C71" s="67"/>
      <c r="D71" s="67"/>
      <c r="E71" s="67"/>
      <c r="F71" s="67"/>
      <c r="G71" s="67"/>
      <c r="H71" s="67"/>
      <c r="I71" s="67"/>
      <c r="J71" s="67"/>
      <c r="K71" s="67"/>
      <c r="L71" s="68"/>
      <c r="M71" s="68"/>
      <c r="N71" s="68"/>
      <c r="O71" s="68"/>
      <c r="P71" s="67"/>
      <c r="Q71" s="67"/>
      <c r="R71" s="67"/>
      <c r="S71" s="62"/>
      <c r="T71" s="62"/>
      <c r="U71" s="62"/>
      <c r="V71" s="62"/>
      <c r="W71" s="62"/>
    </row>
    <row r="72" spans="1:23">
      <c r="A72" s="63"/>
      <c r="B72" s="67"/>
      <c r="C72" s="67"/>
      <c r="D72" s="67"/>
      <c r="E72" s="67"/>
      <c r="F72" s="67"/>
      <c r="G72" s="67"/>
      <c r="H72" s="67"/>
      <c r="I72" s="67"/>
      <c r="J72" s="67"/>
      <c r="K72" s="67"/>
      <c r="L72" s="68"/>
      <c r="M72" s="68"/>
      <c r="N72" s="68"/>
      <c r="O72" s="68"/>
      <c r="P72" s="67"/>
      <c r="Q72" s="67"/>
      <c r="R72" s="67"/>
      <c r="S72" s="62"/>
      <c r="T72" s="62"/>
      <c r="U72" s="62"/>
      <c r="V72" s="62"/>
      <c r="W72" s="62"/>
    </row>
    <row r="73" spans="1:23">
      <c r="A73" s="62"/>
      <c r="B73" s="67"/>
      <c r="C73" s="67"/>
      <c r="D73" s="67"/>
      <c r="E73" s="67"/>
      <c r="F73" s="67"/>
      <c r="G73" s="67"/>
      <c r="H73" s="67"/>
      <c r="I73" s="67"/>
      <c r="J73" s="67"/>
      <c r="K73" s="67"/>
      <c r="L73" s="68"/>
      <c r="M73" s="68"/>
      <c r="N73" s="68"/>
      <c r="O73" s="68"/>
      <c r="P73" s="67"/>
      <c r="Q73" s="67"/>
      <c r="R73" s="67"/>
      <c r="S73" s="62"/>
      <c r="T73" s="62"/>
      <c r="U73" s="62"/>
      <c r="V73" s="62"/>
      <c r="W73" s="62"/>
    </row>
    <row r="74" spans="1:23">
      <c r="A74" s="63"/>
      <c r="B74" s="67"/>
      <c r="C74" s="67"/>
      <c r="D74" s="67"/>
      <c r="E74" s="67"/>
      <c r="F74" s="67"/>
      <c r="G74" s="67"/>
      <c r="H74" s="67"/>
      <c r="I74" s="67"/>
      <c r="J74" s="67"/>
      <c r="K74" s="67"/>
      <c r="L74" s="68"/>
      <c r="M74" s="68"/>
      <c r="N74" s="68"/>
      <c r="O74" s="68"/>
      <c r="P74" s="67"/>
      <c r="Q74" s="67"/>
      <c r="R74" s="67"/>
      <c r="S74" s="62"/>
      <c r="T74" s="62"/>
      <c r="U74" s="62"/>
      <c r="V74" s="62"/>
      <c r="W74" s="62"/>
    </row>
    <row r="75" spans="1:23">
      <c r="A75" s="63"/>
      <c r="B75" s="67"/>
      <c r="C75" s="67"/>
      <c r="D75" s="67"/>
      <c r="E75" s="67"/>
      <c r="F75" s="67"/>
      <c r="G75" s="67"/>
      <c r="H75" s="67"/>
      <c r="I75" s="67"/>
      <c r="J75" s="67"/>
      <c r="K75" s="67"/>
      <c r="L75" s="68"/>
      <c r="M75" s="68"/>
      <c r="N75" s="68"/>
      <c r="O75" s="68"/>
      <c r="P75" s="67"/>
      <c r="Q75" s="67"/>
      <c r="R75" s="67"/>
      <c r="S75" s="62"/>
      <c r="T75" s="62"/>
      <c r="U75" s="62"/>
      <c r="V75" s="62"/>
      <c r="W75" s="62"/>
    </row>
    <row r="76" spans="1:23">
      <c r="A76" s="63"/>
      <c r="B76" s="67"/>
      <c r="C76" s="67"/>
      <c r="D76" s="67"/>
      <c r="E76" s="67"/>
      <c r="F76" s="67"/>
      <c r="G76" s="67"/>
      <c r="H76" s="67"/>
      <c r="I76" s="67"/>
      <c r="J76" s="67"/>
      <c r="K76" s="67"/>
      <c r="L76" s="68"/>
      <c r="M76" s="68"/>
      <c r="N76" s="68"/>
      <c r="O76" s="68"/>
      <c r="P76" s="67"/>
      <c r="Q76" s="67"/>
      <c r="R76" s="67"/>
      <c r="S76" s="62"/>
      <c r="T76" s="62"/>
      <c r="U76" s="62"/>
      <c r="V76" s="62"/>
      <c r="W76" s="62"/>
    </row>
    <row r="77" spans="1:23">
      <c r="A77" s="63"/>
      <c r="B77" s="67"/>
      <c r="C77" s="67"/>
      <c r="D77" s="67"/>
      <c r="E77" s="67"/>
      <c r="F77" s="67"/>
      <c r="G77" s="67"/>
      <c r="H77" s="67"/>
      <c r="I77" s="67"/>
      <c r="J77" s="67"/>
      <c r="K77" s="67"/>
      <c r="L77" s="68"/>
      <c r="M77" s="68"/>
      <c r="N77" s="68"/>
      <c r="O77" s="68"/>
      <c r="P77" s="67"/>
      <c r="Q77" s="67"/>
      <c r="R77" s="67"/>
      <c r="S77" s="62"/>
      <c r="T77" s="62"/>
      <c r="U77" s="62"/>
      <c r="V77" s="62"/>
      <c r="W77" s="62"/>
    </row>
    <row r="78" spans="1:23">
      <c r="A78" s="63"/>
      <c r="B78" s="67"/>
      <c r="C78" s="67"/>
      <c r="D78" s="67"/>
      <c r="E78" s="67"/>
      <c r="F78" s="67"/>
      <c r="G78" s="67"/>
      <c r="H78" s="67"/>
      <c r="I78" s="67"/>
      <c r="J78" s="67"/>
      <c r="K78" s="67"/>
      <c r="L78" s="68"/>
      <c r="M78" s="68"/>
      <c r="N78" s="68"/>
      <c r="O78" s="68"/>
      <c r="P78" s="67"/>
      <c r="Q78" s="67"/>
      <c r="R78" s="67"/>
      <c r="S78" s="62"/>
      <c r="T78" s="62"/>
      <c r="U78" s="62"/>
      <c r="V78" s="62"/>
      <c r="W78" s="62"/>
    </row>
    <row r="79" spans="1:23">
      <c r="A79" s="63"/>
      <c r="B79" s="67"/>
      <c r="C79" s="67"/>
      <c r="D79" s="67"/>
      <c r="E79" s="67"/>
      <c r="F79" s="67"/>
      <c r="G79" s="67"/>
      <c r="H79" s="67"/>
      <c r="I79" s="67"/>
      <c r="J79" s="67"/>
      <c r="K79" s="67"/>
      <c r="L79" s="68"/>
      <c r="M79" s="68"/>
      <c r="N79" s="68"/>
      <c r="O79" s="68"/>
      <c r="P79" s="67"/>
      <c r="Q79" s="67"/>
      <c r="R79" s="67"/>
      <c r="S79" s="62"/>
      <c r="T79" s="62"/>
      <c r="U79" s="62"/>
      <c r="V79" s="62"/>
      <c r="W79" s="62"/>
    </row>
    <row r="80" spans="1:23">
      <c r="A80" s="63"/>
      <c r="B80" s="67"/>
      <c r="C80" s="67"/>
      <c r="D80" s="67"/>
      <c r="E80" s="67"/>
      <c r="F80" s="67"/>
      <c r="G80" s="67"/>
      <c r="H80" s="67"/>
      <c r="I80" s="67"/>
      <c r="J80" s="67"/>
      <c r="K80" s="67"/>
      <c r="L80" s="68"/>
      <c r="M80" s="68"/>
      <c r="N80" s="68"/>
      <c r="O80" s="68"/>
      <c r="P80" s="67"/>
      <c r="Q80" s="67"/>
      <c r="R80" s="67"/>
      <c r="S80" s="62"/>
      <c r="T80" s="62"/>
      <c r="U80" s="62"/>
      <c r="V80" s="62"/>
      <c r="W80" s="62"/>
    </row>
    <row r="81" spans="1:23">
      <c r="A81" s="63"/>
      <c r="B81" s="67"/>
      <c r="C81" s="67"/>
      <c r="D81" s="67"/>
      <c r="E81" s="67"/>
      <c r="F81" s="67"/>
      <c r="G81" s="67"/>
      <c r="H81" s="67"/>
      <c r="I81" s="67"/>
      <c r="J81" s="67"/>
      <c r="K81" s="67"/>
      <c r="L81" s="68"/>
      <c r="M81" s="68"/>
      <c r="N81" s="68"/>
      <c r="O81" s="68"/>
      <c r="P81" s="67"/>
      <c r="Q81" s="67"/>
      <c r="R81" s="67"/>
      <c r="S81" s="62"/>
      <c r="T81" s="62"/>
      <c r="U81" s="62"/>
      <c r="V81" s="62"/>
      <c r="W81" s="62"/>
    </row>
    <row r="82" spans="1:23">
      <c r="A82" s="63"/>
      <c r="B82" s="67"/>
      <c r="C82" s="67"/>
      <c r="D82" s="67"/>
      <c r="E82" s="67"/>
      <c r="F82" s="67"/>
      <c r="G82" s="67"/>
      <c r="H82" s="67"/>
      <c r="I82" s="67"/>
      <c r="J82" s="67"/>
      <c r="K82" s="67"/>
      <c r="L82" s="68"/>
      <c r="M82" s="68"/>
      <c r="N82" s="68"/>
      <c r="O82" s="68"/>
      <c r="P82" s="67"/>
      <c r="Q82" s="67"/>
      <c r="R82" s="67"/>
      <c r="S82" s="62"/>
      <c r="T82" s="62"/>
      <c r="U82" s="62"/>
      <c r="V82" s="62"/>
      <c r="W82" s="62"/>
    </row>
    <row r="83" spans="1:23">
      <c r="A83" s="62"/>
      <c r="B83" s="67"/>
      <c r="C83" s="67"/>
      <c r="D83" s="67"/>
      <c r="E83" s="67"/>
      <c r="F83" s="67"/>
      <c r="G83" s="67"/>
      <c r="H83" s="67"/>
      <c r="I83" s="67"/>
      <c r="J83" s="67"/>
      <c r="K83" s="67"/>
      <c r="L83" s="68"/>
      <c r="M83" s="68"/>
      <c r="N83" s="68"/>
      <c r="O83" s="68"/>
      <c r="P83" s="67"/>
      <c r="Q83" s="67"/>
      <c r="R83" s="67"/>
      <c r="S83" s="62"/>
      <c r="T83" s="62"/>
      <c r="U83" s="62"/>
      <c r="V83" s="62"/>
      <c r="W83" s="62"/>
    </row>
    <row r="84" spans="1:23">
      <c r="A84" s="63"/>
      <c r="B84" s="142"/>
      <c r="C84" s="142"/>
      <c r="D84" s="67"/>
      <c r="E84" s="67"/>
      <c r="F84" s="67"/>
      <c r="G84" s="67"/>
      <c r="H84" s="67"/>
      <c r="I84" s="67"/>
      <c r="J84" s="67"/>
      <c r="K84" s="67"/>
      <c r="L84" s="68"/>
      <c r="M84" s="68"/>
      <c r="N84" s="68"/>
      <c r="O84" s="68"/>
      <c r="P84" s="67"/>
      <c r="Q84" s="67"/>
      <c r="R84" s="67"/>
      <c r="S84" s="62"/>
      <c r="T84" s="62"/>
      <c r="U84" s="62"/>
      <c r="V84" s="62"/>
      <c r="W84" s="62"/>
    </row>
    <row r="85" spans="1:23">
      <c r="A85" s="63"/>
      <c r="B85" s="142"/>
      <c r="C85" s="142"/>
      <c r="D85" s="67"/>
      <c r="E85" s="67"/>
      <c r="F85" s="67"/>
      <c r="G85" s="67"/>
      <c r="H85" s="67"/>
      <c r="I85" s="67"/>
      <c r="J85" s="67"/>
      <c r="K85" s="67"/>
      <c r="L85" s="68"/>
      <c r="M85" s="68"/>
      <c r="N85" s="68"/>
      <c r="O85" s="68"/>
      <c r="P85" s="67"/>
      <c r="Q85" s="67"/>
      <c r="R85" s="67"/>
      <c r="S85" s="62"/>
      <c r="T85" s="62"/>
      <c r="U85" s="62"/>
      <c r="V85" s="62"/>
      <c r="W85" s="62"/>
    </row>
    <row r="86" spans="1:23">
      <c r="A86" s="63"/>
      <c r="B86" s="142"/>
      <c r="C86" s="142"/>
      <c r="D86" s="67"/>
      <c r="E86" s="67"/>
      <c r="F86" s="67"/>
      <c r="G86" s="67"/>
      <c r="H86" s="67"/>
      <c r="I86" s="67"/>
      <c r="J86" s="67"/>
      <c r="K86" s="67"/>
      <c r="L86" s="68"/>
      <c r="M86" s="68"/>
      <c r="N86" s="68"/>
      <c r="O86" s="68"/>
      <c r="P86" s="67"/>
      <c r="Q86" s="67"/>
      <c r="R86" s="67"/>
      <c r="S86" s="62"/>
      <c r="T86" s="62"/>
      <c r="U86" s="62"/>
      <c r="V86" s="62"/>
      <c r="W86" s="62"/>
    </row>
    <row r="87" spans="1:23">
      <c r="A87" s="63"/>
      <c r="B87" s="142"/>
      <c r="C87" s="142"/>
      <c r="D87" s="67"/>
      <c r="E87" s="67"/>
      <c r="F87" s="67"/>
      <c r="G87" s="67"/>
      <c r="H87" s="67"/>
      <c r="I87" s="67"/>
      <c r="J87" s="67"/>
      <c r="K87" s="67"/>
      <c r="L87" s="68"/>
      <c r="M87" s="68"/>
      <c r="N87" s="68"/>
      <c r="O87" s="68"/>
      <c r="P87" s="67"/>
      <c r="Q87" s="67"/>
      <c r="R87" s="67"/>
      <c r="S87" s="62"/>
      <c r="T87" s="62"/>
      <c r="U87" s="62"/>
      <c r="V87" s="62"/>
      <c r="W87" s="62"/>
    </row>
    <row r="88" spans="1:23">
      <c r="A88" s="63"/>
      <c r="B88" s="142"/>
      <c r="C88" s="142"/>
      <c r="D88" s="67"/>
      <c r="E88" s="67"/>
      <c r="F88" s="67"/>
      <c r="G88" s="67"/>
      <c r="H88" s="67"/>
      <c r="I88" s="67"/>
      <c r="J88" s="67"/>
      <c r="K88" s="67"/>
      <c r="L88" s="68"/>
      <c r="M88" s="68"/>
      <c r="N88" s="68"/>
      <c r="O88" s="68"/>
      <c r="P88" s="67"/>
      <c r="Q88" s="67"/>
      <c r="R88" s="67"/>
      <c r="S88" s="62"/>
      <c r="T88" s="62"/>
      <c r="U88" s="62"/>
      <c r="V88" s="62"/>
      <c r="W88" s="62"/>
    </row>
    <row r="89" spans="1:23">
      <c r="A89" s="63"/>
      <c r="B89" s="142"/>
      <c r="C89" s="142"/>
      <c r="D89" s="67"/>
      <c r="E89" s="67"/>
      <c r="F89" s="67"/>
      <c r="G89" s="67"/>
      <c r="H89" s="67"/>
      <c r="I89" s="67"/>
      <c r="J89" s="67"/>
      <c r="K89" s="67"/>
      <c r="L89" s="68"/>
      <c r="M89" s="68"/>
      <c r="N89" s="68"/>
      <c r="O89" s="68"/>
      <c r="P89" s="67"/>
      <c r="Q89" s="67"/>
      <c r="R89" s="67"/>
      <c r="S89" s="62"/>
      <c r="T89" s="62"/>
      <c r="U89" s="62"/>
      <c r="V89" s="62"/>
      <c r="W89" s="62"/>
    </row>
    <row r="90" spans="1:23">
      <c r="A90" s="63"/>
      <c r="B90" s="142"/>
      <c r="C90" s="142"/>
      <c r="D90" s="67"/>
      <c r="E90" s="67"/>
      <c r="F90" s="67"/>
      <c r="G90" s="67"/>
      <c r="H90" s="67"/>
      <c r="I90" s="67"/>
      <c r="J90" s="67"/>
      <c r="K90" s="67"/>
      <c r="L90" s="68"/>
      <c r="M90" s="68"/>
      <c r="N90" s="68"/>
      <c r="O90" s="68"/>
      <c r="P90" s="67"/>
      <c r="Q90" s="67"/>
      <c r="R90" s="67"/>
      <c r="S90" s="62"/>
      <c r="T90" s="62"/>
      <c r="U90" s="62"/>
      <c r="V90" s="62"/>
      <c r="W90" s="62"/>
    </row>
    <row r="91" spans="1:23">
      <c r="A91" s="63"/>
      <c r="B91" s="142"/>
      <c r="C91" s="142"/>
      <c r="D91" s="67"/>
      <c r="E91" s="67"/>
      <c r="F91" s="67"/>
      <c r="G91" s="67"/>
      <c r="H91" s="67"/>
      <c r="I91" s="67"/>
      <c r="J91" s="67"/>
      <c r="K91" s="67"/>
      <c r="L91" s="68"/>
      <c r="M91" s="68"/>
      <c r="N91" s="68"/>
      <c r="O91" s="68"/>
      <c r="P91" s="67"/>
      <c r="Q91" s="67"/>
      <c r="R91" s="67"/>
      <c r="S91" s="62"/>
      <c r="T91" s="62"/>
      <c r="U91" s="62"/>
      <c r="V91" s="62"/>
      <c r="W91" s="62"/>
    </row>
    <row r="92" spans="1:23">
      <c r="A92" s="63"/>
      <c r="B92" s="142"/>
      <c r="C92" s="142"/>
      <c r="D92" s="67"/>
      <c r="E92" s="67"/>
      <c r="F92" s="67"/>
      <c r="G92" s="67"/>
      <c r="H92" s="67"/>
      <c r="I92" s="67"/>
      <c r="J92" s="67"/>
      <c r="K92" s="67"/>
      <c r="L92" s="68"/>
      <c r="M92" s="68"/>
      <c r="N92" s="68"/>
      <c r="O92" s="68"/>
      <c r="P92" s="67"/>
      <c r="Q92" s="67"/>
      <c r="R92" s="67"/>
      <c r="S92" s="62"/>
      <c r="T92" s="62"/>
      <c r="U92" s="62"/>
      <c r="V92" s="62"/>
      <c r="W92" s="62"/>
    </row>
    <row r="93" spans="1:23">
      <c r="A93" s="63"/>
      <c r="B93" s="142"/>
      <c r="C93" s="142"/>
      <c r="D93" s="67"/>
      <c r="E93" s="67"/>
      <c r="F93" s="67"/>
      <c r="G93" s="67"/>
      <c r="H93" s="67"/>
      <c r="I93" s="67"/>
      <c r="J93" s="67"/>
      <c r="K93" s="67"/>
      <c r="L93" s="68"/>
      <c r="M93" s="68"/>
      <c r="N93" s="68"/>
      <c r="O93" s="68"/>
      <c r="P93" s="67"/>
      <c r="Q93" s="67"/>
      <c r="R93" s="67"/>
      <c r="S93" s="62"/>
      <c r="T93" s="62"/>
      <c r="U93" s="62"/>
      <c r="V93" s="62"/>
      <c r="W93" s="62"/>
    </row>
    <row r="94" spans="1:23">
      <c r="A94" s="63"/>
      <c r="B94" s="142"/>
      <c r="C94" s="142"/>
      <c r="D94" s="67"/>
      <c r="E94" s="67"/>
      <c r="F94" s="67"/>
      <c r="G94" s="67"/>
      <c r="H94" s="67"/>
      <c r="I94" s="67"/>
      <c r="J94" s="67"/>
      <c r="K94" s="67"/>
      <c r="L94" s="68"/>
      <c r="M94" s="68"/>
      <c r="N94" s="68"/>
      <c r="O94" s="68"/>
      <c r="P94" s="67"/>
      <c r="Q94" s="67"/>
      <c r="R94" s="67"/>
      <c r="S94" s="62"/>
      <c r="T94" s="62"/>
      <c r="U94" s="62"/>
      <c r="V94" s="62"/>
      <c r="W94" s="62"/>
    </row>
    <row r="95" spans="1:23">
      <c r="A95" s="63"/>
      <c r="B95" s="142"/>
      <c r="C95" s="142"/>
      <c r="D95" s="67"/>
      <c r="E95" s="67"/>
      <c r="F95" s="67"/>
      <c r="G95" s="67"/>
      <c r="H95" s="67"/>
      <c r="I95" s="67"/>
      <c r="J95" s="67"/>
      <c r="K95" s="67"/>
      <c r="L95" s="68"/>
      <c r="M95" s="68"/>
      <c r="N95" s="68"/>
      <c r="O95" s="68"/>
      <c r="P95" s="67"/>
      <c r="Q95" s="67"/>
      <c r="R95" s="67"/>
      <c r="S95" s="62"/>
      <c r="T95" s="62"/>
      <c r="U95" s="62"/>
      <c r="V95" s="62"/>
      <c r="W95" s="62"/>
    </row>
    <row r="96" spans="1:23">
      <c r="A96" s="63"/>
      <c r="B96" s="142"/>
      <c r="C96" s="142"/>
      <c r="D96" s="67"/>
      <c r="E96" s="67"/>
      <c r="F96" s="67"/>
      <c r="G96" s="67"/>
      <c r="H96" s="67"/>
      <c r="I96" s="67"/>
      <c r="J96" s="67"/>
      <c r="K96" s="67"/>
      <c r="L96" s="68"/>
      <c r="M96" s="68"/>
      <c r="N96" s="68"/>
      <c r="O96" s="68"/>
      <c r="P96" s="67"/>
      <c r="Q96" s="67"/>
      <c r="R96" s="67"/>
      <c r="S96" s="62"/>
      <c r="T96" s="62"/>
      <c r="U96" s="62"/>
      <c r="V96" s="62"/>
      <c r="W96" s="62"/>
    </row>
    <row r="97" spans="1:23">
      <c r="A97" s="63"/>
      <c r="B97" s="142"/>
      <c r="C97" s="142"/>
      <c r="D97" s="67"/>
      <c r="E97" s="67"/>
      <c r="F97" s="67"/>
      <c r="G97" s="67"/>
      <c r="H97" s="67"/>
      <c r="I97" s="67"/>
      <c r="J97" s="67"/>
      <c r="K97" s="67"/>
      <c r="L97" s="68"/>
      <c r="M97" s="68"/>
      <c r="N97" s="68"/>
      <c r="O97" s="68"/>
      <c r="P97" s="67"/>
      <c r="Q97" s="67"/>
      <c r="R97" s="67"/>
      <c r="S97" s="62"/>
      <c r="T97" s="62"/>
      <c r="U97" s="62"/>
      <c r="V97" s="62"/>
      <c r="W97" s="62"/>
    </row>
    <row r="98" spans="1:23">
      <c r="A98" s="63"/>
      <c r="B98" s="142"/>
      <c r="C98" s="142"/>
      <c r="D98" s="67"/>
      <c r="E98" s="67"/>
      <c r="F98" s="67"/>
      <c r="G98" s="67"/>
      <c r="H98" s="67"/>
      <c r="I98" s="67"/>
      <c r="J98" s="67"/>
      <c r="K98" s="67"/>
      <c r="L98" s="68"/>
      <c r="M98" s="68"/>
      <c r="N98" s="68"/>
      <c r="O98" s="68"/>
      <c r="P98" s="67"/>
      <c r="Q98" s="67"/>
      <c r="R98" s="67"/>
      <c r="S98" s="62"/>
      <c r="T98" s="62"/>
      <c r="U98" s="62"/>
      <c r="V98" s="62"/>
      <c r="W98" s="62"/>
    </row>
    <row r="99" spans="1:23">
      <c r="A99" s="63"/>
      <c r="B99" s="142"/>
      <c r="C99" s="142"/>
      <c r="D99" s="67"/>
      <c r="E99" s="67"/>
      <c r="F99" s="67"/>
      <c r="G99" s="67"/>
      <c r="H99" s="67"/>
      <c r="I99" s="67"/>
      <c r="J99" s="67"/>
      <c r="K99" s="67"/>
      <c r="L99" s="68"/>
      <c r="M99" s="68"/>
      <c r="N99" s="68"/>
      <c r="O99" s="68"/>
      <c r="P99" s="67"/>
      <c r="Q99" s="67"/>
      <c r="R99" s="67"/>
      <c r="S99" s="62"/>
      <c r="T99" s="62"/>
      <c r="U99" s="62"/>
      <c r="V99" s="62"/>
      <c r="W99" s="62"/>
    </row>
    <row r="100" spans="1:23">
      <c r="A100" s="63"/>
      <c r="B100" s="142"/>
      <c r="C100" s="142"/>
      <c r="D100" s="67"/>
      <c r="E100" s="67"/>
      <c r="F100" s="67"/>
      <c r="G100" s="67"/>
      <c r="H100" s="67"/>
      <c r="I100" s="67"/>
      <c r="J100" s="67"/>
      <c r="K100" s="67"/>
      <c r="L100" s="68"/>
      <c r="M100" s="68"/>
      <c r="N100" s="68"/>
      <c r="O100" s="68"/>
      <c r="P100" s="67"/>
      <c r="Q100" s="67"/>
      <c r="R100" s="67"/>
      <c r="S100" s="62"/>
      <c r="T100" s="62"/>
      <c r="U100" s="62"/>
      <c r="V100" s="62"/>
      <c r="W100" s="62"/>
    </row>
    <row r="101" spans="1:23">
      <c r="A101" s="63"/>
      <c r="B101" s="142"/>
      <c r="C101" s="142"/>
      <c r="D101" s="67"/>
      <c r="E101" s="67"/>
      <c r="F101" s="67"/>
      <c r="G101" s="67"/>
      <c r="H101" s="67"/>
      <c r="I101" s="67"/>
      <c r="J101" s="67"/>
      <c r="K101" s="67"/>
      <c r="L101" s="68"/>
      <c r="M101" s="68"/>
      <c r="N101" s="68"/>
      <c r="O101" s="68"/>
      <c r="P101" s="67"/>
      <c r="Q101" s="67"/>
      <c r="R101" s="67"/>
      <c r="S101" s="62"/>
      <c r="T101" s="62"/>
      <c r="U101" s="62"/>
      <c r="V101" s="62"/>
      <c r="W101" s="62"/>
    </row>
    <row r="102" spans="1:23">
      <c r="A102" s="63"/>
      <c r="B102" s="142"/>
      <c r="C102" s="142"/>
      <c r="D102" s="67"/>
      <c r="E102" s="67"/>
      <c r="F102" s="67"/>
      <c r="G102" s="67"/>
      <c r="H102" s="67"/>
      <c r="I102" s="67"/>
      <c r="J102" s="67"/>
      <c r="K102" s="67"/>
      <c r="L102" s="68"/>
      <c r="M102" s="68"/>
      <c r="N102" s="68"/>
      <c r="O102" s="68"/>
      <c r="P102" s="67"/>
      <c r="Q102" s="67"/>
      <c r="R102" s="67"/>
      <c r="S102" s="62"/>
      <c r="T102" s="62"/>
      <c r="U102" s="62"/>
      <c r="V102" s="62"/>
      <c r="W102" s="62"/>
    </row>
    <row r="103" spans="1:23">
      <c r="A103" s="63"/>
      <c r="B103" s="142"/>
      <c r="C103" s="142"/>
      <c r="D103" s="67"/>
      <c r="E103" s="67"/>
      <c r="F103" s="67"/>
      <c r="G103" s="67"/>
      <c r="H103" s="67"/>
      <c r="I103" s="67"/>
      <c r="J103" s="67"/>
      <c r="K103" s="67"/>
      <c r="L103" s="68"/>
      <c r="M103" s="68"/>
      <c r="N103" s="68"/>
      <c r="O103" s="68"/>
      <c r="P103" s="67"/>
      <c r="Q103" s="67"/>
      <c r="R103" s="67"/>
      <c r="S103" s="62"/>
      <c r="T103" s="62"/>
      <c r="U103" s="62"/>
      <c r="V103" s="62"/>
      <c r="W103" s="62"/>
    </row>
    <row r="104" spans="1:23">
      <c r="A104" s="63"/>
      <c r="B104" s="142"/>
      <c r="C104" s="142"/>
      <c r="D104" s="67"/>
      <c r="E104" s="67"/>
      <c r="F104" s="67"/>
      <c r="G104" s="67"/>
      <c r="H104" s="67"/>
      <c r="I104" s="67"/>
      <c r="J104" s="67"/>
      <c r="K104" s="67"/>
      <c r="L104" s="68"/>
      <c r="M104" s="68"/>
      <c r="N104" s="68"/>
      <c r="O104" s="68"/>
      <c r="P104" s="67"/>
      <c r="Q104" s="67"/>
      <c r="R104" s="67"/>
      <c r="S104" s="62"/>
      <c r="T104" s="62"/>
      <c r="U104" s="62"/>
      <c r="V104" s="62"/>
      <c r="W104" s="62"/>
    </row>
    <row r="105" spans="1:23">
      <c r="A105" s="63"/>
      <c r="B105" s="142"/>
      <c r="C105" s="142"/>
      <c r="D105" s="67"/>
      <c r="E105" s="67"/>
      <c r="F105" s="67"/>
      <c r="G105" s="67"/>
      <c r="H105" s="67"/>
      <c r="I105" s="67"/>
      <c r="J105" s="67"/>
      <c r="K105" s="67"/>
      <c r="L105" s="68"/>
      <c r="M105" s="68"/>
      <c r="N105" s="68"/>
      <c r="O105" s="68"/>
      <c r="P105" s="67"/>
      <c r="Q105" s="67"/>
      <c r="R105" s="67"/>
      <c r="S105" s="62"/>
      <c r="T105" s="62"/>
      <c r="U105" s="62"/>
      <c r="V105" s="62"/>
      <c r="W105" s="62"/>
    </row>
    <row r="106" spans="1:23">
      <c r="A106" s="63"/>
      <c r="B106" s="142"/>
      <c r="C106" s="142"/>
      <c r="D106" s="67"/>
      <c r="E106" s="67"/>
      <c r="F106" s="67"/>
      <c r="G106" s="67"/>
      <c r="H106" s="67"/>
      <c r="I106" s="67"/>
      <c r="J106" s="67"/>
      <c r="K106" s="67"/>
      <c r="L106" s="68"/>
      <c r="M106" s="68"/>
      <c r="N106" s="68"/>
      <c r="O106" s="68"/>
      <c r="P106" s="67"/>
      <c r="Q106" s="67"/>
      <c r="R106" s="67"/>
      <c r="S106" s="62"/>
      <c r="T106" s="62"/>
      <c r="U106" s="62"/>
      <c r="V106" s="62"/>
      <c r="W106" s="62"/>
    </row>
    <row r="107" spans="1:23">
      <c r="A107" s="63"/>
      <c r="B107" s="142"/>
      <c r="C107" s="142"/>
      <c r="D107" s="67"/>
      <c r="E107" s="67"/>
      <c r="F107" s="67"/>
      <c r="G107" s="67"/>
      <c r="H107" s="67"/>
      <c r="I107" s="67"/>
      <c r="J107" s="67"/>
      <c r="K107" s="67"/>
      <c r="L107" s="68"/>
      <c r="M107" s="68"/>
      <c r="N107" s="68"/>
      <c r="O107" s="68"/>
      <c r="P107" s="67"/>
      <c r="Q107" s="67"/>
      <c r="R107" s="67"/>
      <c r="S107" s="62"/>
      <c r="T107" s="62"/>
      <c r="U107" s="62"/>
      <c r="V107" s="62"/>
      <c r="W107" s="62"/>
    </row>
    <row r="108" spans="1:23">
      <c r="A108" s="63"/>
      <c r="B108" s="142"/>
      <c r="C108" s="142"/>
      <c r="D108" s="67"/>
      <c r="E108" s="67"/>
      <c r="F108" s="67"/>
      <c r="G108" s="67"/>
      <c r="H108" s="67"/>
      <c r="I108" s="67"/>
      <c r="J108" s="67"/>
      <c r="K108" s="67"/>
      <c r="L108" s="68"/>
      <c r="M108" s="68"/>
      <c r="N108" s="68"/>
      <c r="O108" s="68"/>
      <c r="P108" s="67"/>
      <c r="Q108" s="67"/>
      <c r="R108" s="67"/>
      <c r="S108" s="62"/>
      <c r="T108" s="62"/>
      <c r="U108" s="62"/>
      <c r="V108" s="62"/>
      <c r="W108" s="62"/>
    </row>
    <row r="109" spans="1:23">
      <c r="A109" s="63"/>
      <c r="B109" s="142"/>
      <c r="C109" s="142"/>
      <c r="D109" s="67"/>
      <c r="E109" s="67"/>
      <c r="F109" s="67"/>
      <c r="G109" s="67"/>
      <c r="H109" s="67"/>
      <c r="I109" s="67"/>
      <c r="J109" s="67"/>
      <c r="K109" s="67"/>
      <c r="L109" s="68"/>
      <c r="M109" s="68"/>
      <c r="N109" s="68"/>
      <c r="O109" s="68"/>
      <c r="P109" s="67"/>
      <c r="Q109" s="67"/>
      <c r="R109" s="67"/>
      <c r="S109" s="62"/>
      <c r="T109" s="62"/>
      <c r="U109" s="62"/>
      <c r="V109" s="62"/>
      <c r="W109" s="62"/>
    </row>
    <row r="110" spans="1:23">
      <c r="A110" s="62"/>
      <c r="B110" s="142"/>
      <c r="C110" s="142"/>
      <c r="D110" s="67"/>
      <c r="E110" s="67"/>
      <c r="F110" s="67"/>
      <c r="G110" s="67"/>
      <c r="H110" s="67"/>
      <c r="I110" s="67"/>
      <c r="J110" s="67"/>
      <c r="K110" s="67"/>
      <c r="L110" s="68"/>
      <c r="M110" s="68"/>
      <c r="N110" s="68"/>
      <c r="O110" s="68"/>
      <c r="P110" s="67"/>
      <c r="Q110" s="67"/>
      <c r="R110" s="67"/>
      <c r="S110" s="62"/>
      <c r="T110" s="62"/>
      <c r="U110" s="62"/>
      <c r="V110" s="62"/>
      <c r="W110" s="62"/>
    </row>
    <row r="111" spans="1:23">
      <c r="A111" s="62"/>
      <c r="B111" s="62"/>
      <c r="C111" s="62"/>
      <c r="D111" s="62"/>
      <c r="E111" s="62"/>
      <c r="F111" s="62"/>
      <c r="G111" s="62"/>
      <c r="H111" s="62"/>
      <c r="I111" s="62"/>
      <c r="J111" s="62"/>
      <c r="K111" s="62"/>
      <c r="L111" s="62"/>
      <c r="M111" s="62"/>
      <c r="N111" s="62"/>
      <c r="O111" s="62"/>
      <c r="P111" s="62"/>
      <c r="Q111" s="62"/>
      <c r="R111" s="62"/>
      <c r="S111" s="62"/>
      <c r="T111" s="62"/>
      <c r="U111" s="62"/>
      <c r="V111" s="62"/>
      <c r="W111" s="62"/>
    </row>
    <row r="112" spans="1:23">
      <c r="A112" s="62"/>
      <c r="B112" s="62"/>
      <c r="C112" s="62"/>
      <c r="D112" s="62"/>
      <c r="E112" s="62"/>
      <c r="F112" s="62"/>
      <c r="G112" s="62"/>
      <c r="H112" s="62"/>
      <c r="I112" s="62"/>
      <c r="J112" s="62"/>
      <c r="K112" s="62"/>
      <c r="L112" s="62"/>
      <c r="M112" s="62"/>
      <c r="N112" s="62"/>
      <c r="O112" s="62"/>
      <c r="P112" s="62"/>
      <c r="Q112" s="62"/>
      <c r="R112" s="62"/>
      <c r="S112" s="62"/>
      <c r="T112" s="62"/>
      <c r="U112" s="62"/>
      <c r="V112" s="62"/>
      <c r="W112" s="62"/>
    </row>
    <row r="113" spans="1:23">
      <c r="A113" s="62"/>
      <c r="B113" s="62"/>
      <c r="C113" s="62"/>
      <c r="D113" s="62"/>
      <c r="E113" s="62"/>
      <c r="F113" s="62"/>
      <c r="G113" s="62"/>
      <c r="H113" s="62"/>
      <c r="I113" s="62"/>
      <c r="J113" s="62"/>
      <c r="K113" s="62"/>
      <c r="L113" s="62"/>
      <c r="M113" s="62"/>
      <c r="N113" s="62"/>
      <c r="O113" s="62"/>
      <c r="P113" s="62"/>
      <c r="Q113" s="62"/>
      <c r="R113" s="62"/>
      <c r="S113" s="62"/>
      <c r="T113" s="62"/>
      <c r="U113" s="62"/>
      <c r="V113" s="62"/>
      <c r="W113" s="62"/>
    </row>
    <row r="114" spans="1:23">
      <c r="A114" s="62"/>
      <c r="B114" s="62"/>
      <c r="C114" s="62"/>
      <c r="D114" s="62"/>
      <c r="E114" s="62"/>
      <c r="F114" s="62"/>
      <c r="G114" s="62"/>
      <c r="H114" s="62"/>
      <c r="I114" s="62"/>
      <c r="J114" s="62"/>
      <c r="K114" s="62"/>
      <c r="L114" s="62"/>
      <c r="M114" s="62"/>
      <c r="N114" s="62"/>
      <c r="O114" s="62"/>
      <c r="P114" s="62"/>
      <c r="Q114" s="62"/>
      <c r="R114" s="62"/>
      <c r="S114" s="62"/>
      <c r="T114" s="62"/>
      <c r="U114" s="62"/>
      <c r="V114" s="62"/>
      <c r="W114" s="62"/>
    </row>
    <row r="115" spans="1:23">
      <c r="A115" s="62"/>
      <c r="B115" s="62"/>
      <c r="C115" s="62"/>
      <c r="D115" s="62"/>
      <c r="E115" s="62"/>
      <c r="F115" s="62"/>
      <c r="G115" s="62"/>
      <c r="H115" s="62"/>
      <c r="I115" s="62"/>
      <c r="J115" s="62"/>
      <c r="K115" s="62"/>
      <c r="L115" s="62"/>
      <c r="M115" s="62"/>
      <c r="N115" s="62"/>
      <c r="O115" s="62"/>
      <c r="P115" s="62"/>
      <c r="Q115" s="62"/>
      <c r="R115" s="62"/>
      <c r="S115" s="62"/>
      <c r="T115" s="62"/>
      <c r="U115" s="62"/>
      <c r="V115" s="62"/>
      <c r="W115" s="62"/>
    </row>
    <row r="137" spans="12:12">
      <c r="L137" s="16">
        <f>SUM(L15:L136)</f>
        <v>52800</v>
      </c>
    </row>
  </sheetData>
  <pageMargins left="0.7" right="0.7" top="0.75" bottom="0.75" header="0.3" footer="0.3"/>
  <pageSetup paperSize="9" orientation="landscape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>
  <dimension ref="A5:W137"/>
  <sheetViews>
    <sheetView workbookViewId="0">
      <selection activeCell="B9" sqref="B9"/>
    </sheetView>
  </sheetViews>
  <sheetFormatPr defaultRowHeight="14.4"/>
  <cols>
    <col min="1" max="1" width="7.88671875" style="1" customWidth="1"/>
    <col min="2" max="2" width="22" style="1" customWidth="1"/>
    <col min="3" max="3" width="7.77734375" style="1" customWidth="1"/>
    <col min="4" max="4" width="4.77734375" style="1" customWidth="1"/>
    <col min="5" max="5" width="9.88671875" style="1" customWidth="1"/>
    <col min="6" max="6" width="7.6640625" style="1" customWidth="1"/>
    <col min="7" max="7" width="6.6640625" style="1" customWidth="1"/>
    <col min="8" max="8" width="7.44140625" style="1" customWidth="1"/>
    <col min="9" max="9" width="5.88671875" style="1" customWidth="1"/>
    <col min="10" max="10" width="6" style="1" customWidth="1"/>
    <col min="11" max="11" width="8.44140625" style="1" customWidth="1"/>
    <col min="12" max="12" width="8.21875" style="1" customWidth="1"/>
    <col min="13" max="13" width="7.33203125" style="1" customWidth="1"/>
    <col min="14" max="18" width="8.88671875" style="1"/>
    <col min="19" max="19" width="16.21875" style="1" customWidth="1"/>
    <col min="20" max="16384" width="8.88671875" style="1"/>
  </cols>
  <sheetData>
    <row r="5" spans="1:23" ht="20.399999999999999">
      <c r="A5" s="58" t="s">
        <v>3</v>
      </c>
      <c r="B5" s="58" t="s">
        <v>4</v>
      </c>
      <c r="C5" s="58" t="s">
        <v>5</v>
      </c>
      <c r="D5" s="58" t="s">
        <v>6</v>
      </c>
      <c r="E5" s="58" t="s">
        <v>37</v>
      </c>
      <c r="F5" s="58" t="s">
        <v>7</v>
      </c>
      <c r="G5" s="58" t="s">
        <v>8</v>
      </c>
      <c r="H5" s="58" t="s">
        <v>9</v>
      </c>
      <c r="I5" s="58" t="s">
        <v>10</v>
      </c>
      <c r="J5" s="59" t="s">
        <v>18</v>
      </c>
      <c r="K5" s="59" t="s">
        <v>17</v>
      </c>
      <c r="L5" s="58" t="s">
        <v>11</v>
      </c>
      <c r="M5" s="58" t="s">
        <v>36</v>
      </c>
      <c r="N5" s="58" t="s">
        <v>12</v>
      </c>
      <c r="O5" s="58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125</v>
      </c>
    </row>
    <row r="6" spans="1:23">
      <c r="A6" s="63"/>
      <c r="B6" s="209"/>
      <c r="C6" s="209"/>
      <c r="D6" s="209"/>
      <c r="E6" s="209"/>
      <c r="F6" s="209"/>
      <c r="G6" s="209"/>
      <c r="H6" s="209"/>
      <c r="I6" s="209"/>
      <c r="J6" s="209"/>
      <c r="K6" s="209"/>
      <c r="L6" s="61"/>
      <c r="M6" s="61"/>
      <c r="N6" s="209"/>
      <c r="O6" s="62"/>
      <c r="P6" s="62"/>
      <c r="Q6" s="62"/>
      <c r="R6" s="62"/>
      <c r="S6" s="62"/>
      <c r="U6" s="17"/>
    </row>
    <row r="7" spans="1:23">
      <c r="A7" s="53" t="s">
        <v>1749</v>
      </c>
      <c r="B7" s="42" t="s">
        <v>1754</v>
      </c>
      <c r="C7" s="42" t="s">
        <v>88</v>
      </c>
      <c r="D7" s="42" t="s">
        <v>16</v>
      </c>
      <c r="E7" s="42" t="s">
        <v>1755</v>
      </c>
      <c r="F7" s="42">
        <v>0</v>
      </c>
      <c r="G7" s="42"/>
      <c r="H7" s="42">
        <v>15000</v>
      </c>
      <c r="I7" s="42">
        <v>300</v>
      </c>
      <c r="J7" s="42">
        <v>0.5</v>
      </c>
      <c r="K7" s="42">
        <f t="shared" ref="K7" si="0">I7*J7</f>
        <v>150</v>
      </c>
      <c r="L7" s="43">
        <f t="shared" ref="L7" si="1">H7-K7</f>
        <v>14850</v>
      </c>
      <c r="M7" s="43"/>
      <c r="N7" s="43">
        <f t="shared" ref="N7" si="2">L7-M7</f>
        <v>14850</v>
      </c>
      <c r="O7" s="43">
        <f t="shared" ref="O7" si="3">H7/1000*70</f>
        <v>1050</v>
      </c>
      <c r="P7" s="210">
        <v>0</v>
      </c>
      <c r="Q7" s="103"/>
      <c r="R7" s="42">
        <f t="shared" ref="R7" si="4">L7*Q7</f>
        <v>0</v>
      </c>
      <c r="S7" s="42"/>
      <c r="T7" s="62"/>
      <c r="U7" s="62"/>
      <c r="V7" s="62"/>
      <c r="W7" s="62"/>
    </row>
    <row r="8" spans="1:23">
      <c r="A8" s="53"/>
      <c r="B8" s="42"/>
      <c r="C8" s="42"/>
      <c r="D8" s="42"/>
      <c r="E8" s="42"/>
      <c r="F8" s="42"/>
      <c r="G8" s="42"/>
      <c r="H8" s="42"/>
      <c r="I8" s="42"/>
      <c r="J8" s="42"/>
      <c r="K8" s="42"/>
      <c r="L8" s="43"/>
      <c r="M8" s="43"/>
      <c r="N8" s="43"/>
      <c r="O8" s="43"/>
      <c r="P8" s="210"/>
      <c r="Q8" s="210"/>
      <c r="R8" s="42"/>
      <c r="S8" s="42"/>
      <c r="T8" s="62"/>
      <c r="U8" s="62"/>
      <c r="V8" s="62"/>
      <c r="W8" s="62"/>
    </row>
    <row r="9" spans="1:23">
      <c r="A9" s="53"/>
      <c r="B9" s="42"/>
      <c r="C9" s="42"/>
      <c r="D9" s="42"/>
      <c r="E9" s="42"/>
      <c r="F9" s="42"/>
      <c r="G9" s="42"/>
      <c r="H9" s="42"/>
      <c r="I9" s="42"/>
      <c r="J9" s="42"/>
      <c r="K9" s="42"/>
      <c r="L9" s="43"/>
      <c r="M9" s="43"/>
      <c r="N9" s="43"/>
      <c r="O9" s="43"/>
      <c r="P9" s="210"/>
      <c r="Q9" s="210"/>
      <c r="R9" s="42"/>
      <c r="S9" s="62"/>
      <c r="T9" s="62"/>
      <c r="U9" s="62"/>
      <c r="V9" s="62"/>
      <c r="W9" s="62"/>
    </row>
    <row r="10" spans="1:23">
      <c r="A10" s="150"/>
      <c r="B10" s="42"/>
      <c r="C10" s="42"/>
      <c r="D10" s="42"/>
      <c r="E10" s="42"/>
      <c r="F10" s="42"/>
      <c r="G10" s="42"/>
      <c r="H10" s="42"/>
      <c r="I10" s="42"/>
      <c r="J10" s="42"/>
      <c r="K10" s="42"/>
      <c r="L10" s="43"/>
      <c r="M10" s="43"/>
      <c r="N10" s="43"/>
      <c r="O10" s="43"/>
      <c r="P10" s="42"/>
      <c r="Q10" s="42"/>
      <c r="R10" s="42"/>
      <c r="S10" s="62"/>
      <c r="T10" s="62"/>
      <c r="U10" s="62"/>
      <c r="V10" s="62"/>
      <c r="W10" s="62"/>
    </row>
    <row r="11" spans="1:23">
      <c r="A11" s="181"/>
      <c r="B11" s="42"/>
      <c r="C11" s="42"/>
      <c r="D11" s="42"/>
      <c r="E11" s="42"/>
      <c r="F11" s="42"/>
      <c r="G11" s="42"/>
      <c r="H11" s="42"/>
      <c r="I11" s="42"/>
      <c r="J11" s="42"/>
      <c r="K11" s="42"/>
      <c r="L11" s="43"/>
      <c r="M11" s="43"/>
      <c r="N11" s="43"/>
      <c r="O11" s="43"/>
      <c r="P11" s="42"/>
      <c r="Q11" s="42"/>
      <c r="R11" s="42"/>
      <c r="S11" s="62"/>
      <c r="T11" s="62"/>
      <c r="U11" s="62"/>
      <c r="V11" s="62"/>
      <c r="W11" s="62"/>
    </row>
    <row r="12" spans="1:23">
      <c r="A12" s="181"/>
      <c r="B12" s="42"/>
      <c r="C12" s="42"/>
      <c r="D12" s="42"/>
      <c r="E12" s="42"/>
      <c r="F12" s="42"/>
      <c r="G12" s="42"/>
      <c r="H12" s="42"/>
      <c r="I12" s="42"/>
      <c r="J12" s="42"/>
      <c r="K12" s="42"/>
      <c r="L12" s="43"/>
      <c r="M12" s="43"/>
      <c r="N12" s="43"/>
      <c r="O12" s="43"/>
      <c r="P12" s="42"/>
      <c r="Q12" s="42"/>
      <c r="R12" s="42"/>
      <c r="S12" s="62"/>
      <c r="T12" s="62"/>
      <c r="U12" s="62"/>
      <c r="V12" s="62"/>
      <c r="W12" s="62"/>
    </row>
    <row r="13" spans="1:23">
      <c r="A13" s="62"/>
      <c r="B13" s="67"/>
      <c r="C13" s="67"/>
      <c r="D13" s="67"/>
      <c r="E13" s="67"/>
      <c r="F13" s="67"/>
      <c r="G13" s="67"/>
      <c r="H13" s="67"/>
      <c r="I13" s="67"/>
      <c r="J13" s="67"/>
      <c r="K13" s="67"/>
      <c r="L13" s="68"/>
      <c r="M13" s="68"/>
      <c r="N13" s="68"/>
      <c r="O13" s="68"/>
      <c r="P13" s="67"/>
      <c r="Q13" s="67"/>
      <c r="R13" s="62"/>
      <c r="S13" s="62"/>
      <c r="T13" s="62"/>
      <c r="U13" s="62"/>
      <c r="V13" s="62"/>
      <c r="W13" s="62"/>
    </row>
    <row r="14" spans="1:23">
      <c r="A14" s="62"/>
      <c r="B14" s="67"/>
      <c r="C14" s="67"/>
      <c r="D14" s="67"/>
      <c r="E14" s="67"/>
      <c r="F14" s="67"/>
      <c r="G14" s="67"/>
      <c r="H14" s="67"/>
      <c r="I14" s="67"/>
      <c r="J14" s="67"/>
      <c r="K14" s="67"/>
      <c r="L14" s="68"/>
      <c r="M14" s="68"/>
      <c r="N14" s="68"/>
      <c r="O14" s="68"/>
      <c r="P14" s="67"/>
      <c r="Q14" s="67"/>
      <c r="R14" s="62"/>
      <c r="S14" s="62"/>
      <c r="T14" s="62"/>
      <c r="U14" s="62"/>
      <c r="V14" s="62"/>
      <c r="W14" s="62"/>
    </row>
    <row r="15" spans="1:23">
      <c r="A15" s="21"/>
      <c r="B15" s="67"/>
      <c r="C15" s="67"/>
      <c r="D15" s="67"/>
      <c r="E15" s="142"/>
      <c r="F15" s="67"/>
      <c r="G15" s="67"/>
      <c r="H15" s="67"/>
      <c r="I15" s="67"/>
      <c r="J15" s="67"/>
      <c r="K15" s="67"/>
      <c r="L15" s="68"/>
      <c r="M15" s="68"/>
      <c r="N15" s="68"/>
      <c r="O15" s="68"/>
      <c r="P15" s="67"/>
      <c r="Q15" s="62"/>
      <c r="R15" s="62"/>
      <c r="S15" s="62"/>
      <c r="T15" s="62"/>
      <c r="U15" s="62"/>
      <c r="V15" s="62"/>
      <c r="W15" s="62"/>
    </row>
    <row r="16" spans="1:23">
      <c r="A16" s="21"/>
      <c r="B16" s="209"/>
      <c r="C16" s="209"/>
      <c r="D16" s="209"/>
      <c r="E16" s="209"/>
      <c r="F16" s="209"/>
      <c r="G16" s="209"/>
      <c r="H16" s="209"/>
      <c r="I16" s="209"/>
      <c r="J16" s="67"/>
      <c r="K16" s="61"/>
      <c r="L16" s="65"/>
      <c r="M16" s="61"/>
      <c r="N16" s="208"/>
      <c r="O16" s="62"/>
      <c r="P16" s="62"/>
      <c r="Q16" s="62"/>
      <c r="R16" s="62"/>
      <c r="S16" s="62"/>
      <c r="T16" s="62"/>
      <c r="U16" s="62"/>
      <c r="V16" s="62"/>
      <c r="W16" s="62"/>
    </row>
    <row r="17" spans="1:23">
      <c r="A17" s="63"/>
      <c r="B17" s="67"/>
      <c r="C17" s="67"/>
      <c r="D17" s="67"/>
      <c r="E17" s="142"/>
      <c r="F17" s="67"/>
      <c r="G17" s="67"/>
      <c r="H17" s="67"/>
      <c r="I17" s="67"/>
      <c r="J17" s="67"/>
      <c r="K17" s="68"/>
      <c r="L17" s="68"/>
      <c r="M17" s="68"/>
      <c r="N17" s="68"/>
      <c r="O17" s="68"/>
      <c r="P17" s="67"/>
      <c r="Q17" s="62"/>
      <c r="R17" s="62"/>
      <c r="S17" s="62"/>
      <c r="T17" s="62"/>
      <c r="U17" s="62"/>
      <c r="V17" s="62"/>
      <c r="W17" s="62"/>
    </row>
    <row r="18" spans="1:23">
      <c r="A18" s="63"/>
      <c r="B18" s="67"/>
      <c r="C18" s="67"/>
      <c r="D18" s="67"/>
      <c r="E18" s="142"/>
      <c r="F18" s="67"/>
      <c r="G18" s="67"/>
      <c r="H18" s="67"/>
      <c r="I18" s="67"/>
      <c r="J18" s="67"/>
      <c r="K18" s="67"/>
      <c r="L18" s="68"/>
      <c r="M18" s="68"/>
      <c r="N18" s="68"/>
      <c r="O18" s="68"/>
      <c r="P18" s="67"/>
      <c r="Q18" s="62"/>
      <c r="R18" s="62"/>
      <c r="S18" s="62"/>
      <c r="T18" s="62"/>
      <c r="U18" s="62"/>
      <c r="V18" s="62"/>
      <c r="W18" s="62"/>
    </row>
    <row r="19" spans="1:23">
      <c r="A19" s="150"/>
      <c r="B19" s="67"/>
      <c r="C19" s="67"/>
      <c r="D19" s="67"/>
      <c r="E19" s="67"/>
      <c r="F19" s="67"/>
      <c r="G19" s="67"/>
      <c r="H19" s="67"/>
      <c r="I19" s="67"/>
      <c r="J19" s="67"/>
      <c r="K19" s="68"/>
      <c r="L19" s="68"/>
      <c r="M19" s="68"/>
      <c r="N19" s="68"/>
      <c r="O19" s="68"/>
      <c r="P19" s="67"/>
      <c r="Q19" s="67"/>
      <c r="R19" s="67"/>
      <c r="S19" s="62"/>
      <c r="T19" s="62"/>
      <c r="U19" s="62"/>
      <c r="V19" s="62"/>
      <c r="W19" s="62"/>
    </row>
    <row r="20" spans="1:23">
      <c r="A20" s="150"/>
      <c r="B20" s="67"/>
      <c r="C20" s="67"/>
      <c r="D20" s="67"/>
      <c r="E20" s="67"/>
      <c r="F20" s="67"/>
      <c r="G20" s="67"/>
      <c r="H20" s="67"/>
      <c r="I20" s="67"/>
      <c r="J20" s="67"/>
      <c r="K20" s="67"/>
      <c r="L20" s="68"/>
      <c r="M20" s="68"/>
      <c r="N20" s="68"/>
      <c r="O20" s="68"/>
      <c r="P20" s="67"/>
      <c r="Q20" s="67"/>
      <c r="R20" s="67"/>
      <c r="S20" s="62"/>
      <c r="T20" s="62"/>
      <c r="U20" s="62"/>
      <c r="V20" s="62"/>
      <c r="W20" s="62"/>
    </row>
    <row r="21" spans="1:23">
      <c r="A21" s="21"/>
      <c r="B21" s="67"/>
      <c r="C21" s="67"/>
      <c r="D21" s="67"/>
      <c r="E21" s="67"/>
      <c r="F21" s="67"/>
      <c r="G21" s="67"/>
      <c r="H21" s="67"/>
      <c r="I21" s="67"/>
      <c r="J21" s="67"/>
      <c r="K21" s="67"/>
      <c r="L21" s="68"/>
      <c r="M21" s="68"/>
      <c r="N21" s="68"/>
      <c r="O21" s="68"/>
      <c r="P21" s="67"/>
      <c r="Q21" s="67"/>
      <c r="R21" s="62"/>
      <c r="S21" s="62"/>
      <c r="T21" s="62"/>
      <c r="U21" s="62"/>
      <c r="V21" s="62"/>
      <c r="W21" s="62"/>
    </row>
    <row r="22" spans="1:23">
      <c r="A22" s="62"/>
      <c r="B22" s="67"/>
      <c r="C22" s="67"/>
      <c r="D22" s="67"/>
      <c r="E22" s="67"/>
      <c r="F22" s="67"/>
      <c r="G22" s="67"/>
      <c r="H22" s="67"/>
      <c r="I22" s="67"/>
      <c r="J22" s="67"/>
      <c r="K22" s="68"/>
      <c r="L22" s="68"/>
      <c r="M22" s="68"/>
      <c r="N22" s="68"/>
      <c r="O22" s="68"/>
      <c r="P22" s="67"/>
      <c r="Q22" s="67"/>
      <c r="R22" s="62"/>
      <c r="S22" s="62"/>
      <c r="T22" s="62"/>
      <c r="U22" s="62"/>
      <c r="V22" s="62"/>
      <c r="W22" s="62"/>
    </row>
    <row r="23" spans="1:23">
      <c r="A23" s="63"/>
      <c r="B23" s="67"/>
      <c r="C23" s="67"/>
      <c r="D23" s="67"/>
      <c r="E23" s="67"/>
      <c r="F23" s="67"/>
      <c r="G23" s="67"/>
      <c r="H23" s="67"/>
      <c r="I23" s="67"/>
      <c r="J23" s="67"/>
      <c r="K23" s="68"/>
      <c r="L23" s="68">
        <f>SUM(L7:L22)</f>
        <v>14850</v>
      </c>
      <c r="M23" s="68"/>
      <c r="N23" s="68"/>
      <c r="O23" s="68"/>
      <c r="P23" s="67"/>
      <c r="Q23" s="62"/>
      <c r="R23" s="62"/>
      <c r="S23" s="62"/>
      <c r="T23" s="62"/>
      <c r="U23" s="62"/>
      <c r="V23" s="62"/>
      <c r="W23" s="62"/>
    </row>
    <row r="24" spans="1:23">
      <c r="A24" s="63"/>
      <c r="B24" s="67"/>
      <c r="C24" s="67"/>
      <c r="D24" s="67"/>
      <c r="E24" s="67"/>
      <c r="F24" s="67"/>
      <c r="G24" s="67"/>
      <c r="H24" s="67"/>
      <c r="I24" s="67"/>
      <c r="J24" s="67"/>
      <c r="K24" s="67"/>
      <c r="L24" s="68"/>
      <c r="M24" s="68"/>
      <c r="N24" s="68"/>
      <c r="O24" s="68"/>
      <c r="P24" s="67"/>
      <c r="Q24" s="62"/>
      <c r="R24" s="62"/>
      <c r="S24" s="62"/>
      <c r="T24" s="62"/>
      <c r="U24" s="62"/>
      <c r="V24" s="62"/>
      <c r="W24" s="62"/>
    </row>
    <row r="25" spans="1:23">
      <c r="A25" s="63"/>
      <c r="B25" s="67"/>
      <c r="C25" s="67"/>
      <c r="D25" s="67"/>
      <c r="E25" s="67"/>
      <c r="F25" s="67"/>
      <c r="G25" s="67"/>
      <c r="H25" s="67"/>
      <c r="I25" s="67"/>
      <c r="J25" s="67"/>
      <c r="K25" s="68"/>
      <c r="L25" s="68"/>
      <c r="M25" s="68"/>
      <c r="N25" s="68"/>
      <c r="O25" s="68"/>
      <c r="P25" s="67"/>
      <c r="Q25" s="62"/>
      <c r="R25" s="62"/>
      <c r="S25" s="62"/>
      <c r="T25" s="62"/>
      <c r="U25" s="62"/>
      <c r="V25" s="62"/>
      <c r="W25" s="62"/>
    </row>
    <row r="26" spans="1:23">
      <c r="A26" s="63"/>
      <c r="B26" s="67"/>
      <c r="C26" s="67"/>
      <c r="D26" s="67"/>
      <c r="E26" s="67"/>
      <c r="F26" s="67"/>
      <c r="G26" s="67"/>
      <c r="H26" s="67"/>
      <c r="I26" s="67"/>
      <c r="J26" s="67"/>
      <c r="K26" s="68"/>
      <c r="L26" s="68"/>
      <c r="M26" s="68"/>
      <c r="N26" s="68"/>
      <c r="O26" s="68"/>
      <c r="P26" s="67"/>
      <c r="Q26" s="62"/>
      <c r="R26" s="62"/>
      <c r="S26" s="62"/>
      <c r="T26" s="62"/>
      <c r="U26" s="62"/>
      <c r="V26" s="62"/>
      <c r="W26" s="62"/>
    </row>
    <row r="27" spans="1:23">
      <c r="A27" s="63"/>
      <c r="B27" s="67"/>
      <c r="C27" s="67"/>
      <c r="D27" s="67"/>
      <c r="E27" s="67"/>
      <c r="F27" s="67"/>
      <c r="G27" s="67"/>
      <c r="H27" s="67"/>
      <c r="I27" s="67"/>
      <c r="J27" s="67"/>
      <c r="K27" s="67"/>
      <c r="L27" s="68"/>
      <c r="M27" s="68"/>
      <c r="N27" s="68"/>
      <c r="O27" s="68"/>
      <c r="P27" s="67"/>
      <c r="Q27" s="62"/>
      <c r="R27" s="62"/>
      <c r="S27" s="62"/>
      <c r="T27" s="62"/>
      <c r="U27" s="62"/>
      <c r="V27" s="62"/>
      <c r="W27" s="62"/>
    </row>
    <row r="28" spans="1:23">
      <c r="A28" s="63"/>
      <c r="B28" s="67"/>
      <c r="C28" s="67"/>
      <c r="D28" s="67"/>
      <c r="E28" s="67"/>
      <c r="F28" s="67"/>
      <c r="G28" s="67"/>
      <c r="H28" s="67"/>
      <c r="I28" s="67"/>
      <c r="J28" s="67"/>
      <c r="K28" s="67"/>
      <c r="L28" s="68"/>
      <c r="M28" s="68"/>
      <c r="N28" s="68"/>
      <c r="O28" s="68"/>
      <c r="P28" s="67"/>
      <c r="Q28" s="62"/>
      <c r="R28" s="62"/>
      <c r="S28" s="62"/>
      <c r="T28" s="62"/>
      <c r="U28" s="62"/>
      <c r="V28" s="62"/>
      <c r="W28" s="62"/>
    </row>
    <row r="29" spans="1:23">
      <c r="A29" s="63"/>
      <c r="B29" s="67"/>
      <c r="C29" s="67"/>
      <c r="D29" s="67"/>
      <c r="E29" s="67"/>
      <c r="F29" s="67"/>
      <c r="G29" s="67"/>
      <c r="H29" s="67"/>
      <c r="I29" s="67"/>
      <c r="J29" s="67"/>
      <c r="K29" s="67"/>
      <c r="L29" s="68"/>
      <c r="M29" s="68"/>
      <c r="N29" s="68"/>
      <c r="O29" s="68"/>
      <c r="P29" s="67"/>
      <c r="Q29" s="62"/>
      <c r="R29" s="62"/>
      <c r="S29" s="62"/>
      <c r="T29" s="62"/>
      <c r="U29" s="62"/>
      <c r="V29" s="62"/>
      <c r="W29" s="62"/>
    </row>
    <row r="30" spans="1:23">
      <c r="A30" s="63"/>
      <c r="B30" s="67"/>
      <c r="C30" s="67"/>
      <c r="D30" s="67"/>
      <c r="E30" s="67"/>
      <c r="F30" s="67"/>
      <c r="G30" s="67"/>
      <c r="H30" s="67"/>
      <c r="I30" s="67"/>
      <c r="J30" s="67"/>
      <c r="K30" s="68"/>
      <c r="L30" s="68"/>
      <c r="M30" s="68"/>
      <c r="N30" s="68"/>
      <c r="O30" s="68"/>
      <c r="P30" s="67"/>
      <c r="Q30" s="62"/>
      <c r="R30" s="62"/>
      <c r="S30" s="62"/>
      <c r="T30" s="62"/>
      <c r="U30" s="62"/>
      <c r="V30" s="62"/>
      <c r="W30" s="62"/>
    </row>
    <row r="31" spans="1:23">
      <c r="A31" s="63"/>
      <c r="B31" s="67"/>
      <c r="C31" s="67"/>
      <c r="D31" s="67"/>
      <c r="E31" s="67"/>
      <c r="F31" s="67"/>
      <c r="G31" s="67"/>
      <c r="H31" s="67"/>
      <c r="I31" s="67"/>
      <c r="J31" s="67"/>
      <c r="K31" s="67"/>
      <c r="L31" s="68"/>
      <c r="M31" s="68"/>
      <c r="N31" s="68"/>
      <c r="O31" s="68"/>
      <c r="P31" s="67"/>
      <c r="Q31" s="62"/>
      <c r="R31" s="62"/>
      <c r="S31" s="62"/>
      <c r="T31" s="62"/>
      <c r="U31" s="62"/>
      <c r="V31" s="62"/>
      <c r="W31" s="62"/>
    </row>
    <row r="32" spans="1:23">
      <c r="A32" s="63"/>
      <c r="B32" s="67"/>
      <c r="C32" s="67"/>
      <c r="D32" s="67"/>
      <c r="E32" s="67"/>
      <c r="F32" s="67"/>
      <c r="G32" s="67"/>
      <c r="H32" s="67"/>
      <c r="I32" s="67"/>
      <c r="J32" s="67"/>
      <c r="K32" s="68"/>
      <c r="L32" s="68"/>
      <c r="M32" s="68"/>
      <c r="N32" s="68"/>
      <c r="O32" s="68"/>
      <c r="P32" s="67"/>
      <c r="Q32" s="62"/>
      <c r="R32" s="62"/>
      <c r="S32" s="62"/>
      <c r="T32" s="62"/>
      <c r="U32" s="62"/>
      <c r="V32" s="62"/>
      <c r="W32" s="62"/>
    </row>
    <row r="33" spans="1:23">
      <c r="A33" s="63"/>
      <c r="B33" s="67"/>
      <c r="C33" s="67"/>
      <c r="D33" s="67"/>
      <c r="E33" s="67"/>
      <c r="F33" s="67"/>
      <c r="G33" s="67"/>
      <c r="H33" s="67"/>
      <c r="I33" s="67"/>
      <c r="J33" s="67"/>
      <c r="K33" s="67"/>
      <c r="L33" s="68"/>
      <c r="M33" s="68"/>
      <c r="N33" s="68"/>
      <c r="O33" s="68"/>
      <c r="P33" s="67"/>
      <c r="Q33" s="62"/>
      <c r="R33" s="62"/>
      <c r="S33" s="62"/>
      <c r="T33" s="62"/>
      <c r="U33" s="62"/>
      <c r="V33" s="62"/>
      <c r="W33" s="62"/>
    </row>
    <row r="34" spans="1:23">
      <c r="A34" s="63"/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8"/>
      <c r="M34" s="68"/>
      <c r="N34" s="68"/>
      <c r="O34" s="68"/>
      <c r="P34" s="67"/>
      <c r="Q34" s="62"/>
      <c r="R34" s="62"/>
      <c r="S34" s="62"/>
      <c r="T34" s="62"/>
      <c r="U34" s="62"/>
      <c r="V34" s="62"/>
      <c r="W34" s="62"/>
    </row>
    <row r="35" spans="1:23">
      <c r="A35" s="63"/>
      <c r="B35" s="67"/>
      <c r="C35" s="67"/>
      <c r="D35" s="67"/>
      <c r="E35" s="67"/>
      <c r="F35" s="67"/>
      <c r="G35" s="67"/>
      <c r="H35" s="67"/>
      <c r="I35" s="67"/>
      <c r="J35" s="67"/>
      <c r="K35" s="68"/>
      <c r="L35" s="68"/>
      <c r="M35" s="68"/>
      <c r="N35" s="68"/>
      <c r="O35" s="68"/>
      <c r="P35" s="67"/>
      <c r="Q35" s="62"/>
      <c r="R35" s="62"/>
      <c r="S35" s="62"/>
      <c r="T35" s="62"/>
      <c r="U35" s="62"/>
      <c r="V35" s="62"/>
      <c r="W35" s="62"/>
    </row>
    <row r="36" spans="1:23">
      <c r="A36" s="63"/>
      <c r="B36" s="67"/>
      <c r="C36" s="67"/>
      <c r="D36" s="67"/>
      <c r="E36" s="67"/>
      <c r="F36" s="67"/>
      <c r="G36" s="67"/>
      <c r="H36" s="67"/>
      <c r="I36" s="67"/>
      <c r="J36" s="67"/>
      <c r="K36" s="68"/>
      <c r="L36" s="68"/>
      <c r="M36" s="68"/>
      <c r="N36" s="68"/>
      <c r="O36" s="68"/>
      <c r="P36" s="67"/>
      <c r="Q36" s="62"/>
      <c r="R36" s="62"/>
      <c r="S36" s="62"/>
      <c r="T36" s="62"/>
      <c r="U36" s="62"/>
      <c r="V36" s="62"/>
      <c r="W36" s="62"/>
    </row>
    <row r="37" spans="1:23">
      <c r="A37" s="63"/>
      <c r="B37" s="67"/>
      <c r="C37" s="67"/>
      <c r="D37" s="67"/>
      <c r="E37" s="67"/>
      <c r="F37" s="67"/>
      <c r="G37" s="67"/>
      <c r="H37" s="67"/>
      <c r="I37" s="67"/>
      <c r="J37" s="67"/>
      <c r="K37" s="68"/>
      <c r="L37" s="68"/>
      <c r="M37" s="68"/>
      <c r="N37" s="68"/>
      <c r="O37" s="68"/>
      <c r="P37" s="67"/>
      <c r="Q37" s="62"/>
      <c r="R37" s="62"/>
      <c r="S37" s="62"/>
      <c r="T37" s="62"/>
      <c r="U37" s="62"/>
      <c r="V37" s="62"/>
      <c r="W37" s="62"/>
    </row>
    <row r="38" spans="1:23">
      <c r="A38" s="63"/>
      <c r="B38" s="67"/>
      <c r="C38" s="67"/>
      <c r="D38" s="67"/>
      <c r="E38" s="67"/>
      <c r="F38" s="67"/>
      <c r="G38" s="67"/>
      <c r="H38" s="67"/>
      <c r="I38" s="67"/>
      <c r="J38" s="67"/>
      <c r="K38" s="68"/>
      <c r="L38" s="68"/>
      <c r="M38" s="68"/>
      <c r="N38" s="68"/>
      <c r="O38" s="68"/>
      <c r="P38" s="67"/>
      <c r="Q38" s="62"/>
      <c r="R38" s="62"/>
      <c r="S38" s="62"/>
      <c r="T38" s="62"/>
      <c r="U38" s="62"/>
      <c r="V38" s="62"/>
      <c r="W38" s="62"/>
    </row>
    <row r="39" spans="1:23">
      <c r="A39" s="63"/>
      <c r="B39" s="67"/>
      <c r="C39" s="67"/>
      <c r="D39" s="67"/>
      <c r="E39" s="67"/>
      <c r="F39" s="67"/>
      <c r="G39" s="67"/>
      <c r="H39" s="67"/>
      <c r="I39" s="67"/>
      <c r="J39" s="67"/>
      <c r="K39" s="68"/>
      <c r="L39" s="68"/>
      <c r="M39" s="68"/>
      <c r="N39" s="68"/>
      <c r="O39" s="68"/>
      <c r="P39" s="67"/>
      <c r="Q39" s="62"/>
      <c r="R39" s="62"/>
      <c r="S39" s="62"/>
      <c r="T39" s="62"/>
      <c r="U39" s="62"/>
      <c r="V39" s="62"/>
      <c r="W39" s="62"/>
    </row>
    <row r="40" spans="1:23">
      <c r="A40" s="63"/>
      <c r="B40" s="67"/>
      <c r="C40" s="67"/>
      <c r="D40" s="67"/>
      <c r="E40" s="67"/>
      <c r="F40" s="67"/>
      <c r="G40" s="67"/>
      <c r="H40" s="67"/>
      <c r="I40" s="67"/>
      <c r="J40" s="67"/>
      <c r="K40" s="68"/>
      <c r="L40" s="68"/>
      <c r="M40" s="68"/>
      <c r="N40" s="68"/>
      <c r="O40" s="68"/>
      <c r="P40" s="67"/>
      <c r="Q40" s="62"/>
      <c r="R40" s="62"/>
      <c r="S40" s="62"/>
      <c r="T40" s="62"/>
      <c r="U40" s="62"/>
      <c r="V40" s="62"/>
      <c r="W40" s="62"/>
    </row>
    <row r="41" spans="1:23">
      <c r="A41" s="63"/>
      <c r="B41" s="67"/>
      <c r="C41" s="67"/>
      <c r="D41" s="67"/>
      <c r="E41" s="67"/>
      <c r="F41" s="67"/>
      <c r="G41" s="67"/>
      <c r="H41" s="67"/>
      <c r="I41" s="67"/>
      <c r="J41" s="67"/>
      <c r="K41" s="68"/>
      <c r="L41" s="68"/>
      <c r="M41" s="68"/>
      <c r="N41" s="68"/>
      <c r="O41" s="68"/>
      <c r="P41" s="67"/>
      <c r="Q41" s="62"/>
      <c r="R41" s="62"/>
      <c r="S41" s="62"/>
      <c r="T41" s="62"/>
      <c r="U41" s="62"/>
      <c r="V41" s="62"/>
      <c r="W41" s="62"/>
    </row>
    <row r="42" spans="1:23">
      <c r="A42" s="63"/>
      <c r="B42" s="67"/>
      <c r="C42" s="67"/>
      <c r="D42" s="67"/>
      <c r="E42" s="67"/>
      <c r="F42" s="67"/>
      <c r="G42" s="67"/>
      <c r="H42" s="67"/>
      <c r="I42" s="67"/>
      <c r="J42" s="67"/>
      <c r="K42" s="68"/>
      <c r="L42" s="68"/>
      <c r="M42" s="68"/>
      <c r="N42" s="68"/>
      <c r="O42" s="68"/>
      <c r="P42" s="67"/>
      <c r="Q42" s="62"/>
      <c r="R42" s="62"/>
      <c r="S42" s="62"/>
      <c r="T42" s="62"/>
      <c r="U42" s="62"/>
      <c r="V42" s="62"/>
      <c r="W42" s="62"/>
    </row>
    <row r="43" spans="1:23">
      <c r="A43" s="63"/>
      <c r="B43" s="67"/>
      <c r="C43" s="67"/>
      <c r="D43" s="67"/>
      <c r="E43" s="67"/>
      <c r="F43" s="67"/>
      <c r="G43" s="67"/>
      <c r="H43" s="67"/>
      <c r="I43" s="67"/>
      <c r="J43" s="67"/>
      <c r="K43" s="68"/>
      <c r="L43" s="68"/>
      <c r="M43" s="68"/>
      <c r="N43" s="68"/>
      <c r="O43" s="68"/>
      <c r="P43" s="67"/>
      <c r="Q43" s="62"/>
      <c r="R43" s="62"/>
      <c r="S43" s="62"/>
      <c r="T43" s="62"/>
      <c r="U43" s="62"/>
      <c r="V43" s="62"/>
      <c r="W43" s="62"/>
    </row>
    <row r="44" spans="1:23">
      <c r="A44" s="63"/>
      <c r="B44" s="67"/>
      <c r="C44" s="67"/>
      <c r="D44" s="67"/>
      <c r="E44" s="67"/>
      <c r="F44" s="67"/>
      <c r="G44" s="67"/>
      <c r="H44" s="67"/>
      <c r="I44" s="67"/>
      <c r="J44" s="67"/>
      <c r="K44" s="68"/>
      <c r="L44" s="68"/>
      <c r="M44" s="68"/>
      <c r="N44" s="68"/>
      <c r="O44" s="68"/>
      <c r="P44" s="67"/>
      <c r="Q44" s="62"/>
      <c r="R44" s="62"/>
      <c r="S44" s="62"/>
      <c r="T44" s="62"/>
      <c r="U44" s="62"/>
      <c r="V44" s="62"/>
      <c r="W44" s="62"/>
    </row>
    <row r="45" spans="1:23">
      <c r="A45" s="63"/>
      <c r="B45" s="67"/>
      <c r="C45" s="67"/>
      <c r="D45" s="67"/>
      <c r="E45" s="67"/>
      <c r="F45" s="98"/>
      <c r="G45" s="98"/>
      <c r="H45" s="98"/>
      <c r="I45" s="98"/>
      <c r="J45" s="98"/>
      <c r="K45" s="68"/>
      <c r="L45" s="68"/>
      <c r="M45" s="68"/>
      <c r="N45" s="68"/>
      <c r="O45" s="68"/>
      <c r="P45" s="99"/>
      <c r="Q45" s="62"/>
      <c r="R45" s="62"/>
      <c r="S45" s="62"/>
      <c r="T45" s="62"/>
      <c r="U45" s="62"/>
      <c r="V45" s="62"/>
      <c r="W45" s="62"/>
    </row>
    <row r="46" spans="1:23">
      <c r="A46" s="63"/>
      <c r="B46" s="67"/>
      <c r="C46" s="67"/>
      <c r="D46" s="67"/>
      <c r="E46" s="67"/>
      <c r="F46" s="67"/>
      <c r="G46" s="67"/>
      <c r="H46" s="67"/>
      <c r="I46" s="67"/>
      <c r="J46" s="67"/>
      <c r="K46" s="68"/>
      <c r="L46" s="68"/>
      <c r="M46" s="68"/>
      <c r="N46" s="68"/>
      <c r="O46" s="68"/>
      <c r="P46" s="67"/>
      <c r="Q46" s="62"/>
      <c r="R46" s="62"/>
      <c r="S46" s="62"/>
      <c r="T46" s="62"/>
      <c r="U46" s="62"/>
      <c r="V46" s="62"/>
      <c r="W46" s="62"/>
    </row>
    <row r="47" spans="1:23">
      <c r="A47" s="63"/>
      <c r="B47" s="67"/>
      <c r="C47" s="67"/>
      <c r="D47" s="67"/>
      <c r="E47" s="67"/>
      <c r="F47" s="67"/>
      <c r="G47" s="67"/>
      <c r="H47" s="67"/>
      <c r="I47" s="67"/>
      <c r="J47" s="67"/>
      <c r="K47" s="68"/>
      <c r="L47" s="68"/>
      <c r="M47" s="68"/>
      <c r="N47" s="68"/>
      <c r="O47" s="68"/>
      <c r="P47" s="67"/>
      <c r="Q47" s="62"/>
      <c r="R47" s="62"/>
      <c r="S47" s="62"/>
      <c r="T47" s="62"/>
      <c r="U47" s="62"/>
      <c r="V47" s="62"/>
      <c r="W47" s="62"/>
    </row>
    <row r="48" spans="1:23">
      <c r="A48" s="63"/>
      <c r="B48" s="67"/>
      <c r="C48" s="67"/>
      <c r="D48" s="67"/>
      <c r="E48" s="67"/>
      <c r="F48" s="67"/>
      <c r="G48" s="67"/>
      <c r="H48" s="67"/>
      <c r="I48" s="67"/>
      <c r="J48" s="67"/>
      <c r="K48" s="68"/>
      <c r="L48" s="68"/>
      <c r="M48" s="68"/>
      <c r="N48" s="68"/>
      <c r="O48" s="68"/>
      <c r="P48" s="67"/>
      <c r="Q48" s="62"/>
      <c r="R48" s="62"/>
      <c r="S48" s="62"/>
      <c r="T48" s="62"/>
      <c r="U48" s="62"/>
      <c r="V48" s="62"/>
      <c r="W48" s="62"/>
    </row>
    <row r="49" spans="1:23">
      <c r="A49" s="63"/>
      <c r="B49" s="67"/>
      <c r="C49" s="67"/>
      <c r="D49" s="67"/>
      <c r="E49" s="67"/>
      <c r="F49" s="67"/>
      <c r="G49" s="67"/>
      <c r="H49" s="67"/>
      <c r="I49" s="67"/>
      <c r="J49" s="67"/>
      <c r="K49" s="68"/>
      <c r="L49" s="68"/>
      <c r="M49" s="68"/>
      <c r="N49" s="68"/>
      <c r="O49" s="68"/>
      <c r="P49" s="67"/>
      <c r="Q49" s="62"/>
      <c r="R49" s="62"/>
      <c r="S49" s="62"/>
      <c r="T49" s="62"/>
      <c r="U49" s="62"/>
      <c r="V49" s="62"/>
      <c r="W49" s="62"/>
    </row>
    <row r="50" spans="1:23">
      <c r="A50" s="63"/>
      <c r="B50" s="67"/>
      <c r="C50" s="67"/>
      <c r="D50" s="67"/>
      <c r="E50" s="67"/>
      <c r="F50" s="67"/>
      <c r="G50" s="67"/>
      <c r="H50" s="67"/>
      <c r="I50" s="67"/>
      <c r="J50" s="67"/>
      <c r="K50" s="68"/>
      <c r="L50" s="68"/>
      <c r="M50" s="68"/>
      <c r="N50" s="68"/>
      <c r="O50" s="68"/>
      <c r="P50" s="67"/>
      <c r="Q50" s="62"/>
      <c r="R50" s="62"/>
      <c r="S50" s="62"/>
      <c r="T50" s="62"/>
      <c r="U50" s="62"/>
      <c r="V50" s="62"/>
      <c r="W50" s="62"/>
    </row>
    <row r="51" spans="1:23">
      <c r="A51" s="63"/>
      <c r="B51" s="67"/>
      <c r="C51" s="67"/>
      <c r="D51" s="67"/>
      <c r="E51" s="67"/>
      <c r="F51" s="67"/>
      <c r="G51" s="67"/>
      <c r="H51" s="67"/>
      <c r="I51" s="67"/>
      <c r="J51" s="67"/>
      <c r="K51" s="68"/>
      <c r="L51" s="68"/>
      <c r="M51" s="68"/>
      <c r="N51" s="68"/>
      <c r="O51" s="68"/>
      <c r="P51" s="67"/>
      <c r="Q51" s="62"/>
      <c r="R51" s="62"/>
      <c r="S51" s="62"/>
      <c r="T51" s="62"/>
      <c r="U51" s="62"/>
      <c r="V51" s="62"/>
      <c r="W51" s="62"/>
    </row>
    <row r="52" spans="1:23">
      <c r="A52" s="63"/>
      <c r="B52" s="67"/>
      <c r="C52" s="67"/>
      <c r="D52" s="67"/>
      <c r="E52" s="67"/>
      <c r="F52" s="67"/>
      <c r="G52" s="67"/>
      <c r="H52" s="67"/>
      <c r="I52" s="67"/>
      <c r="J52" s="67"/>
      <c r="K52" s="68"/>
      <c r="L52" s="68"/>
      <c r="M52" s="68"/>
      <c r="N52" s="68"/>
      <c r="O52" s="68"/>
      <c r="P52" s="149"/>
      <c r="Q52" s="62"/>
      <c r="R52" s="62"/>
      <c r="S52" s="62"/>
      <c r="T52" s="62"/>
      <c r="U52" s="62"/>
      <c r="V52" s="62"/>
      <c r="W52" s="62"/>
    </row>
    <row r="53" spans="1:23">
      <c r="A53" s="63"/>
      <c r="B53" s="67"/>
      <c r="C53" s="67"/>
      <c r="D53" s="67"/>
      <c r="E53" s="67"/>
      <c r="F53" s="67"/>
      <c r="G53" s="67"/>
      <c r="H53" s="67"/>
      <c r="I53" s="67"/>
      <c r="J53" s="67"/>
      <c r="K53" s="68"/>
      <c r="L53" s="68"/>
      <c r="M53" s="68"/>
      <c r="N53" s="68"/>
      <c r="O53" s="68"/>
      <c r="P53" s="149"/>
      <c r="Q53" s="62"/>
      <c r="R53" s="62"/>
      <c r="S53" s="62"/>
      <c r="T53" s="62"/>
      <c r="U53" s="62"/>
      <c r="V53" s="62"/>
      <c r="W53" s="62"/>
    </row>
    <row r="54" spans="1:23">
      <c r="A54" s="63"/>
      <c r="B54" s="67"/>
      <c r="C54" s="67"/>
      <c r="D54" s="67"/>
      <c r="E54" s="67"/>
      <c r="F54" s="67"/>
      <c r="G54" s="67"/>
      <c r="H54" s="67"/>
      <c r="I54" s="67"/>
      <c r="J54" s="67"/>
      <c r="K54" s="68"/>
      <c r="L54" s="68"/>
      <c r="M54" s="68"/>
      <c r="N54" s="68"/>
      <c r="O54" s="68"/>
      <c r="P54" s="149"/>
      <c r="Q54" s="62"/>
      <c r="R54" s="62"/>
      <c r="S54" s="62"/>
      <c r="T54" s="62"/>
      <c r="U54" s="62"/>
      <c r="V54" s="62"/>
      <c r="W54" s="62"/>
    </row>
    <row r="55" spans="1:23">
      <c r="A55" s="63"/>
      <c r="B55" s="67"/>
      <c r="C55" s="67"/>
      <c r="D55" s="67"/>
      <c r="E55" s="67"/>
      <c r="F55" s="67"/>
      <c r="G55" s="67"/>
      <c r="H55" s="67"/>
      <c r="I55" s="67"/>
      <c r="J55" s="67"/>
      <c r="K55" s="68"/>
      <c r="L55" s="68"/>
      <c r="M55" s="68"/>
      <c r="N55" s="68"/>
      <c r="O55" s="68"/>
      <c r="P55" s="149"/>
      <c r="Q55" s="62"/>
      <c r="R55" s="62"/>
      <c r="S55" s="62"/>
      <c r="T55" s="62"/>
      <c r="U55" s="62"/>
      <c r="V55" s="62"/>
      <c r="W55" s="62"/>
    </row>
    <row r="56" spans="1:23">
      <c r="A56" s="63"/>
      <c r="B56" s="67"/>
      <c r="C56" s="67"/>
      <c r="D56" s="67"/>
      <c r="E56" s="67"/>
      <c r="F56" s="67"/>
      <c r="G56" s="67"/>
      <c r="H56" s="67"/>
      <c r="I56" s="67"/>
      <c r="J56" s="67"/>
      <c r="K56" s="68"/>
      <c r="L56" s="68"/>
      <c r="M56" s="68"/>
      <c r="N56" s="68"/>
      <c r="O56" s="68"/>
      <c r="P56" s="149"/>
      <c r="Q56" s="62"/>
      <c r="R56" s="62"/>
      <c r="S56" s="62"/>
      <c r="T56" s="62"/>
      <c r="U56" s="62"/>
      <c r="V56" s="62"/>
      <c r="W56" s="62"/>
    </row>
    <row r="57" spans="1:23">
      <c r="A57" s="63"/>
      <c r="B57" s="67"/>
      <c r="C57" s="67"/>
      <c r="D57" s="67"/>
      <c r="E57" s="67"/>
      <c r="F57" s="67"/>
      <c r="G57" s="67"/>
      <c r="H57" s="67"/>
      <c r="I57" s="67"/>
      <c r="J57" s="67"/>
      <c r="K57" s="68"/>
      <c r="L57" s="68"/>
      <c r="M57" s="68"/>
      <c r="N57" s="68"/>
      <c r="O57" s="68"/>
      <c r="P57" s="149"/>
      <c r="Q57" s="62"/>
      <c r="R57" s="62"/>
      <c r="S57" s="62"/>
      <c r="T57" s="62"/>
      <c r="U57" s="62"/>
      <c r="V57" s="62"/>
      <c r="W57" s="62"/>
    </row>
    <row r="58" spans="1:23">
      <c r="A58" s="63"/>
      <c r="B58" s="67"/>
      <c r="C58" s="67"/>
      <c r="D58" s="67"/>
      <c r="E58" s="67"/>
      <c r="F58" s="67"/>
      <c r="G58" s="67"/>
      <c r="H58" s="67"/>
      <c r="I58" s="67"/>
      <c r="J58" s="67"/>
      <c r="K58" s="68"/>
      <c r="L58" s="68"/>
      <c r="M58" s="68"/>
      <c r="N58" s="68"/>
      <c r="O58" s="68"/>
      <c r="P58" s="67"/>
      <c r="Q58" s="67"/>
      <c r="R58" s="67"/>
      <c r="S58" s="62"/>
      <c r="T58" s="62"/>
      <c r="U58" s="62"/>
      <c r="V58" s="62"/>
      <c r="W58" s="62"/>
    </row>
    <row r="59" spans="1:23">
      <c r="A59" s="63"/>
      <c r="B59" s="67"/>
      <c r="C59" s="67"/>
      <c r="D59" s="67"/>
      <c r="E59" s="67"/>
      <c r="F59" s="67"/>
      <c r="G59" s="67"/>
      <c r="H59" s="67"/>
      <c r="I59" s="67"/>
      <c r="J59" s="67"/>
      <c r="K59" s="68"/>
      <c r="L59" s="68"/>
      <c r="M59" s="68"/>
      <c r="N59" s="68"/>
      <c r="O59" s="68"/>
      <c r="P59" s="67"/>
      <c r="Q59" s="67"/>
      <c r="R59" s="67"/>
      <c r="S59" s="62"/>
      <c r="T59" s="62"/>
      <c r="U59" s="62"/>
      <c r="V59" s="62"/>
      <c r="W59" s="62"/>
    </row>
    <row r="60" spans="1:23">
      <c r="A60" s="63"/>
      <c r="B60" s="67"/>
      <c r="C60" s="67"/>
      <c r="D60" s="67"/>
      <c r="E60" s="67"/>
      <c r="F60" s="67"/>
      <c r="G60" s="67"/>
      <c r="H60" s="67"/>
      <c r="I60" s="67"/>
      <c r="J60" s="67"/>
      <c r="K60" s="68"/>
      <c r="L60" s="68"/>
      <c r="M60" s="68"/>
      <c r="N60" s="68"/>
      <c r="O60" s="68"/>
      <c r="P60" s="67"/>
      <c r="Q60" s="67"/>
      <c r="R60" s="67"/>
      <c r="S60" s="62"/>
      <c r="T60" s="62"/>
      <c r="U60" s="62"/>
      <c r="V60" s="62"/>
      <c r="W60" s="62"/>
    </row>
    <row r="61" spans="1:23">
      <c r="A61" s="63"/>
      <c r="B61" s="67"/>
      <c r="C61" s="67"/>
      <c r="D61" s="67"/>
      <c r="E61" s="67"/>
      <c r="F61" s="67"/>
      <c r="G61" s="67"/>
      <c r="H61" s="67"/>
      <c r="I61" s="67"/>
      <c r="J61" s="67"/>
      <c r="K61" s="68"/>
      <c r="L61" s="68"/>
      <c r="M61" s="68"/>
      <c r="N61" s="68"/>
      <c r="O61" s="68"/>
      <c r="P61" s="67"/>
      <c r="Q61" s="67"/>
      <c r="R61" s="67"/>
      <c r="S61" s="62"/>
      <c r="T61" s="62"/>
      <c r="U61" s="62"/>
      <c r="V61" s="62"/>
      <c r="W61" s="62"/>
    </row>
    <row r="62" spans="1:23">
      <c r="A62" s="63"/>
      <c r="B62" s="67"/>
      <c r="C62" s="67"/>
      <c r="D62" s="67"/>
      <c r="E62" s="67"/>
      <c r="F62" s="67"/>
      <c r="G62" s="67"/>
      <c r="H62" s="67"/>
      <c r="I62" s="67"/>
      <c r="J62" s="67"/>
      <c r="K62" s="68"/>
      <c r="L62" s="68"/>
      <c r="M62" s="68"/>
      <c r="N62" s="68"/>
      <c r="O62" s="68"/>
      <c r="P62" s="67"/>
      <c r="Q62" s="67"/>
      <c r="R62" s="67"/>
      <c r="S62" s="62"/>
      <c r="T62" s="62"/>
      <c r="U62" s="62"/>
      <c r="V62" s="62"/>
      <c r="W62" s="62"/>
    </row>
    <row r="63" spans="1:23">
      <c r="A63" s="63"/>
      <c r="B63" s="67"/>
      <c r="C63" s="67"/>
      <c r="D63" s="67"/>
      <c r="E63" s="67"/>
      <c r="F63" s="67"/>
      <c r="G63" s="67"/>
      <c r="H63" s="67"/>
      <c r="I63" s="67"/>
      <c r="J63" s="67"/>
      <c r="K63" s="68"/>
      <c r="L63" s="68"/>
      <c r="M63" s="68"/>
      <c r="N63" s="68"/>
      <c r="O63" s="68"/>
      <c r="P63" s="67"/>
      <c r="Q63" s="67"/>
      <c r="R63" s="67"/>
      <c r="S63" s="62"/>
      <c r="T63" s="62"/>
      <c r="U63" s="62"/>
      <c r="V63" s="62"/>
      <c r="W63" s="62"/>
    </row>
    <row r="64" spans="1:23">
      <c r="A64" s="63"/>
      <c r="B64" s="67"/>
      <c r="C64" s="67"/>
      <c r="D64" s="67"/>
      <c r="E64" s="67"/>
      <c r="F64" s="67"/>
      <c r="G64" s="67"/>
      <c r="H64" s="67"/>
      <c r="I64" s="67"/>
      <c r="J64" s="67"/>
      <c r="K64" s="68"/>
      <c r="L64" s="68"/>
      <c r="M64" s="68"/>
      <c r="N64" s="68"/>
      <c r="O64" s="68"/>
      <c r="P64" s="67"/>
      <c r="Q64" s="67"/>
      <c r="R64" s="67"/>
      <c r="S64" s="62"/>
      <c r="T64" s="62"/>
      <c r="U64" s="62"/>
      <c r="V64" s="62"/>
      <c r="W64" s="62"/>
    </row>
    <row r="65" spans="1:23">
      <c r="A65" s="63"/>
      <c r="B65" s="67"/>
      <c r="C65" s="67"/>
      <c r="D65" s="67"/>
      <c r="E65" s="67"/>
      <c r="F65" s="67"/>
      <c r="G65" s="67"/>
      <c r="H65" s="67"/>
      <c r="I65" s="67"/>
      <c r="J65" s="67"/>
      <c r="K65" s="68"/>
      <c r="L65" s="68"/>
      <c r="M65" s="68"/>
      <c r="N65" s="68"/>
      <c r="O65" s="68"/>
      <c r="P65" s="149"/>
      <c r="Q65" s="67"/>
      <c r="R65" s="67"/>
      <c r="S65" s="62"/>
      <c r="T65" s="62"/>
      <c r="U65" s="62"/>
      <c r="V65" s="62"/>
      <c r="W65" s="62"/>
    </row>
    <row r="66" spans="1:23">
      <c r="A66" s="63"/>
      <c r="B66" s="67"/>
      <c r="C66" s="67"/>
      <c r="D66" s="67"/>
      <c r="E66" s="67"/>
      <c r="F66" s="67"/>
      <c r="G66" s="67"/>
      <c r="H66" s="67"/>
      <c r="I66" s="67"/>
      <c r="J66" s="67"/>
      <c r="K66" s="67"/>
      <c r="L66" s="68"/>
      <c r="M66" s="68"/>
      <c r="N66" s="68"/>
      <c r="O66" s="68"/>
      <c r="P66" s="67"/>
      <c r="Q66" s="67"/>
      <c r="R66" s="67"/>
      <c r="S66" s="62"/>
      <c r="T66" s="62"/>
      <c r="U66" s="62"/>
      <c r="V66" s="62"/>
      <c r="W66" s="62"/>
    </row>
    <row r="67" spans="1:23">
      <c r="A67" s="63"/>
      <c r="B67" s="67"/>
      <c r="C67" s="67"/>
      <c r="D67" s="67"/>
      <c r="E67" s="67"/>
      <c r="F67" s="67"/>
      <c r="G67" s="67"/>
      <c r="H67" s="67"/>
      <c r="I67" s="67"/>
      <c r="J67" s="67"/>
      <c r="K67" s="67"/>
      <c r="L67" s="68"/>
      <c r="M67" s="68"/>
      <c r="N67" s="68"/>
      <c r="O67" s="68"/>
      <c r="P67" s="67"/>
      <c r="Q67" s="67"/>
      <c r="R67" s="67"/>
      <c r="S67" s="62"/>
      <c r="T67" s="62"/>
      <c r="U67" s="62"/>
      <c r="V67" s="62"/>
      <c r="W67" s="62"/>
    </row>
    <row r="68" spans="1:23">
      <c r="A68" s="63"/>
      <c r="B68" s="67"/>
      <c r="C68" s="67"/>
      <c r="D68" s="67"/>
      <c r="E68" s="67"/>
      <c r="F68" s="67"/>
      <c r="G68" s="67"/>
      <c r="H68" s="67"/>
      <c r="I68" s="67"/>
      <c r="J68" s="67"/>
      <c r="K68" s="67"/>
      <c r="L68" s="68"/>
      <c r="M68" s="68"/>
      <c r="N68" s="68"/>
      <c r="O68" s="68"/>
      <c r="P68" s="67"/>
      <c r="Q68" s="67"/>
      <c r="R68" s="67"/>
      <c r="S68" s="62"/>
      <c r="T68" s="62"/>
      <c r="U68" s="62"/>
      <c r="V68" s="62"/>
      <c r="W68" s="62"/>
    </row>
    <row r="69" spans="1:23">
      <c r="A69" s="63"/>
      <c r="B69" s="67"/>
      <c r="C69" s="67"/>
      <c r="D69" s="67"/>
      <c r="E69" s="67"/>
      <c r="F69" s="67"/>
      <c r="G69" s="67"/>
      <c r="H69" s="67"/>
      <c r="I69" s="67"/>
      <c r="J69" s="67"/>
      <c r="K69" s="67"/>
      <c r="L69" s="68"/>
      <c r="M69" s="68"/>
      <c r="N69" s="68"/>
      <c r="O69" s="68"/>
      <c r="P69" s="67"/>
      <c r="Q69" s="67"/>
      <c r="R69" s="67"/>
      <c r="S69" s="62"/>
      <c r="T69" s="62"/>
      <c r="U69" s="62"/>
      <c r="V69" s="62"/>
      <c r="W69" s="62"/>
    </row>
    <row r="70" spans="1:23">
      <c r="A70" s="63"/>
      <c r="B70" s="67"/>
      <c r="C70" s="67"/>
      <c r="D70" s="67"/>
      <c r="E70" s="67"/>
      <c r="F70" s="67"/>
      <c r="G70" s="67"/>
      <c r="H70" s="67"/>
      <c r="I70" s="67"/>
      <c r="J70" s="67"/>
      <c r="K70" s="67"/>
      <c r="L70" s="68"/>
      <c r="M70" s="68"/>
      <c r="N70" s="68"/>
      <c r="O70" s="68"/>
      <c r="P70" s="67"/>
      <c r="Q70" s="67"/>
      <c r="R70" s="67"/>
      <c r="S70" s="62"/>
      <c r="T70" s="62"/>
      <c r="U70" s="62"/>
      <c r="V70" s="62"/>
      <c r="W70" s="62"/>
    </row>
    <row r="71" spans="1:23">
      <c r="A71" s="63"/>
      <c r="B71" s="67"/>
      <c r="C71" s="67"/>
      <c r="D71" s="67"/>
      <c r="E71" s="67"/>
      <c r="F71" s="67"/>
      <c r="G71" s="67"/>
      <c r="H71" s="67"/>
      <c r="I71" s="67"/>
      <c r="J71" s="67"/>
      <c r="K71" s="67"/>
      <c r="L71" s="68"/>
      <c r="M71" s="68"/>
      <c r="N71" s="68"/>
      <c r="O71" s="68"/>
      <c r="P71" s="67"/>
      <c r="Q71" s="67"/>
      <c r="R71" s="67"/>
      <c r="S71" s="62"/>
      <c r="T71" s="62"/>
      <c r="U71" s="62"/>
      <c r="V71" s="62"/>
      <c r="W71" s="62"/>
    </row>
    <row r="72" spans="1:23">
      <c r="A72" s="63"/>
      <c r="B72" s="67"/>
      <c r="C72" s="67"/>
      <c r="D72" s="67"/>
      <c r="E72" s="67"/>
      <c r="F72" s="67"/>
      <c r="G72" s="67"/>
      <c r="H72" s="67"/>
      <c r="I72" s="67"/>
      <c r="J72" s="67"/>
      <c r="K72" s="67"/>
      <c r="L72" s="68"/>
      <c r="M72" s="68"/>
      <c r="N72" s="68"/>
      <c r="O72" s="68"/>
      <c r="P72" s="67"/>
      <c r="Q72" s="67"/>
      <c r="R72" s="67"/>
      <c r="S72" s="62"/>
      <c r="T72" s="62"/>
      <c r="U72" s="62"/>
      <c r="V72" s="62"/>
      <c r="W72" s="62"/>
    </row>
    <row r="73" spans="1:23">
      <c r="A73" s="62"/>
      <c r="B73" s="67"/>
      <c r="C73" s="67"/>
      <c r="D73" s="67"/>
      <c r="E73" s="67"/>
      <c r="F73" s="67"/>
      <c r="G73" s="67"/>
      <c r="H73" s="67"/>
      <c r="I73" s="67"/>
      <c r="J73" s="67"/>
      <c r="K73" s="67"/>
      <c r="L73" s="68"/>
      <c r="M73" s="68"/>
      <c r="N73" s="68"/>
      <c r="O73" s="68"/>
      <c r="P73" s="67"/>
      <c r="Q73" s="67"/>
      <c r="R73" s="67"/>
      <c r="S73" s="62"/>
      <c r="T73" s="62"/>
      <c r="U73" s="62"/>
      <c r="V73" s="62"/>
      <c r="W73" s="62"/>
    </row>
    <row r="74" spans="1:23">
      <c r="A74" s="63"/>
      <c r="B74" s="67"/>
      <c r="C74" s="67"/>
      <c r="D74" s="67"/>
      <c r="E74" s="67"/>
      <c r="F74" s="67"/>
      <c r="G74" s="67"/>
      <c r="H74" s="67"/>
      <c r="I74" s="67"/>
      <c r="J74" s="67"/>
      <c r="K74" s="67"/>
      <c r="L74" s="68"/>
      <c r="M74" s="68"/>
      <c r="N74" s="68"/>
      <c r="O74" s="68"/>
      <c r="P74" s="67"/>
      <c r="Q74" s="67"/>
      <c r="R74" s="67"/>
      <c r="S74" s="62"/>
      <c r="T74" s="62"/>
      <c r="U74" s="62"/>
      <c r="V74" s="62"/>
      <c r="W74" s="62"/>
    </row>
    <row r="75" spans="1:23">
      <c r="A75" s="63"/>
      <c r="B75" s="67"/>
      <c r="C75" s="67"/>
      <c r="D75" s="67"/>
      <c r="E75" s="67"/>
      <c r="F75" s="67"/>
      <c r="G75" s="67"/>
      <c r="H75" s="67"/>
      <c r="I75" s="67"/>
      <c r="J75" s="67"/>
      <c r="K75" s="67"/>
      <c r="L75" s="68"/>
      <c r="M75" s="68"/>
      <c r="N75" s="68"/>
      <c r="O75" s="68"/>
      <c r="P75" s="67"/>
      <c r="Q75" s="67"/>
      <c r="R75" s="67"/>
      <c r="S75" s="62"/>
      <c r="T75" s="62"/>
      <c r="U75" s="62"/>
      <c r="V75" s="62"/>
      <c r="W75" s="62"/>
    </row>
    <row r="76" spans="1:23">
      <c r="A76" s="63"/>
      <c r="B76" s="67"/>
      <c r="C76" s="67"/>
      <c r="D76" s="67"/>
      <c r="E76" s="67"/>
      <c r="F76" s="67"/>
      <c r="G76" s="67"/>
      <c r="H76" s="67"/>
      <c r="I76" s="67"/>
      <c r="J76" s="67"/>
      <c r="K76" s="67"/>
      <c r="L76" s="68"/>
      <c r="M76" s="68"/>
      <c r="N76" s="68"/>
      <c r="O76" s="68"/>
      <c r="P76" s="67"/>
      <c r="Q76" s="67"/>
      <c r="R76" s="67"/>
      <c r="S76" s="62"/>
      <c r="T76" s="62"/>
      <c r="U76" s="62"/>
      <c r="V76" s="62"/>
      <c r="W76" s="62"/>
    </row>
    <row r="77" spans="1:23">
      <c r="A77" s="63"/>
      <c r="B77" s="67"/>
      <c r="C77" s="67"/>
      <c r="D77" s="67"/>
      <c r="E77" s="67"/>
      <c r="F77" s="67"/>
      <c r="G77" s="67"/>
      <c r="H77" s="67"/>
      <c r="I77" s="67"/>
      <c r="J77" s="67"/>
      <c r="K77" s="67"/>
      <c r="L77" s="68"/>
      <c r="M77" s="68"/>
      <c r="N77" s="68"/>
      <c r="O77" s="68"/>
      <c r="P77" s="67"/>
      <c r="Q77" s="67"/>
      <c r="R77" s="67"/>
      <c r="S77" s="62"/>
      <c r="T77" s="62"/>
      <c r="U77" s="62"/>
      <c r="V77" s="62"/>
      <c r="W77" s="62"/>
    </row>
    <row r="78" spans="1:23">
      <c r="A78" s="63"/>
      <c r="B78" s="67"/>
      <c r="C78" s="67"/>
      <c r="D78" s="67"/>
      <c r="E78" s="67"/>
      <c r="F78" s="67"/>
      <c r="G78" s="67"/>
      <c r="H78" s="67"/>
      <c r="I78" s="67"/>
      <c r="J78" s="67"/>
      <c r="K78" s="67"/>
      <c r="L78" s="68"/>
      <c r="M78" s="68"/>
      <c r="N78" s="68"/>
      <c r="O78" s="68"/>
      <c r="P78" s="67"/>
      <c r="Q78" s="67"/>
      <c r="R78" s="67"/>
      <c r="S78" s="62"/>
      <c r="T78" s="62"/>
      <c r="U78" s="62"/>
      <c r="V78" s="62"/>
      <c r="W78" s="62"/>
    </row>
    <row r="79" spans="1:23">
      <c r="A79" s="63"/>
      <c r="B79" s="67"/>
      <c r="C79" s="67"/>
      <c r="D79" s="67"/>
      <c r="E79" s="67"/>
      <c r="F79" s="67"/>
      <c r="G79" s="67"/>
      <c r="H79" s="67"/>
      <c r="I79" s="67"/>
      <c r="J79" s="67"/>
      <c r="K79" s="67"/>
      <c r="L79" s="68"/>
      <c r="M79" s="68"/>
      <c r="N79" s="68"/>
      <c r="O79" s="68"/>
      <c r="P79" s="67"/>
      <c r="Q79" s="67"/>
      <c r="R79" s="67"/>
      <c r="S79" s="62"/>
      <c r="T79" s="62"/>
      <c r="U79" s="62"/>
      <c r="V79" s="62"/>
      <c r="W79" s="62"/>
    </row>
    <row r="80" spans="1:23">
      <c r="A80" s="63"/>
      <c r="B80" s="67"/>
      <c r="C80" s="67"/>
      <c r="D80" s="67"/>
      <c r="E80" s="67"/>
      <c r="F80" s="67"/>
      <c r="G80" s="67"/>
      <c r="H80" s="67"/>
      <c r="I80" s="67"/>
      <c r="J80" s="67"/>
      <c r="K80" s="67"/>
      <c r="L80" s="68"/>
      <c r="M80" s="68"/>
      <c r="N80" s="68"/>
      <c r="O80" s="68"/>
      <c r="P80" s="67"/>
      <c r="Q80" s="67"/>
      <c r="R80" s="67"/>
      <c r="S80" s="62"/>
      <c r="T80" s="62"/>
      <c r="U80" s="62"/>
      <c r="V80" s="62"/>
      <c r="W80" s="62"/>
    </row>
    <row r="81" spans="1:23">
      <c r="A81" s="63"/>
      <c r="B81" s="67"/>
      <c r="C81" s="67"/>
      <c r="D81" s="67"/>
      <c r="E81" s="67"/>
      <c r="F81" s="67"/>
      <c r="G81" s="67"/>
      <c r="H81" s="67"/>
      <c r="I81" s="67"/>
      <c r="J81" s="67"/>
      <c r="K81" s="67"/>
      <c r="L81" s="68"/>
      <c r="M81" s="68"/>
      <c r="N81" s="68"/>
      <c r="O81" s="68"/>
      <c r="P81" s="67"/>
      <c r="Q81" s="67"/>
      <c r="R81" s="67"/>
      <c r="S81" s="62"/>
      <c r="T81" s="62"/>
      <c r="U81" s="62"/>
      <c r="V81" s="62"/>
      <c r="W81" s="62"/>
    </row>
    <row r="82" spans="1:23">
      <c r="A82" s="63"/>
      <c r="B82" s="67"/>
      <c r="C82" s="67"/>
      <c r="D82" s="67"/>
      <c r="E82" s="67"/>
      <c r="F82" s="67"/>
      <c r="G82" s="67"/>
      <c r="H82" s="67"/>
      <c r="I82" s="67"/>
      <c r="J82" s="67"/>
      <c r="K82" s="67"/>
      <c r="L82" s="68"/>
      <c r="M82" s="68"/>
      <c r="N82" s="68"/>
      <c r="O82" s="68"/>
      <c r="P82" s="67"/>
      <c r="Q82" s="67"/>
      <c r="R82" s="67"/>
      <c r="S82" s="62"/>
      <c r="T82" s="62"/>
      <c r="U82" s="62"/>
      <c r="V82" s="62"/>
      <c r="W82" s="62"/>
    </row>
    <row r="83" spans="1:23">
      <c r="A83" s="62"/>
      <c r="B83" s="67"/>
      <c r="C83" s="67"/>
      <c r="D83" s="67"/>
      <c r="E83" s="67"/>
      <c r="F83" s="67"/>
      <c r="G83" s="67"/>
      <c r="H83" s="67"/>
      <c r="I83" s="67"/>
      <c r="J83" s="67"/>
      <c r="K83" s="67"/>
      <c r="L83" s="68"/>
      <c r="M83" s="68"/>
      <c r="N83" s="68"/>
      <c r="O83" s="68"/>
      <c r="P83" s="67"/>
      <c r="Q83" s="67"/>
      <c r="R83" s="67"/>
      <c r="S83" s="62"/>
      <c r="T83" s="62"/>
      <c r="U83" s="62"/>
      <c r="V83" s="62"/>
      <c r="W83" s="62"/>
    </row>
    <row r="84" spans="1:23">
      <c r="A84" s="63"/>
      <c r="B84" s="142"/>
      <c r="C84" s="142"/>
      <c r="D84" s="67"/>
      <c r="E84" s="67"/>
      <c r="F84" s="67"/>
      <c r="G84" s="67"/>
      <c r="H84" s="67"/>
      <c r="I84" s="67"/>
      <c r="J84" s="67"/>
      <c r="K84" s="67"/>
      <c r="L84" s="68"/>
      <c r="M84" s="68"/>
      <c r="N84" s="68"/>
      <c r="O84" s="68"/>
      <c r="P84" s="67"/>
      <c r="Q84" s="67"/>
      <c r="R84" s="67"/>
      <c r="S84" s="62"/>
      <c r="T84" s="62"/>
      <c r="U84" s="62"/>
      <c r="V84" s="62"/>
      <c r="W84" s="62"/>
    </row>
    <row r="85" spans="1:23">
      <c r="A85" s="63"/>
      <c r="B85" s="142"/>
      <c r="C85" s="142"/>
      <c r="D85" s="67"/>
      <c r="E85" s="67"/>
      <c r="F85" s="67"/>
      <c r="G85" s="67"/>
      <c r="H85" s="67"/>
      <c r="I85" s="67"/>
      <c r="J85" s="67"/>
      <c r="K85" s="67"/>
      <c r="L85" s="68"/>
      <c r="M85" s="68"/>
      <c r="N85" s="68"/>
      <c r="O85" s="68"/>
      <c r="P85" s="67"/>
      <c r="Q85" s="67"/>
      <c r="R85" s="67"/>
      <c r="S85" s="62"/>
      <c r="T85" s="62"/>
      <c r="U85" s="62"/>
      <c r="V85" s="62"/>
      <c r="W85" s="62"/>
    </row>
    <row r="86" spans="1:23">
      <c r="A86" s="63"/>
      <c r="B86" s="142"/>
      <c r="C86" s="142"/>
      <c r="D86" s="67"/>
      <c r="E86" s="67"/>
      <c r="F86" s="67"/>
      <c r="G86" s="67"/>
      <c r="H86" s="67"/>
      <c r="I86" s="67"/>
      <c r="J86" s="67"/>
      <c r="K86" s="67"/>
      <c r="L86" s="68"/>
      <c r="M86" s="68"/>
      <c r="N86" s="68"/>
      <c r="O86" s="68"/>
      <c r="P86" s="67"/>
      <c r="Q86" s="67"/>
      <c r="R86" s="67"/>
      <c r="S86" s="62"/>
      <c r="T86" s="62"/>
      <c r="U86" s="62"/>
      <c r="V86" s="62"/>
      <c r="W86" s="62"/>
    </row>
    <row r="87" spans="1:23">
      <c r="A87" s="63"/>
      <c r="B87" s="142"/>
      <c r="C87" s="142"/>
      <c r="D87" s="67"/>
      <c r="E87" s="67"/>
      <c r="F87" s="67"/>
      <c r="G87" s="67"/>
      <c r="H87" s="67"/>
      <c r="I87" s="67"/>
      <c r="J87" s="67"/>
      <c r="K87" s="67"/>
      <c r="L87" s="68"/>
      <c r="M87" s="68"/>
      <c r="N87" s="68"/>
      <c r="O87" s="68"/>
      <c r="P87" s="67"/>
      <c r="Q87" s="67"/>
      <c r="R87" s="67"/>
      <c r="S87" s="62"/>
      <c r="T87" s="62"/>
      <c r="U87" s="62"/>
      <c r="V87" s="62"/>
      <c r="W87" s="62"/>
    </row>
    <row r="88" spans="1:23">
      <c r="A88" s="63"/>
      <c r="B88" s="142"/>
      <c r="C88" s="142"/>
      <c r="D88" s="67"/>
      <c r="E88" s="67"/>
      <c r="F88" s="67"/>
      <c r="G88" s="67"/>
      <c r="H88" s="67"/>
      <c r="I88" s="67"/>
      <c r="J88" s="67"/>
      <c r="K88" s="67"/>
      <c r="L88" s="68"/>
      <c r="M88" s="68"/>
      <c r="N88" s="68"/>
      <c r="O88" s="68"/>
      <c r="P88" s="67"/>
      <c r="Q88" s="67"/>
      <c r="R88" s="67"/>
      <c r="S88" s="62"/>
      <c r="T88" s="62"/>
      <c r="U88" s="62"/>
      <c r="V88" s="62"/>
      <c r="W88" s="62"/>
    </row>
    <row r="89" spans="1:23">
      <c r="A89" s="63"/>
      <c r="B89" s="142"/>
      <c r="C89" s="142"/>
      <c r="D89" s="67"/>
      <c r="E89" s="67"/>
      <c r="F89" s="67"/>
      <c r="G89" s="67"/>
      <c r="H89" s="67"/>
      <c r="I89" s="67"/>
      <c r="J89" s="67"/>
      <c r="K89" s="67"/>
      <c r="L89" s="68"/>
      <c r="M89" s="68"/>
      <c r="N89" s="68"/>
      <c r="O89" s="68"/>
      <c r="P89" s="67"/>
      <c r="Q89" s="67"/>
      <c r="R89" s="67"/>
      <c r="S89" s="62"/>
      <c r="T89" s="62"/>
      <c r="U89" s="62"/>
      <c r="V89" s="62"/>
      <c r="W89" s="62"/>
    </row>
    <row r="90" spans="1:23">
      <c r="A90" s="63"/>
      <c r="B90" s="142"/>
      <c r="C90" s="142"/>
      <c r="D90" s="67"/>
      <c r="E90" s="67"/>
      <c r="F90" s="67"/>
      <c r="G90" s="67"/>
      <c r="H90" s="67"/>
      <c r="I90" s="67"/>
      <c r="J90" s="67"/>
      <c r="K90" s="67"/>
      <c r="L90" s="68"/>
      <c r="M90" s="68"/>
      <c r="N90" s="68"/>
      <c r="O90" s="68"/>
      <c r="P90" s="67"/>
      <c r="Q90" s="67"/>
      <c r="R90" s="67"/>
      <c r="S90" s="62"/>
      <c r="T90" s="62"/>
      <c r="U90" s="62"/>
      <c r="V90" s="62"/>
      <c r="W90" s="62"/>
    </row>
    <row r="91" spans="1:23">
      <c r="A91" s="63"/>
      <c r="B91" s="142"/>
      <c r="C91" s="142"/>
      <c r="D91" s="67"/>
      <c r="E91" s="67"/>
      <c r="F91" s="67"/>
      <c r="G91" s="67"/>
      <c r="H91" s="67"/>
      <c r="I91" s="67"/>
      <c r="J91" s="67"/>
      <c r="K91" s="67"/>
      <c r="L91" s="68"/>
      <c r="M91" s="68"/>
      <c r="N91" s="68"/>
      <c r="O91" s="68"/>
      <c r="P91" s="67"/>
      <c r="Q91" s="67"/>
      <c r="R91" s="67"/>
      <c r="S91" s="62"/>
      <c r="T91" s="62"/>
      <c r="U91" s="62"/>
      <c r="V91" s="62"/>
      <c r="W91" s="62"/>
    </row>
    <row r="92" spans="1:23">
      <c r="A92" s="63"/>
      <c r="B92" s="142"/>
      <c r="C92" s="142"/>
      <c r="D92" s="67"/>
      <c r="E92" s="67"/>
      <c r="F92" s="67"/>
      <c r="G92" s="67"/>
      <c r="H92" s="67"/>
      <c r="I92" s="67"/>
      <c r="J92" s="67"/>
      <c r="K92" s="67"/>
      <c r="L92" s="68"/>
      <c r="M92" s="68"/>
      <c r="N92" s="68"/>
      <c r="O92" s="68"/>
      <c r="P92" s="67"/>
      <c r="Q92" s="67"/>
      <c r="R92" s="67"/>
      <c r="S92" s="62"/>
      <c r="T92" s="62"/>
      <c r="U92" s="62"/>
      <c r="V92" s="62"/>
      <c r="W92" s="62"/>
    </row>
    <row r="93" spans="1:23">
      <c r="A93" s="63"/>
      <c r="B93" s="142"/>
      <c r="C93" s="142"/>
      <c r="D93" s="67"/>
      <c r="E93" s="67"/>
      <c r="F93" s="67"/>
      <c r="G93" s="67"/>
      <c r="H93" s="67"/>
      <c r="I93" s="67"/>
      <c r="J93" s="67"/>
      <c r="K93" s="67"/>
      <c r="L93" s="68"/>
      <c r="M93" s="68"/>
      <c r="N93" s="68"/>
      <c r="O93" s="68"/>
      <c r="P93" s="67"/>
      <c r="Q93" s="67"/>
      <c r="R93" s="67"/>
      <c r="S93" s="62"/>
      <c r="T93" s="62"/>
      <c r="U93" s="62"/>
      <c r="V93" s="62"/>
      <c r="W93" s="62"/>
    </row>
    <row r="94" spans="1:23">
      <c r="A94" s="63"/>
      <c r="B94" s="142"/>
      <c r="C94" s="142"/>
      <c r="D94" s="67"/>
      <c r="E94" s="67"/>
      <c r="F94" s="67"/>
      <c r="G94" s="67"/>
      <c r="H94" s="67"/>
      <c r="I94" s="67"/>
      <c r="J94" s="67"/>
      <c r="K94" s="67"/>
      <c r="L94" s="68"/>
      <c r="M94" s="68"/>
      <c r="N94" s="68"/>
      <c r="O94" s="68"/>
      <c r="P94" s="67"/>
      <c r="Q94" s="67"/>
      <c r="R94" s="67"/>
      <c r="S94" s="62"/>
      <c r="T94" s="62"/>
      <c r="U94" s="62"/>
      <c r="V94" s="62"/>
      <c r="W94" s="62"/>
    </row>
    <row r="95" spans="1:23">
      <c r="A95" s="63"/>
      <c r="B95" s="142"/>
      <c r="C95" s="142"/>
      <c r="D95" s="67"/>
      <c r="E95" s="67"/>
      <c r="F95" s="67"/>
      <c r="G95" s="67"/>
      <c r="H95" s="67"/>
      <c r="I95" s="67"/>
      <c r="J95" s="67"/>
      <c r="K95" s="67"/>
      <c r="L95" s="68"/>
      <c r="M95" s="68"/>
      <c r="N95" s="68"/>
      <c r="O95" s="68"/>
      <c r="P95" s="67"/>
      <c r="Q95" s="67"/>
      <c r="R95" s="67"/>
      <c r="S95" s="62"/>
      <c r="T95" s="62"/>
      <c r="U95" s="62"/>
      <c r="V95" s="62"/>
      <c r="W95" s="62"/>
    </row>
    <row r="96" spans="1:23">
      <c r="A96" s="63"/>
      <c r="B96" s="142"/>
      <c r="C96" s="142"/>
      <c r="D96" s="67"/>
      <c r="E96" s="67"/>
      <c r="F96" s="67"/>
      <c r="G96" s="67"/>
      <c r="H96" s="67"/>
      <c r="I96" s="67"/>
      <c r="J96" s="67"/>
      <c r="K96" s="67"/>
      <c r="L96" s="68"/>
      <c r="M96" s="68"/>
      <c r="N96" s="68"/>
      <c r="O96" s="68"/>
      <c r="P96" s="67"/>
      <c r="Q96" s="67"/>
      <c r="R96" s="67"/>
      <c r="S96" s="62"/>
      <c r="T96" s="62"/>
      <c r="U96" s="62"/>
      <c r="V96" s="62"/>
      <c r="W96" s="62"/>
    </row>
    <row r="97" spans="1:23">
      <c r="A97" s="63"/>
      <c r="B97" s="142"/>
      <c r="C97" s="142"/>
      <c r="D97" s="67"/>
      <c r="E97" s="67"/>
      <c r="F97" s="67"/>
      <c r="G97" s="67"/>
      <c r="H97" s="67"/>
      <c r="I97" s="67"/>
      <c r="J97" s="67"/>
      <c r="K97" s="67"/>
      <c r="L97" s="68"/>
      <c r="M97" s="68"/>
      <c r="N97" s="68"/>
      <c r="O97" s="68"/>
      <c r="P97" s="67"/>
      <c r="Q97" s="67"/>
      <c r="R97" s="67"/>
      <c r="S97" s="62"/>
      <c r="T97" s="62"/>
      <c r="U97" s="62"/>
      <c r="V97" s="62"/>
      <c r="W97" s="62"/>
    </row>
    <row r="98" spans="1:23">
      <c r="A98" s="63"/>
      <c r="B98" s="142"/>
      <c r="C98" s="142"/>
      <c r="D98" s="67"/>
      <c r="E98" s="67"/>
      <c r="F98" s="67"/>
      <c r="G98" s="67"/>
      <c r="H98" s="67"/>
      <c r="I98" s="67"/>
      <c r="J98" s="67"/>
      <c r="K98" s="67"/>
      <c r="L98" s="68"/>
      <c r="M98" s="68"/>
      <c r="N98" s="68"/>
      <c r="O98" s="68"/>
      <c r="P98" s="67"/>
      <c r="Q98" s="67"/>
      <c r="R98" s="67"/>
      <c r="S98" s="62"/>
      <c r="T98" s="62"/>
      <c r="U98" s="62"/>
      <c r="V98" s="62"/>
      <c r="W98" s="62"/>
    </row>
    <row r="99" spans="1:23">
      <c r="A99" s="63"/>
      <c r="B99" s="142"/>
      <c r="C99" s="142"/>
      <c r="D99" s="67"/>
      <c r="E99" s="67"/>
      <c r="F99" s="67"/>
      <c r="G99" s="67"/>
      <c r="H99" s="67"/>
      <c r="I99" s="67"/>
      <c r="J99" s="67"/>
      <c r="K99" s="67"/>
      <c r="L99" s="68"/>
      <c r="M99" s="68"/>
      <c r="N99" s="68"/>
      <c r="O99" s="68"/>
      <c r="P99" s="67"/>
      <c r="Q99" s="67"/>
      <c r="R99" s="67"/>
      <c r="S99" s="62"/>
      <c r="T99" s="62"/>
      <c r="U99" s="62"/>
      <c r="V99" s="62"/>
      <c r="W99" s="62"/>
    </row>
    <row r="100" spans="1:23">
      <c r="A100" s="63"/>
      <c r="B100" s="142"/>
      <c r="C100" s="142"/>
      <c r="D100" s="67"/>
      <c r="E100" s="67"/>
      <c r="F100" s="67"/>
      <c r="G100" s="67"/>
      <c r="H100" s="67"/>
      <c r="I100" s="67"/>
      <c r="J100" s="67"/>
      <c r="K100" s="67"/>
      <c r="L100" s="68"/>
      <c r="M100" s="68"/>
      <c r="N100" s="68"/>
      <c r="O100" s="68"/>
      <c r="P100" s="67"/>
      <c r="Q100" s="67"/>
      <c r="R100" s="67"/>
      <c r="S100" s="62"/>
      <c r="T100" s="62"/>
      <c r="U100" s="62"/>
      <c r="V100" s="62"/>
      <c r="W100" s="62"/>
    </row>
    <row r="101" spans="1:23">
      <c r="A101" s="63"/>
      <c r="B101" s="142"/>
      <c r="C101" s="142"/>
      <c r="D101" s="67"/>
      <c r="E101" s="67"/>
      <c r="F101" s="67"/>
      <c r="G101" s="67"/>
      <c r="H101" s="67"/>
      <c r="I101" s="67"/>
      <c r="J101" s="67"/>
      <c r="K101" s="67"/>
      <c r="L101" s="68"/>
      <c r="M101" s="68"/>
      <c r="N101" s="68"/>
      <c r="O101" s="68"/>
      <c r="P101" s="67"/>
      <c r="Q101" s="67"/>
      <c r="R101" s="67"/>
      <c r="S101" s="62"/>
      <c r="T101" s="62"/>
      <c r="U101" s="62"/>
      <c r="V101" s="62"/>
      <c r="W101" s="62"/>
    </row>
    <row r="102" spans="1:23">
      <c r="A102" s="63"/>
      <c r="B102" s="142"/>
      <c r="C102" s="142"/>
      <c r="D102" s="67"/>
      <c r="E102" s="67"/>
      <c r="F102" s="67"/>
      <c r="G102" s="67"/>
      <c r="H102" s="67"/>
      <c r="I102" s="67"/>
      <c r="J102" s="67"/>
      <c r="K102" s="67"/>
      <c r="L102" s="68"/>
      <c r="M102" s="68"/>
      <c r="N102" s="68"/>
      <c r="O102" s="68"/>
      <c r="P102" s="67"/>
      <c r="Q102" s="67"/>
      <c r="R102" s="67"/>
      <c r="S102" s="62"/>
      <c r="T102" s="62"/>
      <c r="U102" s="62"/>
      <c r="V102" s="62"/>
      <c r="W102" s="62"/>
    </row>
    <row r="103" spans="1:23">
      <c r="A103" s="63"/>
      <c r="B103" s="142"/>
      <c r="C103" s="142"/>
      <c r="D103" s="67"/>
      <c r="E103" s="67"/>
      <c r="F103" s="67"/>
      <c r="G103" s="67"/>
      <c r="H103" s="67"/>
      <c r="I103" s="67"/>
      <c r="J103" s="67"/>
      <c r="K103" s="67"/>
      <c r="L103" s="68"/>
      <c r="M103" s="68"/>
      <c r="N103" s="68"/>
      <c r="O103" s="68"/>
      <c r="P103" s="67"/>
      <c r="Q103" s="67"/>
      <c r="R103" s="67"/>
      <c r="S103" s="62"/>
      <c r="T103" s="62"/>
      <c r="U103" s="62"/>
      <c r="V103" s="62"/>
      <c r="W103" s="62"/>
    </row>
    <row r="104" spans="1:23">
      <c r="A104" s="63"/>
      <c r="B104" s="142"/>
      <c r="C104" s="142"/>
      <c r="D104" s="67"/>
      <c r="E104" s="67"/>
      <c r="F104" s="67"/>
      <c r="G104" s="67"/>
      <c r="H104" s="67"/>
      <c r="I104" s="67"/>
      <c r="J104" s="67"/>
      <c r="K104" s="67"/>
      <c r="L104" s="68"/>
      <c r="M104" s="68"/>
      <c r="N104" s="68"/>
      <c r="O104" s="68"/>
      <c r="P104" s="67"/>
      <c r="Q104" s="67"/>
      <c r="R104" s="67"/>
      <c r="S104" s="62"/>
      <c r="T104" s="62"/>
      <c r="U104" s="62"/>
      <c r="V104" s="62"/>
      <c r="W104" s="62"/>
    </row>
    <row r="105" spans="1:23">
      <c r="A105" s="63"/>
      <c r="B105" s="142"/>
      <c r="C105" s="142"/>
      <c r="D105" s="67"/>
      <c r="E105" s="67"/>
      <c r="F105" s="67"/>
      <c r="G105" s="67"/>
      <c r="H105" s="67"/>
      <c r="I105" s="67"/>
      <c r="J105" s="67"/>
      <c r="K105" s="67"/>
      <c r="L105" s="68"/>
      <c r="M105" s="68"/>
      <c r="N105" s="68"/>
      <c r="O105" s="68"/>
      <c r="P105" s="67"/>
      <c r="Q105" s="67"/>
      <c r="R105" s="67"/>
      <c r="S105" s="62"/>
      <c r="T105" s="62"/>
      <c r="U105" s="62"/>
      <c r="V105" s="62"/>
      <c r="W105" s="62"/>
    </row>
    <row r="106" spans="1:23">
      <c r="A106" s="63"/>
      <c r="B106" s="142"/>
      <c r="C106" s="142"/>
      <c r="D106" s="67"/>
      <c r="E106" s="67"/>
      <c r="F106" s="67"/>
      <c r="G106" s="67"/>
      <c r="H106" s="67"/>
      <c r="I106" s="67"/>
      <c r="J106" s="67"/>
      <c r="K106" s="67"/>
      <c r="L106" s="68"/>
      <c r="M106" s="68"/>
      <c r="N106" s="68"/>
      <c r="O106" s="68"/>
      <c r="P106" s="67"/>
      <c r="Q106" s="67"/>
      <c r="R106" s="67"/>
      <c r="S106" s="62"/>
      <c r="T106" s="62"/>
      <c r="U106" s="62"/>
      <c r="V106" s="62"/>
      <c r="W106" s="62"/>
    </row>
    <row r="107" spans="1:23">
      <c r="A107" s="63"/>
      <c r="B107" s="142"/>
      <c r="C107" s="142"/>
      <c r="D107" s="67"/>
      <c r="E107" s="67"/>
      <c r="F107" s="67"/>
      <c r="G107" s="67"/>
      <c r="H107" s="67"/>
      <c r="I107" s="67"/>
      <c r="J107" s="67"/>
      <c r="K107" s="67"/>
      <c r="L107" s="68"/>
      <c r="M107" s="68"/>
      <c r="N107" s="68"/>
      <c r="O107" s="68"/>
      <c r="P107" s="67"/>
      <c r="Q107" s="67"/>
      <c r="R107" s="67"/>
      <c r="S107" s="62"/>
      <c r="T107" s="62"/>
      <c r="U107" s="62"/>
      <c r="V107" s="62"/>
      <c r="W107" s="62"/>
    </row>
    <row r="108" spans="1:23">
      <c r="A108" s="63"/>
      <c r="B108" s="142"/>
      <c r="C108" s="142"/>
      <c r="D108" s="67"/>
      <c r="E108" s="67"/>
      <c r="F108" s="67"/>
      <c r="G108" s="67"/>
      <c r="H108" s="67"/>
      <c r="I108" s="67"/>
      <c r="J108" s="67"/>
      <c r="K108" s="67"/>
      <c r="L108" s="68"/>
      <c r="M108" s="68"/>
      <c r="N108" s="68"/>
      <c r="O108" s="68"/>
      <c r="P108" s="67"/>
      <c r="Q108" s="67"/>
      <c r="R108" s="67"/>
      <c r="S108" s="62"/>
      <c r="T108" s="62"/>
      <c r="U108" s="62"/>
      <c r="V108" s="62"/>
      <c r="W108" s="62"/>
    </row>
    <row r="109" spans="1:23">
      <c r="A109" s="63"/>
      <c r="B109" s="142"/>
      <c r="C109" s="142"/>
      <c r="D109" s="67"/>
      <c r="E109" s="67"/>
      <c r="F109" s="67"/>
      <c r="G109" s="67"/>
      <c r="H109" s="67"/>
      <c r="I109" s="67"/>
      <c r="J109" s="67"/>
      <c r="K109" s="67"/>
      <c r="L109" s="68"/>
      <c r="M109" s="68"/>
      <c r="N109" s="68"/>
      <c r="O109" s="68"/>
      <c r="P109" s="67"/>
      <c r="Q109" s="67"/>
      <c r="R109" s="67"/>
      <c r="S109" s="62"/>
      <c r="T109" s="62"/>
      <c r="U109" s="62"/>
      <c r="V109" s="62"/>
      <c r="W109" s="62"/>
    </row>
    <row r="110" spans="1:23">
      <c r="A110" s="62"/>
      <c r="B110" s="142"/>
      <c r="C110" s="142"/>
      <c r="D110" s="67"/>
      <c r="E110" s="67"/>
      <c r="F110" s="67"/>
      <c r="G110" s="67"/>
      <c r="H110" s="67"/>
      <c r="I110" s="67"/>
      <c r="J110" s="67"/>
      <c r="K110" s="67"/>
      <c r="L110" s="68"/>
      <c r="M110" s="68"/>
      <c r="N110" s="68"/>
      <c r="O110" s="68"/>
      <c r="P110" s="67"/>
      <c r="Q110" s="67"/>
      <c r="R110" s="67"/>
      <c r="S110" s="62"/>
      <c r="T110" s="62"/>
      <c r="U110" s="62"/>
      <c r="V110" s="62"/>
      <c r="W110" s="62"/>
    </row>
    <row r="111" spans="1:23">
      <c r="A111" s="62"/>
      <c r="B111" s="62"/>
      <c r="C111" s="62"/>
      <c r="D111" s="62"/>
      <c r="E111" s="62"/>
      <c r="F111" s="62"/>
      <c r="G111" s="62"/>
      <c r="H111" s="62"/>
      <c r="I111" s="62"/>
      <c r="J111" s="62"/>
      <c r="K111" s="62"/>
      <c r="L111" s="62"/>
      <c r="M111" s="62"/>
      <c r="N111" s="62"/>
      <c r="O111" s="62"/>
      <c r="P111" s="62"/>
      <c r="Q111" s="62"/>
      <c r="R111" s="62"/>
      <c r="S111" s="62"/>
      <c r="T111" s="62"/>
      <c r="U111" s="62"/>
      <c r="V111" s="62"/>
      <c r="W111" s="62"/>
    </row>
    <row r="112" spans="1:23">
      <c r="A112" s="62"/>
      <c r="B112" s="62"/>
      <c r="C112" s="62"/>
      <c r="D112" s="62"/>
      <c r="E112" s="62"/>
      <c r="F112" s="62"/>
      <c r="G112" s="62"/>
      <c r="H112" s="62"/>
      <c r="I112" s="62"/>
      <c r="J112" s="62"/>
      <c r="K112" s="62"/>
      <c r="L112" s="62"/>
      <c r="M112" s="62"/>
      <c r="N112" s="62"/>
      <c r="O112" s="62"/>
      <c r="P112" s="62"/>
      <c r="Q112" s="62"/>
      <c r="R112" s="62"/>
      <c r="S112" s="62"/>
      <c r="T112" s="62"/>
      <c r="U112" s="62"/>
      <c r="V112" s="62"/>
      <c r="W112" s="62"/>
    </row>
    <row r="113" spans="1:23">
      <c r="A113" s="62"/>
      <c r="B113" s="62"/>
      <c r="C113" s="62"/>
      <c r="D113" s="62"/>
      <c r="E113" s="62"/>
      <c r="F113" s="62"/>
      <c r="G113" s="62"/>
      <c r="H113" s="62"/>
      <c r="I113" s="62"/>
      <c r="J113" s="62"/>
      <c r="K113" s="62"/>
      <c r="L113" s="62"/>
      <c r="M113" s="62"/>
      <c r="N113" s="62"/>
      <c r="O113" s="62"/>
      <c r="P113" s="62"/>
      <c r="Q113" s="62"/>
      <c r="R113" s="62"/>
      <c r="S113" s="62"/>
      <c r="T113" s="62"/>
      <c r="U113" s="62"/>
      <c r="V113" s="62"/>
      <c r="W113" s="62"/>
    </row>
    <row r="114" spans="1:23">
      <c r="A114" s="62"/>
      <c r="B114" s="62"/>
      <c r="C114" s="62"/>
      <c r="D114" s="62"/>
      <c r="E114" s="62"/>
      <c r="F114" s="62"/>
      <c r="G114" s="62"/>
      <c r="H114" s="62"/>
      <c r="I114" s="62"/>
      <c r="J114" s="62"/>
      <c r="K114" s="62"/>
      <c r="L114" s="62"/>
      <c r="M114" s="62"/>
      <c r="N114" s="62"/>
      <c r="O114" s="62"/>
      <c r="P114" s="62"/>
      <c r="Q114" s="62"/>
      <c r="R114" s="62"/>
      <c r="S114" s="62"/>
      <c r="T114" s="62"/>
      <c r="U114" s="62"/>
      <c r="V114" s="62"/>
      <c r="W114" s="62"/>
    </row>
    <row r="115" spans="1:23">
      <c r="A115" s="62"/>
      <c r="B115" s="62"/>
      <c r="C115" s="62"/>
      <c r="D115" s="62"/>
      <c r="E115" s="62"/>
      <c r="F115" s="62"/>
      <c r="G115" s="62"/>
      <c r="H115" s="62"/>
      <c r="I115" s="62"/>
      <c r="J115" s="62"/>
      <c r="K115" s="62"/>
      <c r="L115" s="62"/>
      <c r="M115" s="62"/>
      <c r="N115" s="62"/>
      <c r="O115" s="62"/>
      <c r="P115" s="62"/>
      <c r="Q115" s="62"/>
      <c r="R115" s="62"/>
      <c r="S115" s="62"/>
      <c r="T115" s="62"/>
      <c r="U115" s="62"/>
      <c r="V115" s="62"/>
      <c r="W115" s="62"/>
    </row>
    <row r="137" spans="12:12">
      <c r="L137" s="16">
        <f>SUM(L15:L136)</f>
        <v>14850</v>
      </c>
    </row>
  </sheetData>
  <pageMargins left="0.7" right="0.7" top="0.75" bottom="0.75" header="0.3" footer="0.3"/>
  <pageSetup paperSize="9" orientation="landscape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>
  <dimension ref="A5:W137"/>
  <sheetViews>
    <sheetView workbookViewId="0">
      <selection activeCell="A21" sqref="A21"/>
    </sheetView>
  </sheetViews>
  <sheetFormatPr defaultRowHeight="14.4"/>
  <cols>
    <col min="1" max="1" width="7.88671875" style="1" customWidth="1"/>
    <col min="2" max="2" width="22" style="1" customWidth="1"/>
    <col min="3" max="3" width="7.77734375" style="1" customWidth="1"/>
    <col min="4" max="4" width="4.77734375" style="1" customWidth="1"/>
    <col min="5" max="5" width="9.88671875" style="1" customWidth="1"/>
    <col min="6" max="6" width="7.6640625" style="1" customWidth="1"/>
    <col min="7" max="7" width="6.6640625" style="1" customWidth="1"/>
    <col min="8" max="8" width="7.44140625" style="1" customWidth="1"/>
    <col min="9" max="9" width="5.88671875" style="1" customWidth="1"/>
    <col min="10" max="10" width="6" style="1" customWidth="1"/>
    <col min="11" max="11" width="8.44140625" style="1" customWidth="1"/>
    <col min="12" max="12" width="8.21875" style="1" customWidth="1"/>
    <col min="13" max="13" width="7.33203125" style="1" customWidth="1"/>
    <col min="14" max="18" width="8.88671875" style="1"/>
    <col min="19" max="19" width="16.21875" style="1" customWidth="1"/>
    <col min="20" max="16384" width="8.88671875" style="1"/>
  </cols>
  <sheetData>
    <row r="5" spans="1:23" ht="20.399999999999999">
      <c r="A5" s="58" t="s">
        <v>3</v>
      </c>
      <c r="B5" s="58" t="s">
        <v>4</v>
      </c>
      <c r="C5" s="58" t="s">
        <v>5</v>
      </c>
      <c r="D5" s="58" t="s">
        <v>6</v>
      </c>
      <c r="E5" s="58" t="s">
        <v>37</v>
      </c>
      <c r="F5" s="58" t="s">
        <v>7</v>
      </c>
      <c r="G5" s="58" t="s">
        <v>8</v>
      </c>
      <c r="H5" s="58" t="s">
        <v>9</v>
      </c>
      <c r="I5" s="58" t="s">
        <v>10</v>
      </c>
      <c r="J5" s="59" t="s">
        <v>18</v>
      </c>
      <c r="K5" s="59" t="s">
        <v>17</v>
      </c>
      <c r="L5" s="58" t="s">
        <v>11</v>
      </c>
      <c r="M5" s="58" t="s">
        <v>36</v>
      </c>
      <c r="N5" s="58" t="s">
        <v>12</v>
      </c>
      <c r="O5" s="58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125</v>
      </c>
    </row>
    <row r="6" spans="1:23">
      <c r="A6" s="63"/>
      <c r="B6" s="260"/>
      <c r="C6" s="260"/>
      <c r="D6" s="260"/>
      <c r="E6" s="260"/>
      <c r="F6" s="260"/>
      <c r="G6" s="260"/>
      <c r="H6" s="260"/>
      <c r="I6" s="260"/>
      <c r="J6" s="260"/>
      <c r="K6" s="260"/>
      <c r="L6" s="61"/>
      <c r="M6" s="61"/>
      <c r="N6" s="260"/>
      <c r="O6" s="62"/>
      <c r="P6" s="62"/>
      <c r="Q6" s="62"/>
      <c r="R6" s="62"/>
      <c r="S6" s="62"/>
      <c r="U6" s="17"/>
    </row>
    <row r="7" spans="1:23">
      <c r="A7" s="53" t="s">
        <v>2376</v>
      </c>
      <c r="B7" s="42" t="s">
        <v>2377</v>
      </c>
      <c r="C7" s="42" t="s">
        <v>88</v>
      </c>
      <c r="D7" s="42" t="s">
        <v>16</v>
      </c>
      <c r="E7" s="42" t="s">
        <v>2378</v>
      </c>
      <c r="F7" s="42">
        <v>2339</v>
      </c>
      <c r="G7" s="42"/>
      <c r="H7" s="42">
        <v>15015</v>
      </c>
      <c r="I7" s="42">
        <v>260</v>
      </c>
      <c r="J7" s="42">
        <v>0.5</v>
      </c>
      <c r="K7" s="43">
        <f t="shared" ref="K7" si="0">I7*J7</f>
        <v>130</v>
      </c>
      <c r="L7" s="43">
        <f t="shared" ref="L7" si="1">H7-K7</f>
        <v>14885</v>
      </c>
      <c r="M7" s="43"/>
      <c r="N7" s="43">
        <f t="shared" ref="N7" si="2">L7-M7</f>
        <v>14885</v>
      </c>
      <c r="O7" s="43">
        <f t="shared" ref="O7" si="3">H7/1000*70</f>
        <v>1051.05</v>
      </c>
      <c r="P7" s="42">
        <v>0</v>
      </c>
      <c r="Q7" s="42"/>
      <c r="R7" s="42">
        <f t="shared" ref="R7" si="4">L7*Q7</f>
        <v>0</v>
      </c>
      <c r="S7" s="42"/>
      <c r="T7" s="62"/>
      <c r="U7" s="62"/>
      <c r="V7" s="62"/>
      <c r="W7" s="62"/>
    </row>
    <row r="8" spans="1:23">
      <c r="A8" s="53"/>
      <c r="B8" s="42"/>
      <c r="C8" s="42"/>
      <c r="D8" s="42"/>
      <c r="E8" s="42"/>
      <c r="F8" s="42"/>
      <c r="G8" s="42"/>
      <c r="H8" s="42"/>
      <c r="I8" s="42"/>
      <c r="J8" s="42"/>
      <c r="K8" s="42"/>
      <c r="L8" s="43"/>
      <c r="M8" s="43"/>
      <c r="N8" s="43"/>
      <c r="O8" s="43"/>
      <c r="P8" s="261"/>
      <c r="Q8" s="261"/>
      <c r="R8" s="42"/>
      <c r="S8" s="42"/>
      <c r="T8" s="62"/>
      <c r="U8" s="62"/>
      <c r="V8" s="62"/>
      <c r="W8" s="62"/>
    </row>
    <row r="9" spans="1:23">
      <c r="A9" s="53" t="s">
        <v>2389</v>
      </c>
      <c r="B9" s="42" t="s">
        <v>2377</v>
      </c>
      <c r="C9" s="42" t="s">
        <v>88</v>
      </c>
      <c r="D9" s="42" t="s">
        <v>16</v>
      </c>
      <c r="E9" s="42" t="s">
        <v>1868</v>
      </c>
      <c r="F9" s="42">
        <v>2343</v>
      </c>
      <c r="G9" s="42"/>
      <c r="H9" s="42">
        <v>14865</v>
      </c>
      <c r="I9" s="42">
        <v>294</v>
      </c>
      <c r="J9" s="42">
        <v>0.5</v>
      </c>
      <c r="K9" s="43">
        <f t="shared" ref="K9" si="5">I9*J9</f>
        <v>147</v>
      </c>
      <c r="L9" s="43">
        <f t="shared" ref="L9" si="6">H9-K9</f>
        <v>14718</v>
      </c>
      <c r="M9" s="43"/>
      <c r="N9" s="43">
        <f t="shared" ref="N9" si="7">L9-M9</f>
        <v>14718</v>
      </c>
      <c r="O9" s="43">
        <f t="shared" ref="O9" si="8">H9/1000*70</f>
        <v>1040.55</v>
      </c>
      <c r="P9" s="42">
        <v>14000</v>
      </c>
      <c r="Q9" s="42">
        <v>20.5</v>
      </c>
      <c r="R9" s="42">
        <f t="shared" ref="R9" si="9">L9*Q9</f>
        <v>301719</v>
      </c>
      <c r="S9" s="62"/>
      <c r="T9" s="62"/>
      <c r="U9" s="62"/>
      <c r="V9" s="62"/>
      <c r="W9" s="62"/>
    </row>
    <row r="10" spans="1:23">
      <c r="A10" s="150"/>
      <c r="B10" s="42"/>
      <c r="C10" s="42"/>
      <c r="D10" s="42"/>
      <c r="E10" s="42"/>
      <c r="F10" s="42"/>
      <c r="G10" s="42"/>
      <c r="H10" s="42"/>
      <c r="I10" s="42"/>
      <c r="J10" s="42"/>
      <c r="K10" s="42"/>
      <c r="L10" s="43"/>
      <c r="M10" s="43"/>
      <c r="N10" s="43"/>
      <c r="O10" s="43"/>
      <c r="P10" s="42"/>
      <c r="Q10" s="42"/>
      <c r="R10" s="42"/>
      <c r="S10" s="62"/>
      <c r="T10" s="62"/>
      <c r="U10" s="62"/>
      <c r="V10" s="62"/>
      <c r="W10" s="62"/>
    </row>
    <row r="11" spans="1:23">
      <c r="A11" s="181"/>
      <c r="B11" s="42"/>
      <c r="C11" s="42"/>
      <c r="D11" s="42"/>
      <c r="E11" s="42"/>
      <c r="F11" s="42"/>
      <c r="G11" s="42"/>
      <c r="H11" s="42"/>
      <c r="I11" s="42"/>
      <c r="J11" s="42"/>
      <c r="K11" s="42"/>
      <c r="L11" s="43"/>
      <c r="M11" s="43"/>
      <c r="N11" s="43"/>
      <c r="O11" s="43"/>
      <c r="P11" s="42"/>
      <c r="Q11" s="42"/>
      <c r="R11" s="42"/>
      <c r="S11" s="62"/>
      <c r="T11" s="62"/>
      <c r="U11" s="62"/>
      <c r="V11" s="62"/>
      <c r="W11" s="62"/>
    </row>
    <row r="12" spans="1:23">
      <c r="A12" s="181" t="s">
        <v>3003</v>
      </c>
      <c r="B12" s="42" t="s">
        <v>3004</v>
      </c>
      <c r="C12" s="42" t="s">
        <v>88</v>
      </c>
      <c r="D12" s="42" t="s">
        <v>16</v>
      </c>
      <c r="E12" s="42" t="s">
        <v>3005</v>
      </c>
      <c r="F12" s="42">
        <v>1954</v>
      </c>
      <c r="G12" s="42"/>
      <c r="H12" s="42">
        <v>19640</v>
      </c>
      <c r="I12" s="42">
        <v>329</v>
      </c>
      <c r="J12" s="42">
        <v>0.5</v>
      </c>
      <c r="K12" s="43">
        <f t="shared" ref="K12" si="10">I12*J12</f>
        <v>164.5</v>
      </c>
      <c r="L12" s="43">
        <f t="shared" ref="L12" si="11">H12-K12</f>
        <v>19475.5</v>
      </c>
      <c r="M12" s="43"/>
      <c r="N12" s="43">
        <f t="shared" ref="N12" si="12">L12-M12</f>
        <v>19475.5</v>
      </c>
      <c r="O12" s="43">
        <f t="shared" ref="O12" si="13">H12/1000*70</f>
        <v>1374.8</v>
      </c>
      <c r="P12" s="42">
        <v>17300</v>
      </c>
      <c r="Q12" s="42"/>
      <c r="R12" s="42">
        <f t="shared" ref="R12" si="14">L12*Q12</f>
        <v>0</v>
      </c>
      <c r="S12" s="42"/>
      <c r="T12" s="62"/>
      <c r="U12" s="62"/>
      <c r="V12" s="62"/>
      <c r="W12" s="62"/>
    </row>
    <row r="13" spans="1:23">
      <c r="A13" s="62"/>
      <c r="B13" s="67"/>
      <c r="C13" s="67"/>
      <c r="D13" s="67"/>
      <c r="E13" s="67"/>
      <c r="F13" s="67"/>
      <c r="G13" s="67"/>
      <c r="H13" s="67"/>
      <c r="I13" s="67"/>
      <c r="J13" s="67"/>
      <c r="K13" s="67"/>
      <c r="L13" s="68"/>
      <c r="M13" s="68"/>
      <c r="N13" s="68"/>
      <c r="O13" s="68"/>
      <c r="P13" s="67"/>
      <c r="Q13" s="67"/>
      <c r="R13" s="62"/>
      <c r="S13" s="62"/>
      <c r="T13" s="62"/>
      <c r="U13" s="62"/>
      <c r="V13" s="62"/>
      <c r="W13" s="62"/>
    </row>
    <row r="14" spans="1:23">
      <c r="A14" s="62" t="s">
        <v>3020</v>
      </c>
      <c r="B14" s="42" t="s">
        <v>3004</v>
      </c>
      <c r="C14" s="42" t="s">
        <v>88</v>
      </c>
      <c r="D14" s="42" t="s">
        <v>16</v>
      </c>
      <c r="E14" s="42" t="s">
        <v>3021</v>
      </c>
      <c r="F14" s="42">
        <v>1902</v>
      </c>
      <c r="G14" s="42"/>
      <c r="H14" s="42">
        <v>21840</v>
      </c>
      <c r="I14" s="42">
        <v>364</v>
      </c>
      <c r="J14" s="42">
        <v>0.5</v>
      </c>
      <c r="K14" s="43">
        <f t="shared" ref="K14" si="15">I14*J14</f>
        <v>182</v>
      </c>
      <c r="L14" s="43">
        <f t="shared" ref="L14" si="16">H14-K14</f>
        <v>21658</v>
      </c>
      <c r="M14" s="43"/>
      <c r="N14" s="43">
        <f t="shared" ref="N14" si="17">L14-M14</f>
        <v>21658</v>
      </c>
      <c r="O14" s="43">
        <f t="shared" ref="O14" si="18">H14/1000*70</f>
        <v>1528.8</v>
      </c>
      <c r="P14" s="42">
        <v>0</v>
      </c>
      <c r="Q14" s="42">
        <v>17.5</v>
      </c>
      <c r="R14" s="42">
        <f t="shared" ref="R14" si="19">L14*Q14</f>
        <v>379015</v>
      </c>
      <c r="S14" s="62"/>
      <c r="T14" s="62"/>
      <c r="U14" s="62"/>
      <c r="V14" s="62"/>
      <c r="W14" s="62"/>
    </row>
    <row r="15" spans="1:23">
      <c r="A15" s="21"/>
      <c r="B15" s="67"/>
      <c r="C15" s="67"/>
      <c r="D15" s="67"/>
      <c r="E15" s="142"/>
      <c r="F15" s="67"/>
      <c r="G15" s="67"/>
      <c r="H15" s="67"/>
      <c r="I15" s="67"/>
      <c r="J15" s="67"/>
      <c r="K15" s="67"/>
      <c r="L15" s="68"/>
      <c r="M15" s="68"/>
      <c r="N15" s="68"/>
      <c r="O15" s="68"/>
      <c r="P15" s="67"/>
      <c r="Q15" s="62"/>
      <c r="R15" s="62"/>
      <c r="S15" s="62"/>
      <c r="T15" s="62"/>
      <c r="U15" s="62"/>
      <c r="V15" s="62"/>
      <c r="W15" s="62"/>
    </row>
    <row r="16" spans="1:23">
      <c r="A16" s="21" t="s">
        <v>3040</v>
      </c>
      <c r="B16" s="42" t="s">
        <v>3004</v>
      </c>
      <c r="C16" s="42" t="s">
        <v>88</v>
      </c>
      <c r="D16" s="42" t="s">
        <v>16</v>
      </c>
      <c r="E16" s="42" t="s">
        <v>3041</v>
      </c>
      <c r="F16" s="42">
        <v>1904</v>
      </c>
      <c r="G16" s="42"/>
      <c r="H16" s="42">
        <v>20010</v>
      </c>
      <c r="I16" s="42">
        <v>333</v>
      </c>
      <c r="J16" s="42">
        <v>0.5</v>
      </c>
      <c r="K16" s="43">
        <f t="shared" ref="K16" si="20">I16*J16</f>
        <v>166.5</v>
      </c>
      <c r="L16" s="43">
        <f t="shared" ref="L16" si="21">H16-K16</f>
        <v>19843.5</v>
      </c>
      <c r="M16" s="43"/>
      <c r="N16" s="43">
        <f t="shared" ref="N16" si="22">L16-M16</f>
        <v>19843.5</v>
      </c>
      <c r="O16" s="43">
        <f t="shared" ref="O16" si="23">H16/1000*70</f>
        <v>1400.7</v>
      </c>
      <c r="P16" s="42">
        <v>11500</v>
      </c>
      <c r="Q16" s="42">
        <v>17.5</v>
      </c>
      <c r="R16" s="62"/>
      <c r="S16" s="62"/>
      <c r="T16" s="62"/>
      <c r="U16" s="62"/>
      <c r="V16" s="62"/>
      <c r="W16" s="62"/>
    </row>
    <row r="17" spans="1:23">
      <c r="A17" s="63"/>
      <c r="B17" s="67"/>
      <c r="C17" s="67"/>
      <c r="D17" s="67"/>
      <c r="E17" s="142"/>
      <c r="F17" s="67"/>
      <c r="G17" s="67"/>
      <c r="H17" s="67"/>
      <c r="I17" s="67"/>
      <c r="J17" s="67"/>
      <c r="K17" s="68"/>
      <c r="L17" s="68"/>
      <c r="M17" s="68"/>
      <c r="N17" s="68"/>
      <c r="O17" s="68"/>
      <c r="P17" s="67"/>
      <c r="Q17" s="62"/>
      <c r="R17" s="62"/>
      <c r="S17" s="62"/>
      <c r="T17" s="62"/>
      <c r="U17" s="62"/>
      <c r="V17" s="62"/>
      <c r="W17" s="62"/>
    </row>
    <row r="18" spans="1:23">
      <c r="A18" s="63" t="s">
        <v>3052</v>
      </c>
      <c r="B18" s="42" t="s">
        <v>3004</v>
      </c>
      <c r="C18" s="42" t="s">
        <v>88</v>
      </c>
      <c r="D18" s="42" t="s">
        <v>16</v>
      </c>
      <c r="E18" s="42" t="s">
        <v>3053</v>
      </c>
      <c r="F18" s="42">
        <v>1905</v>
      </c>
      <c r="G18" s="42">
        <v>2097</v>
      </c>
      <c r="H18" s="42">
        <v>21020</v>
      </c>
      <c r="I18" s="42">
        <v>350</v>
      </c>
      <c r="J18" s="42">
        <v>0.5</v>
      </c>
      <c r="K18" s="43">
        <f t="shared" ref="K18" si="24">I18*J18</f>
        <v>175</v>
      </c>
      <c r="L18" s="43">
        <f t="shared" ref="L18" si="25">H18-K18</f>
        <v>20845</v>
      </c>
      <c r="M18" s="43">
        <f>L18*0.7%</f>
        <v>145.91499999999999</v>
      </c>
      <c r="N18" s="43">
        <f t="shared" ref="N18" si="26">L18-M18</f>
        <v>20699.084999999999</v>
      </c>
      <c r="O18" s="43">
        <f t="shared" ref="O18" si="27">H18/1000*70</f>
        <v>1471.3999999999999</v>
      </c>
      <c r="P18" s="42">
        <v>10600</v>
      </c>
      <c r="Q18" s="42">
        <v>17.5</v>
      </c>
      <c r="R18" s="42">
        <f t="shared" ref="R18" si="28">L18*Q18</f>
        <v>364787.5</v>
      </c>
      <c r="S18" s="62"/>
      <c r="T18" s="62"/>
      <c r="U18" s="62"/>
      <c r="V18" s="62"/>
      <c r="W18" s="62"/>
    </row>
    <row r="19" spans="1:23">
      <c r="A19" s="150"/>
      <c r="B19" s="67"/>
      <c r="C19" s="67"/>
      <c r="D19" s="67"/>
      <c r="E19" s="67"/>
      <c r="F19" s="67"/>
      <c r="G19" s="67"/>
      <c r="H19" s="67"/>
      <c r="I19" s="67"/>
      <c r="J19" s="67"/>
      <c r="K19" s="68"/>
      <c r="L19" s="68"/>
      <c r="M19" s="68"/>
      <c r="N19" s="68"/>
      <c r="O19" s="68"/>
      <c r="P19" s="67"/>
      <c r="Q19" s="67"/>
      <c r="R19" s="67"/>
      <c r="S19" s="62"/>
      <c r="T19" s="62"/>
      <c r="U19" s="62"/>
      <c r="V19" s="62"/>
      <c r="W19" s="62"/>
    </row>
    <row r="20" spans="1:23">
      <c r="A20" s="150" t="s">
        <v>3060</v>
      </c>
      <c r="B20" s="42" t="s">
        <v>3004</v>
      </c>
      <c r="C20" s="42" t="s">
        <v>88</v>
      </c>
      <c r="D20" s="42" t="s">
        <v>16</v>
      </c>
      <c r="E20" s="42" t="s">
        <v>3061</v>
      </c>
      <c r="F20" s="42">
        <v>1907</v>
      </c>
      <c r="G20" s="42">
        <v>2002</v>
      </c>
      <c r="H20" s="42">
        <v>20440</v>
      </c>
      <c r="I20" s="42">
        <v>340</v>
      </c>
      <c r="J20" s="42">
        <v>0.13</v>
      </c>
      <c r="K20" s="43">
        <f t="shared" ref="K20" si="29">I20*J20</f>
        <v>44.2</v>
      </c>
      <c r="L20" s="43">
        <f t="shared" ref="L20" si="30">H20-K20</f>
        <v>20395.8</v>
      </c>
      <c r="M20" s="43"/>
      <c r="N20" s="43">
        <f t="shared" ref="N20" si="31">L20-M20</f>
        <v>20395.8</v>
      </c>
      <c r="O20" s="43">
        <f t="shared" ref="O20" si="32">H20/1000*70</f>
        <v>1430.8000000000002</v>
      </c>
      <c r="P20" s="42">
        <v>11500</v>
      </c>
      <c r="Q20" s="42">
        <v>17.5</v>
      </c>
      <c r="R20" s="42">
        <f t="shared" ref="R20" si="33">L20*Q20</f>
        <v>356926.5</v>
      </c>
      <c r="S20" s="62"/>
      <c r="T20" s="62"/>
      <c r="U20" s="62"/>
      <c r="V20" s="62"/>
      <c r="W20" s="62"/>
    </row>
    <row r="21" spans="1:23">
      <c r="A21" s="21"/>
      <c r="B21" s="67"/>
      <c r="C21" s="67"/>
      <c r="D21" s="67"/>
      <c r="E21" s="67"/>
      <c r="F21" s="67"/>
      <c r="G21" s="67"/>
      <c r="H21" s="67"/>
      <c r="I21" s="67"/>
      <c r="J21" s="67"/>
      <c r="K21" s="67"/>
      <c r="L21" s="68"/>
      <c r="M21" s="68"/>
      <c r="N21" s="68"/>
      <c r="O21" s="68"/>
      <c r="P21" s="67"/>
      <c r="Q21" s="67"/>
      <c r="R21" s="62"/>
      <c r="S21" s="62"/>
      <c r="T21" s="62"/>
      <c r="U21" s="62"/>
      <c r="V21" s="62"/>
      <c r="W21" s="62"/>
    </row>
    <row r="22" spans="1:23">
      <c r="A22" s="62"/>
      <c r="B22" s="67"/>
      <c r="C22" s="67"/>
      <c r="D22" s="67"/>
      <c r="E22" s="67"/>
      <c r="F22" s="67"/>
      <c r="G22" s="67"/>
      <c r="H22" s="67"/>
      <c r="I22" s="67"/>
      <c r="J22" s="67"/>
      <c r="K22" s="68"/>
      <c r="L22" s="68"/>
      <c r="M22" s="68"/>
      <c r="N22" s="68"/>
      <c r="O22" s="68"/>
      <c r="P22" s="67"/>
      <c r="Q22" s="67"/>
      <c r="R22" s="62"/>
      <c r="S22" s="62"/>
      <c r="T22" s="62"/>
      <c r="U22" s="62"/>
      <c r="V22" s="62"/>
      <c r="W22" s="62"/>
    </row>
    <row r="23" spans="1:23">
      <c r="A23" s="63"/>
      <c r="B23" s="67"/>
      <c r="C23" s="67"/>
      <c r="D23" s="67"/>
      <c r="E23" s="67"/>
      <c r="F23" s="67"/>
      <c r="G23" s="67"/>
      <c r="H23" s="67"/>
      <c r="I23" s="67"/>
      <c r="J23" s="67"/>
      <c r="K23" s="68"/>
      <c r="L23" s="68">
        <f>SUM(L7:L22)</f>
        <v>131820.79999999999</v>
      </c>
      <c r="M23" s="68"/>
      <c r="N23" s="68"/>
      <c r="O23" s="68"/>
      <c r="P23" s="67"/>
      <c r="Q23" s="62"/>
      <c r="R23" s="62"/>
      <c r="S23" s="62"/>
      <c r="T23" s="62"/>
      <c r="U23" s="62"/>
      <c r="V23" s="62"/>
      <c r="W23" s="62"/>
    </row>
    <row r="24" spans="1:23">
      <c r="A24" s="63"/>
      <c r="B24" s="67"/>
      <c r="C24" s="67"/>
      <c r="D24" s="67"/>
      <c r="E24" s="67"/>
      <c r="F24" s="67"/>
      <c r="G24" s="67"/>
      <c r="H24" s="67"/>
      <c r="I24" s="67"/>
      <c r="J24" s="67"/>
      <c r="K24" s="67"/>
      <c r="L24" s="68"/>
      <c r="M24" s="68"/>
      <c r="N24" s="68"/>
      <c r="O24" s="68"/>
      <c r="P24" s="67"/>
      <c r="Q24" s="62"/>
      <c r="R24" s="62"/>
      <c r="S24" s="62"/>
      <c r="T24" s="62"/>
      <c r="U24" s="62"/>
      <c r="V24" s="62"/>
      <c r="W24" s="62"/>
    </row>
    <row r="25" spans="1:23">
      <c r="A25" s="63"/>
      <c r="B25" s="67"/>
      <c r="C25" s="67"/>
      <c r="D25" s="67"/>
      <c r="E25" s="67"/>
      <c r="F25" s="67"/>
      <c r="G25" s="67"/>
      <c r="H25" s="67"/>
      <c r="I25" s="67"/>
      <c r="J25" s="67"/>
      <c r="K25" s="68"/>
      <c r="L25" s="68"/>
      <c r="M25" s="68"/>
      <c r="N25" s="68"/>
      <c r="O25" s="68"/>
      <c r="P25" s="67"/>
      <c r="Q25" s="62"/>
      <c r="R25" s="62"/>
      <c r="S25" s="62"/>
      <c r="T25" s="62"/>
      <c r="U25" s="62"/>
      <c r="V25" s="62"/>
      <c r="W25" s="62"/>
    </row>
    <row r="26" spans="1:23">
      <c r="A26" s="63"/>
      <c r="B26" s="67"/>
      <c r="C26" s="67"/>
      <c r="D26" s="67"/>
      <c r="E26" s="67"/>
      <c r="F26" s="67"/>
      <c r="G26" s="67"/>
      <c r="H26" s="67"/>
      <c r="I26" s="67"/>
      <c r="J26" s="67"/>
      <c r="K26" s="68"/>
      <c r="L26" s="68"/>
      <c r="M26" s="68"/>
      <c r="N26" s="68"/>
      <c r="O26" s="68"/>
      <c r="P26" s="67"/>
      <c r="Q26" s="62"/>
      <c r="R26" s="62"/>
      <c r="S26" s="62"/>
      <c r="T26" s="62"/>
      <c r="U26" s="62"/>
      <c r="V26" s="62"/>
      <c r="W26" s="62"/>
    </row>
    <row r="27" spans="1:23">
      <c r="A27" s="63"/>
      <c r="B27" s="67"/>
      <c r="C27" s="67"/>
      <c r="D27" s="67"/>
      <c r="E27" s="67"/>
      <c r="F27" s="67"/>
      <c r="G27" s="67"/>
      <c r="H27" s="67"/>
      <c r="I27" s="67"/>
      <c r="J27" s="67"/>
      <c r="K27" s="67"/>
      <c r="L27" s="68"/>
      <c r="M27" s="68"/>
      <c r="N27" s="68"/>
      <c r="O27" s="68"/>
      <c r="P27" s="67"/>
      <c r="Q27" s="62"/>
      <c r="R27" s="62"/>
      <c r="S27" s="62"/>
      <c r="T27" s="62"/>
      <c r="U27" s="62"/>
      <c r="V27" s="62"/>
      <c r="W27" s="62"/>
    </row>
    <row r="28" spans="1:23">
      <c r="A28" s="63"/>
      <c r="B28" s="67"/>
      <c r="C28" s="67"/>
      <c r="D28" s="67"/>
      <c r="E28" s="67"/>
      <c r="F28" s="67"/>
      <c r="G28" s="67"/>
      <c r="H28" s="67"/>
      <c r="I28" s="67"/>
      <c r="J28" s="67"/>
      <c r="K28" s="67"/>
      <c r="L28" s="68"/>
      <c r="M28" s="68"/>
      <c r="N28" s="68"/>
      <c r="O28" s="68"/>
      <c r="P28" s="67"/>
      <c r="Q28" s="62"/>
      <c r="R28" s="62"/>
      <c r="S28" s="62"/>
      <c r="T28" s="62"/>
      <c r="U28" s="62"/>
      <c r="V28" s="62"/>
      <c r="W28" s="62"/>
    </row>
    <row r="29" spans="1:23">
      <c r="A29" s="63"/>
      <c r="B29" s="67"/>
      <c r="C29" s="67"/>
      <c r="D29" s="67"/>
      <c r="E29" s="67"/>
      <c r="F29" s="67"/>
      <c r="G29" s="67"/>
      <c r="H29" s="67"/>
      <c r="I29" s="67"/>
      <c r="J29" s="67"/>
      <c r="K29" s="67"/>
      <c r="L29" s="68"/>
      <c r="M29" s="68"/>
      <c r="N29" s="68"/>
      <c r="O29" s="68"/>
      <c r="P29" s="67"/>
      <c r="Q29" s="62"/>
      <c r="R29" s="62"/>
      <c r="S29" s="62"/>
      <c r="T29" s="62"/>
      <c r="U29" s="62"/>
      <c r="V29" s="62"/>
      <c r="W29" s="62"/>
    </row>
    <row r="30" spans="1:23">
      <c r="A30" s="63"/>
      <c r="B30" s="67"/>
      <c r="C30" s="67"/>
      <c r="D30" s="67"/>
      <c r="E30" s="67"/>
      <c r="F30" s="67"/>
      <c r="G30" s="67"/>
      <c r="H30" s="67"/>
      <c r="I30" s="67"/>
      <c r="J30" s="67"/>
      <c r="K30" s="68"/>
      <c r="L30" s="68"/>
      <c r="M30" s="68"/>
      <c r="N30" s="68"/>
      <c r="O30" s="68"/>
      <c r="P30" s="67"/>
      <c r="Q30" s="62"/>
      <c r="R30" s="62"/>
      <c r="S30" s="62"/>
      <c r="T30" s="62"/>
      <c r="U30" s="62"/>
      <c r="V30" s="62"/>
      <c r="W30" s="62"/>
    </row>
    <row r="31" spans="1:23">
      <c r="A31" s="63"/>
      <c r="B31" s="67"/>
      <c r="C31" s="67"/>
      <c r="D31" s="67"/>
      <c r="E31" s="67"/>
      <c r="F31" s="67"/>
      <c r="G31" s="67"/>
      <c r="H31" s="67"/>
      <c r="I31" s="67"/>
      <c r="J31" s="67"/>
      <c r="K31" s="67"/>
      <c r="L31" s="68"/>
      <c r="M31" s="68"/>
      <c r="N31" s="68"/>
      <c r="O31" s="68"/>
      <c r="P31" s="67"/>
      <c r="Q31" s="62"/>
      <c r="R31" s="62"/>
      <c r="S31" s="62"/>
      <c r="T31" s="62"/>
      <c r="U31" s="62"/>
      <c r="V31" s="62"/>
      <c r="W31" s="62"/>
    </row>
    <row r="32" spans="1:23">
      <c r="A32" s="63"/>
      <c r="B32" s="67"/>
      <c r="C32" s="67"/>
      <c r="D32" s="67"/>
      <c r="E32" s="67"/>
      <c r="F32" s="67"/>
      <c r="G32" s="67"/>
      <c r="H32" s="67"/>
      <c r="I32" s="67"/>
      <c r="J32" s="67"/>
      <c r="K32" s="68"/>
      <c r="L32" s="68"/>
      <c r="M32" s="68"/>
      <c r="N32" s="68"/>
      <c r="O32" s="68"/>
      <c r="P32" s="67"/>
      <c r="Q32" s="62"/>
      <c r="R32" s="62"/>
      <c r="S32" s="62"/>
      <c r="T32" s="62"/>
      <c r="U32" s="62"/>
      <c r="V32" s="62"/>
      <c r="W32" s="62"/>
    </row>
    <row r="33" spans="1:23">
      <c r="A33" s="63"/>
      <c r="B33" s="67"/>
      <c r="C33" s="67"/>
      <c r="D33" s="67"/>
      <c r="E33" s="67"/>
      <c r="F33" s="67"/>
      <c r="G33" s="67"/>
      <c r="H33" s="67"/>
      <c r="I33" s="67"/>
      <c r="J33" s="67"/>
      <c r="K33" s="67"/>
      <c r="L33" s="68"/>
      <c r="M33" s="68"/>
      <c r="N33" s="68"/>
      <c r="O33" s="68"/>
      <c r="P33" s="67"/>
      <c r="Q33" s="62"/>
      <c r="R33" s="62"/>
      <c r="S33" s="62"/>
      <c r="T33" s="62"/>
      <c r="U33" s="62"/>
      <c r="V33" s="62"/>
      <c r="W33" s="62"/>
    </row>
    <row r="34" spans="1:23">
      <c r="A34" s="63"/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8"/>
      <c r="M34" s="68"/>
      <c r="N34" s="68"/>
      <c r="O34" s="68"/>
      <c r="P34" s="67"/>
      <c r="Q34" s="62"/>
      <c r="R34" s="62"/>
      <c r="S34" s="62"/>
      <c r="T34" s="62"/>
      <c r="U34" s="62"/>
      <c r="V34" s="62"/>
      <c r="W34" s="62"/>
    </row>
    <row r="35" spans="1:23">
      <c r="A35" s="63"/>
      <c r="B35" s="67"/>
      <c r="C35" s="67"/>
      <c r="D35" s="67"/>
      <c r="E35" s="67"/>
      <c r="F35" s="67"/>
      <c r="G35" s="67"/>
      <c r="H35" s="67"/>
      <c r="I35" s="67"/>
      <c r="J35" s="67"/>
      <c r="K35" s="68"/>
      <c r="L35" s="68"/>
      <c r="M35" s="68"/>
      <c r="N35" s="68"/>
      <c r="O35" s="68"/>
      <c r="P35" s="67"/>
      <c r="Q35" s="62"/>
      <c r="R35" s="62"/>
      <c r="S35" s="62"/>
      <c r="T35" s="62"/>
      <c r="U35" s="62"/>
      <c r="V35" s="62"/>
      <c r="W35" s="62"/>
    </row>
    <row r="36" spans="1:23">
      <c r="A36" s="63"/>
      <c r="B36" s="67"/>
      <c r="C36" s="67"/>
      <c r="D36" s="67"/>
      <c r="E36" s="67"/>
      <c r="F36" s="67"/>
      <c r="G36" s="67"/>
      <c r="H36" s="67"/>
      <c r="I36" s="67"/>
      <c r="J36" s="67"/>
      <c r="K36" s="68"/>
      <c r="L36" s="68"/>
      <c r="M36" s="68"/>
      <c r="N36" s="68"/>
      <c r="O36" s="68"/>
      <c r="P36" s="67"/>
      <c r="Q36" s="62"/>
      <c r="R36" s="62"/>
      <c r="S36" s="62"/>
      <c r="T36" s="62"/>
      <c r="U36" s="62"/>
      <c r="V36" s="62"/>
      <c r="W36" s="62"/>
    </row>
    <row r="37" spans="1:23">
      <c r="A37" s="63"/>
      <c r="B37" s="67"/>
      <c r="C37" s="67"/>
      <c r="D37" s="67"/>
      <c r="E37" s="67"/>
      <c r="F37" s="67"/>
      <c r="G37" s="67"/>
      <c r="H37" s="67"/>
      <c r="I37" s="67"/>
      <c r="J37" s="67"/>
      <c r="K37" s="68"/>
      <c r="L37" s="68"/>
      <c r="M37" s="68"/>
      <c r="N37" s="68"/>
      <c r="O37" s="68"/>
      <c r="P37" s="67"/>
      <c r="Q37" s="62"/>
      <c r="R37" s="62"/>
      <c r="S37" s="62"/>
      <c r="T37" s="62"/>
      <c r="U37" s="62"/>
      <c r="V37" s="62"/>
      <c r="W37" s="62"/>
    </row>
    <row r="38" spans="1:23">
      <c r="A38" s="63"/>
      <c r="B38" s="67"/>
      <c r="C38" s="67"/>
      <c r="D38" s="67"/>
      <c r="E38" s="67"/>
      <c r="F38" s="67"/>
      <c r="G38" s="67"/>
      <c r="H38" s="67"/>
      <c r="I38" s="67"/>
      <c r="J38" s="67"/>
      <c r="K38" s="68"/>
      <c r="L38" s="68"/>
      <c r="M38" s="68"/>
      <c r="N38" s="68"/>
      <c r="O38" s="68"/>
      <c r="P38" s="67"/>
      <c r="Q38" s="62"/>
      <c r="R38" s="62"/>
      <c r="S38" s="62"/>
      <c r="T38" s="62"/>
      <c r="U38" s="62"/>
      <c r="V38" s="62"/>
      <c r="W38" s="62"/>
    </row>
    <row r="39" spans="1:23">
      <c r="A39" s="63"/>
      <c r="B39" s="67"/>
      <c r="C39" s="67"/>
      <c r="D39" s="67"/>
      <c r="E39" s="67"/>
      <c r="F39" s="67"/>
      <c r="G39" s="67"/>
      <c r="H39" s="67"/>
      <c r="I39" s="67"/>
      <c r="J39" s="67"/>
      <c r="K39" s="68"/>
      <c r="L39" s="68"/>
      <c r="M39" s="68"/>
      <c r="N39" s="68"/>
      <c r="O39" s="68"/>
      <c r="P39" s="67"/>
      <c r="Q39" s="62"/>
      <c r="R39" s="62"/>
      <c r="S39" s="62"/>
      <c r="T39" s="62"/>
      <c r="U39" s="62"/>
      <c r="V39" s="62"/>
      <c r="W39" s="62"/>
    </row>
    <row r="40" spans="1:23">
      <c r="A40" s="63"/>
      <c r="B40" s="67"/>
      <c r="C40" s="67"/>
      <c r="D40" s="67"/>
      <c r="E40" s="67"/>
      <c r="F40" s="67"/>
      <c r="G40" s="67"/>
      <c r="H40" s="67"/>
      <c r="I40" s="67"/>
      <c r="J40" s="67"/>
      <c r="K40" s="68"/>
      <c r="L40" s="68"/>
      <c r="M40" s="68"/>
      <c r="N40" s="68"/>
      <c r="O40" s="68"/>
      <c r="P40" s="67"/>
      <c r="Q40" s="62"/>
      <c r="R40" s="62"/>
      <c r="S40" s="62"/>
      <c r="T40" s="62"/>
      <c r="U40" s="62"/>
      <c r="V40" s="62"/>
      <c r="W40" s="62"/>
    </row>
    <row r="41" spans="1:23">
      <c r="A41" s="63"/>
      <c r="B41" s="67"/>
      <c r="C41" s="67"/>
      <c r="D41" s="67"/>
      <c r="E41" s="67"/>
      <c r="F41" s="67"/>
      <c r="G41" s="67"/>
      <c r="H41" s="67"/>
      <c r="I41" s="67"/>
      <c r="J41" s="67"/>
      <c r="K41" s="68"/>
      <c r="L41" s="68"/>
      <c r="M41" s="68"/>
      <c r="N41" s="68"/>
      <c r="O41" s="68"/>
      <c r="P41" s="67"/>
      <c r="Q41" s="62"/>
      <c r="R41" s="62"/>
      <c r="S41" s="62"/>
      <c r="T41" s="62"/>
      <c r="U41" s="62"/>
      <c r="V41" s="62"/>
      <c r="W41" s="62"/>
    </row>
    <row r="42" spans="1:23">
      <c r="A42" s="63"/>
      <c r="B42" s="67"/>
      <c r="C42" s="67"/>
      <c r="D42" s="67"/>
      <c r="E42" s="67"/>
      <c r="F42" s="67"/>
      <c r="G42" s="67"/>
      <c r="H42" s="67"/>
      <c r="I42" s="67"/>
      <c r="J42" s="67"/>
      <c r="K42" s="68"/>
      <c r="L42" s="68"/>
      <c r="M42" s="68"/>
      <c r="N42" s="68"/>
      <c r="O42" s="68"/>
      <c r="P42" s="67"/>
      <c r="Q42" s="62"/>
      <c r="R42" s="62"/>
      <c r="S42" s="62"/>
      <c r="T42" s="62"/>
      <c r="U42" s="62"/>
      <c r="V42" s="62"/>
      <c r="W42" s="62"/>
    </row>
    <row r="43" spans="1:23">
      <c r="A43" s="63"/>
      <c r="B43" s="67"/>
      <c r="C43" s="67"/>
      <c r="D43" s="67"/>
      <c r="E43" s="67"/>
      <c r="F43" s="67"/>
      <c r="G43" s="67"/>
      <c r="H43" s="67"/>
      <c r="I43" s="67"/>
      <c r="J43" s="67"/>
      <c r="K43" s="68"/>
      <c r="L43" s="68"/>
      <c r="M43" s="68"/>
      <c r="N43" s="68"/>
      <c r="O43" s="68"/>
      <c r="P43" s="67"/>
      <c r="Q43" s="62"/>
      <c r="R43" s="62"/>
      <c r="S43" s="62"/>
      <c r="T43" s="62"/>
      <c r="U43" s="62"/>
      <c r="V43" s="62"/>
      <c r="W43" s="62"/>
    </row>
    <row r="44" spans="1:23">
      <c r="A44" s="63"/>
      <c r="B44" s="67"/>
      <c r="C44" s="67"/>
      <c r="D44" s="67"/>
      <c r="E44" s="67"/>
      <c r="F44" s="67"/>
      <c r="G44" s="67"/>
      <c r="H44" s="67"/>
      <c r="I44" s="67"/>
      <c r="J44" s="67"/>
      <c r="K44" s="68"/>
      <c r="L44" s="68"/>
      <c r="M44" s="68"/>
      <c r="N44" s="68"/>
      <c r="O44" s="68"/>
      <c r="P44" s="67"/>
      <c r="Q44" s="62"/>
      <c r="R44" s="62"/>
      <c r="S44" s="62"/>
      <c r="T44" s="62"/>
      <c r="U44" s="62"/>
      <c r="V44" s="62"/>
      <c r="W44" s="62"/>
    </row>
    <row r="45" spans="1:23">
      <c r="A45" s="63"/>
      <c r="B45" s="67"/>
      <c r="C45" s="67"/>
      <c r="D45" s="67"/>
      <c r="E45" s="67"/>
      <c r="F45" s="98"/>
      <c r="G45" s="98"/>
      <c r="H45" s="98"/>
      <c r="I45" s="98"/>
      <c r="J45" s="98"/>
      <c r="K45" s="68"/>
      <c r="L45" s="68"/>
      <c r="M45" s="68"/>
      <c r="N45" s="68"/>
      <c r="O45" s="68"/>
      <c r="P45" s="99"/>
      <c r="Q45" s="62"/>
      <c r="R45" s="62"/>
      <c r="S45" s="62"/>
      <c r="T45" s="62"/>
      <c r="U45" s="62"/>
      <c r="V45" s="62"/>
      <c r="W45" s="62"/>
    </row>
    <row r="46" spans="1:23">
      <c r="A46" s="63"/>
      <c r="B46" s="67"/>
      <c r="C46" s="67"/>
      <c r="D46" s="67"/>
      <c r="E46" s="67"/>
      <c r="F46" s="67"/>
      <c r="G46" s="67"/>
      <c r="H46" s="67"/>
      <c r="I46" s="67"/>
      <c r="J46" s="67"/>
      <c r="K46" s="68"/>
      <c r="L46" s="68"/>
      <c r="M46" s="68"/>
      <c r="N46" s="68"/>
      <c r="O46" s="68"/>
      <c r="P46" s="67"/>
      <c r="Q46" s="62"/>
      <c r="R46" s="62"/>
      <c r="S46" s="62"/>
      <c r="T46" s="62"/>
      <c r="U46" s="62"/>
      <c r="V46" s="62"/>
      <c r="W46" s="62"/>
    </row>
    <row r="47" spans="1:23">
      <c r="A47" s="63"/>
      <c r="B47" s="67"/>
      <c r="C47" s="67"/>
      <c r="D47" s="67"/>
      <c r="E47" s="67"/>
      <c r="F47" s="67"/>
      <c r="G47" s="67"/>
      <c r="H47" s="67"/>
      <c r="I47" s="67"/>
      <c r="J47" s="67"/>
      <c r="K47" s="68"/>
      <c r="L47" s="68"/>
      <c r="M47" s="68"/>
      <c r="N47" s="68"/>
      <c r="O47" s="68"/>
      <c r="P47" s="67"/>
      <c r="Q47" s="62"/>
      <c r="R47" s="62"/>
      <c r="S47" s="62"/>
      <c r="T47" s="62"/>
      <c r="U47" s="62"/>
      <c r="V47" s="62"/>
      <c r="W47" s="62"/>
    </row>
    <row r="48" spans="1:23">
      <c r="A48" s="63"/>
      <c r="B48" s="67"/>
      <c r="C48" s="67"/>
      <c r="D48" s="67"/>
      <c r="E48" s="67"/>
      <c r="F48" s="67"/>
      <c r="G48" s="67"/>
      <c r="H48" s="67"/>
      <c r="I48" s="67"/>
      <c r="J48" s="67"/>
      <c r="K48" s="68"/>
      <c r="L48" s="68"/>
      <c r="M48" s="68"/>
      <c r="N48" s="68"/>
      <c r="O48" s="68"/>
      <c r="P48" s="67"/>
      <c r="Q48" s="62"/>
      <c r="R48" s="62"/>
      <c r="S48" s="62"/>
      <c r="T48" s="62"/>
      <c r="U48" s="62"/>
      <c r="V48" s="62"/>
      <c r="W48" s="62"/>
    </row>
    <row r="49" spans="1:23">
      <c r="A49" s="63"/>
      <c r="B49" s="67"/>
      <c r="C49" s="67"/>
      <c r="D49" s="67"/>
      <c r="E49" s="67"/>
      <c r="F49" s="67"/>
      <c r="G49" s="67"/>
      <c r="H49" s="67"/>
      <c r="I49" s="67"/>
      <c r="J49" s="67"/>
      <c r="K49" s="68"/>
      <c r="L49" s="68"/>
      <c r="M49" s="68"/>
      <c r="N49" s="68"/>
      <c r="O49" s="68"/>
      <c r="P49" s="67"/>
      <c r="Q49" s="62"/>
      <c r="R49" s="62"/>
      <c r="S49" s="62"/>
      <c r="T49" s="62"/>
      <c r="U49" s="62"/>
      <c r="V49" s="62"/>
      <c r="W49" s="62"/>
    </row>
    <row r="50" spans="1:23">
      <c r="A50" s="63"/>
      <c r="B50" s="67"/>
      <c r="C50" s="67"/>
      <c r="D50" s="67"/>
      <c r="E50" s="67"/>
      <c r="F50" s="67"/>
      <c r="G50" s="67"/>
      <c r="H50" s="67"/>
      <c r="I50" s="67"/>
      <c r="J50" s="67"/>
      <c r="K50" s="68"/>
      <c r="L50" s="68"/>
      <c r="M50" s="68"/>
      <c r="N50" s="68"/>
      <c r="O50" s="68"/>
      <c r="P50" s="67"/>
      <c r="Q50" s="62"/>
      <c r="R50" s="62"/>
      <c r="S50" s="62"/>
      <c r="T50" s="62"/>
      <c r="U50" s="62"/>
      <c r="V50" s="62"/>
      <c r="W50" s="62"/>
    </row>
    <row r="51" spans="1:23">
      <c r="A51" s="63"/>
      <c r="B51" s="67"/>
      <c r="C51" s="67"/>
      <c r="D51" s="67"/>
      <c r="E51" s="67"/>
      <c r="F51" s="67"/>
      <c r="G51" s="67"/>
      <c r="H51" s="67"/>
      <c r="I51" s="67"/>
      <c r="J51" s="67"/>
      <c r="K51" s="68"/>
      <c r="L51" s="68"/>
      <c r="M51" s="68"/>
      <c r="N51" s="68"/>
      <c r="O51" s="68"/>
      <c r="P51" s="67"/>
      <c r="Q51" s="62"/>
      <c r="R51" s="62"/>
      <c r="S51" s="62"/>
      <c r="T51" s="62"/>
      <c r="U51" s="62"/>
      <c r="V51" s="62"/>
      <c r="W51" s="62"/>
    </row>
    <row r="52" spans="1:23">
      <c r="A52" s="63"/>
      <c r="B52" s="67"/>
      <c r="C52" s="67"/>
      <c r="D52" s="67"/>
      <c r="E52" s="67"/>
      <c r="F52" s="67"/>
      <c r="G52" s="67"/>
      <c r="H52" s="67"/>
      <c r="I52" s="67"/>
      <c r="J52" s="67"/>
      <c r="K52" s="68"/>
      <c r="L52" s="68"/>
      <c r="M52" s="68"/>
      <c r="N52" s="68"/>
      <c r="O52" s="68"/>
      <c r="P52" s="149"/>
      <c r="Q52" s="62"/>
      <c r="R52" s="62"/>
      <c r="S52" s="62"/>
      <c r="T52" s="62"/>
      <c r="U52" s="62"/>
      <c r="V52" s="62"/>
      <c r="W52" s="62"/>
    </row>
    <row r="53" spans="1:23">
      <c r="A53" s="63"/>
      <c r="B53" s="67"/>
      <c r="C53" s="67"/>
      <c r="D53" s="67"/>
      <c r="E53" s="67"/>
      <c r="F53" s="67"/>
      <c r="G53" s="67"/>
      <c r="H53" s="67"/>
      <c r="I53" s="67"/>
      <c r="J53" s="67"/>
      <c r="K53" s="68"/>
      <c r="L53" s="68"/>
      <c r="M53" s="68"/>
      <c r="N53" s="68"/>
      <c r="O53" s="68"/>
      <c r="P53" s="149"/>
      <c r="Q53" s="62"/>
      <c r="R53" s="62"/>
      <c r="S53" s="62"/>
      <c r="T53" s="62"/>
      <c r="U53" s="62"/>
      <c r="V53" s="62"/>
      <c r="W53" s="62"/>
    </row>
    <row r="54" spans="1:23">
      <c r="A54" s="63"/>
      <c r="B54" s="67"/>
      <c r="C54" s="67"/>
      <c r="D54" s="67"/>
      <c r="E54" s="67"/>
      <c r="F54" s="67"/>
      <c r="G54" s="67"/>
      <c r="H54" s="67"/>
      <c r="I54" s="67"/>
      <c r="J54" s="67"/>
      <c r="K54" s="68"/>
      <c r="L54" s="68"/>
      <c r="M54" s="68"/>
      <c r="N54" s="68"/>
      <c r="O54" s="68"/>
      <c r="P54" s="149"/>
      <c r="Q54" s="62"/>
      <c r="R54" s="62"/>
      <c r="S54" s="62"/>
      <c r="T54" s="62"/>
      <c r="U54" s="62"/>
      <c r="V54" s="62"/>
      <c r="W54" s="62"/>
    </row>
    <row r="55" spans="1:23">
      <c r="A55" s="63"/>
      <c r="B55" s="67"/>
      <c r="C55" s="67"/>
      <c r="D55" s="67"/>
      <c r="E55" s="67"/>
      <c r="F55" s="67"/>
      <c r="G55" s="67"/>
      <c r="H55" s="67"/>
      <c r="I55" s="67"/>
      <c r="J55" s="67"/>
      <c r="K55" s="68"/>
      <c r="L55" s="68"/>
      <c r="M55" s="68"/>
      <c r="N55" s="68"/>
      <c r="O55" s="68"/>
      <c r="P55" s="149"/>
      <c r="Q55" s="62"/>
      <c r="R55" s="62"/>
      <c r="S55" s="62"/>
      <c r="T55" s="62"/>
      <c r="U55" s="62"/>
      <c r="V55" s="62"/>
      <c r="W55" s="62"/>
    </row>
    <row r="56" spans="1:23">
      <c r="A56" s="63"/>
      <c r="B56" s="67"/>
      <c r="C56" s="67"/>
      <c r="D56" s="67"/>
      <c r="E56" s="67"/>
      <c r="F56" s="67"/>
      <c r="G56" s="67"/>
      <c r="H56" s="67"/>
      <c r="I56" s="67"/>
      <c r="J56" s="67"/>
      <c r="K56" s="68"/>
      <c r="L56" s="68"/>
      <c r="M56" s="68"/>
      <c r="N56" s="68"/>
      <c r="O56" s="68"/>
      <c r="P56" s="149"/>
      <c r="Q56" s="62"/>
      <c r="R56" s="62"/>
      <c r="S56" s="62"/>
      <c r="T56" s="62"/>
      <c r="U56" s="62"/>
      <c r="V56" s="62"/>
      <c r="W56" s="62"/>
    </row>
    <row r="57" spans="1:23">
      <c r="A57" s="63"/>
      <c r="B57" s="67"/>
      <c r="C57" s="67"/>
      <c r="D57" s="67"/>
      <c r="E57" s="67"/>
      <c r="F57" s="67"/>
      <c r="G57" s="67"/>
      <c r="H57" s="67"/>
      <c r="I57" s="67"/>
      <c r="J57" s="67"/>
      <c r="K57" s="68"/>
      <c r="L57" s="68"/>
      <c r="M57" s="68"/>
      <c r="N57" s="68"/>
      <c r="O57" s="68"/>
      <c r="P57" s="149"/>
      <c r="Q57" s="62"/>
      <c r="R57" s="62"/>
      <c r="S57" s="62"/>
      <c r="T57" s="62"/>
      <c r="U57" s="62"/>
      <c r="V57" s="62"/>
      <c r="W57" s="62"/>
    </row>
    <row r="58" spans="1:23">
      <c r="A58" s="63"/>
      <c r="B58" s="67"/>
      <c r="C58" s="67"/>
      <c r="D58" s="67"/>
      <c r="E58" s="67"/>
      <c r="F58" s="67"/>
      <c r="G58" s="67"/>
      <c r="H58" s="67"/>
      <c r="I58" s="67"/>
      <c r="J58" s="67"/>
      <c r="K58" s="68"/>
      <c r="L58" s="68"/>
      <c r="M58" s="68"/>
      <c r="N58" s="68"/>
      <c r="O58" s="68"/>
      <c r="P58" s="67"/>
      <c r="Q58" s="67"/>
      <c r="R58" s="67"/>
      <c r="S58" s="62"/>
      <c r="T58" s="62"/>
      <c r="U58" s="62"/>
      <c r="V58" s="62"/>
      <c r="W58" s="62"/>
    </row>
    <row r="59" spans="1:23">
      <c r="A59" s="63"/>
      <c r="B59" s="67"/>
      <c r="C59" s="67"/>
      <c r="D59" s="67"/>
      <c r="E59" s="67"/>
      <c r="F59" s="67"/>
      <c r="G59" s="67"/>
      <c r="H59" s="67"/>
      <c r="I59" s="67"/>
      <c r="J59" s="67"/>
      <c r="K59" s="68"/>
      <c r="L59" s="68"/>
      <c r="M59" s="68"/>
      <c r="N59" s="68"/>
      <c r="O59" s="68"/>
      <c r="P59" s="67"/>
      <c r="Q59" s="67"/>
      <c r="R59" s="67"/>
      <c r="S59" s="62"/>
      <c r="T59" s="62"/>
      <c r="U59" s="62"/>
      <c r="V59" s="62"/>
      <c r="W59" s="62"/>
    </row>
    <row r="60" spans="1:23">
      <c r="A60" s="63"/>
      <c r="B60" s="67"/>
      <c r="C60" s="67"/>
      <c r="D60" s="67"/>
      <c r="E60" s="67"/>
      <c r="F60" s="67"/>
      <c r="G60" s="67"/>
      <c r="H60" s="67"/>
      <c r="I60" s="67"/>
      <c r="J60" s="67"/>
      <c r="K60" s="68"/>
      <c r="L60" s="68"/>
      <c r="M60" s="68"/>
      <c r="N60" s="68"/>
      <c r="O60" s="68"/>
      <c r="P60" s="67"/>
      <c r="Q60" s="67"/>
      <c r="R60" s="67"/>
      <c r="S60" s="62"/>
      <c r="T60" s="62"/>
      <c r="U60" s="62"/>
      <c r="V60" s="62"/>
      <c r="W60" s="62"/>
    </row>
    <row r="61" spans="1:23">
      <c r="A61" s="63"/>
      <c r="B61" s="67"/>
      <c r="C61" s="67"/>
      <c r="D61" s="67"/>
      <c r="E61" s="67"/>
      <c r="F61" s="67"/>
      <c r="G61" s="67"/>
      <c r="H61" s="67"/>
      <c r="I61" s="67"/>
      <c r="J61" s="67"/>
      <c r="K61" s="68"/>
      <c r="L61" s="68"/>
      <c r="M61" s="68"/>
      <c r="N61" s="68"/>
      <c r="O61" s="68"/>
      <c r="P61" s="67"/>
      <c r="Q61" s="67"/>
      <c r="R61" s="67"/>
      <c r="S61" s="62"/>
      <c r="T61" s="62"/>
      <c r="U61" s="62"/>
      <c r="V61" s="62"/>
      <c r="W61" s="62"/>
    </row>
    <row r="62" spans="1:23">
      <c r="A62" s="63"/>
      <c r="B62" s="67"/>
      <c r="C62" s="67"/>
      <c r="D62" s="67"/>
      <c r="E62" s="67"/>
      <c r="F62" s="67"/>
      <c r="G62" s="67"/>
      <c r="H62" s="67"/>
      <c r="I62" s="67"/>
      <c r="J62" s="67"/>
      <c r="K62" s="68"/>
      <c r="L62" s="68"/>
      <c r="M62" s="68"/>
      <c r="N62" s="68"/>
      <c r="O62" s="68"/>
      <c r="P62" s="67"/>
      <c r="Q62" s="67"/>
      <c r="R62" s="67"/>
      <c r="S62" s="62"/>
      <c r="T62" s="62"/>
      <c r="U62" s="62"/>
      <c r="V62" s="62"/>
      <c r="W62" s="62"/>
    </row>
    <row r="63" spans="1:23">
      <c r="A63" s="63"/>
      <c r="B63" s="67"/>
      <c r="C63" s="67"/>
      <c r="D63" s="67"/>
      <c r="E63" s="67"/>
      <c r="F63" s="67"/>
      <c r="G63" s="67"/>
      <c r="H63" s="67"/>
      <c r="I63" s="67"/>
      <c r="J63" s="67"/>
      <c r="K63" s="68"/>
      <c r="L63" s="68"/>
      <c r="M63" s="68"/>
      <c r="N63" s="68"/>
      <c r="O63" s="68"/>
      <c r="P63" s="67"/>
      <c r="Q63" s="67"/>
      <c r="R63" s="67"/>
      <c r="S63" s="62"/>
      <c r="T63" s="62"/>
      <c r="U63" s="62"/>
      <c r="V63" s="62"/>
      <c r="W63" s="62"/>
    </row>
    <row r="64" spans="1:23">
      <c r="A64" s="63"/>
      <c r="B64" s="67"/>
      <c r="C64" s="67"/>
      <c r="D64" s="67"/>
      <c r="E64" s="67"/>
      <c r="F64" s="67"/>
      <c r="G64" s="67"/>
      <c r="H64" s="67"/>
      <c r="I64" s="67"/>
      <c r="J64" s="67"/>
      <c r="K64" s="68"/>
      <c r="L64" s="68"/>
      <c r="M64" s="68"/>
      <c r="N64" s="68"/>
      <c r="O64" s="68"/>
      <c r="P64" s="67"/>
      <c r="Q64" s="67"/>
      <c r="R64" s="67"/>
      <c r="S64" s="62"/>
      <c r="T64" s="62"/>
      <c r="U64" s="62"/>
      <c r="V64" s="62"/>
      <c r="W64" s="62"/>
    </row>
    <row r="65" spans="1:23">
      <c r="A65" s="63"/>
      <c r="B65" s="67"/>
      <c r="C65" s="67"/>
      <c r="D65" s="67"/>
      <c r="E65" s="67"/>
      <c r="F65" s="67"/>
      <c r="G65" s="67"/>
      <c r="H65" s="67"/>
      <c r="I65" s="67"/>
      <c r="J65" s="67"/>
      <c r="K65" s="68"/>
      <c r="L65" s="68"/>
      <c r="M65" s="68"/>
      <c r="N65" s="68"/>
      <c r="O65" s="68"/>
      <c r="P65" s="149"/>
      <c r="Q65" s="67"/>
      <c r="R65" s="67"/>
      <c r="S65" s="62"/>
      <c r="T65" s="62"/>
      <c r="U65" s="62"/>
      <c r="V65" s="62"/>
      <c r="W65" s="62"/>
    </row>
    <row r="66" spans="1:23">
      <c r="A66" s="63"/>
      <c r="B66" s="67"/>
      <c r="C66" s="67"/>
      <c r="D66" s="67"/>
      <c r="E66" s="67"/>
      <c r="F66" s="67"/>
      <c r="G66" s="67"/>
      <c r="H66" s="67"/>
      <c r="I66" s="67"/>
      <c r="J66" s="67"/>
      <c r="K66" s="67"/>
      <c r="L66" s="68"/>
      <c r="M66" s="68"/>
      <c r="N66" s="68"/>
      <c r="O66" s="68"/>
      <c r="P66" s="67"/>
      <c r="Q66" s="67"/>
      <c r="R66" s="67"/>
      <c r="S66" s="62"/>
      <c r="T66" s="62"/>
      <c r="U66" s="62"/>
      <c r="V66" s="62"/>
      <c r="W66" s="62"/>
    </row>
    <row r="67" spans="1:23">
      <c r="A67" s="63"/>
      <c r="B67" s="67"/>
      <c r="C67" s="67"/>
      <c r="D67" s="67"/>
      <c r="E67" s="67"/>
      <c r="F67" s="67"/>
      <c r="G67" s="67"/>
      <c r="H67" s="67"/>
      <c r="I67" s="67"/>
      <c r="J67" s="67"/>
      <c r="K67" s="67"/>
      <c r="L67" s="68"/>
      <c r="M67" s="68"/>
      <c r="N67" s="68"/>
      <c r="O67" s="68"/>
      <c r="P67" s="67"/>
      <c r="Q67" s="67"/>
      <c r="R67" s="67"/>
      <c r="S67" s="62"/>
      <c r="T67" s="62"/>
      <c r="U67" s="62"/>
      <c r="V67" s="62"/>
      <c r="W67" s="62"/>
    </row>
    <row r="68" spans="1:23">
      <c r="A68" s="63"/>
      <c r="B68" s="67"/>
      <c r="C68" s="67"/>
      <c r="D68" s="67"/>
      <c r="E68" s="67"/>
      <c r="F68" s="67"/>
      <c r="G68" s="67"/>
      <c r="H68" s="67"/>
      <c r="I68" s="67"/>
      <c r="J68" s="67"/>
      <c r="K68" s="67"/>
      <c r="L68" s="68"/>
      <c r="M68" s="68"/>
      <c r="N68" s="68"/>
      <c r="O68" s="68"/>
      <c r="P68" s="67"/>
      <c r="Q68" s="67"/>
      <c r="R68" s="67"/>
      <c r="S68" s="62"/>
      <c r="T68" s="62"/>
      <c r="U68" s="62"/>
      <c r="V68" s="62"/>
      <c r="W68" s="62"/>
    </row>
    <row r="69" spans="1:23">
      <c r="A69" s="63"/>
      <c r="B69" s="67"/>
      <c r="C69" s="67"/>
      <c r="D69" s="67"/>
      <c r="E69" s="67"/>
      <c r="F69" s="67"/>
      <c r="G69" s="67"/>
      <c r="H69" s="67"/>
      <c r="I69" s="67"/>
      <c r="J69" s="67"/>
      <c r="K69" s="67"/>
      <c r="L69" s="68"/>
      <c r="M69" s="68"/>
      <c r="N69" s="68"/>
      <c r="O69" s="68"/>
      <c r="P69" s="67"/>
      <c r="Q69" s="67"/>
      <c r="R69" s="67"/>
      <c r="S69" s="62"/>
      <c r="T69" s="62"/>
      <c r="U69" s="62"/>
      <c r="V69" s="62"/>
      <c r="W69" s="62"/>
    </row>
    <row r="70" spans="1:23">
      <c r="A70" s="63"/>
      <c r="B70" s="67"/>
      <c r="C70" s="67"/>
      <c r="D70" s="67"/>
      <c r="E70" s="67"/>
      <c r="F70" s="67"/>
      <c r="G70" s="67"/>
      <c r="H70" s="67"/>
      <c r="I70" s="67"/>
      <c r="J70" s="67"/>
      <c r="K70" s="67"/>
      <c r="L70" s="68"/>
      <c r="M70" s="68"/>
      <c r="N70" s="68"/>
      <c r="O70" s="68"/>
      <c r="P70" s="67"/>
      <c r="Q70" s="67"/>
      <c r="R70" s="67"/>
      <c r="S70" s="62"/>
      <c r="T70" s="62"/>
      <c r="U70" s="62"/>
      <c r="V70" s="62"/>
      <c r="W70" s="62"/>
    </row>
    <row r="71" spans="1:23">
      <c r="A71" s="63"/>
      <c r="B71" s="67"/>
      <c r="C71" s="67"/>
      <c r="D71" s="67"/>
      <c r="E71" s="67"/>
      <c r="F71" s="67"/>
      <c r="G71" s="67"/>
      <c r="H71" s="67"/>
      <c r="I71" s="67"/>
      <c r="J71" s="67"/>
      <c r="K71" s="67"/>
      <c r="L71" s="68"/>
      <c r="M71" s="68"/>
      <c r="N71" s="68"/>
      <c r="O71" s="68"/>
      <c r="P71" s="67"/>
      <c r="Q71" s="67"/>
      <c r="R71" s="67"/>
      <c r="S71" s="62"/>
      <c r="T71" s="62"/>
      <c r="U71" s="62"/>
      <c r="V71" s="62"/>
      <c r="W71" s="62"/>
    </row>
    <row r="72" spans="1:23">
      <c r="A72" s="63"/>
      <c r="B72" s="67"/>
      <c r="C72" s="67"/>
      <c r="D72" s="67"/>
      <c r="E72" s="67"/>
      <c r="F72" s="67"/>
      <c r="G72" s="67"/>
      <c r="H72" s="67"/>
      <c r="I72" s="67"/>
      <c r="J72" s="67"/>
      <c r="K72" s="67"/>
      <c r="L72" s="68"/>
      <c r="M72" s="68"/>
      <c r="N72" s="68"/>
      <c r="O72" s="68"/>
      <c r="P72" s="67"/>
      <c r="Q72" s="67"/>
      <c r="R72" s="67"/>
      <c r="S72" s="62"/>
      <c r="T72" s="62"/>
      <c r="U72" s="62"/>
      <c r="V72" s="62"/>
      <c r="W72" s="62"/>
    </row>
    <row r="73" spans="1:23">
      <c r="A73" s="62"/>
      <c r="B73" s="67"/>
      <c r="C73" s="67"/>
      <c r="D73" s="67"/>
      <c r="E73" s="67"/>
      <c r="F73" s="67"/>
      <c r="G73" s="67"/>
      <c r="H73" s="67"/>
      <c r="I73" s="67"/>
      <c r="J73" s="67"/>
      <c r="K73" s="67"/>
      <c r="L73" s="68"/>
      <c r="M73" s="68"/>
      <c r="N73" s="68"/>
      <c r="O73" s="68"/>
      <c r="P73" s="67"/>
      <c r="Q73" s="67"/>
      <c r="R73" s="67"/>
      <c r="S73" s="62"/>
      <c r="T73" s="62"/>
      <c r="U73" s="62"/>
      <c r="V73" s="62"/>
      <c r="W73" s="62"/>
    </row>
    <row r="74" spans="1:23">
      <c r="A74" s="63"/>
      <c r="B74" s="67"/>
      <c r="C74" s="67"/>
      <c r="D74" s="67"/>
      <c r="E74" s="67"/>
      <c r="F74" s="67"/>
      <c r="G74" s="67"/>
      <c r="H74" s="67"/>
      <c r="I74" s="67"/>
      <c r="J74" s="67"/>
      <c r="K74" s="67"/>
      <c r="L74" s="68"/>
      <c r="M74" s="68"/>
      <c r="N74" s="68"/>
      <c r="O74" s="68"/>
      <c r="P74" s="67"/>
      <c r="Q74" s="67"/>
      <c r="R74" s="67"/>
      <c r="S74" s="62"/>
      <c r="T74" s="62"/>
      <c r="U74" s="62"/>
      <c r="V74" s="62"/>
      <c r="W74" s="62"/>
    </row>
    <row r="75" spans="1:23">
      <c r="A75" s="63"/>
      <c r="B75" s="67"/>
      <c r="C75" s="67"/>
      <c r="D75" s="67"/>
      <c r="E75" s="67"/>
      <c r="F75" s="67"/>
      <c r="G75" s="67"/>
      <c r="H75" s="67"/>
      <c r="I75" s="67"/>
      <c r="J75" s="67"/>
      <c r="K75" s="67"/>
      <c r="L75" s="68"/>
      <c r="M75" s="68"/>
      <c r="N75" s="68"/>
      <c r="O75" s="68"/>
      <c r="P75" s="67"/>
      <c r="Q75" s="67"/>
      <c r="R75" s="67"/>
      <c r="S75" s="62"/>
      <c r="T75" s="62"/>
      <c r="U75" s="62"/>
      <c r="V75" s="62"/>
      <c r="W75" s="62"/>
    </row>
    <row r="76" spans="1:23">
      <c r="A76" s="63"/>
      <c r="B76" s="67"/>
      <c r="C76" s="67"/>
      <c r="D76" s="67"/>
      <c r="E76" s="67"/>
      <c r="F76" s="67"/>
      <c r="G76" s="67"/>
      <c r="H76" s="67"/>
      <c r="I76" s="67"/>
      <c r="J76" s="67"/>
      <c r="K76" s="67"/>
      <c r="L76" s="68"/>
      <c r="M76" s="68"/>
      <c r="N76" s="68"/>
      <c r="O76" s="68"/>
      <c r="P76" s="67"/>
      <c r="Q76" s="67"/>
      <c r="R76" s="67"/>
      <c r="S76" s="62"/>
      <c r="T76" s="62"/>
      <c r="U76" s="62"/>
      <c r="V76" s="62"/>
      <c r="W76" s="62"/>
    </row>
    <row r="77" spans="1:23">
      <c r="A77" s="63"/>
      <c r="B77" s="67"/>
      <c r="C77" s="67"/>
      <c r="D77" s="67"/>
      <c r="E77" s="67"/>
      <c r="F77" s="67"/>
      <c r="G77" s="67"/>
      <c r="H77" s="67"/>
      <c r="I77" s="67"/>
      <c r="J77" s="67"/>
      <c r="K77" s="67"/>
      <c r="L77" s="68"/>
      <c r="M77" s="68"/>
      <c r="N77" s="68"/>
      <c r="O77" s="68"/>
      <c r="P77" s="67"/>
      <c r="Q77" s="67"/>
      <c r="R77" s="67"/>
      <c r="S77" s="62"/>
      <c r="T77" s="62"/>
      <c r="U77" s="62"/>
      <c r="V77" s="62"/>
      <c r="W77" s="62"/>
    </row>
    <row r="78" spans="1:23">
      <c r="A78" s="63"/>
      <c r="B78" s="67"/>
      <c r="C78" s="67"/>
      <c r="D78" s="67"/>
      <c r="E78" s="67"/>
      <c r="F78" s="67"/>
      <c r="G78" s="67"/>
      <c r="H78" s="67"/>
      <c r="I78" s="67"/>
      <c r="J78" s="67"/>
      <c r="K78" s="67"/>
      <c r="L78" s="68"/>
      <c r="M78" s="68"/>
      <c r="N78" s="68"/>
      <c r="O78" s="68"/>
      <c r="P78" s="67"/>
      <c r="Q78" s="67"/>
      <c r="R78" s="67"/>
      <c r="S78" s="62"/>
      <c r="T78" s="62"/>
      <c r="U78" s="62"/>
      <c r="V78" s="62"/>
      <c r="W78" s="62"/>
    </row>
    <row r="79" spans="1:23">
      <c r="A79" s="63"/>
      <c r="B79" s="67"/>
      <c r="C79" s="67"/>
      <c r="D79" s="67"/>
      <c r="E79" s="67"/>
      <c r="F79" s="67"/>
      <c r="G79" s="67"/>
      <c r="H79" s="67"/>
      <c r="I79" s="67"/>
      <c r="J79" s="67"/>
      <c r="K79" s="67"/>
      <c r="L79" s="68"/>
      <c r="M79" s="68"/>
      <c r="N79" s="68"/>
      <c r="O79" s="68"/>
      <c r="P79" s="67"/>
      <c r="Q79" s="67"/>
      <c r="R79" s="67"/>
      <c r="S79" s="62"/>
      <c r="T79" s="62"/>
      <c r="U79" s="62"/>
      <c r="V79" s="62"/>
      <c r="W79" s="62"/>
    </row>
    <row r="80" spans="1:23">
      <c r="A80" s="63"/>
      <c r="B80" s="67"/>
      <c r="C80" s="67"/>
      <c r="D80" s="67"/>
      <c r="E80" s="67"/>
      <c r="F80" s="67"/>
      <c r="G80" s="67"/>
      <c r="H80" s="67"/>
      <c r="I80" s="67"/>
      <c r="J80" s="67"/>
      <c r="K80" s="67"/>
      <c r="L80" s="68"/>
      <c r="M80" s="68"/>
      <c r="N80" s="68"/>
      <c r="O80" s="68"/>
      <c r="P80" s="67"/>
      <c r="Q80" s="67"/>
      <c r="R80" s="67"/>
      <c r="S80" s="62"/>
      <c r="T80" s="62"/>
      <c r="U80" s="62"/>
      <c r="V80" s="62"/>
      <c r="W80" s="62"/>
    </row>
    <row r="81" spans="1:23">
      <c r="A81" s="63"/>
      <c r="B81" s="67"/>
      <c r="C81" s="67"/>
      <c r="D81" s="67"/>
      <c r="E81" s="67"/>
      <c r="F81" s="67"/>
      <c r="G81" s="67"/>
      <c r="H81" s="67"/>
      <c r="I81" s="67"/>
      <c r="J81" s="67"/>
      <c r="K81" s="67"/>
      <c r="L81" s="68"/>
      <c r="M81" s="68"/>
      <c r="N81" s="68"/>
      <c r="O81" s="68"/>
      <c r="P81" s="67"/>
      <c r="Q81" s="67"/>
      <c r="R81" s="67"/>
      <c r="S81" s="62"/>
      <c r="T81" s="62"/>
      <c r="U81" s="62"/>
      <c r="V81" s="62"/>
      <c r="W81" s="62"/>
    </row>
    <row r="82" spans="1:23">
      <c r="A82" s="63"/>
      <c r="B82" s="67"/>
      <c r="C82" s="67"/>
      <c r="D82" s="67"/>
      <c r="E82" s="67"/>
      <c r="F82" s="67"/>
      <c r="G82" s="67"/>
      <c r="H82" s="67"/>
      <c r="I82" s="67"/>
      <c r="J82" s="67"/>
      <c r="K82" s="67"/>
      <c r="L82" s="68"/>
      <c r="M82" s="68"/>
      <c r="N82" s="68"/>
      <c r="O82" s="68"/>
      <c r="P82" s="67"/>
      <c r="Q82" s="67"/>
      <c r="R82" s="67"/>
      <c r="S82" s="62"/>
      <c r="T82" s="62"/>
      <c r="U82" s="62"/>
      <c r="V82" s="62"/>
      <c r="W82" s="62"/>
    </row>
    <row r="83" spans="1:23">
      <c r="A83" s="62"/>
      <c r="B83" s="67"/>
      <c r="C83" s="67"/>
      <c r="D83" s="67"/>
      <c r="E83" s="67"/>
      <c r="F83" s="67"/>
      <c r="G83" s="67"/>
      <c r="H83" s="67"/>
      <c r="I83" s="67"/>
      <c r="J83" s="67"/>
      <c r="K83" s="67"/>
      <c r="L83" s="68"/>
      <c r="M83" s="68"/>
      <c r="N83" s="68"/>
      <c r="O83" s="68"/>
      <c r="P83" s="67"/>
      <c r="Q83" s="67"/>
      <c r="R83" s="67"/>
      <c r="S83" s="62"/>
      <c r="T83" s="62"/>
      <c r="U83" s="62"/>
      <c r="V83" s="62"/>
      <c r="W83" s="62"/>
    </row>
    <row r="84" spans="1:23">
      <c r="A84" s="63"/>
      <c r="B84" s="142"/>
      <c r="C84" s="142"/>
      <c r="D84" s="67"/>
      <c r="E84" s="67"/>
      <c r="F84" s="67"/>
      <c r="G84" s="67"/>
      <c r="H84" s="67"/>
      <c r="I84" s="67"/>
      <c r="J84" s="67"/>
      <c r="K84" s="67"/>
      <c r="L84" s="68"/>
      <c r="M84" s="68"/>
      <c r="N84" s="68"/>
      <c r="O84" s="68"/>
      <c r="P84" s="67"/>
      <c r="Q84" s="67"/>
      <c r="R84" s="67"/>
      <c r="S84" s="62"/>
      <c r="T84" s="62"/>
      <c r="U84" s="62"/>
      <c r="V84" s="62"/>
      <c r="W84" s="62"/>
    </row>
    <row r="85" spans="1:23">
      <c r="A85" s="63"/>
      <c r="B85" s="142"/>
      <c r="C85" s="142"/>
      <c r="D85" s="67"/>
      <c r="E85" s="67"/>
      <c r="F85" s="67"/>
      <c r="G85" s="67"/>
      <c r="H85" s="67"/>
      <c r="I85" s="67"/>
      <c r="J85" s="67"/>
      <c r="K85" s="67"/>
      <c r="L85" s="68"/>
      <c r="M85" s="68"/>
      <c r="N85" s="68"/>
      <c r="O85" s="68"/>
      <c r="P85" s="67"/>
      <c r="Q85" s="67"/>
      <c r="R85" s="67"/>
      <c r="S85" s="62"/>
      <c r="T85" s="62"/>
      <c r="U85" s="62"/>
      <c r="V85" s="62"/>
      <c r="W85" s="62"/>
    </row>
    <row r="86" spans="1:23">
      <c r="A86" s="63"/>
      <c r="B86" s="142"/>
      <c r="C86" s="142"/>
      <c r="D86" s="67"/>
      <c r="E86" s="67"/>
      <c r="F86" s="67"/>
      <c r="G86" s="67"/>
      <c r="H86" s="67"/>
      <c r="I86" s="67"/>
      <c r="J86" s="67"/>
      <c r="K86" s="67"/>
      <c r="L86" s="68"/>
      <c r="M86" s="68"/>
      <c r="N86" s="68"/>
      <c r="O86" s="68"/>
      <c r="P86" s="67"/>
      <c r="Q86" s="67"/>
      <c r="R86" s="67"/>
      <c r="S86" s="62"/>
      <c r="T86" s="62"/>
      <c r="U86" s="62"/>
      <c r="V86" s="62"/>
      <c r="W86" s="62"/>
    </row>
    <row r="87" spans="1:23">
      <c r="A87" s="63"/>
      <c r="B87" s="142"/>
      <c r="C87" s="142"/>
      <c r="D87" s="67"/>
      <c r="E87" s="67"/>
      <c r="F87" s="67"/>
      <c r="G87" s="67"/>
      <c r="H87" s="67"/>
      <c r="I87" s="67"/>
      <c r="J87" s="67"/>
      <c r="K87" s="67"/>
      <c r="L87" s="68"/>
      <c r="M87" s="68"/>
      <c r="N87" s="68"/>
      <c r="O87" s="68"/>
      <c r="P87" s="67"/>
      <c r="Q87" s="67"/>
      <c r="R87" s="67"/>
      <c r="S87" s="62"/>
      <c r="T87" s="62"/>
      <c r="U87" s="62"/>
      <c r="V87" s="62"/>
      <c r="W87" s="62"/>
    </row>
    <row r="88" spans="1:23">
      <c r="A88" s="63"/>
      <c r="B88" s="142"/>
      <c r="C88" s="142"/>
      <c r="D88" s="67"/>
      <c r="E88" s="67"/>
      <c r="F88" s="67"/>
      <c r="G88" s="67"/>
      <c r="H88" s="67"/>
      <c r="I88" s="67"/>
      <c r="J88" s="67"/>
      <c r="K88" s="67"/>
      <c r="L88" s="68"/>
      <c r="M88" s="68"/>
      <c r="N88" s="68"/>
      <c r="O88" s="68"/>
      <c r="P88" s="67"/>
      <c r="Q88" s="67"/>
      <c r="R88" s="67"/>
      <c r="S88" s="62"/>
      <c r="T88" s="62"/>
      <c r="U88" s="62"/>
      <c r="V88" s="62"/>
      <c r="W88" s="62"/>
    </row>
    <row r="89" spans="1:23">
      <c r="A89" s="63"/>
      <c r="B89" s="142"/>
      <c r="C89" s="142"/>
      <c r="D89" s="67"/>
      <c r="E89" s="67"/>
      <c r="F89" s="67"/>
      <c r="G89" s="67"/>
      <c r="H89" s="67"/>
      <c r="I89" s="67"/>
      <c r="J89" s="67"/>
      <c r="K89" s="67"/>
      <c r="L89" s="68"/>
      <c r="M89" s="68"/>
      <c r="N89" s="68"/>
      <c r="O89" s="68"/>
      <c r="P89" s="67"/>
      <c r="Q89" s="67"/>
      <c r="R89" s="67"/>
      <c r="S89" s="62"/>
      <c r="T89" s="62"/>
      <c r="U89" s="62"/>
      <c r="V89" s="62"/>
      <c r="W89" s="62"/>
    </row>
    <row r="90" spans="1:23">
      <c r="A90" s="63"/>
      <c r="B90" s="142"/>
      <c r="C90" s="142"/>
      <c r="D90" s="67"/>
      <c r="E90" s="67"/>
      <c r="F90" s="67"/>
      <c r="G90" s="67"/>
      <c r="H90" s="67"/>
      <c r="I90" s="67"/>
      <c r="J90" s="67"/>
      <c r="K90" s="67"/>
      <c r="L90" s="68"/>
      <c r="M90" s="68"/>
      <c r="N90" s="68"/>
      <c r="O90" s="68"/>
      <c r="P90" s="67"/>
      <c r="Q90" s="67"/>
      <c r="R90" s="67"/>
      <c r="S90" s="62"/>
      <c r="T90" s="62"/>
      <c r="U90" s="62"/>
      <c r="V90" s="62"/>
      <c r="W90" s="62"/>
    </row>
    <row r="91" spans="1:23">
      <c r="A91" s="63"/>
      <c r="B91" s="142"/>
      <c r="C91" s="142"/>
      <c r="D91" s="67"/>
      <c r="E91" s="67"/>
      <c r="F91" s="67"/>
      <c r="G91" s="67"/>
      <c r="H91" s="67"/>
      <c r="I91" s="67"/>
      <c r="J91" s="67"/>
      <c r="K91" s="67"/>
      <c r="L91" s="68"/>
      <c r="M91" s="68"/>
      <c r="N91" s="68"/>
      <c r="O91" s="68"/>
      <c r="P91" s="67"/>
      <c r="Q91" s="67"/>
      <c r="R91" s="67"/>
      <c r="S91" s="62"/>
      <c r="T91" s="62"/>
      <c r="U91" s="62"/>
      <c r="V91" s="62"/>
      <c r="W91" s="62"/>
    </row>
    <row r="92" spans="1:23">
      <c r="A92" s="63"/>
      <c r="B92" s="142"/>
      <c r="C92" s="142"/>
      <c r="D92" s="67"/>
      <c r="E92" s="67"/>
      <c r="F92" s="67"/>
      <c r="G92" s="67"/>
      <c r="H92" s="67"/>
      <c r="I92" s="67"/>
      <c r="J92" s="67"/>
      <c r="K92" s="67"/>
      <c r="L92" s="68"/>
      <c r="M92" s="68"/>
      <c r="N92" s="68"/>
      <c r="O92" s="68"/>
      <c r="P92" s="67"/>
      <c r="Q92" s="67"/>
      <c r="R92" s="67"/>
      <c r="S92" s="62"/>
      <c r="T92" s="62"/>
      <c r="U92" s="62"/>
      <c r="V92" s="62"/>
      <c r="W92" s="62"/>
    </row>
    <row r="93" spans="1:23">
      <c r="A93" s="63"/>
      <c r="B93" s="142"/>
      <c r="C93" s="142"/>
      <c r="D93" s="67"/>
      <c r="E93" s="67"/>
      <c r="F93" s="67"/>
      <c r="G93" s="67"/>
      <c r="H93" s="67"/>
      <c r="I93" s="67"/>
      <c r="J93" s="67"/>
      <c r="K93" s="67"/>
      <c r="L93" s="68"/>
      <c r="M93" s="68"/>
      <c r="N93" s="68"/>
      <c r="O93" s="68"/>
      <c r="P93" s="67"/>
      <c r="Q93" s="67"/>
      <c r="R93" s="67"/>
      <c r="S93" s="62"/>
      <c r="T93" s="62"/>
      <c r="U93" s="62"/>
      <c r="V93" s="62"/>
      <c r="W93" s="62"/>
    </row>
    <row r="94" spans="1:23">
      <c r="A94" s="63"/>
      <c r="B94" s="142"/>
      <c r="C94" s="142"/>
      <c r="D94" s="67"/>
      <c r="E94" s="67"/>
      <c r="F94" s="67"/>
      <c r="G94" s="67"/>
      <c r="H94" s="67"/>
      <c r="I94" s="67"/>
      <c r="J94" s="67"/>
      <c r="K94" s="67"/>
      <c r="L94" s="68"/>
      <c r="M94" s="68"/>
      <c r="N94" s="68"/>
      <c r="O94" s="68"/>
      <c r="P94" s="67"/>
      <c r="Q94" s="67"/>
      <c r="R94" s="67"/>
      <c r="S94" s="62"/>
      <c r="T94" s="62"/>
      <c r="U94" s="62"/>
      <c r="V94" s="62"/>
      <c r="W94" s="62"/>
    </row>
    <row r="95" spans="1:23">
      <c r="A95" s="63"/>
      <c r="B95" s="142"/>
      <c r="C95" s="142"/>
      <c r="D95" s="67"/>
      <c r="E95" s="67"/>
      <c r="F95" s="67"/>
      <c r="G95" s="67"/>
      <c r="H95" s="67"/>
      <c r="I95" s="67"/>
      <c r="J95" s="67"/>
      <c r="K95" s="67"/>
      <c r="L95" s="68"/>
      <c r="M95" s="68"/>
      <c r="N95" s="68"/>
      <c r="O95" s="68"/>
      <c r="P95" s="67"/>
      <c r="Q95" s="67"/>
      <c r="R95" s="67"/>
      <c r="S95" s="62"/>
      <c r="T95" s="62"/>
      <c r="U95" s="62"/>
      <c r="V95" s="62"/>
      <c r="W95" s="62"/>
    </row>
    <row r="96" spans="1:23">
      <c r="A96" s="63"/>
      <c r="B96" s="142"/>
      <c r="C96" s="142"/>
      <c r="D96" s="67"/>
      <c r="E96" s="67"/>
      <c r="F96" s="67"/>
      <c r="G96" s="67"/>
      <c r="H96" s="67"/>
      <c r="I96" s="67"/>
      <c r="J96" s="67"/>
      <c r="K96" s="67"/>
      <c r="L96" s="68"/>
      <c r="M96" s="68"/>
      <c r="N96" s="68"/>
      <c r="O96" s="68"/>
      <c r="P96" s="67"/>
      <c r="Q96" s="67"/>
      <c r="R96" s="67"/>
      <c r="S96" s="62"/>
      <c r="T96" s="62"/>
      <c r="U96" s="62"/>
      <c r="V96" s="62"/>
      <c r="W96" s="62"/>
    </row>
    <row r="97" spans="1:23">
      <c r="A97" s="63"/>
      <c r="B97" s="142"/>
      <c r="C97" s="142"/>
      <c r="D97" s="67"/>
      <c r="E97" s="67"/>
      <c r="F97" s="67"/>
      <c r="G97" s="67"/>
      <c r="H97" s="67"/>
      <c r="I97" s="67"/>
      <c r="J97" s="67"/>
      <c r="K97" s="67"/>
      <c r="L97" s="68"/>
      <c r="M97" s="68"/>
      <c r="N97" s="68"/>
      <c r="O97" s="68"/>
      <c r="P97" s="67"/>
      <c r="Q97" s="67"/>
      <c r="R97" s="67"/>
      <c r="S97" s="62"/>
      <c r="T97" s="62"/>
      <c r="U97" s="62"/>
      <c r="V97" s="62"/>
      <c r="W97" s="62"/>
    </row>
    <row r="98" spans="1:23">
      <c r="A98" s="63"/>
      <c r="B98" s="142"/>
      <c r="C98" s="142"/>
      <c r="D98" s="67"/>
      <c r="E98" s="67"/>
      <c r="F98" s="67"/>
      <c r="G98" s="67"/>
      <c r="H98" s="67"/>
      <c r="I98" s="67"/>
      <c r="J98" s="67"/>
      <c r="K98" s="67"/>
      <c r="L98" s="68"/>
      <c r="M98" s="68"/>
      <c r="N98" s="68"/>
      <c r="O98" s="68"/>
      <c r="P98" s="67"/>
      <c r="Q98" s="67"/>
      <c r="R98" s="67"/>
      <c r="S98" s="62"/>
      <c r="T98" s="62"/>
      <c r="U98" s="62"/>
      <c r="V98" s="62"/>
      <c r="W98" s="62"/>
    </row>
    <row r="99" spans="1:23">
      <c r="A99" s="63"/>
      <c r="B99" s="142"/>
      <c r="C99" s="142"/>
      <c r="D99" s="67"/>
      <c r="E99" s="67"/>
      <c r="F99" s="67"/>
      <c r="G99" s="67"/>
      <c r="H99" s="67"/>
      <c r="I99" s="67"/>
      <c r="J99" s="67"/>
      <c r="K99" s="67"/>
      <c r="L99" s="68"/>
      <c r="M99" s="68"/>
      <c r="N99" s="68"/>
      <c r="O99" s="68"/>
      <c r="P99" s="67"/>
      <c r="Q99" s="67"/>
      <c r="R99" s="67"/>
      <c r="S99" s="62"/>
      <c r="T99" s="62"/>
      <c r="U99" s="62"/>
      <c r="V99" s="62"/>
      <c r="W99" s="62"/>
    </row>
    <row r="100" spans="1:23">
      <c r="A100" s="63"/>
      <c r="B100" s="142"/>
      <c r="C100" s="142"/>
      <c r="D100" s="67"/>
      <c r="E100" s="67"/>
      <c r="F100" s="67"/>
      <c r="G100" s="67"/>
      <c r="H100" s="67"/>
      <c r="I100" s="67"/>
      <c r="J100" s="67"/>
      <c r="K100" s="67"/>
      <c r="L100" s="68"/>
      <c r="M100" s="68"/>
      <c r="N100" s="68"/>
      <c r="O100" s="68"/>
      <c r="P100" s="67"/>
      <c r="Q100" s="67"/>
      <c r="R100" s="67"/>
      <c r="S100" s="62"/>
      <c r="T100" s="62"/>
      <c r="U100" s="62"/>
      <c r="V100" s="62"/>
      <c r="W100" s="62"/>
    </row>
    <row r="101" spans="1:23">
      <c r="A101" s="63"/>
      <c r="B101" s="142"/>
      <c r="C101" s="142"/>
      <c r="D101" s="67"/>
      <c r="E101" s="67"/>
      <c r="F101" s="67"/>
      <c r="G101" s="67"/>
      <c r="H101" s="67"/>
      <c r="I101" s="67"/>
      <c r="J101" s="67"/>
      <c r="K101" s="67"/>
      <c r="L101" s="68"/>
      <c r="M101" s="68"/>
      <c r="N101" s="68"/>
      <c r="O101" s="68"/>
      <c r="P101" s="67"/>
      <c r="Q101" s="67"/>
      <c r="R101" s="67"/>
      <c r="S101" s="62"/>
      <c r="T101" s="62"/>
      <c r="U101" s="62"/>
      <c r="V101" s="62"/>
      <c r="W101" s="62"/>
    </row>
    <row r="102" spans="1:23">
      <c r="A102" s="63"/>
      <c r="B102" s="142"/>
      <c r="C102" s="142"/>
      <c r="D102" s="67"/>
      <c r="E102" s="67"/>
      <c r="F102" s="67"/>
      <c r="G102" s="67"/>
      <c r="H102" s="67"/>
      <c r="I102" s="67"/>
      <c r="J102" s="67"/>
      <c r="K102" s="67"/>
      <c r="L102" s="68"/>
      <c r="M102" s="68"/>
      <c r="N102" s="68"/>
      <c r="O102" s="68"/>
      <c r="P102" s="67"/>
      <c r="Q102" s="67"/>
      <c r="R102" s="67"/>
      <c r="S102" s="62"/>
      <c r="T102" s="62"/>
      <c r="U102" s="62"/>
      <c r="V102" s="62"/>
      <c r="W102" s="62"/>
    </row>
    <row r="103" spans="1:23">
      <c r="A103" s="63"/>
      <c r="B103" s="142"/>
      <c r="C103" s="142"/>
      <c r="D103" s="67"/>
      <c r="E103" s="67"/>
      <c r="F103" s="67"/>
      <c r="G103" s="67"/>
      <c r="H103" s="67"/>
      <c r="I103" s="67"/>
      <c r="J103" s="67"/>
      <c r="K103" s="67"/>
      <c r="L103" s="68"/>
      <c r="M103" s="68"/>
      <c r="N103" s="68"/>
      <c r="O103" s="68"/>
      <c r="P103" s="67"/>
      <c r="Q103" s="67"/>
      <c r="R103" s="67"/>
      <c r="S103" s="62"/>
      <c r="T103" s="62"/>
      <c r="U103" s="62"/>
      <c r="V103" s="62"/>
      <c r="W103" s="62"/>
    </row>
    <row r="104" spans="1:23">
      <c r="A104" s="63"/>
      <c r="B104" s="142"/>
      <c r="C104" s="142"/>
      <c r="D104" s="67"/>
      <c r="E104" s="67"/>
      <c r="F104" s="67"/>
      <c r="G104" s="67"/>
      <c r="H104" s="67"/>
      <c r="I104" s="67"/>
      <c r="J104" s="67"/>
      <c r="K104" s="67"/>
      <c r="L104" s="68"/>
      <c r="M104" s="68"/>
      <c r="N104" s="68"/>
      <c r="O104" s="68"/>
      <c r="P104" s="67"/>
      <c r="Q104" s="67"/>
      <c r="R104" s="67"/>
      <c r="S104" s="62"/>
      <c r="T104" s="62"/>
      <c r="U104" s="62"/>
      <c r="V104" s="62"/>
      <c r="W104" s="62"/>
    </row>
    <row r="105" spans="1:23">
      <c r="A105" s="63"/>
      <c r="B105" s="142"/>
      <c r="C105" s="142"/>
      <c r="D105" s="67"/>
      <c r="E105" s="67"/>
      <c r="F105" s="67"/>
      <c r="G105" s="67"/>
      <c r="H105" s="67"/>
      <c r="I105" s="67"/>
      <c r="J105" s="67"/>
      <c r="K105" s="67"/>
      <c r="L105" s="68"/>
      <c r="M105" s="68"/>
      <c r="N105" s="68"/>
      <c r="O105" s="68"/>
      <c r="P105" s="67"/>
      <c r="Q105" s="67"/>
      <c r="R105" s="67"/>
      <c r="S105" s="62"/>
      <c r="T105" s="62"/>
      <c r="U105" s="62"/>
      <c r="V105" s="62"/>
      <c r="W105" s="62"/>
    </row>
    <row r="106" spans="1:23">
      <c r="A106" s="63"/>
      <c r="B106" s="142"/>
      <c r="C106" s="142"/>
      <c r="D106" s="67"/>
      <c r="E106" s="67"/>
      <c r="F106" s="67"/>
      <c r="G106" s="67"/>
      <c r="H106" s="67"/>
      <c r="I106" s="67"/>
      <c r="J106" s="67"/>
      <c r="K106" s="67"/>
      <c r="L106" s="68"/>
      <c r="M106" s="68"/>
      <c r="N106" s="68"/>
      <c r="O106" s="68"/>
      <c r="P106" s="67"/>
      <c r="Q106" s="67"/>
      <c r="R106" s="67"/>
      <c r="S106" s="62"/>
      <c r="T106" s="62"/>
      <c r="U106" s="62"/>
      <c r="V106" s="62"/>
      <c r="W106" s="62"/>
    </row>
    <row r="107" spans="1:23">
      <c r="A107" s="63"/>
      <c r="B107" s="142"/>
      <c r="C107" s="142"/>
      <c r="D107" s="67"/>
      <c r="E107" s="67"/>
      <c r="F107" s="67"/>
      <c r="G107" s="67"/>
      <c r="H107" s="67"/>
      <c r="I107" s="67"/>
      <c r="J107" s="67"/>
      <c r="K107" s="67"/>
      <c r="L107" s="68"/>
      <c r="M107" s="68"/>
      <c r="N107" s="68"/>
      <c r="O107" s="68"/>
      <c r="P107" s="67"/>
      <c r="Q107" s="67"/>
      <c r="R107" s="67"/>
      <c r="S107" s="62"/>
      <c r="T107" s="62"/>
      <c r="U107" s="62"/>
      <c r="V107" s="62"/>
      <c r="W107" s="62"/>
    </row>
    <row r="108" spans="1:23">
      <c r="A108" s="63"/>
      <c r="B108" s="142"/>
      <c r="C108" s="142"/>
      <c r="D108" s="67"/>
      <c r="E108" s="67"/>
      <c r="F108" s="67"/>
      <c r="G108" s="67"/>
      <c r="H108" s="67"/>
      <c r="I108" s="67"/>
      <c r="J108" s="67"/>
      <c r="K108" s="67"/>
      <c r="L108" s="68"/>
      <c r="M108" s="68"/>
      <c r="N108" s="68"/>
      <c r="O108" s="68"/>
      <c r="P108" s="67"/>
      <c r="Q108" s="67"/>
      <c r="R108" s="67"/>
      <c r="S108" s="62"/>
      <c r="T108" s="62"/>
      <c r="U108" s="62"/>
      <c r="V108" s="62"/>
      <c r="W108" s="62"/>
    </row>
    <row r="109" spans="1:23">
      <c r="A109" s="63"/>
      <c r="B109" s="142"/>
      <c r="C109" s="142"/>
      <c r="D109" s="67"/>
      <c r="E109" s="67"/>
      <c r="F109" s="67"/>
      <c r="G109" s="67"/>
      <c r="H109" s="67"/>
      <c r="I109" s="67"/>
      <c r="J109" s="67"/>
      <c r="K109" s="67"/>
      <c r="L109" s="68"/>
      <c r="M109" s="68"/>
      <c r="N109" s="68"/>
      <c r="O109" s="68"/>
      <c r="P109" s="67"/>
      <c r="Q109" s="67"/>
      <c r="R109" s="67"/>
      <c r="S109" s="62"/>
      <c r="T109" s="62"/>
      <c r="U109" s="62"/>
      <c r="V109" s="62"/>
      <c r="W109" s="62"/>
    </row>
    <row r="110" spans="1:23">
      <c r="A110" s="62"/>
      <c r="B110" s="142"/>
      <c r="C110" s="142"/>
      <c r="D110" s="67"/>
      <c r="E110" s="67"/>
      <c r="F110" s="67"/>
      <c r="G110" s="67"/>
      <c r="H110" s="67"/>
      <c r="I110" s="67"/>
      <c r="J110" s="67"/>
      <c r="K110" s="67"/>
      <c r="L110" s="68"/>
      <c r="M110" s="68"/>
      <c r="N110" s="68"/>
      <c r="O110" s="68"/>
      <c r="P110" s="67"/>
      <c r="Q110" s="67"/>
      <c r="R110" s="67"/>
      <c r="S110" s="62"/>
      <c r="T110" s="62"/>
      <c r="U110" s="62"/>
      <c r="V110" s="62"/>
      <c r="W110" s="62"/>
    </row>
    <row r="111" spans="1:23">
      <c r="A111" s="62"/>
      <c r="B111" s="62"/>
      <c r="C111" s="62"/>
      <c r="D111" s="62"/>
      <c r="E111" s="62"/>
      <c r="F111" s="62"/>
      <c r="G111" s="62"/>
      <c r="H111" s="62"/>
      <c r="I111" s="62"/>
      <c r="J111" s="62"/>
      <c r="K111" s="62"/>
      <c r="L111" s="62"/>
      <c r="M111" s="62"/>
      <c r="N111" s="62"/>
      <c r="O111" s="62"/>
      <c r="P111" s="62"/>
      <c r="Q111" s="62"/>
      <c r="R111" s="62"/>
      <c r="S111" s="62"/>
      <c r="T111" s="62"/>
      <c r="U111" s="62"/>
      <c r="V111" s="62"/>
      <c r="W111" s="62"/>
    </row>
    <row r="112" spans="1:23">
      <c r="A112" s="62"/>
      <c r="B112" s="62"/>
      <c r="C112" s="62"/>
      <c r="D112" s="62"/>
      <c r="E112" s="62"/>
      <c r="F112" s="62"/>
      <c r="G112" s="62"/>
      <c r="H112" s="62"/>
      <c r="I112" s="62"/>
      <c r="J112" s="62"/>
      <c r="K112" s="62"/>
      <c r="L112" s="62"/>
      <c r="M112" s="62"/>
      <c r="N112" s="62"/>
      <c r="O112" s="62"/>
      <c r="P112" s="62"/>
      <c r="Q112" s="62"/>
      <c r="R112" s="62"/>
      <c r="S112" s="62"/>
      <c r="T112" s="62"/>
      <c r="U112" s="62"/>
      <c r="V112" s="62"/>
      <c r="W112" s="62"/>
    </row>
    <row r="113" spans="1:23">
      <c r="A113" s="62"/>
      <c r="B113" s="62"/>
      <c r="C113" s="62"/>
      <c r="D113" s="62"/>
      <c r="E113" s="62"/>
      <c r="F113" s="62"/>
      <c r="G113" s="62"/>
      <c r="H113" s="62"/>
      <c r="I113" s="62"/>
      <c r="J113" s="62"/>
      <c r="K113" s="62"/>
      <c r="L113" s="62"/>
      <c r="M113" s="62"/>
      <c r="N113" s="62"/>
      <c r="O113" s="62"/>
      <c r="P113" s="62"/>
      <c r="Q113" s="62"/>
      <c r="R113" s="62"/>
      <c r="S113" s="62"/>
      <c r="T113" s="62"/>
      <c r="U113" s="62"/>
      <c r="V113" s="62"/>
      <c r="W113" s="62"/>
    </row>
    <row r="114" spans="1:23">
      <c r="A114" s="62"/>
      <c r="B114" s="62"/>
      <c r="C114" s="62"/>
      <c r="D114" s="62"/>
      <c r="E114" s="62"/>
      <c r="F114" s="62"/>
      <c r="G114" s="62"/>
      <c r="H114" s="62"/>
      <c r="I114" s="62"/>
      <c r="J114" s="62"/>
      <c r="K114" s="62"/>
      <c r="L114" s="62"/>
      <c r="M114" s="62"/>
      <c r="N114" s="62"/>
      <c r="O114" s="62"/>
      <c r="P114" s="62"/>
      <c r="Q114" s="62"/>
      <c r="R114" s="62"/>
      <c r="S114" s="62"/>
      <c r="T114" s="62"/>
      <c r="U114" s="62"/>
      <c r="V114" s="62"/>
      <c r="W114" s="62"/>
    </row>
    <row r="115" spans="1:23">
      <c r="A115" s="62"/>
      <c r="B115" s="62"/>
      <c r="C115" s="62"/>
      <c r="D115" s="62"/>
      <c r="E115" s="62"/>
      <c r="F115" s="62"/>
      <c r="G115" s="62"/>
      <c r="H115" s="62"/>
      <c r="I115" s="62"/>
      <c r="J115" s="62"/>
      <c r="K115" s="62"/>
      <c r="L115" s="62"/>
      <c r="M115" s="62"/>
      <c r="N115" s="62"/>
      <c r="O115" s="62"/>
      <c r="P115" s="62"/>
      <c r="Q115" s="62"/>
      <c r="R115" s="62"/>
      <c r="S115" s="62"/>
      <c r="T115" s="62"/>
      <c r="U115" s="62"/>
      <c r="V115" s="62"/>
      <c r="W115" s="62"/>
    </row>
    <row r="137" spans="12:12">
      <c r="L137" s="16">
        <f>SUM(L15:L136)</f>
        <v>192905.09999999998</v>
      </c>
    </row>
  </sheetData>
  <pageMargins left="0.7" right="0.7" top="0.75" bottom="0.75" header="0.3" footer="0.3"/>
  <pageSetup paperSize="9" orientation="landscape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>
  <dimension ref="A5:W129"/>
  <sheetViews>
    <sheetView topLeftCell="A7" workbookViewId="0">
      <selection activeCell="F22" sqref="F22:F26"/>
    </sheetView>
  </sheetViews>
  <sheetFormatPr defaultRowHeight="14.4"/>
  <cols>
    <col min="1" max="1" width="7.88671875" style="1" customWidth="1"/>
    <col min="2" max="2" width="22" style="1" customWidth="1"/>
    <col min="3" max="3" width="7.77734375" style="1" customWidth="1"/>
    <col min="4" max="4" width="4.77734375" style="1" customWidth="1"/>
    <col min="5" max="5" width="9.88671875" style="1" customWidth="1"/>
    <col min="6" max="6" width="7.6640625" style="1" customWidth="1"/>
    <col min="7" max="7" width="6.6640625" style="1" customWidth="1"/>
    <col min="8" max="8" width="7.44140625" style="1" customWidth="1"/>
    <col min="9" max="9" width="5.88671875" style="1" customWidth="1"/>
    <col min="10" max="10" width="6" style="1" customWidth="1"/>
    <col min="11" max="11" width="8.44140625" style="1" customWidth="1"/>
    <col min="12" max="12" width="8.21875" style="1" customWidth="1"/>
    <col min="13" max="13" width="7.33203125" style="1" customWidth="1"/>
    <col min="14" max="18" width="8.88671875" style="1"/>
    <col min="19" max="19" width="16.21875" style="1" customWidth="1"/>
    <col min="20" max="16384" width="8.88671875" style="1"/>
  </cols>
  <sheetData>
    <row r="5" spans="1:23" ht="20.399999999999999">
      <c r="A5" s="58" t="s">
        <v>3</v>
      </c>
      <c r="B5" s="58" t="s">
        <v>4</v>
      </c>
      <c r="C5" s="58" t="s">
        <v>5</v>
      </c>
      <c r="D5" s="58" t="s">
        <v>6</v>
      </c>
      <c r="E5" s="58" t="s">
        <v>37</v>
      </c>
      <c r="F5" s="58" t="s">
        <v>7</v>
      </c>
      <c r="G5" s="58" t="s">
        <v>8</v>
      </c>
      <c r="H5" s="58" t="s">
        <v>9</v>
      </c>
      <c r="I5" s="58" t="s">
        <v>10</v>
      </c>
      <c r="J5" s="59" t="s">
        <v>18</v>
      </c>
      <c r="K5" s="59" t="s">
        <v>17</v>
      </c>
      <c r="L5" s="58" t="s">
        <v>11</v>
      </c>
      <c r="M5" s="58" t="s">
        <v>36</v>
      </c>
      <c r="N5" s="58" t="s">
        <v>12</v>
      </c>
      <c r="O5" s="58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125</v>
      </c>
    </row>
    <row r="6" spans="1:23">
      <c r="A6" s="63"/>
      <c r="B6" s="262"/>
      <c r="C6" s="262"/>
      <c r="D6" s="262"/>
      <c r="E6" s="262"/>
      <c r="F6" s="262"/>
      <c r="G6" s="262"/>
      <c r="H6" s="262"/>
      <c r="I6" s="262"/>
      <c r="J6" s="262"/>
      <c r="K6" s="262"/>
      <c r="L6" s="61"/>
      <c r="M6" s="61"/>
      <c r="N6" s="262"/>
      <c r="O6" s="62"/>
      <c r="P6" s="62"/>
      <c r="Q6" s="62"/>
      <c r="R6" s="62"/>
      <c r="S6" s="62"/>
      <c r="U6" s="17"/>
    </row>
    <row r="7" spans="1:23">
      <c r="A7" s="150"/>
      <c r="B7" s="42"/>
      <c r="C7" s="42"/>
      <c r="D7" s="42"/>
      <c r="E7" s="42"/>
      <c r="F7" s="42"/>
      <c r="G7" s="42"/>
      <c r="H7" s="42"/>
      <c r="I7" s="42"/>
      <c r="J7" s="42"/>
      <c r="K7" s="42"/>
      <c r="L7" s="43"/>
      <c r="M7" s="43"/>
      <c r="N7" s="43"/>
      <c r="O7" s="43"/>
      <c r="P7" s="42"/>
      <c r="Q7" s="42"/>
      <c r="R7" s="42"/>
      <c r="S7" s="62"/>
      <c r="T7" s="62"/>
      <c r="U7" s="62"/>
      <c r="V7" s="62"/>
      <c r="W7" s="62"/>
    </row>
    <row r="8" spans="1:23">
      <c r="A8" s="181" t="s">
        <v>2415</v>
      </c>
      <c r="B8" s="42" t="s">
        <v>420</v>
      </c>
      <c r="C8" s="42" t="s">
        <v>88</v>
      </c>
      <c r="D8" s="42" t="s">
        <v>16</v>
      </c>
      <c r="E8" s="42" t="s">
        <v>2420</v>
      </c>
      <c r="F8" s="42">
        <v>10709</v>
      </c>
      <c r="G8" s="42"/>
      <c r="H8" s="42">
        <v>21150</v>
      </c>
      <c r="I8" s="42">
        <v>350</v>
      </c>
      <c r="J8" s="42">
        <v>0.13</v>
      </c>
      <c r="K8" s="43">
        <f t="shared" ref="K8:K10" si="0">I8*J8</f>
        <v>45.5</v>
      </c>
      <c r="L8" s="43">
        <f t="shared" ref="L8:L10" si="1">H8-K8</f>
        <v>21104.5</v>
      </c>
      <c r="M8" s="43"/>
      <c r="N8" s="43">
        <f t="shared" ref="N8:N10" si="2">L8-M8</f>
        <v>21104.5</v>
      </c>
      <c r="O8" s="43">
        <f t="shared" ref="O8:O10" si="3">H8/1000*70</f>
        <v>1480.5</v>
      </c>
      <c r="P8" s="42">
        <v>12650</v>
      </c>
      <c r="Q8" s="42"/>
      <c r="R8" s="42">
        <f t="shared" ref="R8:R10" si="4">L8*Q8</f>
        <v>0</v>
      </c>
      <c r="S8" s="62"/>
      <c r="T8" s="62"/>
      <c r="U8" s="62"/>
      <c r="V8" s="62"/>
      <c r="W8" s="62"/>
    </row>
    <row r="9" spans="1:23">
      <c r="A9" s="181" t="s">
        <v>2421</v>
      </c>
      <c r="B9" s="42" t="s">
        <v>420</v>
      </c>
      <c r="C9" s="42" t="s">
        <v>88</v>
      </c>
      <c r="D9" s="42" t="s">
        <v>16</v>
      </c>
      <c r="E9" s="42" t="s">
        <v>2426</v>
      </c>
      <c r="F9" s="42">
        <v>10710</v>
      </c>
      <c r="G9" s="42"/>
      <c r="H9" s="42">
        <v>20980</v>
      </c>
      <c r="I9" s="42">
        <v>354</v>
      </c>
      <c r="J9" s="42">
        <v>0.13</v>
      </c>
      <c r="K9" s="43">
        <f t="shared" si="0"/>
        <v>46.02</v>
      </c>
      <c r="L9" s="43">
        <f t="shared" si="1"/>
        <v>20933.98</v>
      </c>
      <c r="M9" s="43"/>
      <c r="N9" s="43">
        <f t="shared" si="2"/>
        <v>20933.98</v>
      </c>
      <c r="O9" s="43">
        <f t="shared" si="3"/>
        <v>1468.6000000000001</v>
      </c>
      <c r="P9" s="42">
        <v>13500</v>
      </c>
      <c r="Q9" s="42"/>
      <c r="R9" s="42">
        <f t="shared" si="4"/>
        <v>0</v>
      </c>
      <c r="S9" s="62"/>
      <c r="T9" s="62"/>
      <c r="U9" s="62"/>
      <c r="V9" s="62"/>
      <c r="W9" s="62"/>
    </row>
    <row r="10" spans="1:23">
      <c r="A10" s="150" t="s">
        <v>2435</v>
      </c>
      <c r="B10" s="42" t="s">
        <v>420</v>
      </c>
      <c r="C10" s="42" t="s">
        <v>88</v>
      </c>
      <c r="D10" s="42" t="s">
        <v>16</v>
      </c>
      <c r="E10" s="42" t="s">
        <v>2440</v>
      </c>
      <c r="F10" s="42">
        <v>10726</v>
      </c>
      <c r="G10" s="42"/>
      <c r="H10" s="42">
        <v>24580</v>
      </c>
      <c r="I10" s="42">
        <v>433</v>
      </c>
      <c r="J10" s="42">
        <v>0.13</v>
      </c>
      <c r="K10" s="43">
        <f t="shared" si="0"/>
        <v>56.29</v>
      </c>
      <c r="L10" s="43">
        <f t="shared" si="1"/>
        <v>24523.71</v>
      </c>
      <c r="M10" s="43"/>
      <c r="N10" s="43">
        <f t="shared" si="2"/>
        <v>24523.71</v>
      </c>
      <c r="O10" s="43">
        <f t="shared" si="3"/>
        <v>1720.6</v>
      </c>
      <c r="P10" s="42">
        <v>14700</v>
      </c>
      <c r="Q10" s="42">
        <v>20.7</v>
      </c>
      <c r="R10" s="42">
        <f t="shared" si="4"/>
        <v>507640.79699999996</v>
      </c>
      <c r="S10" s="62"/>
      <c r="T10" s="62"/>
      <c r="U10" s="62"/>
      <c r="V10" s="62"/>
      <c r="W10" s="62"/>
    </row>
    <row r="11" spans="1:23">
      <c r="A11" s="62"/>
      <c r="B11" s="67"/>
      <c r="C11" s="67"/>
      <c r="D11" s="67"/>
      <c r="E11" s="67"/>
      <c r="F11" s="67"/>
      <c r="G11" s="67"/>
      <c r="H11" s="67"/>
      <c r="I11" s="67"/>
      <c r="J11" s="67"/>
      <c r="K11" s="67"/>
      <c r="L11" s="68"/>
      <c r="M11" s="68"/>
      <c r="N11" s="68"/>
      <c r="O11" s="68"/>
      <c r="P11" s="67"/>
      <c r="Q11" s="67"/>
      <c r="R11" s="62"/>
      <c r="S11" s="62"/>
      <c r="T11" s="62"/>
      <c r="U11" s="62"/>
      <c r="V11" s="62"/>
      <c r="W11" s="62"/>
    </row>
    <row r="12" spans="1:23">
      <c r="A12" s="21" t="s">
        <v>2465</v>
      </c>
      <c r="B12" s="42" t="s">
        <v>420</v>
      </c>
      <c r="C12" s="42" t="s">
        <v>88</v>
      </c>
      <c r="D12" s="42" t="s">
        <v>16</v>
      </c>
      <c r="E12" s="42" t="s">
        <v>2466</v>
      </c>
      <c r="F12" s="42">
        <v>1261</v>
      </c>
      <c r="G12" s="42"/>
      <c r="H12" s="42">
        <v>24870</v>
      </c>
      <c r="I12" s="42">
        <v>375</v>
      </c>
      <c r="J12" s="42">
        <v>0.13</v>
      </c>
      <c r="K12" s="43">
        <f t="shared" ref="K12:K19" si="5">I12*J12</f>
        <v>48.75</v>
      </c>
      <c r="L12" s="43">
        <f t="shared" ref="L12:L19" si="6">H12-K12</f>
        <v>24821.25</v>
      </c>
      <c r="M12" s="43"/>
      <c r="N12" s="43">
        <f t="shared" ref="N12:N19" si="7">L12-M12</f>
        <v>24821.25</v>
      </c>
      <c r="O12" s="43">
        <f t="shared" ref="O12:O19" si="8">H12/1000*70</f>
        <v>1740.9</v>
      </c>
      <c r="P12" s="42">
        <v>14350</v>
      </c>
      <c r="Q12" s="42">
        <v>20.3</v>
      </c>
      <c r="R12" s="42">
        <f t="shared" ref="R12:R19" si="9">L12*Q12</f>
        <v>503871.375</v>
      </c>
      <c r="S12" s="62"/>
      <c r="T12" s="62"/>
      <c r="U12" s="62"/>
      <c r="V12" s="62"/>
      <c r="W12" s="62"/>
    </row>
    <row r="13" spans="1:23">
      <c r="A13" s="377" t="s">
        <v>2468</v>
      </c>
      <c r="B13" s="42" t="s">
        <v>420</v>
      </c>
      <c r="C13" s="42" t="s">
        <v>88</v>
      </c>
      <c r="D13" s="42" t="s">
        <v>16</v>
      </c>
      <c r="E13" s="42" t="s">
        <v>2469</v>
      </c>
      <c r="F13" s="42">
        <v>10754</v>
      </c>
      <c r="G13" s="42"/>
      <c r="H13" s="42">
        <v>23160</v>
      </c>
      <c r="I13" s="42">
        <v>340</v>
      </c>
      <c r="J13" s="42">
        <v>0.13</v>
      </c>
      <c r="K13" s="43">
        <f t="shared" si="5"/>
        <v>44.2</v>
      </c>
      <c r="L13" s="43">
        <f t="shared" si="6"/>
        <v>23115.8</v>
      </c>
      <c r="M13" s="43"/>
      <c r="N13" s="43">
        <f t="shared" si="7"/>
        <v>23115.8</v>
      </c>
      <c r="O13" s="43">
        <f t="shared" si="8"/>
        <v>1621.2</v>
      </c>
      <c r="P13" s="42">
        <v>13430</v>
      </c>
      <c r="Q13" s="42">
        <v>20.7</v>
      </c>
      <c r="R13" s="42">
        <f t="shared" si="9"/>
        <v>478497.05999999994</v>
      </c>
      <c r="S13" s="62"/>
      <c r="T13" s="62"/>
      <c r="U13" s="62"/>
      <c r="V13" s="62"/>
      <c r="W13" s="62"/>
    </row>
    <row r="14" spans="1:23">
      <c r="A14" s="377"/>
      <c r="B14" s="42" t="s">
        <v>420</v>
      </c>
      <c r="C14" s="42" t="s">
        <v>88</v>
      </c>
      <c r="D14" s="42" t="s">
        <v>16</v>
      </c>
      <c r="E14" s="42" t="s">
        <v>707</v>
      </c>
      <c r="F14" s="42">
        <v>10747</v>
      </c>
      <c r="G14" s="42"/>
      <c r="H14" s="42">
        <v>23310</v>
      </c>
      <c r="I14" s="42">
        <v>375</v>
      </c>
      <c r="J14" s="42">
        <v>0.13</v>
      </c>
      <c r="K14" s="43">
        <f t="shared" si="5"/>
        <v>48.75</v>
      </c>
      <c r="L14" s="43">
        <f t="shared" si="6"/>
        <v>23261.25</v>
      </c>
      <c r="M14" s="43"/>
      <c r="N14" s="43">
        <f t="shared" si="7"/>
        <v>23261.25</v>
      </c>
      <c r="O14" s="43">
        <f t="shared" si="8"/>
        <v>1631.6999999999998</v>
      </c>
      <c r="P14" s="42">
        <v>13500</v>
      </c>
      <c r="Q14" s="42">
        <v>20.7</v>
      </c>
      <c r="R14" s="42">
        <f t="shared" si="9"/>
        <v>481507.875</v>
      </c>
      <c r="S14" s="62"/>
      <c r="T14" s="62"/>
      <c r="U14" s="62"/>
      <c r="V14" s="62"/>
      <c r="W14" s="62"/>
    </row>
    <row r="15" spans="1:23">
      <c r="A15" s="377"/>
      <c r="B15" s="42" t="s">
        <v>420</v>
      </c>
      <c r="C15" s="42" t="s">
        <v>88</v>
      </c>
      <c r="D15" s="42" t="s">
        <v>16</v>
      </c>
      <c r="E15" s="42" t="s">
        <v>2470</v>
      </c>
      <c r="F15" s="42">
        <v>10748</v>
      </c>
      <c r="G15" s="42"/>
      <c r="H15" s="42">
        <v>19070</v>
      </c>
      <c r="I15" s="42">
        <v>317</v>
      </c>
      <c r="J15" s="42">
        <v>0.13</v>
      </c>
      <c r="K15" s="43">
        <f t="shared" si="5"/>
        <v>41.21</v>
      </c>
      <c r="L15" s="43">
        <f t="shared" si="6"/>
        <v>19028.79</v>
      </c>
      <c r="M15" s="43"/>
      <c r="N15" s="43">
        <f t="shared" si="7"/>
        <v>19028.79</v>
      </c>
      <c r="O15" s="43">
        <f t="shared" si="8"/>
        <v>1334.9</v>
      </c>
      <c r="P15" s="42">
        <v>11060</v>
      </c>
      <c r="Q15" s="42">
        <v>20.7</v>
      </c>
      <c r="R15" s="42">
        <f t="shared" si="9"/>
        <v>393895.95299999998</v>
      </c>
      <c r="S15" s="62"/>
      <c r="T15" s="62"/>
      <c r="U15" s="62"/>
      <c r="V15" s="62"/>
      <c r="W15" s="62"/>
    </row>
    <row r="16" spans="1:23">
      <c r="A16" s="377"/>
      <c r="B16" s="42" t="s">
        <v>420</v>
      </c>
      <c r="C16" s="42" t="s">
        <v>88</v>
      </c>
      <c r="D16" s="42" t="s">
        <v>16</v>
      </c>
      <c r="E16" s="42" t="s">
        <v>2471</v>
      </c>
      <c r="F16" s="42">
        <v>10750</v>
      </c>
      <c r="G16" s="42"/>
      <c r="H16" s="42">
        <v>21860</v>
      </c>
      <c r="I16" s="42">
        <v>348</v>
      </c>
      <c r="J16" s="42">
        <v>0.13</v>
      </c>
      <c r="K16" s="43">
        <f t="shared" si="5"/>
        <v>45.24</v>
      </c>
      <c r="L16" s="43">
        <f t="shared" si="6"/>
        <v>21814.76</v>
      </c>
      <c r="M16" s="43"/>
      <c r="N16" s="43">
        <f t="shared" si="7"/>
        <v>21814.76</v>
      </c>
      <c r="O16" s="43">
        <f t="shared" si="8"/>
        <v>1530.2</v>
      </c>
      <c r="P16" s="42">
        <v>12670</v>
      </c>
      <c r="Q16" s="42">
        <v>20.7</v>
      </c>
      <c r="R16" s="42">
        <f t="shared" si="9"/>
        <v>451565.53199999995</v>
      </c>
      <c r="S16" s="62"/>
      <c r="T16" s="62"/>
      <c r="U16" s="62"/>
      <c r="V16" s="62"/>
      <c r="W16" s="62"/>
    </row>
    <row r="17" spans="1:23">
      <c r="A17" s="377" t="s">
        <v>2472</v>
      </c>
      <c r="B17" s="42" t="s">
        <v>420</v>
      </c>
      <c r="C17" s="42" t="s">
        <v>88</v>
      </c>
      <c r="D17" s="42" t="s">
        <v>16</v>
      </c>
      <c r="E17" s="42" t="s">
        <v>2473</v>
      </c>
      <c r="F17" s="42">
        <v>1276</v>
      </c>
      <c r="G17" s="42"/>
      <c r="H17" s="42">
        <v>23355</v>
      </c>
      <c r="I17" s="42">
        <v>337</v>
      </c>
      <c r="J17" s="42">
        <v>0.13</v>
      </c>
      <c r="K17" s="43">
        <f t="shared" si="5"/>
        <v>43.81</v>
      </c>
      <c r="L17" s="43">
        <f t="shared" si="6"/>
        <v>23311.19</v>
      </c>
      <c r="M17" s="43"/>
      <c r="N17" s="43">
        <f t="shared" si="7"/>
        <v>23311.19</v>
      </c>
      <c r="O17" s="43">
        <f t="shared" si="8"/>
        <v>1634.8500000000001</v>
      </c>
      <c r="P17" s="42">
        <v>13500</v>
      </c>
      <c r="Q17" s="42">
        <v>20.7</v>
      </c>
      <c r="R17" s="42">
        <f t="shared" si="9"/>
        <v>482541.63299999997</v>
      </c>
      <c r="S17" s="62"/>
      <c r="T17" s="62"/>
      <c r="U17" s="62"/>
      <c r="V17" s="62"/>
      <c r="W17" s="62"/>
    </row>
    <row r="18" spans="1:23">
      <c r="A18" s="377"/>
      <c r="B18" s="42" t="s">
        <v>420</v>
      </c>
      <c r="C18" s="42" t="s">
        <v>88</v>
      </c>
      <c r="D18" s="42" t="s">
        <v>16</v>
      </c>
      <c r="E18" s="42" t="s">
        <v>2474</v>
      </c>
      <c r="F18" s="42">
        <v>1278</v>
      </c>
      <c r="G18" s="42"/>
      <c r="H18" s="42">
        <v>22445</v>
      </c>
      <c r="I18" s="42">
        <v>370</v>
      </c>
      <c r="J18" s="42">
        <v>0.13</v>
      </c>
      <c r="K18" s="43">
        <f t="shared" si="5"/>
        <v>48.1</v>
      </c>
      <c r="L18" s="43">
        <f t="shared" si="6"/>
        <v>22396.9</v>
      </c>
      <c r="M18" s="43"/>
      <c r="N18" s="43">
        <f t="shared" si="7"/>
        <v>22396.9</v>
      </c>
      <c r="O18" s="43">
        <f t="shared" si="8"/>
        <v>1571.15</v>
      </c>
      <c r="P18" s="42">
        <v>13000</v>
      </c>
      <c r="Q18" s="42">
        <v>20.7</v>
      </c>
      <c r="R18" s="42">
        <f t="shared" si="9"/>
        <v>463615.83</v>
      </c>
      <c r="S18" s="62"/>
      <c r="T18" s="62"/>
      <c r="U18" s="62"/>
      <c r="V18" s="62"/>
      <c r="W18" s="62"/>
    </row>
    <row r="19" spans="1:23">
      <c r="A19" s="377"/>
      <c r="B19" s="42" t="s">
        <v>420</v>
      </c>
      <c r="C19" s="42" t="s">
        <v>88</v>
      </c>
      <c r="D19" s="42" t="s">
        <v>16</v>
      </c>
      <c r="E19" s="42" t="s">
        <v>2475</v>
      </c>
      <c r="F19" s="42">
        <v>10756</v>
      </c>
      <c r="G19" s="42"/>
      <c r="H19" s="42">
        <v>24480</v>
      </c>
      <c r="I19" s="42">
        <v>380</v>
      </c>
      <c r="J19" s="42">
        <v>0.13</v>
      </c>
      <c r="K19" s="43">
        <f t="shared" si="5"/>
        <v>49.4</v>
      </c>
      <c r="L19" s="43">
        <f t="shared" si="6"/>
        <v>24430.6</v>
      </c>
      <c r="M19" s="43"/>
      <c r="N19" s="43">
        <f t="shared" si="7"/>
        <v>24430.6</v>
      </c>
      <c r="O19" s="43">
        <f t="shared" si="8"/>
        <v>1713.6000000000001</v>
      </c>
      <c r="P19" s="42">
        <v>14190</v>
      </c>
      <c r="Q19" s="42">
        <v>20.7</v>
      </c>
      <c r="R19" s="42">
        <f t="shared" si="9"/>
        <v>505713.41999999993</v>
      </c>
      <c r="S19" s="62"/>
      <c r="T19" s="62"/>
      <c r="U19" s="62"/>
      <c r="V19" s="62"/>
      <c r="W19" s="62"/>
    </row>
    <row r="20" spans="1:23">
      <c r="A20" s="63"/>
      <c r="B20" s="67"/>
      <c r="C20" s="67"/>
      <c r="D20" s="67"/>
      <c r="E20" s="67"/>
      <c r="F20" s="67"/>
      <c r="G20" s="67"/>
      <c r="H20" s="67"/>
      <c r="I20" s="67"/>
      <c r="J20" s="67"/>
      <c r="K20" s="68"/>
      <c r="L20" s="68">
        <f>SUM(L7:L19)</f>
        <v>248742.73</v>
      </c>
      <c r="M20" s="68"/>
      <c r="N20" s="68"/>
      <c r="O20" s="68"/>
      <c r="P20" s="67"/>
      <c r="Q20" s="62"/>
      <c r="R20" s="62"/>
      <c r="S20" s="62"/>
      <c r="T20" s="62"/>
      <c r="U20" s="62"/>
      <c r="V20" s="62"/>
      <c r="W20" s="62"/>
    </row>
    <row r="21" spans="1:23">
      <c r="A21" s="63"/>
      <c r="B21" s="67"/>
      <c r="C21" s="67"/>
      <c r="D21" s="67"/>
      <c r="E21" s="67"/>
      <c r="F21" s="67"/>
      <c r="G21" s="67"/>
      <c r="H21" s="67"/>
      <c r="I21" s="67"/>
      <c r="J21" s="67"/>
      <c r="K21" s="67"/>
      <c r="L21" s="68"/>
      <c r="M21" s="68"/>
      <c r="N21" s="68"/>
      <c r="O21" s="68"/>
      <c r="P21" s="67"/>
      <c r="Q21" s="62"/>
      <c r="R21" s="62"/>
      <c r="S21" s="62"/>
      <c r="T21" s="62"/>
      <c r="U21" s="62"/>
      <c r="V21" s="62"/>
      <c r="W21" s="62"/>
    </row>
    <row r="22" spans="1:23">
      <c r="A22" s="63"/>
      <c r="B22" s="67"/>
      <c r="C22" s="67"/>
      <c r="D22" s="67"/>
      <c r="E22" s="67"/>
      <c r="F22" s="67"/>
      <c r="G22" s="67"/>
      <c r="H22" s="67"/>
      <c r="I22" s="67"/>
      <c r="J22" s="67"/>
      <c r="K22" s="68"/>
      <c r="L22" s="68"/>
      <c r="M22" s="68"/>
      <c r="N22" s="68"/>
      <c r="O22" s="68"/>
      <c r="P22" s="67"/>
      <c r="Q22" s="62"/>
      <c r="R22" s="62"/>
      <c r="S22" s="62"/>
      <c r="T22" s="62"/>
      <c r="U22" s="62"/>
      <c r="V22" s="62"/>
      <c r="W22" s="62"/>
    </row>
    <row r="23" spans="1:23">
      <c r="A23" s="63"/>
      <c r="B23" s="67"/>
      <c r="C23" s="67"/>
      <c r="D23" s="67"/>
      <c r="E23" s="67"/>
      <c r="F23" s="67"/>
      <c r="G23" s="67"/>
      <c r="H23" s="67"/>
      <c r="I23" s="67"/>
      <c r="J23" s="67"/>
      <c r="K23" s="67"/>
      <c r="L23" s="68"/>
      <c r="M23" s="68"/>
      <c r="N23" s="68"/>
      <c r="O23" s="68"/>
      <c r="P23" s="67"/>
      <c r="Q23" s="62"/>
      <c r="R23" s="62"/>
      <c r="S23" s="62"/>
      <c r="T23" s="62"/>
      <c r="U23" s="62"/>
      <c r="V23" s="62"/>
      <c r="W23" s="62"/>
    </row>
    <row r="24" spans="1:23">
      <c r="A24" s="63"/>
      <c r="B24" s="67"/>
      <c r="C24" s="67"/>
      <c r="D24" s="67"/>
      <c r="E24" s="67"/>
      <c r="F24" s="67"/>
      <c r="G24" s="67"/>
      <c r="H24" s="67"/>
      <c r="I24" s="67"/>
      <c r="J24" s="67"/>
      <c r="K24" s="68"/>
      <c r="L24" s="68"/>
      <c r="M24" s="68"/>
      <c r="N24" s="68"/>
      <c r="O24" s="68"/>
      <c r="P24" s="67"/>
      <c r="Q24" s="62"/>
      <c r="R24" s="62"/>
      <c r="S24" s="62"/>
      <c r="T24" s="62"/>
      <c r="U24" s="62"/>
      <c r="V24" s="62"/>
      <c r="W24" s="62"/>
    </row>
    <row r="25" spans="1:23">
      <c r="A25" s="63"/>
      <c r="B25" s="67"/>
      <c r="C25" s="67"/>
      <c r="D25" s="67"/>
      <c r="E25" s="67"/>
      <c r="F25" s="67"/>
      <c r="G25" s="67"/>
      <c r="H25" s="67"/>
      <c r="I25" s="67"/>
      <c r="J25" s="67"/>
      <c r="K25" s="67"/>
      <c r="L25" s="68"/>
      <c r="M25" s="68"/>
      <c r="N25" s="68"/>
      <c r="O25" s="68"/>
      <c r="P25" s="67"/>
      <c r="Q25" s="62"/>
      <c r="R25" s="62"/>
      <c r="S25" s="62"/>
      <c r="T25" s="62"/>
      <c r="U25" s="62"/>
      <c r="V25" s="62"/>
      <c r="W25" s="62"/>
    </row>
    <row r="26" spans="1:23">
      <c r="A26" s="63"/>
      <c r="B26" s="67"/>
      <c r="C26" s="67"/>
      <c r="D26" s="67"/>
      <c r="E26" s="67"/>
      <c r="F26" s="67"/>
      <c r="G26" s="67"/>
      <c r="H26" s="67"/>
      <c r="I26" s="67"/>
      <c r="J26" s="67"/>
      <c r="K26" s="67"/>
      <c r="L26" s="68"/>
      <c r="M26" s="68"/>
      <c r="N26" s="68"/>
      <c r="O26" s="68"/>
      <c r="P26" s="67"/>
      <c r="Q26" s="62"/>
      <c r="R26" s="62"/>
      <c r="S26" s="62"/>
      <c r="T26" s="62"/>
      <c r="U26" s="62"/>
      <c r="V26" s="62"/>
      <c r="W26" s="62"/>
    </row>
    <row r="27" spans="1:23">
      <c r="A27" s="63"/>
      <c r="B27" s="67"/>
      <c r="C27" s="67"/>
      <c r="D27" s="67"/>
      <c r="E27" s="67"/>
      <c r="F27" s="67"/>
      <c r="G27" s="67"/>
      <c r="H27" s="67"/>
      <c r="I27" s="67"/>
      <c r="J27" s="67"/>
      <c r="K27" s="68"/>
      <c r="L27" s="68"/>
      <c r="M27" s="68"/>
      <c r="N27" s="68"/>
      <c r="O27" s="68"/>
      <c r="P27" s="67"/>
      <c r="Q27" s="62"/>
      <c r="R27" s="62"/>
      <c r="S27" s="62"/>
      <c r="T27" s="62"/>
      <c r="U27" s="62"/>
      <c r="V27" s="62"/>
      <c r="W27" s="62"/>
    </row>
    <row r="28" spans="1:23">
      <c r="A28" s="63"/>
      <c r="B28" s="67"/>
      <c r="C28" s="67"/>
      <c r="D28" s="67"/>
      <c r="E28" s="67"/>
      <c r="F28" s="67"/>
      <c r="G28" s="67"/>
      <c r="H28" s="67"/>
      <c r="I28" s="67"/>
      <c r="J28" s="67"/>
      <c r="K28" s="68"/>
      <c r="L28" s="68"/>
      <c r="M28" s="68"/>
      <c r="N28" s="68"/>
      <c r="O28" s="68"/>
      <c r="P28" s="67"/>
      <c r="Q28" s="62"/>
      <c r="R28" s="62"/>
      <c r="S28" s="62"/>
      <c r="T28" s="62"/>
      <c r="U28" s="62"/>
      <c r="V28" s="62"/>
      <c r="W28" s="62"/>
    </row>
    <row r="29" spans="1:23">
      <c r="A29" s="63"/>
      <c r="B29" s="67"/>
      <c r="C29" s="67"/>
      <c r="D29" s="67"/>
      <c r="E29" s="67"/>
      <c r="F29" s="67"/>
      <c r="G29" s="67"/>
      <c r="H29" s="67"/>
      <c r="I29" s="67"/>
      <c r="J29" s="67"/>
      <c r="K29" s="68"/>
      <c r="L29" s="68"/>
      <c r="M29" s="68"/>
      <c r="N29" s="68"/>
      <c r="O29" s="68"/>
      <c r="P29" s="67"/>
      <c r="Q29" s="62"/>
      <c r="R29" s="62"/>
      <c r="S29" s="62"/>
      <c r="T29" s="62"/>
      <c r="U29" s="62"/>
      <c r="V29" s="62"/>
      <c r="W29" s="62"/>
    </row>
    <row r="30" spans="1:23">
      <c r="A30" s="63"/>
      <c r="B30" s="67"/>
      <c r="C30" s="67"/>
      <c r="D30" s="67"/>
      <c r="E30" s="67"/>
      <c r="F30" s="67"/>
      <c r="G30" s="67"/>
      <c r="H30" s="67"/>
      <c r="I30" s="67"/>
      <c r="J30" s="67"/>
      <c r="K30" s="68"/>
      <c r="L30" s="68"/>
      <c r="M30" s="68"/>
      <c r="N30" s="68"/>
      <c r="O30" s="68"/>
      <c r="P30" s="67"/>
      <c r="Q30" s="62"/>
      <c r="R30" s="62"/>
      <c r="S30" s="62"/>
      <c r="T30" s="62"/>
      <c r="U30" s="62"/>
      <c r="V30" s="62"/>
      <c r="W30" s="62"/>
    </row>
    <row r="31" spans="1:23">
      <c r="A31" s="63"/>
      <c r="B31" s="67"/>
      <c r="C31" s="67"/>
      <c r="D31" s="67"/>
      <c r="E31" s="67"/>
      <c r="F31" s="67"/>
      <c r="G31" s="67"/>
      <c r="H31" s="67"/>
      <c r="I31" s="67"/>
      <c r="J31" s="67"/>
      <c r="K31" s="68"/>
      <c r="L31" s="68"/>
      <c r="M31" s="68"/>
      <c r="N31" s="68"/>
      <c r="O31" s="68"/>
      <c r="P31" s="67"/>
      <c r="Q31" s="62"/>
      <c r="R31" s="62"/>
      <c r="S31" s="62"/>
      <c r="T31" s="62"/>
      <c r="U31" s="62"/>
      <c r="V31" s="62"/>
      <c r="W31" s="62"/>
    </row>
    <row r="32" spans="1:23">
      <c r="A32" s="63"/>
      <c r="B32" s="67"/>
      <c r="C32" s="67"/>
      <c r="D32" s="67"/>
      <c r="E32" s="67"/>
      <c r="F32" s="67"/>
      <c r="G32" s="67"/>
      <c r="H32" s="67"/>
      <c r="I32" s="67"/>
      <c r="J32" s="67"/>
      <c r="K32" s="68"/>
      <c r="L32" s="68"/>
      <c r="M32" s="68"/>
      <c r="N32" s="68"/>
      <c r="O32" s="68"/>
      <c r="P32" s="67"/>
      <c r="Q32" s="62"/>
      <c r="R32" s="62"/>
      <c r="S32" s="62"/>
      <c r="T32" s="62"/>
      <c r="U32" s="62"/>
      <c r="V32" s="62"/>
      <c r="W32" s="62"/>
    </row>
    <row r="33" spans="1:23">
      <c r="A33" s="63"/>
      <c r="B33" s="67"/>
      <c r="C33" s="67"/>
      <c r="D33" s="67"/>
      <c r="E33" s="67"/>
      <c r="F33" s="67"/>
      <c r="G33" s="67"/>
      <c r="H33" s="67"/>
      <c r="I33" s="67"/>
      <c r="J33" s="67"/>
      <c r="K33" s="68"/>
      <c r="L33" s="68"/>
      <c r="M33" s="68"/>
      <c r="N33" s="68"/>
      <c r="O33" s="68"/>
      <c r="P33" s="67"/>
      <c r="Q33" s="62"/>
      <c r="R33" s="62"/>
      <c r="S33" s="62"/>
      <c r="T33" s="62"/>
      <c r="U33" s="62"/>
      <c r="V33" s="62"/>
      <c r="W33" s="62"/>
    </row>
    <row r="34" spans="1:23">
      <c r="A34" s="63"/>
      <c r="B34" s="67"/>
      <c r="C34" s="67"/>
      <c r="D34" s="67"/>
      <c r="E34" s="67"/>
      <c r="F34" s="67"/>
      <c r="G34" s="67"/>
      <c r="H34" s="67"/>
      <c r="I34" s="67"/>
      <c r="J34" s="67"/>
      <c r="K34" s="68"/>
      <c r="L34" s="68"/>
      <c r="M34" s="68"/>
      <c r="N34" s="68"/>
      <c r="O34" s="68"/>
      <c r="P34" s="67"/>
      <c r="Q34" s="62"/>
      <c r="R34" s="62"/>
      <c r="S34" s="62"/>
      <c r="T34" s="62"/>
      <c r="U34" s="62"/>
      <c r="V34" s="62"/>
      <c r="W34" s="62"/>
    </row>
    <row r="35" spans="1:23">
      <c r="A35" s="63"/>
      <c r="B35" s="67"/>
      <c r="C35" s="67"/>
      <c r="D35" s="67"/>
      <c r="E35" s="67"/>
      <c r="F35" s="67"/>
      <c r="G35" s="67"/>
      <c r="H35" s="67"/>
      <c r="I35" s="67"/>
      <c r="J35" s="67"/>
      <c r="K35" s="68"/>
      <c r="L35" s="68"/>
      <c r="M35" s="68"/>
      <c r="N35" s="68"/>
      <c r="O35" s="68"/>
      <c r="P35" s="67"/>
      <c r="Q35" s="62"/>
      <c r="R35" s="62"/>
      <c r="S35" s="62"/>
      <c r="T35" s="62"/>
      <c r="U35" s="62"/>
      <c r="V35" s="62"/>
      <c r="W35" s="62"/>
    </row>
    <row r="36" spans="1:23">
      <c r="A36" s="63"/>
      <c r="B36" s="67"/>
      <c r="C36" s="67"/>
      <c r="D36" s="67"/>
      <c r="E36" s="67"/>
      <c r="F36" s="67"/>
      <c r="G36" s="67"/>
      <c r="H36" s="67"/>
      <c r="I36" s="67"/>
      <c r="J36" s="67"/>
      <c r="K36" s="68"/>
      <c r="L36" s="68"/>
      <c r="M36" s="68"/>
      <c r="N36" s="68"/>
      <c r="O36" s="68"/>
      <c r="P36" s="67"/>
      <c r="Q36" s="62"/>
      <c r="R36" s="62"/>
      <c r="S36" s="62"/>
      <c r="T36" s="62"/>
      <c r="U36" s="62"/>
      <c r="V36" s="62"/>
      <c r="W36" s="62"/>
    </row>
    <row r="37" spans="1:23">
      <c r="A37" s="63"/>
      <c r="B37" s="67"/>
      <c r="C37" s="67"/>
      <c r="D37" s="67"/>
      <c r="E37" s="67"/>
      <c r="F37" s="98"/>
      <c r="G37" s="98"/>
      <c r="H37" s="98"/>
      <c r="I37" s="98"/>
      <c r="J37" s="98"/>
      <c r="K37" s="68"/>
      <c r="L37" s="68"/>
      <c r="M37" s="68"/>
      <c r="N37" s="68"/>
      <c r="O37" s="68"/>
      <c r="P37" s="99"/>
      <c r="Q37" s="62"/>
      <c r="R37" s="62"/>
      <c r="S37" s="62"/>
      <c r="T37" s="62"/>
      <c r="U37" s="62"/>
      <c r="V37" s="62"/>
      <c r="W37" s="62"/>
    </row>
    <row r="38" spans="1:23">
      <c r="A38" s="63"/>
      <c r="B38" s="67"/>
      <c r="C38" s="67"/>
      <c r="D38" s="67"/>
      <c r="E38" s="67"/>
      <c r="F38" s="67"/>
      <c r="G38" s="67"/>
      <c r="H38" s="67"/>
      <c r="I38" s="67"/>
      <c r="J38" s="67"/>
      <c r="K38" s="68"/>
      <c r="L38" s="68"/>
      <c r="M38" s="68"/>
      <c r="N38" s="68"/>
      <c r="O38" s="68"/>
      <c r="P38" s="67"/>
      <c r="Q38" s="62"/>
      <c r="R38" s="62"/>
      <c r="S38" s="62"/>
      <c r="T38" s="62"/>
      <c r="U38" s="62"/>
      <c r="V38" s="62"/>
      <c r="W38" s="62"/>
    </row>
    <row r="39" spans="1:23">
      <c r="A39" s="63"/>
      <c r="B39" s="67"/>
      <c r="C39" s="67"/>
      <c r="D39" s="67"/>
      <c r="E39" s="67"/>
      <c r="F39" s="67"/>
      <c r="G39" s="67"/>
      <c r="H39" s="67"/>
      <c r="I39" s="67"/>
      <c r="J39" s="67"/>
      <c r="K39" s="68"/>
      <c r="L39" s="68"/>
      <c r="M39" s="68"/>
      <c r="N39" s="68"/>
      <c r="O39" s="68"/>
      <c r="P39" s="67"/>
      <c r="Q39" s="62"/>
      <c r="R39" s="62"/>
      <c r="S39" s="62"/>
      <c r="T39" s="62"/>
      <c r="U39" s="62"/>
      <c r="V39" s="62"/>
      <c r="W39" s="62"/>
    </row>
    <row r="40" spans="1:23">
      <c r="A40" s="63"/>
      <c r="B40" s="67"/>
      <c r="C40" s="67"/>
      <c r="D40" s="67"/>
      <c r="E40" s="67"/>
      <c r="F40" s="67"/>
      <c r="G40" s="67"/>
      <c r="H40" s="67"/>
      <c r="I40" s="67"/>
      <c r="J40" s="67"/>
      <c r="K40" s="68"/>
      <c r="L40" s="68"/>
      <c r="M40" s="68"/>
      <c r="N40" s="68"/>
      <c r="O40" s="68"/>
      <c r="P40" s="67"/>
      <c r="Q40" s="62"/>
      <c r="R40" s="62"/>
      <c r="S40" s="62"/>
      <c r="T40" s="62"/>
      <c r="U40" s="62"/>
      <c r="V40" s="62"/>
      <c r="W40" s="62"/>
    </row>
    <row r="41" spans="1:23">
      <c r="A41" s="63"/>
      <c r="B41" s="67"/>
      <c r="C41" s="67"/>
      <c r="D41" s="67"/>
      <c r="E41" s="67"/>
      <c r="F41" s="67"/>
      <c r="G41" s="67"/>
      <c r="H41" s="67"/>
      <c r="I41" s="67"/>
      <c r="J41" s="67"/>
      <c r="K41" s="68"/>
      <c r="L41" s="68"/>
      <c r="M41" s="68"/>
      <c r="N41" s="68"/>
      <c r="O41" s="68"/>
      <c r="P41" s="67"/>
      <c r="Q41" s="62"/>
      <c r="R41" s="62"/>
      <c r="S41" s="62"/>
      <c r="T41" s="62"/>
      <c r="U41" s="62"/>
      <c r="V41" s="62"/>
      <c r="W41" s="62"/>
    </row>
    <row r="42" spans="1:23">
      <c r="A42" s="63"/>
      <c r="B42" s="67"/>
      <c r="C42" s="67"/>
      <c r="D42" s="67"/>
      <c r="E42" s="67"/>
      <c r="F42" s="67"/>
      <c r="G42" s="67"/>
      <c r="H42" s="67"/>
      <c r="I42" s="67"/>
      <c r="J42" s="67"/>
      <c r="K42" s="68"/>
      <c r="L42" s="68"/>
      <c r="M42" s="68"/>
      <c r="N42" s="68"/>
      <c r="O42" s="68"/>
      <c r="P42" s="67"/>
      <c r="Q42" s="62"/>
      <c r="R42" s="62"/>
      <c r="S42" s="62"/>
      <c r="T42" s="62"/>
      <c r="U42" s="62"/>
      <c r="V42" s="62"/>
      <c r="W42" s="62"/>
    </row>
    <row r="43" spans="1:23">
      <c r="A43" s="63"/>
      <c r="B43" s="67"/>
      <c r="C43" s="67"/>
      <c r="D43" s="67"/>
      <c r="E43" s="67"/>
      <c r="F43" s="67"/>
      <c r="G43" s="67"/>
      <c r="H43" s="67"/>
      <c r="I43" s="67"/>
      <c r="J43" s="67"/>
      <c r="K43" s="68"/>
      <c r="L43" s="68"/>
      <c r="M43" s="68"/>
      <c r="N43" s="68"/>
      <c r="O43" s="68"/>
      <c r="P43" s="67"/>
      <c r="Q43" s="62"/>
      <c r="R43" s="62"/>
      <c r="S43" s="62"/>
      <c r="T43" s="62"/>
      <c r="U43" s="62"/>
      <c r="V43" s="62"/>
      <c r="W43" s="62"/>
    </row>
    <row r="44" spans="1:23">
      <c r="A44" s="63"/>
      <c r="B44" s="67"/>
      <c r="C44" s="67"/>
      <c r="D44" s="67"/>
      <c r="E44" s="67"/>
      <c r="F44" s="67"/>
      <c r="G44" s="67"/>
      <c r="H44" s="67"/>
      <c r="I44" s="67"/>
      <c r="J44" s="67"/>
      <c r="K44" s="68"/>
      <c r="L44" s="68"/>
      <c r="M44" s="68"/>
      <c r="N44" s="68"/>
      <c r="O44" s="68"/>
      <c r="P44" s="149"/>
      <c r="Q44" s="62"/>
      <c r="R44" s="62"/>
      <c r="S44" s="62"/>
      <c r="T44" s="62"/>
      <c r="U44" s="62"/>
      <c r="V44" s="62"/>
      <c r="W44" s="62"/>
    </row>
    <row r="45" spans="1:23">
      <c r="A45" s="63"/>
      <c r="B45" s="67"/>
      <c r="C45" s="67"/>
      <c r="D45" s="67"/>
      <c r="E45" s="67"/>
      <c r="F45" s="67"/>
      <c r="G45" s="67"/>
      <c r="H45" s="67"/>
      <c r="I45" s="67"/>
      <c r="J45" s="67"/>
      <c r="K45" s="68"/>
      <c r="L45" s="68"/>
      <c r="M45" s="68"/>
      <c r="N45" s="68"/>
      <c r="O45" s="68"/>
      <c r="P45" s="149"/>
      <c r="Q45" s="62"/>
      <c r="R45" s="62"/>
      <c r="S45" s="62"/>
      <c r="T45" s="62"/>
      <c r="U45" s="62"/>
      <c r="V45" s="62"/>
      <c r="W45" s="62"/>
    </row>
    <row r="46" spans="1:23">
      <c r="A46" s="63"/>
      <c r="B46" s="67"/>
      <c r="C46" s="67"/>
      <c r="D46" s="67"/>
      <c r="E46" s="67"/>
      <c r="F46" s="67"/>
      <c r="G46" s="67"/>
      <c r="H46" s="67"/>
      <c r="I46" s="67"/>
      <c r="J46" s="67"/>
      <c r="K46" s="68"/>
      <c r="L46" s="68"/>
      <c r="M46" s="68"/>
      <c r="N46" s="68"/>
      <c r="O46" s="68"/>
      <c r="P46" s="149"/>
      <c r="Q46" s="62"/>
      <c r="R46" s="62"/>
      <c r="S46" s="62"/>
      <c r="T46" s="62"/>
      <c r="U46" s="62"/>
      <c r="V46" s="62"/>
      <c r="W46" s="62"/>
    </row>
    <row r="47" spans="1:23">
      <c r="A47" s="63"/>
      <c r="B47" s="67"/>
      <c r="C47" s="67"/>
      <c r="D47" s="67"/>
      <c r="E47" s="67"/>
      <c r="F47" s="67"/>
      <c r="G47" s="67"/>
      <c r="H47" s="67"/>
      <c r="I47" s="67"/>
      <c r="J47" s="67"/>
      <c r="K47" s="68"/>
      <c r="L47" s="68"/>
      <c r="M47" s="68"/>
      <c r="N47" s="68"/>
      <c r="O47" s="68"/>
      <c r="P47" s="149"/>
      <c r="Q47" s="62"/>
      <c r="R47" s="62"/>
      <c r="S47" s="62"/>
      <c r="T47" s="62"/>
      <c r="U47" s="62"/>
      <c r="V47" s="62"/>
      <c r="W47" s="62"/>
    </row>
    <row r="48" spans="1:23">
      <c r="A48" s="63"/>
      <c r="B48" s="67"/>
      <c r="C48" s="67"/>
      <c r="D48" s="67"/>
      <c r="E48" s="67"/>
      <c r="F48" s="67"/>
      <c r="G48" s="67"/>
      <c r="H48" s="67"/>
      <c r="I48" s="67"/>
      <c r="J48" s="67"/>
      <c r="K48" s="68"/>
      <c r="L48" s="68"/>
      <c r="M48" s="68"/>
      <c r="N48" s="68"/>
      <c r="O48" s="68"/>
      <c r="P48" s="149"/>
      <c r="Q48" s="62"/>
      <c r="R48" s="62"/>
      <c r="S48" s="62"/>
      <c r="T48" s="62"/>
      <c r="U48" s="62"/>
      <c r="V48" s="62"/>
      <c r="W48" s="62"/>
    </row>
    <row r="49" spans="1:23">
      <c r="A49" s="63"/>
      <c r="B49" s="67"/>
      <c r="C49" s="67"/>
      <c r="D49" s="67"/>
      <c r="E49" s="67"/>
      <c r="F49" s="67"/>
      <c r="G49" s="67"/>
      <c r="H49" s="67"/>
      <c r="I49" s="67"/>
      <c r="J49" s="67"/>
      <c r="K49" s="68"/>
      <c r="L49" s="68"/>
      <c r="M49" s="68"/>
      <c r="N49" s="68"/>
      <c r="O49" s="68"/>
      <c r="P49" s="149"/>
      <c r="Q49" s="62"/>
      <c r="R49" s="62"/>
      <c r="S49" s="62"/>
      <c r="T49" s="62"/>
      <c r="U49" s="62"/>
      <c r="V49" s="62"/>
      <c r="W49" s="62"/>
    </row>
    <row r="50" spans="1:23">
      <c r="A50" s="63"/>
      <c r="B50" s="67"/>
      <c r="C50" s="67"/>
      <c r="D50" s="67"/>
      <c r="E50" s="67"/>
      <c r="F50" s="67"/>
      <c r="G50" s="67"/>
      <c r="H50" s="67"/>
      <c r="I50" s="67"/>
      <c r="J50" s="67"/>
      <c r="K50" s="68"/>
      <c r="L50" s="68"/>
      <c r="M50" s="68"/>
      <c r="N50" s="68"/>
      <c r="O50" s="68"/>
      <c r="P50" s="67"/>
      <c r="Q50" s="67"/>
      <c r="R50" s="67"/>
      <c r="S50" s="62"/>
      <c r="T50" s="62"/>
      <c r="U50" s="62"/>
      <c r="V50" s="62"/>
      <c r="W50" s="62"/>
    </row>
    <row r="51" spans="1:23">
      <c r="A51" s="63"/>
      <c r="B51" s="67"/>
      <c r="C51" s="67"/>
      <c r="D51" s="67"/>
      <c r="E51" s="67"/>
      <c r="F51" s="67"/>
      <c r="G51" s="67"/>
      <c r="H51" s="67"/>
      <c r="I51" s="67"/>
      <c r="J51" s="67"/>
      <c r="K51" s="68"/>
      <c r="L51" s="68"/>
      <c r="M51" s="68"/>
      <c r="N51" s="68"/>
      <c r="O51" s="68"/>
      <c r="P51" s="67"/>
      <c r="Q51" s="67"/>
      <c r="R51" s="67"/>
      <c r="S51" s="62"/>
      <c r="T51" s="62"/>
      <c r="U51" s="62"/>
      <c r="V51" s="62"/>
      <c r="W51" s="62"/>
    </row>
    <row r="52" spans="1:23">
      <c r="A52" s="63"/>
      <c r="B52" s="67"/>
      <c r="C52" s="67"/>
      <c r="D52" s="67"/>
      <c r="E52" s="67"/>
      <c r="F52" s="67"/>
      <c r="G52" s="67"/>
      <c r="H52" s="67"/>
      <c r="I52" s="67"/>
      <c r="J52" s="67"/>
      <c r="K52" s="68"/>
      <c r="L52" s="68"/>
      <c r="M52" s="68"/>
      <c r="N52" s="68"/>
      <c r="O52" s="68"/>
      <c r="P52" s="67"/>
      <c r="Q52" s="67"/>
      <c r="R52" s="67"/>
      <c r="S52" s="62"/>
      <c r="T52" s="62"/>
      <c r="U52" s="62"/>
      <c r="V52" s="62"/>
      <c r="W52" s="62"/>
    </row>
    <row r="53" spans="1:23">
      <c r="A53" s="63"/>
      <c r="B53" s="67"/>
      <c r="C53" s="67"/>
      <c r="D53" s="67"/>
      <c r="E53" s="67"/>
      <c r="F53" s="67"/>
      <c r="G53" s="67"/>
      <c r="H53" s="67"/>
      <c r="I53" s="67"/>
      <c r="J53" s="67"/>
      <c r="K53" s="68"/>
      <c r="L53" s="68"/>
      <c r="M53" s="68"/>
      <c r="N53" s="68"/>
      <c r="O53" s="68"/>
      <c r="P53" s="67"/>
      <c r="Q53" s="67"/>
      <c r="R53" s="67"/>
      <c r="S53" s="62"/>
      <c r="T53" s="62"/>
      <c r="U53" s="62"/>
      <c r="V53" s="62"/>
      <c r="W53" s="62"/>
    </row>
    <row r="54" spans="1:23">
      <c r="A54" s="63"/>
      <c r="B54" s="67"/>
      <c r="C54" s="67"/>
      <c r="D54" s="67"/>
      <c r="E54" s="67"/>
      <c r="F54" s="67"/>
      <c r="G54" s="67"/>
      <c r="H54" s="67"/>
      <c r="I54" s="67"/>
      <c r="J54" s="67"/>
      <c r="K54" s="68"/>
      <c r="L54" s="68"/>
      <c r="M54" s="68"/>
      <c r="N54" s="68"/>
      <c r="O54" s="68"/>
      <c r="P54" s="67"/>
      <c r="Q54" s="67"/>
      <c r="R54" s="67"/>
      <c r="S54" s="62"/>
      <c r="T54" s="62"/>
      <c r="U54" s="62"/>
      <c r="V54" s="62"/>
      <c r="W54" s="62"/>
    </row>
    <row r="55" spans="1:23">
      <c r="A55" s="63"/>
      <c r="B55" s="67"/>
      <c r="C55" s="67"/>
      <c r="D55" s="67"/>
      <c r="E55" s="67"/>
      <c r="F55" s="67"/>
      <c r="G55" s="67"/>
      <c r="H55" s="67"/>
      <c r="I55" s="67"/>
      <c r="J55" s="67"/>
      <c r="K55" s="68"/>
      <c r="L55" s="68"/>
      <c r="M55" s="68"/>
      <c r="N55" s="68"/>
      <c r="O55" s="68"/>
      <c r="P55" s="67"/>
      <c r="Q55" s="67"/>
      <c r="R55" s="67"/>
      <c r="S55" s="62"/>
      <c r="T55" s="62"/>
      <c r="U55" s="62"/>
      <c r="V55" s="62"/>
      <c r="W55" s="62"/>
    </row>
    <row r="56" spans="1:23">
      <c r="A56" s="63"/>
      <c r="B56" s="67"/>
      <c r="C56" s="67"/>
      <c r="D56" s="67"/>
      <c r="E56" s="67"/>
      <c r="F56" s="67"/>
      <c r="G56" s="67"/>
      <c r="H56" s="67"/>
      <c r="I56" s="67"/>
      <c r="J56" s="67"/>
      <c r="K56" s="68"/>
      <c r="L56" s="68"/>
      <c r="M56" s="68"/>
      <c r="N56" s="68"/>
      <c r="O56" s="68"/>
      <c r="P56" s="67"/>
      <c r="Q56" s="67"/>
      <c r="R56" s="67"/>
      <c r="S56" s="62"/>
      <c r="T56" s="62"/>
      <c r="U56" s="62"/>
      <c r="V56" s="62"/>
      <c r="W56" s="62"/>
    </row>
    <row r="57" spans="1:23">
      <c r="A57" s="63"/>
      <c r="B57" s="67"/>
      <c r="C57" s="67"/>
      <c r="D57" s="67"/>
      <c r="E57" s="67"/>
      <c r="F57" s="67"/>
      <c r="G57" s="67"/>
      <c r="H57" s="67"/>
      <c r="I57" s="67"/>
      <c r="J57" s="67"/>
      <c r="K57" s="68"/>
      <c r="L57" s="68"/>
      <c r="M57" s="68"/>
      <c r="N57" s="68"/>
      <c r="O57" s="68"/>
      <c r="P57" s="149"/>
      <c r="Q57" s="67"/>
      <c r="R57" s="67"/>
      <c r="S57" s="62"/>
      <c r="T57" s="62"/>
      <c r="U57" s="62"/>
      <c r="V57" s="62"/>
      <c r="W57" s="62"/>
    </row>
    <row r="58" spans="1:23">
      <c r="A58" s="63"/>
      <c r="B58" s="67"/>
      <c r="C58" s="67"/>
      <c r="D58" s="67"/>
      <c r="E58" s="67"/>
      <c r="F58" s="67"/>
      <c r="G58" s="67"/>
      <c r="H58" s="67"/>
      <c r="I58" s="67"/>
      <c r="J58" s="67"/>
      <c r="K58" s="67"/>
      <c r="L58" s="68"/>
      <c r="M58" s="68"/>
      <c r="N58" s="68"/>
      <c r="O58" s="68"/>
      <c r="P58" s="67"/>
      <c r="Q58" s="67"/>
      <c r="R58" s="67"/>
      <c r="S58" s="62"/>
      <c r="T58" s="62"/>
      <c r="U58" s="62"/>
      <c r="V58" s="62"/>
      <c r="W58" s="62"/>
    </row>
    <row r="59" spans="1:23">
      <c r="A59" s="63"/>
      <c r="B59" s="67"/>
      <c r="C59" s="67"/>
      <c r="D59" s="67"/>
      <c r="E59" s="67"/>
      <c r="F59" s="67"/>
      <c r="G59" s="67"/>
      <c r="H59" s="67"/>
      <c r="I59" s="67"/>
      <c r="J59" s="67"/>
      <c r="K59" s="67"/>
      <c r="L59" s="68"/>
      <c r="M59" s="68"/>
      <c r="N59" s="68"/>
      <c r="O59" s="68"/>
      <c r="P59" s="67"/>
      <c r="Q59" s="67"/>
      <c r="R59" s="67"/>
      <c r="S59" s="62"/>
      <c r="T59" s="62"/>
      <c r="U59" s="62"/>
      <c r="V59" s="62"/>
      <c r="W59" s="62"/>
    </row>
    <row r="60" spans="1:23">
      <c r="A60" s="63"/>
      <c r="B60" s="67"/>
      <c r="C60" s="67"/>
      <c r="D60" s="67"/>
      <c r="E60" s="67"/>
      <c r="F60" s="67"/>
      <c r="G60" s="67"/>
      <c r="H60" s="67"/>
      <c r="I60" s="67"/>
      <c r="J60" s="67"/>
      <c r="K60" s="67"/>
      <c r="L60" s="68"/>
      <c r="M60" s="68"/>
      <c r="N60" s="68"/>
      <c r="O60" s="68"/>
      <c r="P60" s="67"/>
      <c r="Q60" s="67"/>
      <c r="R60" s="67"/>
      <c r="S60" s="62"/>
      <c r="T60" s="62"/>
      <c r="U60" s="62"/>
      <c r="V60" s="62"/>
      <c r="W60" s="62"/>
    </row>
    <row r="61" spans="1:23">
      <c r="A61" s="63"/>
      <c r="B61" s="67"/>
      <c r="C61" s="67"/>
      <c r="D61" s="67"/>
      <c r="E61" s="67"/>
      <c r="F61" s="67"/>
      <c r="G61" s="67"/>
      <c r="H61" s="67"/>
      <c r="I61" s="67"/>
      <c r="J61" s="67"/>
      <c r="K61" s="67"/>
      <c r="L61" s="68"/>
      <c r="M61" s="68"/>
      <c r="N61" s="68"/>
      <c r="O61" s="68"/>
      <c r="P61" s="67"/>
      <c r="Q61" s="67"/>
      <c r="R61" s="67"/>
      <c r="S61" s="62"/>
      <c r="T61" s="62"/>
      <c r="U61" s="62"/>
      <c r="V61" s="62"/>
      <c r="W61" s="62"/>
    </row>
    <row r="62" spans="1:23">
      <c r="A62" s="63"/>
      <c r="B62" s="67"/>
      <c r="C62" s="67"/>
      <c r="D62" s="67"/>
      <c r="E62" s="67"/>
      <c r="F62" s="67"/>
      <c r="G62" s="67"/>
      <c r="H62" s="67"/>
      <c r="I62" s="67"/>
      <c r="J62" s="67"/>
      <c r="K62" s="67"/>
      <c r="L62" s="68"/>
      <c r="M62" s="68"/>
      <c r="N62" s="68"/>
      <c r="O62" s="68"/>
      <c r="P62" s="67"/>
      <c r="Q62" s="67"/>
      <c r="R62" s="67"/>
      <c r="S62" s="62"/>
      <c r="T62" s="62"/>
      <c r="U62" s="62"/>
      <c r="V62" s="62"/>
      <c r="W62" s="62"/>
    </row>
    <row r="63" spans="1:23">
      <c r="A63" s="63"/>
      <c r="B63" s="67"/>
      <c r="C63" s="67"/>
      <c r="D63" s="67"/>
      <c r="E63" s="67"/>
      <c r="F63" s="67"/>
      <c r="G63" s="67"/>
      <c r="H63" s="67"/>
      <c r="I63" s="67"/>
      <c r="J63" s="67"/>
      <c r="K63" s="67"/>
      <c r="L63" s="68"/>
      <c r="M63" s="68"/>
      <c r="N63" s="68"/>
      <c r="O63" s="68"/>
      <c r="P63" s="67"/>
      <c r="Q63" s="67"/>
      <c r="R63" s="67"/>
      <c r="S63" s="62"/>
      <c r="T63" s="62"/>
      <c r="U63" s="62"/>
      <c r="V63" s="62"/>
      <c r="W63" s="62"/>
    </row>
    <row r="64" spans="1:23">
      <c r="A64" s="63"/>
      <c r="B64" s="67"/>
      <c r="C64" s="67"/>
      <c r="D64" s="67"/>
      <c r="E64" s="67"/>
      <c r="F64" s="67"/>
      <c r="G64" s="67"/>
      <c r="H64" s="67"/>
      <c r="I64" s="67"/>
      <c r="J64" s="67"/>
      <c r="K64" s="67"/>
      <c r="L64" s="68"/>
      <c r="M64" s="68"/>
      <c r="N64" s="68"/>
      <c r="O64" s="68"/>
      <c r="P64" s="67"/>
      <c r="Q64" s="67"/>
      <c r="R64" s="67"/>
      <c r="S64" s="62"/>
      <c r="T64" s="62"/>
      <c r="U64" s="62"/>
      <c r="V64" s="62"/>
      <c r="W64" s="62"/>
    </row>
    <row r="65" spans="1:23">
      <c r="A65" s="62"/>
      <c r="B65" s="67"/>
      <c r="C65" s="67"/>
      <c r="D65" s="67"/>
      <c r="E65" s="67"/>
      <c r="F65" s="67"/>
      <c r="G65" s="67"/>
      <c r="H65" s="67"/>
      <c r="I65" s="67"/>
      <c r="J65" s="67"/>
      <c r="K65" s="67"/>
      <c r="L65" s="68"/>
      <c r="M65" s="68"/>
      <c r="N65" s="68"/>
      <c r="O65" s="68"/>
      <c r="P65" s="67"/>
      <c r="Q65" s="67"/>
      <c r="R65" s="67"/>
      <c r="S65" s="62"/>
      <c r="T65" s="62"/>
      <c r="U65" s="62"/>
      <c r="V65" s="62"/>
      <c r="W65" s="62"/>
    </row>
    <row r="66" spans="1:23">
      <c r="A66" s="63"/>
      <c r="B66" s="67"/>
      <c r="C66" s="67"/>
      <c r="D66" s="67"/>
      <c r="E66" s="67"/>
      <c r="F66" s="67"/>
      <c r="G66" s="67"/>
      <c r="H66" s="67"/>
      <c r="I66" s="67"/>
      <c r="J66" s="67"/>
      <c r="K66" s="67"/>
      <c r="L66" s="68"/>
      <c r="M66" s="68"/>
      <c r="N66" s="68"/>
      <c r="O66" s="68"/>
      <c r="P66" s="67"/>
      <c r="Q66" s="67"/>
      <c r="R66" s="67"/>
      <c r="S66" s="62"/>
      <c r="T66" s="62"/>
      <c r="U66" s="62"/>
      <c r="V66" s="62"/>
      <c r="W66" s="62"/>
    </row>
    <row r="67" spans="1:23">
      <c r="A67" s="63"/>
      <c r="B67" s="67"/>
      <c r="C67" s="67"/>
      <c r="D67" s="67"/>
      <c r="E67" s="67"/>
      <c r="F67" s="67"/>
      <c r="G67" s="67"/>
      <c r="H67" s="67"/>
      <c r="I67" s="67"/>
      <c r="J67" s="67"/>
      <c r="K67" s="67"/>
      <c r="L67" s="68"/>
      <c r="M67" s="68"/>
      <c r="N67" s="68"/>
      <c r="O67" s="68"/>
      <c r="P67" s="67"/>
      <c r="Q67" s="67"/>
      <c r="R67" s="67"/>
      <c r="S67" s="62"/>
      <c r="T67" s="62"/>
      <c r="U67" s="62"/>
      <c r="V67" s="62"/>
      <c r="W67" s="62"/>
    </row>
    <row r="68" spans="1:23">
      <c r="A68" s="63"/>
      <c r="B68" s="67"/>
      <c r="C68" s="67"/>
      <c r="D68" s="67"/>
      <c r="E68" s="67"/>
      <c r="F68" s="67"/>
      <c r="G68" s="67"/>
      <c r="H68" s="67"/>
      <c r="I68" s="67"/>
      <c r="J68" s="67"/>
      <c r="K68" s="67"/>
      <c r="L68" s="68"/>
      <c r="M68" s="68"/>
      <c r="N68" s="68"/>
      <c r="O68" s="68"/>
      <c r="P68" s="67"/>
      <c r="Q68" s="67"/>
      <c r="R68" s="67"/>
      <c r="S68" s="62"/>
      <c r="T68" s="62"/>
      <c r="U68" s="62"/>
      <c r="V68" s="62"/>
      <c r="W68" s="62"/>
    </row>
    <row r="69" spans="1:23">
      <c r="A69" s="63"/>
      <c r="B69" s="67"/>
      <c r="C69" s="67"/>
      <c r="D69" s="67"/>
      <c r="E69" s="67"/>
      <c r="F69" s="67"/>
      <c r="G69" s="67"/>
      <c r="H69" s="67"/>
      <c r="I69" s="67"/>
      <c r="J69" s="67"/>
      <c r="K69" s="67"/>
      <c r="L69" s="68"/>
      <c r="M69" s="68"/>
      <c r="N69" s="68"/>
      <c r="O69" s="68"/>
      <c r="P69" s="67"/>
      <c r="Q69" s="67"/>
      <c r="R69" s="67"/>
      <c r="S69" s="62"/>
      <c r="T69" s="62"/>
      <c r="U69" s="62"/>
      <c r="V69" s="62"/>
      <c r="W69" s="62"/>
    </row>
    <row r="70" spans="1:23">
      <c r="A70" s="63"/>
      <c r="B70" s="67"/>
      <c r="C70" s="67"/>
      <c r="D70" s="67"/>
      <c r="E70" s="67"/>
      <c r="F70" s="67"/>
      <c r="G70" s="67"/>
      <c r="H70" s="67"/>
      <c r="I70" s="67"/>
      <c r="J70" s="67"/>
      <c r="K70" s="67"/>
      <c r="L70" s="68"/>
      <c r="M70" s="68"/>
      <c r="N70" s="68"/>
      <c r="O70" s="68"/>
      <c r="P70" s="67"/>
      <c r="Q70" s="67"/>
      <c r="R70" s="67"/>
      <c r="S70" s="62"/>
      <c r="T70" s="62"/>
      <c r="U70" s="62"/>
      <c r="V70" s="62"/>
      <c r="W70" s="62"/>
    </row>
    <row r="71" spans="1:23">
      <c r="A71" s="63"/>
      <c r="B71" s="67"/>
      <c r="C71" s="67"/>
      <c r="D71" s="67"/>
      <c r="E71" s="67"/>
      <c r="F71" s="67"/>
      <c r="G71" s="67"/>
      <c r="H71" s="67"/>
      <c r="I71" s="67"/>
      <c r="J71" s="67"/>
      <c r="K71" s="67"/>
      <c r="L71" s="68"/>
      <c r="M71" s="68"/>
      <c r="N71" s="68"/>
      <c r="O71" s="68"/>
      <c r="P71" s="67"/>
      <c r="Q71" s="67"/>
      <c r="R71" s="67"/>
      <c r="S71" s="62"/>
      <c r="T71" s="62"/>
      <c r="U71" s="62"/>
      <c r="V71" s="62"/>
      <c r="W71" s="62"/>
    </row>
    <row r="72" spans="1:23">
      <c r="A72" s="63"/>
      <c r="B72" s="67"/>
      <c r="C72" s="67"/>
      <c r="D72" s="67"/>
      <c r="E72" s="67"/>
      <c r="F72" s="67"/>
      <c r="G72" s="67"/>
      <c r="H72" s="67"/>
      <c r="I72" s="67"/>
      <c r="J72" s="67"/>
      <c r="K72" s="67"/>
      <c r="L72" s="68"/>
      <c r="M72" s="68"/>
      <c r="N72" s="68"/>
      <c r="O72" s="68"/>
      <c r="P72" s="67"/>
      <c r="Q72" s="67"/>
      <c r="R72" s="67"/>
      <c r="S72" s="62"/>
      <c r="T72" s="62"/>
      <c r="U72" s="62"/>
      <c r="V72" s="62"/>
      <c r="W72" s="62"/>
    </row>
    <row r="73" spans="1:23">
      <c r="A73" s="63"/>
      <c r="B73" s="67"/>
      <c r="C73" s="67"/>
      <c r="D73" s="67"/>
      <c r="E73" s="67"/>
      <c r="F73" s="67"/>
      <c r="G73" s="67"/>
      <c r="H73" s="67"/>
      <c r="I73" s="67"/>
      <c r="J73" s="67"/>
      <c r="K73" s="67"/>
      <c r="L73" s="68"/>
      <c r="M73" s="68"/>
      <c r="N73" s="68"/>
      <c r="O73" s="68"/>
      <c r="P73" s="67"/>
      <c r="Q73" s="67"/>
      <c r="R73" s="67"/>
      <c r="S73" s="62"/>
      <c r="T73" s="62"/>
      <c r="U73" s="62"/>
      <c r="V73" s="62"/>
      <c r="W73" s="62"/>
    </row>
    <row r="74" spans="1:23">
      <c r="A74" s="63"/>
      <c r="B74" s="67"/>
      <c r="C74" s="67"/>
      <c r="D74" s="67"/>
      <c r="E74" s="67"/>
      <c r="F74" s="67"/>
      <c r="G74" s="67"/>
      <c r="H74" s="67"/>
      <c r="I74" s="67"/>
      <c r="J74" s="67"/>
      <c r="K74" s="67"/>
      <c r="L74" s="68"/>
      <c r="M74" s="68"/>
      <c r="N74" s="68"/>
      <c r="O74" s="68"/>
      <c r="P74" s="67"/>
      <c r="Q74" s="67"/>
      <c r="R74" s="67"/>
      <c r="S74" s="62"/>
      <c r="T74" s="62"/>
      <c r="U74" s="62"/>
      <c r="V74" s="62"/>
      <c r="W74" s="62"/>
    </row>
    <row r="75" spans="1:23">
      <c r="A75" s="62"/>
      <c r="B75" s="67"/>
      <c r="C75" s="67"/>
      <c r="D75" s="67"/>
      <c r="E75" s="67"/>
      <c r="F75" s="67"/>
      <c r="G75" s="67"/>
      <c r="H75" s="67"/>
      <c r="I75" s="67"/>
      <c r="J75" s="67"/>
      <c r="K75" s="67"/>
      <c r="L75" s="68"/>
      <c r="M75" s="68"/>
      <c r="N75" s="68"/>
      <c r="O75" s="68"/>
      <c r="P75" s="67"/>
      <c r="Q75" s="67"/>
      <c r="R75" s="67"/>
      <c r="S75" s="62"/>
      <c r="T75" s="62"/>
      <c r="U75" s="62"/>
      <c r="V75" s="62"/>
      <c r="W75" s="62"/>
    </row>
    <row r="76" spans="1:23">
      <c r="A76" s="63"/>
      <c r="B76" s="142"/>
      <c r="C76" s="142"/>
      <c r="D76" s="67"/>
      <c r="E76" s="67"/>
      <c r="F76" s="67"/>
      <c r="G76" s="67"/>
      <c r="H76" s="67"/>
      <c r="I76" s="67"/>
      <c r="J76" s="67"/>
      <c r="K76" s="67"/>
      <c r="L76" s="68"/>
      <c r="M76" s="68"/>
      <c r="N76" s="68"/>
      <c r="O76" s="68"/>
      <c r="P76" s="67"/>
      <c r="Q76" s="67"/>
      <c r="R76" s="67"/>
      <c r="S76" s="62"/>
      <c r="T76" s="62"/>
      <c r="U76" s="62"/>
      <c r="V76" s="62"/>
      <c r="W76" s="62"/>
    </row>
    <row r="77" spans="1:23">
      <c r="A77" s="63"/>
      <c r="B77" s="142"/>
      <c r="C77" s="142"/>
      <c r="D77" s="67"/>
      <c r="E77" s="67"/>
      <c r="F77" s="67"/>
      <c r="G77" s="67"/>
      <c r="H77" s="67"/>
      <c r="I77" s="67"/>
      <c r="J77" s="67"/>
      <c r="K77" s="67"/>
      <c r="L77" s="68"/>
      <c r="M77" s="68"/>
      <c r="N77" s="68"/>
      <c r="O77" s="68"/>
      <c r="P77" s="67"/>
      <c r="Q77" s="67"/>
      <c r="R77" s="67"/>
      <c r="S77" s="62"/>
      <c r="T77" s="62"/>
      <c r="U77" s="62"/>
      <c r="V77" s="62"/>
      <c r="W77" s="62"/>
    </row>
    <row r="78" spans="1:23">
      <c r="A78" s="63"/>
      <c r="B78" s="142"/>
      <c r="C78" s="142"/>
      <c r="D78" s="67"/>
      <c r="E78" s="67"/>
      <c r="F78" s="67"/>
      <c r="G78" s="67"/>
      <c r="H78" s="67"/>
      <c r="I78" s="67"/>
      <c r="J78" s="67"/>
      <c r="K78" s="67"/>
      <c r="L78" s="68"/>
      <c r="M78" s="68"/>
      <c r="N78" s="68"/>
      <c r="O78" s="68"/>
      <c r="P78" s="67"/>
      <c r="Q78" s="67"/>
      <c r="R78" s="67"/>
      <c r="S78" s="62"/>
      <c r="T78" s="62"/>
      <c r="U78" s="62"/>
      <c r="V78" s="62"/>
      <c r="W78" s="62"/>
    </row>
    <row r="79" spans="1:23">
      <c r="A79" s="63"/>
      <c r="B79" s="142"/>
      <c r="C79" s="142"/>
      <c r="D79" s="67"/>
      <c r="E79" s="67"/>
      <c r="F79" s="67"/>
      <c r="G79" s="67"/>
      <c r="H79" s="67"/>
      <c r="I79" s="67"/>
      <c r="J79" s="67"/>
      <c r="K79" s="67"/>
      <c r="L79" s="68"/>
      <c r="M79" s="68"/>
      <c r="N79" s="68"/>
      <c r="O79" s="68"/>
      <c r="P79" s="67"/>
      <c r="Q79" s="67"/>
      <c r="R79" s="67"/>
      <c r="S79" s="62"/>
      <c r="T79" s="62"/>
      <c r="U79" s="62"/>
      <c r="V79" s="62"/>
      <c r="W79" s="62"/>
    </row>
    <row r="80" spans="1:23">
      <c r="A80" s="63"/>
      <c r="B80" s="142"/>
      <c r="C80" s="142"/>
      <c r="D80" s="67"/>
      <c r="E80" s="67"/>
      <c r="F80" s="67"/>
      <c r="G80" s="67"/>
      <c r="H80" s="67"/>
      <c r="I80" s="67"/>
      <c r="J80" s="67"/>
      <c r="K80" s="67"/>
      <c r="L80" s="68"/>
      <c r="M80" s="68"/>
      <c r="N80" s="68"/>
      <c r="O80" s="68"/>
      <c r="P80" s="67"/>
      <c r="Q80" s="67"/>
      <c r="R80" s="67"/>
      <c r="S80" s="62"/>
      <c r="T80" s="62"/>
      <c r="U80" s="62"/>
      <c r="V80" s="62"/>
      <c r="W80" s="62"/>
    </row>
    <row r="81" spans="1:23">
      <c r="A81" s="63"/>
      <c r="B81" s="142"/>
      <c r="C81" s="142"/>
      <c r="D81" s="67"/>
      <c r="E81" s="67"/>
      <c r="F81" s="67"/>
      <c r="G81" s="67"/>
      <c r="H81" s="67"/>
      <c r="I81" s="67"/>
      <c r="J81" s="67"/>
      <c r="K81" s="67"/>
      <c r="L81" s="68"/>
      <c r="M81" s="68"/>
      <c r="N81" s="68"/>
      <c r="O81" s="68"/>
      <c r="P81" s="67"/>
      <c r="Q81" s="67"/>
      <c r="R81" s="67"/>
      <c r="S81" s="62"/>
      <c r="T81" s="62"/>
      <c r="U81" s="62"/>
      <c r="V81" s="62"/>
      <c r="W81" s="62"/>
    </row>
    <row r="82" spans="1:23">
      <c r="A82" s="63"/>
      <c r="B82" s="142"/>
      <c r="C82" s="142"/>
      <c r="D82" s="67"/>
      <c r="E82" s="67"/>
      <c r="F82" s="67"/>
      <c r="G82" s="67"/>
      <c r="H82" s="67"/>
      <c r="I82" s="67"/>
      <c r="J82" s="67"/>
      <c r="K82" s="67"/>
      <c r="L82" s="68"/>
      <c r="M82" s="68"/>
      <c r="N82" s="68"/>
      <c r="O82" s="68"/>
      <c r="P82" s="67"/>
      <c r="Q82" s="67"/>
      <c r="R82" s="67"/>
      <c r="S82" s="62"/>
      <c r="T82" s="62"/>
      <c r="U82" s="62"/>
      <c r="V82" s="62"/>
      <c r="W82" s="62"/>
    </row>
    <row r="83" spans="1:23">
      <c r="A83" s="63"/>
      <c r="B83" s="142"/>
      <c r="C83" s="142"/>
      <c r="D83" s="67"/>
      <c r="E83" s="67"/>
      <c r="F83" s="67"/>
      <c r="G83" s="67"/>
      <c r="H83" s="67"/>
      <c r="I83" s="67"/>
      <c r="J83" s="67"/>
      <c r="K83" s="67"/>
      <c r="L83" s="68"/>
      <c r="M83" s="68"/>
      <c r="N83" s="68"/>
      <c r="O83" s="68"/>
      <c r="P83" s="67"/>
      <c r="Q83" s="67"/>
      <c r="R83" s="67"/>
      <c r="S83" s="62"/>
      <c r="T83" s="62"/>
      <c r="U83" s="62"/>
      <c r="V83" s="62"/>
      <c r="W83" s="62"/>
    </row>
    <row r="84" spans="1:23">
      <c r="A84" s="63"/>
      <c r="B84" s="142"/>
      <c r="C84" s="142"/>
      <c r="D84" s="67"/>
      <c r="E84" s="67"/>
      <c r="F84" s="67"/>
      <c r="G84" s="67"/>
      <c r="H84" s="67"/>
      <c r="I84" s="67"/>
      <c r="J84" s="67"/>
      <c r="K84" s="67"/>
      <c r="L84" s="68"/>
      <c r="M84" s="68"/>
      <c r="N84" s="68"/>
      <c r="O84" s="68"/>
      <c r="P84" s="67"/>
      <c r="Q84" s="67"/>
      <c r="R84" s="67"/>
      <c r="S84" s="62"/>
      <c r="T84" s="62"/>
      <c r="U84" s="62"/>
      <c r="V84" s="62"/>
      <c r="W84" s="62"/>
    </row>
    <row r="85" spans="1:23">
      <c r="A85" s="63"/>
      <c r="B85" s="142"/>
      <c r="C85" s="142"/>
      <c r="D85" s="67"/>
      <c r="E85" s="67"/>
      <c r="F85" s="67"/>
      <c r="G85" s="67"/>
      <c r="H85" s="67"/>
      <c r="I85" s="67"/>
      <c r="J85" s="67"/>
      <c r="K85" s="67"/>
      <c r="L85" s="68"/>
      <c r="M85" s="68"/>
      <c r="N85" s="68"/>
      <c r="O85" s="68"/>
      <c r="P85" s="67"/>
      <c r="Q85" s="67"/>
      <c r="R85" s="67"/>
      <c r="S85" s="62"/>
      <c r="T85" s="62"/>
      <c r="U85" s="62"/>
      <c r="V85" s="62"/>
      <c r="W85" s="62"/>
    </row>
    <row r="86" spans="1:23">
      <c r="A86" s="63"/>
      <c r="B86" s="142"/>
      <c r="C86" s="142"/>
      <c r="D86" s="67"/>
      <c r="E86" s="67"/>
      <c r="F86" s="67"/>
      <c r="G86" s="67"/>
      <c r="H86" s="67"/>
      <c r="I86" s="67"/>
      <c r="J86" s="67"/>
      <c r="K86" s="67"/>
      <c r="L86" s="68"/>
      <c r="M86" s="68"/>
      <c r="N86" s="68"/>
      <c r="O86" s="68"/>
      <c r="P86" s="67"/>
      <c r="Q86" s="67"/>
      <c r="R86" s="67"/>
      <c r="S86" s="62"/>
      <c r="T86" s="62"/>
      <c r="U86" s="62"/>
      <c r="V86" s="62"/>
      <c r="W86" s="62"/>
    </row>
    <row r="87" spans="1:23">
      <c r="A87" s="63"/>
      <c r="B87" s="142"/>
      <c r="C87" s="142"/>
      <c r="D87" s="67"/>
      <c r="E87" s="67"/>
      <c r="F87" s="67"/>
      <c r="G87" s="67"/>
      <c r="H87" s="67"/>
      <c r="I87" s="67"/>
      <c r="J87" s="67"/>
      <c r="K87" s="67"/>
      <c r="L87" s="68"/>
      <c r="M87" s="68"/>
      <c r="N87" s="68"/>
      <c r="O87" s="68"/>
      <c r="P87" s="67"/>
      <c r="Q87" s="67"/>
      <c r="R87" s="67"/>
      <c r="S87" s="62"/>
      <c r="T87" s="62"/>
      <c r="U87" s="62"/>
      <c r="V87" s="62"/>
      <c r="W87" s="62"/>
    </row>
    <row r="88" spans="1:23">
      <c r="A88" s="63"/>
      <c r="B88" s="142"/>
      <c r="C88" s="142"/>
      <c r="D88" s="67"/>
      <c r="E88" s="67"/>
      <c r="F88" s="67"/>
      <c r="G88" s="67"/>
      <c r="H88" s="67"/>
      <c r="I88" s="67"/>
      <c r="J88" s="67"/>
      <c r="K88" s="67"/>
      <c r="L88" s="68"/>
      <c r="M88" s="68"/>
      <c r="N88" s="68"/>
      <c r="O88" s="68"/>
      <c r="P88" s="67"/>
      <c r="Q88" s="67"/>
      <c r="R88" s="67"/>
      <c r="S88" s="62"/>
      <c r="T88" s="62"/>
      <c r="U88" s="62"/>
      <c r="V88" s="62"/>
      <c r="W88" s="62"/>
    </row>
    <row r="89" spans="1:23">
      <c r="A89" s="63"/>
      <c r="B89" s="142"/>
      <c r="C89" s="142"/>
      <c r="D89" s="67"/>
      <c r="E89" s="67"/>
      <c r="F89" s="67"/>
      <c r="G89" s="67"/>
      <c r="H89" s="67"/>
      <c r="I89" s="67"/>
      <c r="J89" s="67"/>
      <c r="K89" s="67"/>
      <c r="L89" s="68"/>
      <c r="M89" s="68"/>
      <c r="N89" s="68"/>
      <c r="O89" s="68"/>
      <c r="P89" s="67"/>
      <c r="Q89" s="67"/>
      <c r="R89" s="67"/>
      <c r="S89" s="62"/>
      <c r="T89" s="62"/>
      <c r="U89" s="62"/>
      <c r="V89" s="62"/>
      <c r="W89" s="62"/>
    </row>
    <row r="90" spans="1:23">
      <c r="A90" s="63"/>
      <c r="B90" s="142"/>
      <c r="C90" s="142"/>
      <c r="D90" s="67"/>
      <c r="E90" s="67"/>
      <c r="F90" s="67"/>
      <c r="G90" s="67"/>
      <c r="H90" s="67"/>
      <c r="I90" s="67"/>
      <c r="J90" s="67"/>
      <c r="K90" s="67"/>
      <c r="L90" s="68"/>
      <c r="M90" s="68"/>
      <c r="N90" s="68"/>
      <c r="O90" s="68"/>
      <c r="P90" s="67"/>
      <c r="Q90" s="67"/>
      <c r="R90" s="67"/>
      <c r="S90" s="62"/>
      <c r="T90" s="62"/>
      <c r="U90" s="62"/>
      <c r="V90" s="62"/>
      <c r="W90" s="62"/>
    </row>
    <row r="91" spans="1:23">
      <c r="A91" s="63"/>
      <c r="B91" s="142"/>
      <c r="C91" s="142"/>
      <c r="D91" s="67"/>
      <c r="E91" s="67"/>
      <c r="F91" s="67"/>
      <c r="G91" s="67"/>
      <c r="H91" s="67"/>
      <c r="I91" s="67"/>
      <c r="J91" s="67"/>
      <c r="K91" s="67"/>
      <c r="L91" s="68"/>
      <c r="M91" s="68"/>
      <c r="N91" s="68"/>
      <c r="O91" s="68"/>
      <c r="P91" s="67"/>
      <c r="Q91" s="67"/>
      <c r="R91" s="67"/>
      <c r="S91" s="62"/>
      <c r="T91" s="62"/>
      <c r="U91" s="62"/>
      <c r="V91" s="62"/>
      <c r="W91" s="62"/>
    </row>
    <row r="92" spans="1:23">
      <c r="A92" s="63"/>
      <c r="B92" s="142"/>
      <c r="C92" s="142"/>
      <c r="D92" s="67"/>
      <c r="E92" s="67"/>
      <c r="F92" s="67"/>
      <c r="G92" s="67"/>
      <c r="H92" s="67"/>
      <c r="I92" s="67"/>
      <c r="J92" s="67"/>
      <c r="K92" s="67"/>
      <c r="L92" s="68"/>
      <c r="M92" s="68"/>
      <c r="N92" s="68"/>
      <c r="O92" s="68"/>
      <c r="P92" s="67"/>
      <c r="Q92" s="67"/>
      <c r="R92" s="67"/>
      <c r="S92" s="62"/>
      <c r="T92" s="62"/>
      <c r="U92" s="62"/>
      <c r="V92" s="62"/>
      <c r="W92" s="62"/>
    </row>
    <row r="93" spans="1:23">
      <c r="A93" s="63"/>
      <c r="B93" s="142"/>
      <c r="C93" s="142"/>
      <c r="D93" s="67"/>
      <c r="E93" s="67"/>
      <c r="F93" s="67"/>
      <c r="G93" s="67"/>
      <c r="H93" s="67"/>
      <c r="I93" s="67"/>
      <c r="J93" s="67"/>
      <c r="K93" s="67"/>
      <c r="L93" s="68"/>
      <c r="M93" s="68"/>
      <c r="N93" s="68"/>
      <c r="O93" s="68"/>
      <c r="P93" s="67"/>
      <c r="Q93" s="67"/>
      <c r="R93" s="67"/>
      <c r="S93" s="62"/>
      <c r="T93" s="62"/>
      <c r="U93" s="62"/>
      <c r="V93" s="62"/>
      <c r="W93" s="62"/>
    </row>
    <row r="94" spans="1:23">
      <c r="A94" s="63"/>
      <c r="B94" s="142"/>
      <c r="C94" s="142"/>
      <c r="D94" s="67"/>
      <c r="E94" s="67"/>
      <c r="F94" s="67"/>
      <c r="G94" s="67"/>
      <c r="H94" s="67"/>
      <c r="I94" s="67"/>
      <c r="J94" s="67"/>
      <c r="K94" s="67"/>
      <c r="L94" s="68"/>
      <c r="M94" s="68"/>
      <c r="N94" s="68"/>
      <c r="O94" s="68"/>
      <c r="P94" s="67"/>
      <c r="Q94" s="67"/>
      <c r="R94" s="67"/>
      <c r="S94" s="62"/>
      <c r="T94" s="62"/>
      <c r="U94" s="62"/>
      <c r="V94" s="62"/>
      <c r="W94" s="62"/>
    </row>
    <row r="95" spans="1:23">
      <c r="A95" s="63"/>
      <c r="B95" s="142"/>
      <c r="C95" s="142"/>
      <c r="D95" s="67"/>
      <c r="E95" s="67"/>
      <c r="F95" s="67"/>
      <c r="G95" s="67"/>
      <c r="H95" s="67"/>
      <c r="I95" s="67"/>
      <c r="J95" s="67"/>
      <c r="K95" s="67"/>
      <c r="L95" s="68"/>
      <c r="M95" s="68"/>
      <c r="N95" s="68"/>
      <c r="O95" s="68"/>
      <c r="P95" s="67"/>
      <c r="Q95" s="67"/>
      <c r="R95" s="67"/>
      <c r="S95" s="62"/>
      <c r="T95" s="62"/>
      <c r="U95" s="62"/>
      <c r="V95" s="62"/>
      <c r="W95" s="62"/>
    </row>
    <row r="96" spans="1:23">
      <c r="A96" s="63"/>
      <c r="B96" s="142"/>
      <c r="C96" s="142"/>
      <c r="D96" s="67"/>
      <c r="E96" s="67"/>
      <c r="F96" s="67"/>
      <c r="G96" s="67"/>
      <c r="H96" s="67"/>
      <c r="I96" s="67"/>
      <c r="J96" s="67"/>
      <c r="K96" s="67"/>
      <c r="L96" s="68"/>
      <c r="M96" s="68"/>
      <c r="N96" s="68"/>
      <c r="O96" s="68"/>
      <c r="P96" s="67"/>
      <c r="Q96" s="67"/>
      <c r="R96" s="67"/>
      <c r="S96" s="62"/>
      <c r="T96" s="62"/>
      <c r="U96" s="62"/>
      <c r="V96" s="62"/>
      <c r="W96" s="62"/>
    </row>
    <row r="97" spans="1:23">
      <c r="A97" s="63"/>
      <c r="B97" s="142"/>
      <c r="C97" s="142"/>
      <c r="D97" s="67"/>
      <c r="E97" s="67"/>
      <c r="F97" s="67"/>
      <c r="G97" s="67"/>
      <c r="H97" s="67"/>
      <c r="I97" s="67"/>
      <c r="J97" s="67"/>
      <c r="K97" s="67"/>
      <c r="L97" s="68"/>
      <c r="M97" s="68"/>
      <c r="N97" s="68"/>
      <c r="O97" s="68"/>
      <c r="P97" s="67"/>
      <c r="Q97" s="67"/>
      <c r="R97" s="67"/>
      <c r="S97" s="62"/>
      <c r="T97" s="62"/>
      <c r="U97" s="62"/>
      <c r="V97" s="62"/>
      <c r="W97" s="62"/>
    </row>
    <row r="98" spans="1:23">
      <c r="A98" s="63"/>
      <c r="B98" s="142"/>
      <c r="C98" s="142"/>
      <c r="D98" s="67"/>
      <c r="E98" s="67"/>
      <c r="F98" s="67"/>
      <c r="G98" s="67"/>
      <c r="H98" s="67"/>
      <c r="I98" s="67"/>
      <c r="J98" s="67"/>
      <c r="K98" s="67"/>
      <c r="L98" s="68"/>
      <c r="M98" s="68"/>
      <c r="N98" s="68"/>
      <c r="O98" s="68"/>
      <c r="P98" s="67"/>
      <c r="Q98" s="67"/>
      <c r="R98" s="67"/>
      <c r="S98" s="62"/>
      <c r="T98" s="62"/>
      <c r="U98" s="62"/>
      <c r="V98" s="62"/>
      <c r="W98" s="62"/>
    </row>
    <row r="99" spans="1:23">
      <c r="A99" s="63"/>
      <c r="B99" s="142"/>
      <c r="C99" s="142"/>
      <c r="D99" s="67"/>
      <c r="E99" s="67"/>
      <c r="F99" s="67"/>
      <c r="G99" s="67"/>
      <c r="H99" s="67"/>
      <c r="I99" s="67"/>
      <c r="J99" s="67"/>
      <c r="K99" s="67"/>
      <c r="L99" s="68"/>
      <c r="M99" s="68"/>
      <c r="N99" s="68"/>
      <c r="O99" s="68"/>
      <c r="P99" s="67"/>
      <c r="Q99" s="67"/>
      <c r="R99" s="67"/>
      <c r="S99" s="62"/>
      <c r="T99" s="62"/>
      <c r="U99" s="62"/>
      <c r="V99" s="62"/>
      <c r="W99" s="62"/>
    </row>
    <row r="100" spans="1:23">
      <c r="A100" s="63"/>
      <c r="B100" s="142"/>
      <c r="C100" s="142"/>
      <c r="D100" s="67"/>
      <c r="E100" s="67"/>
      <c r="F100" s="67"/>
      <c r="G100" s="67"/>
      <c r="H100" s="67"/>
      <c r="I100" s="67"/>
      <c r="J100" s="67"/>
      <c r="K100" s="67"/>
      <c r="L100" s="68"/>
      <c r="M100" s="68"/>
      <c r="N100" s="68"/>
      <c r="O100" s="68"/>
      <c r="P100" s="67"/>
      <c r="Q100" s="67"/>
      <c r="R100" s="67"/>
      <c r="S100" s="62"/>
      <c r="T100" s="62"/>
      <c r="U100" s="62"/>
      <c r="V100" s="62"/>
      <c r="W100" s="62"/>
    </row>
    <row r="101" spans="1:23">
      <c r="A101" s="63"/>
      <c r="B101" s="142"/>
      <c r="C101" s="142"/>
      <c r="D101" s="67"/>
      <c r="E101" s="67"/>
      <c r="F101" s="67"/>
      <c r="G101" s="67"/>
      <c r="H101" s="67"/>
      <c r="I101" s="67"/>
      <c r="J101" s="67"/>
      <c r="K101" s="67"/>
      <c r="L101" s="68"/>
      <c r="M101" s="68"/>
      <c r="N101" s="68"/>
      <c r="O101" s="68"/>
      <c r="P101" s="67"/>
      <c r="Q101" s="67"/>
      <c r="R101" s="67"/>
      <c r="S101" s="62"/>
      <c r="T101" s="62"/>
      <c r="U101" s="62"/>
      <c r="V101" s="62"/>
      <c r="W101" s="62"/>
    </row>
    <row r="102" spans="1:23">
      <c r="A102" s="62"/>
      <c r="B102" s="142"/>
      <c r="C102" s="142"/>
      <c r="D102" s="67"/>
      <c r="E102" s="67"/>
      <c r="F102" s="67"/>
      <c r="G102" s="67"/>
      <c r="H102" s="67"/>
      <c r="I102" s="67"/>
      <c r="J102" s="67"/>
      <c r="K102" s="67"/>
      <c r="L102" s="68"/>
      <c r="M102" s="68"/>
      <c r="N102" s="68"/>
      <c r="O102" s="68"/>
      <c r="P102" s="67"/>
      <c r="Q102" s="67"/>
      <c r="R102" s="67"/>
      <c r="S102" s="62"/>
      <c r="T102" s="62"/>
      <c r="U102" s="62"/>
      <c r="V102" s="62"/>
      <c r="W102" s="62"/>
    </row>
    <row r="103" spans="1:23">
      <c r="A103" s="62"/>
      <c r="B103" s="62"/>
      <c r="C103" s="62"/>
      <c r="D103" s="62"/>
      <c r="E103" s="62"/>
      <c r="F103" s="62"/>
      <c r="G103" s="62"/>
      <c r="H103" s="62"/>
      <c r="I103" s="62"/>
      <c r="J103" s="62"/>
      <c r="K103" s="62"/>
      <c r="L103" s="62"/>
      <c r="M103" s="62"/>
      <c r="N103" s="62"/>
      <c r="O103" s="62"/>
      <c r="P103" s="62"/>
      <c r="Q103" s="62"/>
      <c r="R103" s="62"/>
      <c r="S103" s="62"/>
      <c r="T103" s="62"/>
      <c r="U103" s="62"/>
      <c r="V103" s="62"/>
      <c r="W103" s="62"/>
    </row>
    <row r="104" spans="1:23">
      <c r="A104" s="62"/>
      <c r="B104" s="62"/>
      <c r="C104" s="62"/>
      <c r="D104" s="62"/>
      <c r="E104" s="62"/>
      <c r="F104" s="62"/>
      <c r="G104" s="62"/>
      <c r="H104" s="62"/>
      <c r="I104" s="62"/>
      <c r="J104" s="62"/>
      <c r="K104" s="62"/>
      <c r="L104" s="62"/>
      <c r="M104" s="62"/>
      <c r="N104" s="62"/>
      <c r="O104" s="62"/>
      <c r="P104" s="62"/>
      <c r="Q104" s="62"/>
      <c r="R104" s="62"/>
      <c r="S104" s="62"/>
      <c r="T104" s="62"/>
      <c r="U104" s="62"/>
      <c r="V104" s="62"/>
      <c r="W104" s="62"/>
    </row>
    <row r="105" spans="1:23">
      <c r="A105" s="62"/>
      <c r="B105" s="62"/>
      <c r="C105" s="62"/>
      <c r="D105" s="62"/>
      <c r="E105" s="62"/>
      <c r="F105" s="62"/>
      <c r="G105" s="62"/>
      <c r="H105" s="62"/>
      <c r="I105" s="62"/>
      <c r="J105" s="62"/>
      <c r="K105" s="62"/>
      <c r="L105" s="62"/>
      <c r="M105" s="62"/>
      <c r="N105" s="62"/>
      <c r="O105" s="62"/>
      <c r="P105" s="62"/>
      <c r="Q105" s="62"/>
      <c r="R105" s="62"/>
      <c r="S105" s="62"/>
      <c r="T105" s="62"/>
      <c r="U105" s="62"/>
      <c r="V105" s="62"/>
      <c r="W105" s="62"/>
    </row>
    <row r="106" spans="1:23">
      <c r="A106" s="62"/>
      <c r="B106" s="62"/>
      <c r="C106" s="62"/>
      <c r="D106" s="62"/>
      <c r="E106" s="62"/>
      <c r="F106" s="62"/>
      <c r="G106" s="62"/>
      <c r="H106" s="62"/>
      <c r="I106" s="62"/>
      <c r="J106" s="62"/>
      <c r="K106" s="62"/>
      <c r="L106" s="62"/>
      <c r="M106" s="62"/>
      <c r="N106" s="62"/>
      <c r="O106" s="62"/>
      <c r="P106" s="62"/>
      <c r="Q106" s="62"/>
      <c r="R106" s="62"/>
      <c r="S106" s="62"/>
      <c r="T106" s="62"/>
      <c r="U106" s="62"/>
      <c r="V106" s="62"/>
      <c r="W106" s="62"/>
    </row>
    <row r="107" spans="1:23">
      <c r="A107" s="62"/>
      <c r="B107" s="62"/>
      <c r="C107" s="62"/>
      <c r="D107" s="62"/>
      <c r="E107" s="62"/>
      <c r="F107" s="62"/>
      <c r="G107" s="62"/>
      <c r="H107" s="62"/>
      <c r="I107" s="62"/>
      <c r="J107" s="62"/>
      <c r="K107" s="62"/>
      <c r="L107" s="62"/>
      <c r="M107" s="62"/>
      <c r="N107" s="62"/>
      <c r="O107" s="62"/>
      <c r="P107" s="62"/>
      <c r="Q107" s="62"/>
      <c r="R107" s="62"/>
      <c r="S107" s="62"/>
      <c r="T107" s="62"/>
      <c r="U107" s="62"/>
      <c r="V107" s="62"/>
      <c r="W107" s="62"/>
    </row>
    <row r="129" spans="12:12">
      <c r="L129" s="16">
        <f>SUM(L12:L128)</f>
        <v>430923.27</v>
      </c>
    </row>
  </sheetData>
  <mergeCells count="2">
    <mergeCell ref="A13:A16"/>
    <mergeCell ref="A17:A19"/>
  </mergeCells>
  <pageMargins left="0.7" right="0.7" top="0.75" bottom="0.75" header="0.3" footer="0.3"/>
  <pageSetup paperSize="9" orientation="landscape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>
  <dimension ref="A5:W121"/>
  <sheetViews>
    <sheetView topLeftCell="A4" workbookViewId="0">
      <selection activeCell="B23" sqref="B23:R23"/>
    </sheetView>
  </sheetViews>
  <sheetFormatPr defaultRowHeight="14.4"/>
  <cols>
    <col min="1" max="1" width="7.88671875" style="1" customWidth="1"/>
    <col min="2" max="2" width="22" style="1" customWidth="1"/>
    <col min="3" max="3" width="7.77734375" style="1" customWidth="1"/>
    <col min="4" max="4" width="4.77734375" style="1" customWidth="1"/>
    <col min="5" max="5" width="9.88671875" style="1" customWidth="1"/>
    <col min="6" max="6" width="7.6640625" style="1" customWidth="1"/>
    <col min="7" max="7" width="6.6640625" style="1" customWidth="1"/>
    <col min="8" max="8" width="7.44140625" style="1" customWidth="1"/>
    <col min="9" max="9" width="5.88671875" style="1" customWidth="1"/>
    <col min="10" max="10" width="6" style="1" customWidth="1"/>
    <col min="11" max="11" width="8.44140625" style="1" customWidth="1"/>
    <col min="12" max="12" width="8.21875" style="1" customWidth="1"/>
    <col min="13" max="13" width="7.33203125" style="1" customWidth="1"/>
    <col min="14" max="18" width="8.88671875" style="1"/>
    <col min="19" max="19" width="16.21875" style="1" customWidth="1"/>
    <col min="20" max="16384" width="8.88671875" style="1"/>
  </cols>
  <sheetData>
    <row r="5" spans="1:23" ht="20.399999999999999">
      <c r="A5" s="58" t="s">
        <v>3</v>
      </c>
      <c r="B5" s="58" t="s">
        <v>4</v>
      </c>
      <c r="C5" s="58" t="s">
        <v>5</v>
      </c>
      <c r="D5" s="58" t="s">
        <v>6</v>
      </c>
      <c r="E5" s="58" t="s">
        <v>37</v>
      </c>
      <c r="F5" s="58" t="s">
        <v>7</v>
      </c>
      <c r="G5" s="58" t="s">
        <v>8</v>
      </c>
      <c r="H5" s="58" t="s">
        <v>9</v>
      </c>
      <c r="I5" s="58" t="s">
        <v>10</v>
      </c>
      <c r="J5" s="59" t="s">
        <v>18</v>
      </c>
      <c r="K5" s="59" t="s">
        <v>17</v>
      </c>
      <c r="L5" s="58" t="s">
        <v>11</v>
      </c>
      <c r="M5" s="58" t="s">
        <v>36</v>
      </c>
      <c r="N5" s="58" t="s">
        <v>12</v>
      </c>
      <c r="O5" s="58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125</v>
      </c>
    </row>
    <row r="6" spans="1:23">
      <c r="A6" s="63"/>
      <c r="B6" s="267"/>
      <c r="C6" s="267"/>
      <c r="D6" s="267"/>
      <c r="E6" s="267"/>
      <c r="F6" s="267"/>
      <c r="G6" s="267"/>
      <c r="H6" s="267"/>
      <c r="I6" s="267"/>
      <c r="J6" s="267"/>
      <c r="K6" s="267"/>
      <c r="L6" s="61"/>
      <c r="M6" s="61"/>
      <c r="N6" s="267"/>
      <c r="O6" s="62"/>
      <c r="P6" s="62"/>
      <c r="Q6" s="62"/>
      <c r="R6" s="62"/>
      <c r="S6" s="62"/>
      <c r="U6" s="17"/>
    </row>
    <row r="7" spans="1:23">
      <c r="A7" s="63"/>
      <c r="B7" s="67"/>
      <c r="C7" s="67"/>
      <c r="D7" s="67"/>
      <c r="E7" s="67"/>
      <c r="F7" s="67"/>
      <c r="G7" s="67"/>
      <c r="H7" s="67"/>
      <c r="I7" s="67"/>
      <c r="J7" s="67"/>
      <c r="K7" s="68"/>
      <c r="L7" s="68"/>
      <c r="M7" s="68"/>
      <c r="N7" s="68"/>
      <c r="O7" s="68"/>
      <c r="P7" s="67"/>
      <c r="Q7" s="62"/>
      <c r="R7" s="62"/>
      <c r="S7" s="62"/>
      <c r="T7" s="62"/>
      <c r="U7" s="62"/>
      <c r="V7" s="62"/>
      <c r="W7" s="62"/>
    </row>
    <row r="8" spans="1:23">
      <c r="A8" s="63"/>
      <c r="B8" s="67"/>
      <c r="C8" s="67"/>
      <c r="D8" s="67"/>
      <c r="E8" s="67"/>
      <c r="F8" s="67"/>
      <c r="G8" s="67"/>
      <c r="H8" s="67"/>
      <c r="I8" s="67"/>
      <c r="J8" s="67"/>
      <c r="K8" s="67"/>
      <c r="L8" s="68"/>
      <c r="M8" s="68"/>
      <c r="N8" s="68"/>
      <c r="O8" s="68"/>
      <c r="P8" s="67"/>
      <c r="Q8" s="62"/>
      <c r="R8" s="62"/>
      <c r="S8" s="62"/>
      <c r="T8" s="62"/>
      <c r="U8" s="62"/>
      <c r="V8" s="62"/>
      <c r="W8" s="62"/>
    </row>
    <row r="9" spans="1:23">
      <c r="A9" s="374" t="s">
        <v>2494</v>
      </c>
      <c r="B9" s="42" t="s">
        <v>1397</v>
      </c>
      <c r="C9" s="42" t="s">
        <v>88</v>
      </c>
      <c r="D9" s="42" t="s">
        <v>16</v>
      </c>
      <c r="E9" s="42" t="s">
        <v>2464</v>
      </c>
      <c r="F9" s="42">
        <v>1891</v>
      </c>
      <c r="G9" s="42"/>
      <c r="H9" s="42">
        <v>14970</v>
      </c>
      <c r="I9" s="42">
        <v>300</v>
      </c>
      <c r="J9" s="42">
        <v>0.13</v>
      </c>
      <c r="K9" s="43">
        <f t="shared" ref="K9:K21" si="0">I9*J9</f>
        <v>39</v>
      </c>
      <c r="L9" s="43">
        <f t="shared" ref="L9:L21" si="1">H9-K9</f>
        <v>14931</v>
      </c>
      <c r="M9" s="43"/>
      <c r="N9" s="43">
        <f t="shared" ref="N9:N21" si="2">L9-M9</f>
        <v>14931</v>
      </c>
      <c r="O9" s="43">
        <f t="shared" ref="O9:O21" si="3">H9/1000*70</f>
        <v>1047.9000000000001</v>
      </c>
      <c r="P9" s="42">
        <v>9000</v>
      </c>
      <c r="Q9" s="42"/>
      <c r="R9" s="42">
        <f t="shared" ref="R9:R21" si="4">L9*Q9</f>
        <v>0</v>
      </c>
      <c r="S9" s="62"/>
      <c r="T9" s="62"/>
      <c r="U9" s="62"/>
      <c r="V9" s="62"/>
      <c r="W9" s="62"/>
    </row>
    <row r="10" spans="1:23">
      <c r="A10" s="374"/>
      <c r="B10" s="42" t="s">
        <v>1397</v>
      </c>
      <c r="C10" s="42" t="s">
        <v>88</v>
      </c>
      <c r="D10" s="42" t="s">
        <v>16</v>
      </c>
      <c r="E10" s="42" t="s">
        <v>2495</v>
      </c>
      <c r="F10" s="42">
        <v>1892</v>
      </c>
      <c r="G10" s="42"/>
      <c r="H10" s="42">
        <v>14980</v>
      </c>
      <c r="I10" s="42">
        <v>300</v>
      </c>
      <c r="J10" s="42">
        <v>0.13</v>
      </c>
      <c r="K10" s="43">
        <f t="shared" si="0"/>
        <v>39</v>
      </c>
      <c r="L10" s="43">
        <f t="shared" si="1"/>
        <v>14941</v>
      </c>
      <c r="M10" s="43"/>
      <c r="N10" s="43">
        <f t="shared" si="2"/>
        <v>14941</v>
      </c>
      <c r="O10" s="43">
        <f t="shared" si="3"/>
        <v>1048.6000000000001</v>
      </c>
      <c r="P10" s="42">
        <v>9000</v>
      </c>
      <c r="Q10" s="42"/>
      <c r="R10" s="42">
        <f t="shared" si="4"/>
        <v>0</v>
      </c>
      <c r="S10" s="62"/>
      <c r="T10" s="62"/>
      <c r="U10" s="62"/>
      <c r="V10" s="62"/>
      <c r="W10" s="62"/>
    </row>
    <row r="11" spans="1:23">
      <c r="A11" s="374"/>
      <c r="B11" s="42" t="s">
        <v>1397</v>
      </c>
      <c r="C11" s="42" t="s">
        <v>88</v>
      </c>
      <c r="D11" s="42" t="s">
        <v>16</v>
      </c>
      <c r="E11" s="42" t="s">
        <v>2496</v>
      </c>
      <c r="F11" s="42">
        <v>1889</v>
      </c>
      <c r="G11" s="42"/>
      <c r="H11" s="42">
        <v>14980</v>
      </c>
      <c r="I11" s="42">
        <v>300</v>
      </c>
      <c r="J11" s="42">
        <v>0.13</v>
      </c>
      <c r="K11" s="43">
        <f t="shared" si="0"/>
        <v>39</v>
      </c>
      <c r="L11" s="43">
        <f t="shared" si="1"/>
        <v>14941</v>
      </c>
      <c r="M11" s="43"/>
      <c r="N11" s="43">
        <f t="shared" si="2"/>
        <v>14941</v>
      </c>
      <c r="O11" s="43">
        <f t="shared" si="3"/>
        <v>1048.6000000000001</v>
      </c>
      <c r="P11" s="42">
        <v>9000</v>
      </c>
      <c r="Q11" s="42"/>
      <c r="R11" s="42">
        <f t="shared" si="4"/>
        <v>0</v>
      </c>
      <c r="S11" s="62"/>
      <c r="T11" s="62"/>
      <c r="U11" s="62"/>
      <c r="V11" s="62"/>
      <c r="W11" s="62"/>
    </row>
    <row r="12" spans="1:23">
      <c r="A12" s="374"/>
      <c r="B12" s="42" t="s">
        <v>1397</v>
      </c>
      <c r="C12" s="42" t="s">
        <v>88</v>
      </c>
      <c r="D12" s="42" t="s">
        <v>16</v>
      </c>
      <c r="E12" s="42" t="s">
        <v>2497</v>
      </c>
      <c r="F12" s="42">
        <v>1894</v>
      </c>
      <c r="G12" s="42"/>
      <c r="H12" s="42">
        <v>14960</v>
      </c>
      <c r="I12" s="42">
        <v>300</v>
      </c>
      <c r="J12" s="42">
        <v>0.13</v>
      </c>
      <c r="K12" s="43">
        <f t="shared" si="0"/>
        <v>39</v>
      </c>
      <c r="L12" s="43">
        <f t="shared" si="1"/>
        <v>14921</v>
      </c>
      <c r="M12" s="43"/>
      <c r="N12" s="43">
        <f t="shared" si="2"/>
        <v>14921</v>
      </c>
      <c r="O12" s="43">
        <f t="shared" si="3"/>
        <v>1047.2</v>
      </c>
      <c r="P12" s="42">
        <v>9000</v>
      </c>
      <c r="Q12" s="42"/>
      <c r="R12" s="42">
        <f t="shared" si="4"/>
        <v>0</v>
      </c>
      <c r="S12" s="62"/>
      <c r="T12" s="62"/>
      <c r="U12" s="62"/>
      <c r="V12" s="62"/>
      <c r="W12" s="62"/>
    </row>
    <row r="13" spans="1:23">
      <c r="A13" s="374"/>
      <c r="B13" s="42" t="s">
        <v>1397</v>
      </c>
      <c r="C13" s="42" t="s">
        <v>88</v>
      </c>
      <c r="D13" s="42" t="s">
        <v>16</v>
      </c>
      <c r="E13" s="42" t="s">
        <v>1822</v>
      </c>
      <c r="F13" s="42">
        <v>1890</v>
      </c>
      <c r="G13" s="42"/>
      <c r="H13" s="42">
        <v>14980</v>
      </c>
      <c r="I13" s="42">
        <v>300</v>
      </c>
      <c r="J13" s="42">
        <v>0.13</v>
      </c>
      <c r="K13" s="43">
        <f t="shared" si="0"/>
        <v>39</v>
      </c>
      <c r="L13" s="43">
        <f t="shared" si="1"/>
        <v>14941</v>
      </c>
      <c r="M13" s="43"/>
      <c r="N13" s="43">
        <f t="shared" si="2"/>
        <v>14941</v>
      </c>
      <c r="O13" s="43">
        <f t="shared" si="3"/>
        <v>1048.6000000000001</v>
      </c>
      <c r="P13" s="42">
        <v>9000</v>
      </c>
      <c r="Q13" s="42"/>
      <c r="R13" s="42">
        <f t="shared" si="4"/>
        <v>0</v>
      </c>
      <c r="S13" s="62"/>
      <c r="T13" s="62"/>
      <c r="U13" s="62"/>
      <c r="V13" s="62"/>
      <c r="W13" s="62"/>
    </row>
    <row r="14" spans="1:23">
      <c r="A14" s="374" t="s">
        <v>2500</v>
      </c>
      <c r="B14" s="42" t="s">
        <v>1397</v>
      </c>
      <c r="C14" s="42" t="s">
        <v>88</v>
      </c>
      <c r="D14" s="42" t="s">
        <v>16</v>
      </c>
      <c r="E14" s="42" t="s">
        <v>2503</v>
      </c>
      <c r="F14" s="42">
        <v>1897</v>
      </c>
      <c r="G14" s="42"/>
      <c r="H14" s="42">
        <v>9990</v>
      </c>
      <c r="I14" s="42">
        <v>200</v>
      </c>
      <c r="J14" s="42">
        <v>0.13</v>
      </c>
      <c r="K14" s="43">
        <f t="shared" si="0"/>
        <v>26</v>
      </c>
      <c r="L14" s="43">
        <f t="shared" si="1"/>
        <v>9964</v>
      </c>
      <c r="M14" s="43"/>
      <c r="N14" s="43">
        <f t="shared" si="2"/>
        <v>9964</v>
      </c>
      <c r="O14" s="43">
        <f t="shared" si="3"/>
        <v>699.30000000000007</v>
      </c>
      <c r="P14" s="42">
        <v>6000</v>
      </c>
      <c r="Q14" s="42">
        <v>21.9</v>
      </c>
      <c r="R14" s="42">
        <f t="shared" si="4"/>
        <v>218211.59999999998</v>
      </c>
      <c r="S14" s="62"/>
      <c r="T14" s="62"/>
      <c r="U14" s="62"/>
      <c r="V14" s="62"/>
      <c r="W14" s="62"/>
    </row>
    <row r="15" spans="1:23">
      <c r="A15" s="374"/>
      <c r="B15" s="42" t="s">
        <v>1397</v>
      </c>
      <c r="C15" s="42" t="s">
        <v>88</v>
      </c>
      <c r="D15" s="42" t="s">
        <v>16</v>
      </c>
      <c r="E15" s="42" t="s">
        <v>2504</v>
      </c>
      <c r="F15" s="42">
        <v>1895</v>
      </c>
      <c r="G15" s="42"/>
      <c r="H15" s="42">
        <v>17450</v>
      </c>
      <c r="I15" s="42">
        <v>350</v>
      </c>
      <c r="J15" s="42">
        <v>0.13</v>
      </c>
      <c r="K15" s="43">
        <f t="shared" si="0"/>
        <v>45.5</v>
      </c>
      <c r="L15" s="43">
        <f t="shared" si="1"/>
        <v>17404.5</v>
      </c>
      <c r="M15" s="43"/>
      <c r="N15" s="43">
        <f t="shared" si="2"/>
        <v>17404.5</v>
      </c>
      <c r="O15" s="43">
        <f t="shared" si="3"/>
        <v>1221.5</v>
      </c>
      <c r="P15" s="42">
        <v>10500</v>
      </c>
      <c r="Q15" s="42">
        <v>21.9</v>
      </c>
      <c r="R15" s="42">
        <f t="shared" si="4"/>
        <v>381158.55</v>
      </c>
      <c r="S15" s="62"/>
      <c r="T15" s="62"/>
      <c r="U15" s="62"/>
      <c r="V15" s="62"/>
      <c r="W15" s="62"/>
    </row>
    <row r="16" spans="1:23">
      <c r="A16" s="374"/>
      <c r="B16" s="42" t="s">
        <v>1397</v>
      </c>
      <c r="C16" s="42" t="s">
        <v>88</v>
      </c>
      <c r="D16" s="42" t="s">
        <v>16</v>
      </c>
      <c r="E16" s="42" t="s">
        <v>2505</v>
      </c>
      <c r="F16" s="42">
        <v>1896</v>
      </c>
      <c r="G16" s="42"/>
      <c r="H16" s="42">
        <v>17500</v>
      </c>
      <c r="I16" s="42">
        <v>350</v>
      </c>
      <c r="J16" s="42">
        <v>0.13</v>
      </c>
      <c r="K16" s="43">
        <f t="shared" si="0"/>
        <v>45.5</v>
      </c>
      <c r="L16" s="43">
        <f t="shared" si="1"/>
        <v>17454.5</v>
      </c>
      <c r="M16" s="43"/>
      <c r="N16" s="43">
        <f t="shared" si="2"/>
        <v>17454.5</v>
      </c>
      <c r="O16" s="43">
        <f t="shared" si="3"/>
        <v>1225</v>
      </c>
      <c r="P16" s="42">
        <v>10500</v>
      </c>
      <c r="Q16" s="42">
        <v>21.9</v>
      </c>
      <c r="R16" s="42">
        <f t="shared" si="4"/>
        <v>382253.55</v>
      </c>
      <c r="S16" s="62"/>
      <c r="T16" s="62"/>
      <c r="U16" s="62"/>
      <c r="V16" s="62"/>
      <c r="W16" s="62"/>
    </row>
    <row r="17" spans="1:23">
      <c r="A17" s="374" t="s">
        <v>2510</v>
      </c>
      <c r="B17" s="42" t="s">
        <v>1397</v>
      </c>
      <c r="C17" s="42" t="s">
        <v>88</v>
      </c>
      <c r="D17" s="42" t="s">
        <v>16</v>
      </c>
      <c r="E17" s="42" t="s">
        <v>1823</v>
      </c>
      <c r="F17" s="42">
        <v>1952</v>
      </c>
      <c r="G17" s="42"/>
      <c r="H17" s="42">
        <v>14990</v>
      </c>
      <c r="I17" s="42">
        <v>300</v>
      </c>
      <c r="J17" s="42">
        <v>0.13</v>
      </c>
      <c r="K17" s="43">
        <f t="shared" si="0"/>
        <v>39</v>
      </c>
      <c r="L17" s="43">
        <f t="shared" si="1"/>
        <v>14951</v>
      </c>
      <c r="M17" s="43"/>
      <c r="N17" s="43">
        <f t="shared" si="2"/>
        <v>14951</v>
      </c>
      <c r="O17" s="43">
        <f t="shared" si="3"/>
        <v>1049.3</v>
      </c>
      <c r="P17" s="42">
        <v>9000</v>
      </c>
      <c r="Q17" s="42">
        <v>21.9</v>
      </c>
      <c r="R17" s="42">
        <f t="shared" si="4"/>
        <v>327426.89999999997</v>
      </c>
      <c r="S17" s="62"/>
      <c r="T17" s="62"/>
      <c r="U17" s="62"/>
      <c r="V17" s="62"/>
      <c r="W17" s="62"/>
    </row>
    <row r="18" spans="1:23">
      <c r="A18" s="374"/>
      <c r="B18" s="42" t="s">
        <v>1397</v>
      </c>
      <c r="C18" s="42" t="s">
        <v>88</v>
      </c>
      <c r="D18" s="42" t="s">
        <v>16</v>
      </c>
      <c r="E18" s="42" t="s">
        <v>1822</v>
      </c>
      <c r="F18" s="42">
        <v>1951</v>
      </c>
      <c r="G18" s="42"/>
      <c r="H18" s="42">
        <v>14990</v>
      </c>
      <c r="I18" s="42">
        <v>300</v>
      </c>
      <c r="J18" s="42">
        <v>0.13</v>
      </c>
      <c r="K18" s="43">
        <f t="shared" si="0"/>
        <v>39</v>
      </c>
      <c r="L18" s="43">
        <f t="shared" si="1"/>
        <v>14951</v>
      </c>
      <c r="M18" s="43"/>
      <c r="N18" s="43">
        <f t="shared" si="2"/>
        <v>14951</v>
      </c>
      <c r="O18" s="43">
        <f t="shared" si="3"/>
        <v>1049.3</v>
      </c>
      <c r="P18" s="42">
        <v>9000</v>
      </c>
      <c r="Q18" s="42">
        <v>21.9</v>
      </c>
      <c r="R18" s="42">
        <f t="shared" si="4"/>
        <v>327426.89999999997</v>
      </c>
      <c r="S18" s="62"/>
      <c r="T18" s="62"/>
      <c r="U18" s="62"/>
      <c r="V18" s="62"/>
      <c r="W18" s="62"/>
    </row>
    <row r="19" spans="1:23">
      <c r="A19" s="374"/>
      <c r="B19" s="42" t="s">
        <v>1397</v>
      </c>
      <c r="C19" s="42" t="s">
        <v>88</v>
      </c>
      <c r="D19" s="42" t="s">
        <v>16</v>
      </c>
      <c r="E19" s="42" t="s">
        <v>1824</v>
      </c>
      <c r="F19" s="42">
        <v>2203</v>
      </c>
      <c r="G19" s="42"/>
      <c r="H19" s="42">
        <v>14980</v>
      </c>
      <c r="I19" s="42">
        <v>300</v>
      </c>
      <c r="J19" s="42">
        <v>0.13</v>
      </c>
      <c r="K19" s="43">
        <f t="shared" si="0"/>
        <v>39</v>
      </c>
      <c r="L19" s="43">
        <f t="shared" si="1"/>
        <v>14941</v>
      </c>
      <c r="M19" s="43"/>
      <c r="N19" s="43">
        <f t="shared" si="2"/>
        <v>14941</v>
      </c>
      <c r="O19" s="43">
        <f t="shared" si="3"/>
        <v>1048.6000000000001</v>
      </c>
      <c r="P19" s="42">
        <v>9000</v>
      </c>
      <c r="Q19" s="42">
        <v>21.9</v>
      </c>
      <c r="R19" s="42">
        <f t="shared" si="4"/>
        <v>327207.89999999997</v>
      </c>
      <c r="S19" s="62"/>
      <c r="T19" s="62"/>
      <c r="U19" s="62"/>
      <c r="V19" s="62"/>
      <c r="W19" s="62"/>
    </row>
    <row r="20" spans="1:23">
      <c r="A20" s="374"/>
      <c r="B20" s="42" t="s">
        <v>1397</v>
      </c>
      <c r="C20" s="42" t="s">
        <v>88</v>
      </c>
      <c r="D20" s="42" t="s">
        <v>16</v>
      </c>
      <c r="E20" s="42" t="s">
        <v>2511</v>
      </c>
      <c r="F20" s="42">
        <v>2204</v>
      </c>
      <c r="G20" s="42"/>
      <c r="H20" s="42">
        <v>15000</v>
      </c>
      <c r="I20" s="42">
        <v>300</v>
      </c>
      <c r="J20" s="42">
        <v>0.13</v>
      </c>
      <c r="K20" s="43">
        <f t="shared" si="0"/>
        <v>39</v>
      </c>
      <c r="L20" s="43">
        <f t="shared" si="1"/>
        <v>14961</v>
      </c>
      <c r="M20" s="43"/>
      <c r="N20" s="43">
        <f t="shared" si="2"/>
        <v>14961</v>
      </c>
      <c r="O20" s="43">
        <f t="shared" si="3"/>
        <v>1050</v>
      </c>
      <c r="P20" s="42">
        <v>9000</v>
      </c>
      <c r="Q20" s="42">
        <v>21.9</v>
      </c>
      <c r="R20" s="42">
        <f t="shared" si="4"/>
        <v>327645.89999999997</v>
      </c>
      <c r="S20" s="62"/>
      <c r="T20" s="62"/>
      <c r="U20" s="62"/>
      <c r="V20" s="62"/>
      <c r="W20" s="62"/>
    </row>
    <row r="21" spans="1:23">
      <c r="A21" s="374"/>
      <c r="B21" s="42" t="s">
        <v>1397</v>
      </c>
      <c r="C21" s="42" t="s">
        <v>88</v>
      </c>
      <c r="D21" s="42" t="s">
        <v>16</v>
      </c>
      <c r="E21" s="42" t="s">
        <v>2497</v>
      </c>
      <c r="F21" s="42">
        <v>2202</v>
      </c>
      <c r="G21" s="42"/>
      <c r="H21" s="42">
        <v>14980</v>
      </c>
      <c r="I21" s="42">
        <v>300</v>
      </c>
      <c r="J21" s="42">
        <v>0.13</v>
      </c>
      <c r="K21" s="43">
        <f t="shared" si="0"/>
        <v>39</v>
      </c>
      <c r="L21" s="43">
        <f t="shared" si="1"/>
        <v>14941</v>
      </c>
      <c r="M21" s="43"/>
      <c r="N21" s="43">
        <f t="shared" si="2"/>
        <v>14941</v>
      </c>
      <c r="O21" s="43">
        <f t="shared" si="3"/>
        <v>1048.6000000000001</v>
      </c>
      <c r="P21" s="42">
        <v>9000</v>
      </c>
      <c r="Q21" s="42">
        <v>21.9</v>
      </c>
      <c r="R21" s="42">
        <f t="shared" si="4"/>
        <v>327207.89999999997</v>
      </c>
      <c r="S21" s="62"/>
      <c r="T21" s="62"/>
      <c r="U21" s="62"/>
      <c r="V21" s="62"/>
      <c r="W21" s="62"/>
    </row>
    <row r="22" spans="1:23">
      <c r="A22" s="63"/>
      <c r="B22" s="67"/>
      <c r="C22" s="67"/>
      <c r="D22" s="67"/>
      <c r="E22" s="67"/>
      <c r="F22" s="67"/>
      <c r="G22" s="67"/>
      <c r="H22" s="67"/>
      <c r="I22" s="67"/>
      <c r="J22" s="67"/>
      <c r="K22" s="68"/>
      <c r="L22" s="68"/>
      <c r="M22" s="68"/>
      <c r="N22" s="68"/>
      <c r="O22" s="68"/>
      <c r="P22" s="67"/>
      <c r="Q22" s="62"/>
      <c r="R22" s="62"/>
      <c r="S22" s="62"/>
      <c r="T22" s="62"/>
      <c r="U22" s="62"/>
      <c r="V22" s="62"/>
      <c r="W22" s="62"/>
    </row>
    <row r="23" spans="1:23">
      <c r="A23" s="63"/>
      <c r="B23" s="42" t="s">
        <v>2560</v>
      </c>
      <c r="C23" s="42" t="s">
        <v>88</v>
      </c>
      <c r="D23" s="42" t="s">
        <v>16</v>
      </c>
      <c r="E23" s="42" t="s">
        <v>2561</v>
      </c>
      <c r="F23" s="42">
        <v>21321</v>
      </c>
      <c r="G23" s="42"/>
      <c r="H23" s="42">
        <v>10000</v>
      </c>
      <c r="I23" s="42">
        <v>200</v>
      </c>
      <c r="J23" s="42"/>
      <c r="K23" s="43">
        <f>I23*J23</f>
        <v>0</v>
      </c>
      <c r="L23" s="43">
        <f>H23-K23</f>
        <v>10000</v>
      </c>
      <c r="M23" s="43"/>
      <c r="N23" s="43">
        <f>L23-M23</f>
        <v>10000</v>
      </c>
      <c r="O23" s="43">
        <v>0</v>
      </c>
      <c r="P23" s="42">
        <v>0</v>
      </c>
      <c r="Q23" s="42">
        <v>21</v>
      </c>
      <c r="R23" s="42">
        <f>L23*Q23</f>
        <v>210000</v>
      </c>
      <c r="S23" s="62"/>
      <c r="T23" s="62"/>
      <c r="U23" s="62"/>
      <c r="V23" s="62"/>
      <c r="W23" s="62"/>
    </row>
    <row r="24" spans="1:23">
      <c r="A24" s="63"/>
      <c r="B24" s="67"/>
      <c r="C24" s="67"/>
      <c r="D24" s="67"/>
      <c r="E24" s="67"/>
      <c r="F24" s="67"/>
      <c r="G24" s="67"/>
      <c r="H24" s="67"/>
      <c r="I24" s="67"/>
      <c r="J24" s="67"/>
      <c r="K24" s="68"/>
      <c r="L24" s="68"/>
      <c r="M24" s="68"/>
      <c r="N24" s="68"/>
      <c r="O24" s="68"/>
      <c r="P24" s="67"/>
      <c r="Q24" s="62"/>
      <c r="R24" s="62"/>
      <c r="S24" s="62"/>
      <c r="T24" s="62"/>
      <c r="U24" s="62"/>
      <c r="V24" s="62"/>
      <c r="W24" s="62"/>
    </row>
    <row r="25" spans="1:23">
      <c r="A25" s="63"/>
      <c r="B25" s="67"/>
      <c r="C25" s="67"/>
      <c r="D25" s="67"/>
      <c r="E25" s="67"/>
      <c r="F25" s="67"/>
      <c r="G25" s="67"/>
      <c r="H25" s="67"/>
      <c r="I25" s="67"/>
      <c r="J25" s="67"/>
      <c r="K25" s="68"/>
      <c r="L25" s="68"/>
      <c r="M25" s="68"/>
      <c r="N25" s="68"/>
      <c r="O25" s="68"/>
      <c r="P25" s="67"/>
      <c r="Q25" s="62"/>
      <c r="R25" s="62"/>
      <c r="S25" s="62"/>
      <c r="T25" s="62"/>
      <c r="U25" s="62"/>
      <c r="V25" s="62"/>
      <c r="W25" s="62"/>
    </row>
    <row r="26" spans="1:23">
      <c r="A26" s="63"/>
      <c r="B26" s="67"/>
      <c r="C26" s="67"/>
      <c r="D26" s="67"/>
      <c r="E26" s="67"/>
      <c r="F26" s="67"/>
      <c r="G26" s="67"/>
      <c r="H26" s="67"/>
      <c r="I26" s="67"/>
      <c r="J26" s="67"/>
      <c r="K26" s="68"/>
      <c r="L26" s="68"/>
      <c r="M26" s="68"/>
      <c r="N26" s="68"/>
      <c r="O26" s="68"/>
      <c r="P26" s="67"/>
      <c r="Q26" s="62"/>
      <c r="R26" s="62"/>
      <c r="S26" s="62"/>
      <c r="T26" s="62"/>
      <c r="U26" s="62"/>
      <c r="V26" s="62"/>
      <c r="W26" s="62"/>
    </row>
    <row r="27" spans="1:23">
      <c r="A27" s="63"/>
      <c r="B27" s="67"/>
      <c r="C27" s="67"/>
      <c r="D27" s="67"/>
      <c r="E27" s="67"/>
      <c r="F27" s="67"/>
      <c r="G27" s="67"/>
      <c r="H27" s="67"/>
      <c r="I27" s="67"/>
      <c r="J27" s="67"/>
      <c r="K27" s="68"/>
      <c r="L27" s="68"/>
      <c r="M27" s="68"/>
      <c r="N27" s="68"/>
      <c r="O27" s="68"/>
      <c r="P27" s="67"/>
      <c r="Q27" s="62"/>
      <c r="R27" s="62"/>
      <c r="S27" s="62"/>
      <c r="T27" s="62"/>
      <c r="U27" s="62"/>
      <c r="V27" s="62"/>
      <c r="W27" s="62"/>
    </row>
    <row r="28" spans="1:23">
      <c r="A28" s="63"/>
      <c r="B28" s="67"/>
      <c r="C28" s="67"/>
      <c r="D28" s="67"/>
      <c r="E28" s="67"/>
      <c r="F28" s="67"/>
      <c r="G28" s="67"/>
      <c r="H28" s="67"/>
      <c r="I28" s="67"/>
      <c r="J28" s="67"/>
      <c r="K28" s="68"/>
      <c r="L28" s="68"/>
      <c r="M28" s="68"/>
      <c r="N28" s="68"/>
      <c r="O28" s="68"/>
      <c r="P28" s="67"/>
      <c r="Q28" s="62"/>
      <c r="R28" s="62"/>
      <c r="S28" s="62"/>
      <c r="T28" s="62"/>
      <c r="U28" s="62"/>
      <c r="V28" s="62"/>
      <c r="W28" s="62"/>
    </row>
    <row r="29" spans="1:23">
      <c r="A29" s="63"/>
      <c r="B29" s="67"/>
      <c r="C29" s="67"/>
      <c r="D29" s="67"/>
      <c r="E29" s="67"/>
      <c r="F29" s="98"/>
      <c r="G29" s="98"/>
      <c r="H29" s="98"/>
      <c r="I29" s="98"/>
      <c r="J29" s="98"/>
      <c r="K29" s="68"/>
      <c r="L29" s="68"/>
      <c r="M29" s="68"/>
      <c r="N29" s="68"/>
      <c r="O29" s="68"/>
      <c r="P29" s="99"/>
      <c r="Q29" s="62"/>
      <c r="R29" s="62"/>
      <c r="S29" s="62"/>
      <c r="T29" s="62"/>
      <c r="U29" s="62"/>
      <c r="V29" s="62"/>
      <c r="W29" s="62"/>
    </row>
    <row r="30" spans="1:23">
      <c r="A30" s="63"/>
      <c r="B30" s="67"/>
      <c r="C30" s="67"/>
      <c r="D30" s="67"/>
      <c r="E30" s="67"/>
      <c r="F30" s="67"/>
      <c r="G30" s="67"/>
      <c r="H30" s="67"/>
      <c r="I30" s="67"/>
      <c r="J30" s="67"/>
      <c r="K30" s="68"/>
      <c r="L30" s="68"/>
      <c r="M30" s="68"/>
      <c r="N30" s="68"/>
      <c r="O30" s="68"/>
      <c r="P30" s="67"/>
      <c r="Q30" s="62"/>
      <c r="R30" s="62"/>
      <c r="S30" s="62"/>
      <c r="T30" s="62"/>
      <c r="U30" s="62"/>
      <c r="V30" s="62"/>
      <c r="W30" s="62"/>
    </row>
    <row r="31" spans="1:23">
      <c r="A31" s="63"/>
      <c r="B31" s="67"/>
      <c r="C31" s="67"/>
      <c r="D31" s="67"/>
      <c r="E31" s="67"/>
      <c r="F31" s="67"/>
      <c r="G31" s="67"/>
      <c r="H31" s="67"/>
      <c r="I31" s="67"/>
      <c r="J31" s="67"/>
      <c r="K31" s="68"/>
      <c r="L31" s="68"/>
      <c r="M31" s="68"/>
      <c r="N31" s="68"/>
      <c r="O31" s="68"/>
      <c r="P31" s="67"/>
      <c r="Q31" s="62"/>
      <c r="R31" s="62"/>
      <c r="S31" s="62"/>
      <c r="T31" s="62"/>
      <c r="U31" s="62"/>
      <c r="V31" s="62"/>
      <c r="W31" s="62"/>
    </row>
    <row r="32" spans="1:23">
      <c r="A32" s="63"/>
      <c r="B32" s="67"/>
      <c r="C32" s="67"/>
      <c r="D32" s="67"/>
      <c r="E32" s="67"/>
      <c r="F32" s="67"/>
      <c r="G32" s="67"/>
      <c r="H32" s="67"/>
      <c r="I32" s="67"/>
      <c r="J32" s="67"/>
      <c r="K32" s="68"/>
      <c r="L32" s="68"/>
      <c r="M32" s="68"/>
      <c r="N32" s="68"/>
      <c r="O32" s="68"/>
      <c r="P32" s="67"/>
      <c r="Q32" s="62"/>
      <c r="R32" s="62"/>
      <c r="S32" s="62"/>
      <c r="T32" s="62"/>
      <c r="U32" s="62"/>
      <c r="V32" s="62"/>
      <c r="W32" s="62"/>
    </row>
    <row r="33" spans="1:23">
      <c r="A33" s="63"/>
      <c r="B33" s="67"/>
      <c r="C33" s="67"/>
      <c r="D33" s="67"/>
      <c r="E33" s="67"/>
      <c r="F33" s="67"/>
      <c r="G33" s="67"/>
      <c r="H33" s="67"/>
      <c r="I33" s="67"/>
      <c r="J33" s="67"/>
      <c r="K33" s="68"/>
      <c r="L33" s="68"/>
      <c r="M33" s="68"/>
      <c r="N33" s="68"/>
      <c r="O33" s="68"/>
      <c r="P33" s="67"/>
      <c r="Q33" s="62"/>
      <c r="R33" s="62"/>
      <c r="S33" s="62"/>
      <c r="T33" s="62"/>
      <c r="U33" s="62"/>
      <c r="V33" s="62"/>
      <c r="W33" s="62"/>
    </row>
    <row r="34" spans="1:23">
      <c r="A34" s="63"/>
      <c r="B34" s="67"/>
      <c r="C34" s="67"/>
      <c r="D34" s="67"/>
      <c r="E34" s="67"/>
      <c r="F34" s="67"/>
      <c r="G34" s="67"/>
      <c r="H34" s="67"/>
      <c r="I34" s="67"/>
      <c r="J34" s="67"/>
      <c r="K34" s="68"/>
      <c r="L34" s="68"/>
      <c r="M34" s="68"/>
      <c r="N34" s="68"/>
      <c r="O34" s="68"/>
      <c r="P34" s="67"/>
      <c r="Q34" s="62"/>
      <c r="R34" s="62"/>
      <c r="S34" s="62"/>
      <c r="T34" s="62"/>
      <c r="U34" s="62"/>
      <c r="V34" s="62"/>
      <c r="W34" s="62"/>
    </row>
    <row r="35" spans="1:23">
      <c r="A35" s="63"/>
      <c r="B35" s="67"/>
      <c r="C35" s="67"/>
      <c r="D35" s="67"/>
      <c r="E35" s="67"/>
      <c r="F35" s="67"/>
      <c r="G35" s="67"/>
      <c r="H35" s="67"/>
      <c r="I35" s="67"/>
      <c r="J35" s="67"/>
      <c r="K35" s="68"/>
      <c r="L35" s="68"/>
      <c r="M35" s="68"/>
      <c r="N35" s="68"/>
      <c r="O35" s="68"/>
      <c r="P35" s="67"/>
      <c r="Q35" s="62"/>
      <c r="R35" s="62"/>
      <c r="S35" s="62"/>
      <c r="T35" s="62"/>
      <c r="U35" s="62"/>
      <c r="V35" s="62"/>
      <c r="W35" s="62"/>
    </row>
    <row r="36" spans="1:23">
      <c r="A36" s="63"/>
      <c r="B36" s="67"/>
      <c r="C36" s="67"/>
      <c r="D36" s="67"/>
      <c r="E36" s="67"/>
      <c r="F36" s="67"/>
      <c r="G36" s="67"/>
      <c r="H36" s="67"/>
      <c r="I36" s="67"/>
      <c r="J36" s="67"/>
      <c r="K36" s="68"/>
      <c r="L36" s="68"/>
      <c r="M36" s="68"/>
      <c r="N36" s="68"/>
      <c r="O36" s="68"/>
      <c r="P36" s="149"/>
      <c r="Q36" s="62"/>
      <c r="R36" s="62"/>
      <c r="S36" s="62"/>
      <c r="T36" s="62"/>
      <c r="U36" s="62"/>
      <c r="V36" s="62"/>
      <c r="W36" s="62"/>
    </row>
    <row r="37" spans="1:23">
      <c r="A37" s="63"/>
      <c r="B37" s="67"/>
      <c r="C37" s="67"/>
      <c r="D37" s="67"/>
      <c r="E37" s="67"/>
      <c r="F37" s="67"/>
      <c r="G37" s="67"/>
      <c r="H37" s="67"/>
      <c r="I37" s="67"/>
      <c r="J37" s="67"/>
      <c r="K37" s="68"/>
      <c r="L37" s="68"/>
      <c r="M37" s="68"/>
      <c r="N37" s="68"/>
      <c r="O37" s="68"/>
      <c r="P37" s="149"/>
      <c r="Q37" s="62"/>
      <c r="R37" s="62"/>
      <c r="S37" s="62"/>
      <c r="T37" s="62"/>
      <c r="U37" s="62"/>
      <c r="V37" s="62"/>
      <c r="W37" s="62"/>
    </row>
    <row r="38" spans="1:23">
      <c r="A38" s="63"/>
      <c r="B38" s="67"/>
      <c r="C38" s="67"/>
      <c r="D38" s="67"/>
      <c r="E38" s="67"/>
      <c r="F38" s="67"/>
      <c r="G38" s="67"/>
      <c r="H38" s="67"/>
      <c r="I38" s="67"/>
      <c r="J38" s="67"/>
      <c r="K38" s="68"/>
      <c r="L38" s="68"/>
      <c r="M38" s="68"/>
      <c r="N38" s="68"/>
      <c r="O38" s="68"/>
      <c r="P38" s="149"/>
      <c r="Q38" s="62"/>
      <c r="R38" s="62"/>
      <c r="S38" s="62"/>
      <c r="T38" s="62"/>
      <c r="U38" s="62"/>
      <c r="V38" s="62"/>
      <c r="W38" s="62"/>
    </row>
    <row r="39" spans="1:23">
      <c r="A39" s="63"/>
      <c r="B39" s="67"/>
      <c r="C39" s="67"/>
      <c r="D39" s="67"/>
      <c r="E39" s="67"/>
      <c r="F39" s="67"/>
      <c r="G39" s="67"/>
      <c r="H39" s="67"/>
      <c r="I39" s="67"/>
      <c r="J39" s="67"/>
      <c r="K39" s="68"/>
      <c r="L39" s="68"/>
      <c r="M39" s="68"/>
      <c r="N39" s="68"/>
      <c r="O39" s="68"/>
      <c r="P39" s="149"/>
      <c r="Q39" s="62"/>
      <c r="R39" s="62"/>
      <c r="S39" s="62"/>
      <c r="T39" s="62"/>
      <c r="U39" s="62"/>
      <c r="V39" s="62"/>
      <c r="W39" s="62"/>
    </row>
    <row r="40" spans="1:23">
      <c r="A40" s="63"/>
      <c r="B40" s="67"/>
      <c r="C40" s="67"/>
      <c r="D40" s="67"/>
      <c r="E40" s="67"/>
      <c r="F40" s="67"/>
      <c r="G40" s="67"/>
      <c r="H40" s="67"/>
      <c r="I40" s="67"/>
      <c r="J40" s="67"/>
      <c r="K40" s="68"/>
      <c r="L40" s="68"/>
      <c r="M40" s="68"/>
      <c r="N40" s="68"/>
      <c r="O40" s="68"/>
      <c r="P40" s="149"/>
      <c r="Q40" s="62"/>
      <c r="R40" s="62"/>
      <c r="S40" s="62"/>
      <c r="T40" s="62"/>
      <c r="U40" s="62"/>
      <c r="V40" s="62"/>
      <c r="W40" s="62"/>
    </row>
    <row r="41" spans="1:23">
      <c r="A41" s="63"/>
      <c r="B41" s="67"/>
      <c r="C41" s="67"/>
      <c r="D41" s="67"/>
      <c r="E41" s="67"/>
      <c r="F41" s="67"/>
      <c r="G41" s="67"/>
      <c r="H41" s="67"/>
      <c r="I41" s="67"/>
      <c r="J41" s="67"/>
      <c r="K41" s="68"/>
      <c r="L41" s="68"/>
      <c r="M41" s="68"/>
      <c r="N41" s="68"/>
      <c r="O41" s="68"/>
      <c r="P41" s="149"/>
      <c r="Q41" s="62"/>
      <c r="R41" s="62"/>
      <c r="S41" s="62"/>
      <c r="T41" s="62"/>
      <c r="U41" s="62"/>
      <c r="V41" s="62"/>
      <c r="W41" s="62"/>
    </row>
    <row r="42" spans="1:23">
      <c r="A42" s="63"/>
      <c r="B42" s="67"/>
      <c r="C42" s="67"/>
      <c r="D42" s="67"/>
      <c r="E42" s="67"/>
      <c r="F42" s="67"/>
      <c r="G42" s="67"/>
      <c r="H42" s="67"/>
      <c r="I42" s="67"/>
      <c r="J42" s="67"/>
      <c r="K42" s="68"/>
      <c r="L42" s="68"/>
      <c r="M42" s="68"/>
      <c r="N42" s="68"/>
      <c r="O42" s="68"/>
      <c r="P42" s="67"/>
      <c r="Q42" s="67"/>
      <c r="R42" s="67"/>
      <c r="S42" s="62"/>
      <c r="T42" s="62"/>
      <c r="U42" s="62"/>
      <c r="V42" s="62"/>
      <c r="W42" s="62"/>
    </row>
    <row r="43" spans="1:23">
      <c r="A43" s="63"/>
      <c r="B43" s="67"/>
      <c r="C43" s="67"/>
      <c r="D43" s="67"/>
      <c r="E43" s="67"/>
      <c r="F43" s="67"/>
      <c r="G43" s="67"/>
      <c r="H43" s="67"/>
      <c r="I43" s="67"/>
      <c r="J43" s="67"/>
      <c r="K43" s="68"/>
      <c r="L43" s="68"/>
      <c r="M43" s="68"/>
      <c r="N43" s="68"/>
      <c r="O43" s="68"/>
      <c r="P43" s="67"/>
      <c r="Q43" s="67"/>
      <c r="R43" s="67"/>
      <c r="S43" s="62"/>
      <c r="T43" s="62"/>
      <c r="U43" s="62"/>
      <c r="V43" s="62"/>
      <c r="W43" s="62"/>
    </row>
    <row r="44" spans="1:23">
      <c r="A44" s="63"/>
      <c r="B44" s="67"/>
      <c r="C44" s="67"/>
      <c r="D44" s="67"/>
      <c r="E44" s="67"/>
      <c r="F44" s="67"/>
      <c r="G44" s="67"/>
      <c r="H44" s="67"/>
      <c r="I44" s="67"/>
      <c r="J44" s="67"/>
      <c r="K44" s="68"/>
      <c r="L44" s="68"/>
      <c r="M44" s="68"/>
      <c r="N44" s="68"/>
      <c r="O44" s="68"/>
      <c r="P44" s="67"/>
      <c r="Q44" s="67"/>
      <c r="R44" s="67"/>
      <c r="S44" s="62"/>
      <c r="T44" s="62"/>
      <c r="U44" s="62"/>
      <c r="V44" s="62"/>
      <c r="W44" s="62"/>
    </row>
    <row r="45" spans="1:23">
      <c r="A45" s="63"/>
      <c r="B45" s="67"/>
      <c r="C45" s="67"/>
      <c r="D45" s="67"/>
      <c r="E45" s="67"/>
      <c r="F45" s="67"/>
      <c r="G45" s="67"/>
      <c r="H45" s="67"/>
      <c r="I45" s="67"/>
      <c r="J45" s="67"/>
      <c r="K45" s="68"/>
      <c r="L45" s="68"/>
      <c r="M45" s="68"/>
      <c r="N45" s="68"/>
      <c r="O45" s="68"/>
      <c r="P45" s="67"/>
      <c r="Q45" s="67"/>
      <c r="R45" s="67"/>
      <c r="S45" s="62"/>
      <c r="T45" s="62"/>
      <c r="U45" s="62"/>
      <c r="V45" s="62"/>
      <c r="W45" s="62"/>
    </row>
    <row r="46" spans="1:23">
      <c r="A46" s="63"/>
      <c r="B46" s="67"/>
      <c r="C46" s="67"/>
      <c r="D46" s="67"/>
      <c r="E46" s="67"/>
      <c r="F46" s="67"/>
      <c r="G46" s="67"/>
      <c r="H46" s="67"/>
      <c r="I46" s="67"/>
      <c r="J46" s="67"/>
      <c r="K46" s="68"/>
      <c r="L46" s="68"/>
      <c r="M46" s="68"/>
      <c r="N46" s="68"/>
      <c r="O46" s="68"/>
      <c r="P46" s="67"/>
      <c r="Q46" s="67"/>
      <c r="R46" s="67"/>
      <c r="S46" s="62"/>
      <c r="T46" s="62"/>
      <c r="U46" s="62"/>
      <c r="V46" s="62"/>
      <c r="W46" s="62"/>
    </row>
    <row r="47" spans="1:23">
      <c r="A47" s="63"/>
      <c r="B47" s="67"/>
      <c r="C47" s="67"/>
      <c r="D47" s="67"/>
      <c r="E47" s="67"/>
      <c r="F47" s="67"/>
      <c r="G47" s="67"/>
      <c r="H47" s="67"/>
      <c r="I47" s="67"/>
      <c r="J47" s="67"/>
      <c r="K47" s="68"/>
      <c r="L47" s="68"/>
      <c r="M47" s="68"/>
      <c r="N47" s="68"/>
      <c r="O47" s="68"/>
      <c r="P47" s="67"/>
      <c r="Q47" s="67"/>
      <c r="R47" s="67"/>
      <c r="S47" s="62"/>
      <c r="T47" s="62"/>
      <c r="U47" s="62"/>
      <c r="V47" s="62"/>
      <c r="W47" s="62"/>
    </row>
    <row r="48" spans="1:23">
      <c r="A48" s="63"/>
      <c r="B48" s="67"/>
      <c r="C48" s="67"/>
      <c r="D48" s="67"/>
      <c r="E48" s="67"/>
      <c r="F48" s="67"/>
      <c r="G48" s="67"/>
      <c r="H48" s="67"/>
      <c r="I48" s="67"/>
      <c r="J48" s="67"/>
      <c r="K48" s="68"/>
      <c r="L48" s="68"/>
      <c r="M48" s="68"/>
      <c r="N48" s="68"/>
      <c r="O48" s="68"/>
      <c r="P48" s="67"/>
      <c r="Q48" s="67"/>
      <c r="R48" s="67"/>
      <c r="S48" s="62"/>
      <c r="T48" s="62"/>
      <c r="U48" s="62"/>
      <c r="V48" s="62"/>
      <c r="W48" s="62"/>
    </row>
    <row r="49" spans="1:23">
      <c r="A49" s="63"/>
      <c r="B49" s="67"/>
      <c r="C49" s="67"/>
      <c r="D49" s="67"/>
      <c r="E49" s="67"/>
      <c r="F49" s="67"/>
      <c r="G49" s="67"/>
      <c r="H49" s="67"/>
      <c r="I49" s="67"/>
      <c r="J49" s="67"/>
      <c r="K49" s="68"/>
      <c r="L49" s="68"/>
      <c r="M49" s="68"/>
      <c r="N49" s="68"/>
      <c r="O49" s="68"/>
      <c r="P49" s="149"/>
      <c r="Q49" s="67"/>
      <c r="R49" s="67"/>
      <c r="S49" s="62"/>
      <c r="T49" s="62"/>
      <c r="U49" s="62"/>
      <c r="V49" s="62"/>
      <c r="W49" s="62"/>
    </row>
    <row r="50" spans="1:23">
      <c r="A50" s="63"/>
      <c r="B50" s="67"/>
      <c r="C50" s="67"/>
      <c r="D50" s="67"/>
      <c r="E50" s="67"/>
      <c r="F50" s="67"/>
      <c r="G50" s="67"/>
      <c r="H50" s="67"/>
      <c r="I50" s="67"/>
      <c r="J50" s="67"/>
      <c r="K50" s="67"/>
      <c r="L50" s="68"/>
      <c r="M50" s="68"/>
      <c r="N50" s="68"/>
      <c r="O50" s="68"/>
      <c r="P50" s="67"/>
      <c r="Q50" s="67"/>
      <c r="R50" s="67"/>
      <c r="S50" s="62"/>
      <c r="T50" s="62"/>
      <c r="U50" s="62"/>
      <c r="V50" s="62"/>
      <c r="W50" s="62"/>
    </row>
    <row r="51" spans="1:23">
      <c r="A51" s="63"/>
      <c r="B51" s="67"/>
      <c r="C51" s="67"/>
      <c r="D51" s="67"/>
      <c r="E51" s="67"/>
      <c r="F51" s="67"/>
      <c r="G51" s="67"/>
      <c r="H51" s="67"/>
      <c r="I51" s="67"/>
      <c r="J51" s="67"/>
      <c r="K51" s="67"/>
      <c r="L51" s="68"/>
      <c r="M51" s="68"/>
      <c r="N51" s="68"/>
      <c r="O51" s="68"/>
      <c r="P51" s="67"/>
      <c r="Q51" s="67"/>
      <c r="R51" s="67"/>
      <c r="S51" s="62"/>
      <c r="T51" s="62"/>
      <c r="U51" s="62"/>
      <c r="V51" s="62"/>
      <c r="W51" s="62"/>
    </row>
    <row r="52" spans="1:23">
      <c r="A52" s="63"/>
      <c r="B52" s="67"/>
      <c r="C52" s="67"/>
      <c r="D52" s="67"/>
      <c r="E52" s="67"/>
      <c r="F52" s="67"/>
      <c r="G52" s="67"/>
      <c r="H52" s="67"/>
      <c r="I52" s="67"/>
      <c r="J52" s="67"/>
      <c r="K52" s="67"/>
      <c r="L52" s="68"/>
      <c r="M52" s="68"/>
      <c r="N52" s="68"/>
      <c r="O52" s="68"/>
      <c r="P52" s="67"/>
      <c r="Q52" s="67"/>
      <c r="R52" s="67"/>
      <c r="S52" s="62"/>
      <c r="T52" s="62"/>
      <c r="U52" s="62"/>
      <c r="V52" s="62"/>
      <c r="W52" s="62"/>
    </row>
    <row r="53" spans="1:23">
      <c r="A53" s="63"/>
      <c r="B53" s="67"/>
      <c r="C53" s="67"/>
      <c r="D53" s="67"/>
      <c r="E53" s="67"/>
      <c r="F53" s="67"/>
      <c r="G53" s="67"/>
      <c r="H53" s="67"/>
      <c r="I53" s="67"/>
      <c r="J53" s="67"/>
      <c r="K53" s="67"/>
      <c r="L53" s="68"/>
      <c r="M53" s="68"/>
      <c r="N53" s="68"/>
      <c r="O53" s="68"/>
      <c r="P53" s="67"/>
      <c r="Q53" s="67"/>
      <c r="R53" s="67"/>
      <c r="S53" s="62"/>
      <c r="T53" s="62"/>
      <c r="U53" s="62"/>
      <c r="V53" s="62"/>
      <c r="W53" s="62"/>
    </row>
    <row r="54" spans="1:23">
      <c r="A54" s="63"/>
      <c r="B54" s="67"/>
      <c r="C54" s="67"/>
      <c r="D54" s="67"/>
      <c r="E54" s="67"/>
      <c r="F54" s="67"/>
      <c r="G54" s="67"/>
      <c r="H54" s="67"/>
      <c r="I54" s="67"/>
      <c r="J54" s="67"/>
      <c r="K54" s="67"/>
      <c r="L54" s="68"/>
      <c r="M54" s="68"/>
      <c r="N54" s="68"/>
      <c r="O54" s="68"/>
      <c r="P54" s="67"/>
      <c r="Q54" s="67"/>
      <c r="R54" s="67"/>
      <c r="S54" s="62"/>
      <c r="T54" s="62"/>
      <c r="U54" s="62"/>
      <c r="V54" s="62"/>
      <c r="W54" s="62"/>
    </row>
    <row r="55" spans="1:23">
      <c r="A55" s="63"/>
      <c r="B55" s="67"/>
      <c r="C55" s="67"/>
      <c r="D55" s="67"/>
      <c r="E55" s="67"/>
      <c r="F55" s="67"/>
      <c r="G55" s="67"/>
      <c r="H55" s="67"/>
      <c r="I55" s="67"/>
      <c r="J55" s="67"/>
      <c r="K55" s="67"/>
      <c r="L55" s="68"/>
      <c r="M55" s="68"/>
      <c r="N55" s="68"/>
      <c r="O55" s="68"/>
      <c r="P55" s="67"/>
      <c r="Q55" s="67"/>
      <c r="R55" s="67"/>
      <c r="S55" s="62"/>
      <c r="T55" s="62"/>
      <c r="U55" s="62"/>
      <c r="V55" s="62"/>
      <c r="W55" s="62"/>
    </row>
    <row r="56" spans="1:23">
      <c r="A56" s="63"/>
      <c r="B56" s="67"/>
      <c r="C56" s="67"/>
      <c r="D56" s="67"/>
      <c r="E56" s="67"/>
      <c r="F56" s="67"/>
      <c r="G56" s="67"/>
      <c r="H56" s="67"/>
      <c r="I56" s="67"/>
      <c r="J56" s="67"/>
      <c r="K56" s="67"/>
      <c r="L56" s="68"/>
      <c r="M56" s="68"/>
      <c r="N56" s="68"/>
      <c r="O56" s="68"/>
      <c r="P56" s="67"/>
      <c r="Q56" s="67"/>
      <c r="R56" s="67"/>
      <c r="S56" s="62"/>
      <c r="T56" s="62"/>
      <c r="U56" s="62"/>
      <c r="V56" s="62"/>
      <c r="W56" s="62"/>
    </row>
    <row r="57" spans="1:23">
      <c r="A57" s="62"/>
      <c r="B57" s="67"/>
      <c r="C57" s="67"/>
      <c r="D57" s="67"/>
      <c r="E57" s="67"/>
      <c r="F57" s="67"/>
      <c r="G57" s="67"/>
      <c r="H57" s="67"/>
      <c r="I57" s="67"/>
      <c r="J57" s="67"/>
      <c r="K57" s="67"/>
      <c r="L57" s="68"/>
      <c r="M57" s="68"/>
      <c r="N57" s="68"/>
      <c r="O57" s="68"/>
      <c r="P57" s="67"/>
      <c r="Q57" s="67"/>
      <c r="R57" s="67"/>
      <c r="S57" s="62"/>
      <c r="T57" s="62"/>
      <c r="U57" s="62"/>
      <c r="V57" s="62"/>
      <c r="W57" s="62"/>
    </row>
    <row r="58" spans="1:23">
      <c r="A58" s="63"/>
      <c r="B58" s="67"/>
      <c r="C58" s="67"/>
      <c r="D58" s="67"/>
      <c r="E58" s="67"/>
      <c r="F58" s="67"/>
      <c r="G58" s="67"/>
      <c r="H58" s="67"/>
      <c r="I58" s="67"/>
      <c r="J58" s="67"/>
      <c r="K58" s="67"/>
      <c r="L58" s="68"/>
      <c r="M58" s="68"/>
      <c r="N58" s="68"/>
      <c r="O58" s="68"/>
      <c r="P58" s="67"/>
      <c r="Q58" s="67"/>
      <c r="R58" s="67"/>
      <c r="S58" s="62"/>
      <c r="T58" s="62"/>
      <c r="U58" s="62"/>
      <c r="V58" s="62"/>
      <c r="W58" s="62"/>
    </row>
    <row r="59" spans="1:23">
      <c r="A59" s="63"/>
      <c r="B59" s="67"/>
      <c r="C59" s="67"/>
      <c r="D59" s="67"/>
      <c r="E59" s="67"/>
      <c r="F59" s="67"/>
      <c r="G59" s="67"/>
      <c r="H59" s="67"/>
      <c r="I59" s="67"/>
      <c r="J59" s="67"/>
      <c r="K59" s="67"/>
      <c r="L59" s="68"/>
      <c r="M59" s="68"/>
      <c r="N59" s="68"/>
      <c r="O59" s="68"/>
      <c r="P59" s="67"/>
      <c r="Q59" s="67"/>
      <c r="R59" s="67"/>
      <c r="S59" s="62"/>
      <c r="T59" s="62"/>
      <c r="U59" s="62"/>
      <c r="V59" s="62"/>
      <c r="W59" s="62"/>
    </row>
    <row r="60" spans="1:23">
      <c r="A60" s="63"/>
      <c r="B60" s="67"/>
      <c r="C60" s="67"/>
      <c r="D60" s="67"/>
      <c r="E60" s="67"/>
      <c r="F60" s="67"/>
      <c r="G60" s="67"/>
      <c r="H60" s="67"/>
      <c r="I60" s="67"/>
      <c r="J60" s="67"/>
      <c r="K60" s="67"/>
      <c r="L60" s="68"/>
      <c r="M60" s="68"/>
      <c r="N60" s="68"/>
      <c r="O60" s="68"/>
      <c r="P60" s="67"/>
      <c r="Q60" s="67"/>
      <c r="R60" s="67"/>
      <c r="S60" s="62"/>
      <c r="T60" s="62"/>
      <c r="U60" s="62"/>
      <c r="V60" s="62"/>
      <c r="W60" s="62"/>
    </row>
    <row r="61" spans="1:23">
      <c r="A61" s="63"/>
      <c r="B61" s="67"/>
      <c r="C61" s="67"/>
      <c r="D61" s="67"/>
      <c r="E61" s="67"/>
      <c r="F61" s="67"/>
      <c r="G61" s="67"/>
      <c r="H61" s="67"/>
      <c r="I61" s="67"/>
      <c r="J61" s="67"/>
      <c r="K61" s="67"/>
      <c r="L61" s="68"/>
      <c r="M61" s="68"/>
      <c r="N61" s="68"/>
      <c r="O61" s="68"/>
      <c r="P61" s="67"/>
      <c r="Q61" s="67"/>
      <c r="R61" s="67"/>
      <c r="S61" s="62"/>
      <c r="T61" s="62"/>
      <c r="U61" s="62"/>
      <c r="V61" s="62"/>
      <c r="W61" s="62"/>
    </row>
    <row r="62" spans="1:23">
      <c r="A62" s="63"/>
      <c r="B62" s="67"/>
      <c r="C62" s="67"/>
      <c r="D62" s="67"/>
      <c r="E62" s="67"/>
      <c r="F62" s="67"/>
      <c r="G62" s="67"/>
      <c r="H62" s="67"/>
      <c r="I62" s="67"/>
      <c r="J62" s="67"/>
      <c r="K62" s="67"/>
      <c r="L62" s="68"/>
      <c r="M62" s="68"/>
      <c r="N62" s="68"/>
      <c r="O62" s="68"/>
      <c r="P62" s="67"/>
      <c r="Q62" s="67"/>
      <c r="R62" s="67"/>
      <c r="S62" s="62"/>
      <c r="T62" s="62"/>
      <c r="U62" s="62"/>
      <c r="V62" s="62"/>
      <c r="W62" s="62"/>
    </row>
    <row r="63" spans="1:23">
      <c r="A63" s="63"/>
      <c r="B63" s="67"/>
      <c r="C63" s="67"/>
      <c r="D63" s="67"/>
      <c r="E63" s="67"/>
      <c r="F63" s="67"/>
      <c r="G63" s="67"/>
      <c r="H63" s="67"/>
      <c r="I63" s="67"/>
      <c r="J63" s="67"/>
      <c r="K63" s="67"/>
      <c r="L63" s="68"/>
      <c r="M63" s="68"/>
      <c r="N63" s="68"/>
      <c r="O63" s="68"/>
      <c r="P63" s="67"/>
      <c r="Q63" s="67"/>
      <c r="R63" s="67"/>
      <c r="S63" s="62"/>
      <c r="T63" s="62"/>
      <c r="U63" s="62"/>
      <c r="V63" s="62"/>
      <c r="W63" s="62"/>
    </row>
    <row r="64" spans="1:23">
      <c r="A64" s="63"/>
      <c r="B64" s="67"/>
      <c r="C64" s="67"/>
      <c r="D64" s="67"/>
      <c r="E64" s="67"/>
      <c r="F64" s="67"/>
      <c r="G64" s="67"/>
      <c r="H64" s="67"/>
      <c r="I64" s="67"/>
      <c r="J64" s="67"/>
      <c r="K64" s="67"/>
      <c r="L64" s="68"/>
      <c r="M64" s="68"/>
      <c r="N64" s="68"/>
      <c r="O64" s="68"/>
      <c r="P64" s="67"/>
      <c r="Q64" s="67"/>
      <c r="R64" s="67"/>
      <c r="S64" s="62"/>
      <c r="T64" s="62"/>
      <c r="U64" s="62"/>
      <c r="V64" s="62"/>
      <c r="W64" s="62"/>
    </row>
    <row r="65" spans="1:23">
      <c r="A65" s="63"/>
      <c r="B65" s="67"/>
      <c r="C65" s="67"/>
      <c r="D65" s="67"/>
      <c r="E65" s="67"/>
      <c r="F65" s="67"/>
      <c r="G65" s="67"/>
      <c r="H65" s="67"/>
      <c r="I65" s="67"/>
      <c r="J65" s="67"/>
      <c r="K65" s="67"/>
      <c r="L65" s="68"/>
      <c r="M65" s="68"/>
      <c r="N65" s="68"/>
      <c r="O65" s="68"/>
      <c r="P65" s="67"/>
      <c r="Q65" s="67"/>
      <c r="R65" s="67"/>
      <c r="S65" s="62"/>
      <c r="T65" s="62"/>
      <c r="U65" s="62"/>
      <c r="V65" s="62"/>
      <c r="W65" s="62"/>
    </row>
    <row r="66" spans="1:23">
      <c r="A66" s="63"/>
      <c r="B66" s="67"/>
      <c r="C66" s="67"/>
      <c r="D66" s="67"/>
      <c r="E66" s="67"/>
      <c r="F66" s="67"/>
      <c r="G66" s="67"/>
      <c r="H66" s="67"/>
      <c r="I66" s="67"/>
      <c r="J66" s="67"/>
      <c r="K66" s="67"/>
      <c r="L66" s="68"/>
      <c r="M66" s="68"/>
      <c r="N66" s="68"/>
      <c r="O66" s="68"/>
      <c r="P66" s="67"/>
      <c r="Q66" s="67"/>
      <c r="R66" s="67"/>
      <c r="S66" s="62"/>
      <c r="T66" s="62"/>
      <c r="U66" s="62"/>
      <c r="V66" s="62"/>
      <c r="W66" s="62"/>
    </row>
    <row r="67" spans="1:23">
      <c r="A67" s="62"/>
      <c r="B67" s="67"/>
      <c r="C67" s="67"/>
      <c r="D67" s="67"/>
      <c r="E67" s="67"/>
      <c r="F67" s="67"/>
      <c r="G67" s="67"/>
      <c r="H67" s="67"/>
      <c r="I67" s="67"/>
      <c r="J67" s="67"/>
      <c r="K67" s="67"/>
      <c r="L67" s="68"/>
      <c r="M67" s="68"/>
      <c r="N67" s="68"/>
      <c r="O67" s="68"/>
      <c r="P67" s="67"/>
      <c r="Q67" s="67"/>
      <c r="R67" s="67"/>
      <c r="S67" s="62"/>
      <c r="T67" s="62"/>
      <c r="U67" s="62"/>
      <c r="V67" s="62"/>
      <c r="W67" s="62"/>
    </row>
    <row r="68" spans="1:23">
      <c r="A68" s="63"/>
      <c r="B68" s="142"/>
      <c r="C68" s="142"/>
      <c r="D68" s="67"/>
      <c r="E68" s="67"/>
      <c r="F68" s="67"/>
      <c r="G68" s="67"/>
      <c r="H68" s="67"/>
      <c r="I68" s="67"/>
      <c r="J68" s="67"/>
      <c r="K68" s="67"/>
      <c r="L68" s="68"/>
      <c r="M68" s="68"/>
      <c r="N68" s="68"/>
      <c r="O68" s="68"/>
      <c r="P68" s="67"/>
      <c r="Q68" s="67"/>
      <c r="R68" s="67"/>
      <c r="S68" s="62"/>
      <c r="T68" s="62"/>
      <c r="U68" s="62"/>
      <c r="V68" s="62"/>
      <c r="W68" s="62"/>
    </row>
    <row r="69" spans="1:23">
      <c r="A69" s="63"/>
      <c r="B69" s="142"/>
      <c r="C69" s="142"/>
      <c r="D69" s="67"/>
      <c r="E69" s="67"/>
      <c r="F69" s="67"/>
      <c r="G69" s="67"/>
      <c r="H69" s="67"/>
      <c r="I69" s="67"/>
      <c r="J69" s="67"/>
      <c r="K69" s="67"/>
      <c r="L69" s="68"/>
      <c r="M69" s="68"/>
      <c r="N69" s="68"/>
      <c r="O69" s="68"/>
      <c r="P69" s="67"/>
      <c r="Q69" s="67"/>
      <c r="R69" s="67"/>
      <c r="S69" s="62"/>
      <c r="T69" s="62"/>
      <c r="U69" s="62"/>
      <c r="V69" s="62"/>
      <c r="W69" s="62"/>
    </row>
    <row r="70" spans="1:23">
      <c r="A70" s="63"/>
      <c r="B70" s="142"/>
      <c r="C70" s="142"/>
      <c r="D70" s="67"/>
      <c r="E70" s="67"/>
      <c r="F70" s="67"/>
      <c r="G70" s="67"/>
      <c r="H70" s="67"/>
      <c r="I70" s="67"/>
      <c r="J70" s="67"/>
      <c r="K70" s="67"/>
      <c r="L70" s="68"/>
      <c r="M70" s="68"/>
      <c r="N70" s="68"/>
      <c r="O70" s="68"/>
      <c r="P70" s="67"/>
      <c r="Q70" s="67"/>
      <c r="R70" s="67"/>
      <c r="S70" s="62"/>
      <c r="T70" s="62"/>
      <c r="U70" s="62"/>
      <c r="V70" s="62"/>
      <c r="W70" s="62"/>
    </row>
    <row r="71" spans="1:23">
      <c r="A71" s="63"/>
      <c r="B71" s="142"/>
      <c r="C71" s="142"/>
      <c r="D71" s="67"/>
      <c r="E71" s="67"/>
      <c r="F71" s="67"/>
      <c r="G71" s="67"/>
      <c r="H71" s="67"/>
      <c r="I71" s="67"/>
      <c r="J71" s="67"/>
      <c r="K71" s="67"/>
      <c r="L71" s="68"/>
      <c r="M71" s="68"/>
      <c r="N71" s="68"/>
      <c r="O71" s="68"/>
      <c r="P71" s="67"/>
      <c r="Q71" s="67"/>
      <c r="R71" s="67"/>
      <c r="S71" s="62"/>
      <c r="T71" s="62"/>
      <c r="U71" s="62"/>
      <c r="V71" s="62"/>
      <c r="W71" s="62"/>
    </row>
    <row r="72" spans="1:23">
      <c r="A72" s="63"/>
      <c r="B72" s="142"/>
      <c r="C72" s="142"/>
      <c r="D72" s="67"/>
      <c r="E72" s="67"/>
      <c r="F72" s="67"/>
      <c r="G72" s="67"/>
      <c r="H72" s="67"/>
      <c r="I72" s="67"/>
      <c r="J72" s="67"/>
      <c r="K72" s="67"/>
      <c r="L72" s="68"/>
      <c r="M72" s="68"/>
      <c r="N72" s="68"/>
      <c r="O72" s="68"/>
      <c r="P72" s="67"/>
      <c r="Q72" s="67"/>
      <c r="R72" s="67"/>
      <c r="S72" s="62"/>
      <c r="T72" s="62"/>
      <c r="U72" s="62"/>
      <c r="V72" s="62"/>
      <c r="W72" s="62"/>
    </row>
    <row r="73" spans="1:23">
      <c r="A73" s="63"/>
      <c r="B73" s="142"/>
      <c r="C73" s="142"/>
      <c r="D73" s="67"/>
      <c r="E73" s="67"/>
      <c r="F73" s="67"/>
      <c r="G73" s="67"/>
      <c r="H73" s="67"/>
      <c r="I73" s="67"/>
      <c r="J73" s="67"/>
      <c r="K73" s="67"/>
      <c r="L73" s="68"/>
      <c r="M73" s="68"/>
      <c r="N73" s="68"/>
      <c r="O73" s="68"/>
      <c r="P73" s="67"/>
      <c r="Q73" s="67"/>
      <c r="R73" s="67"/>
      <c r="S73" s="62"/>
      <c r="T73" s="62"/>
      <c r="U73" s="62"/>
      <c r="V73" s="62"/>
      <c r="W73" s="62"/>
    </row>
    <row r="74" spans="1:23">
      <c r="A74" s="63"/>
      <c r="B74" s="142"/>
      <c r="C74" s="142"/>
      <c r="D74" s="67"/>
      <c r="E74" s="67"/>
      <c r="F74" s="67"/>
      <c r="G74" s="67"/>
      <c r="H74" s="67"/>
      <c r="I74" s="67"/>
      <c r="J74" s="67"/>
      <c r="K74" s="67"/>
      <c r="L74" s="68"/>
      <c r="M74" s="68"/>
      <c r="N74" s="68"/>
      <c r="O74" s="68"/>
      <c r="P74" s="67"/>
      <c r="Q74" s="67"/>
      <c r="R74" s="67"/>
      <c r="S74" s="62"/>
      <c r="T74" s="62"/>
      <c r="U74" s="62"/>
      <c r="V74" s="62"/>
      <c r="W74" s="62"/>
    </row>
    <row r="75" spans="1:23">
      <c r="A75" s="63"/>
      <c r="B75" s="142"/>
      <c r="C75" s="142"/>
      <c r="D75" s="67"/>
      <c r="E75" s="67"/>
      <c r="F75" s="67"/>
      <c r="G75" s="67"/>
      <c r="H75" s="67"/>
      <c r="I75" s="67"/>
      <c r="J75" s="67"/>
      <c r="K75" s="67"/>
      <c r="L75" s="68"/>
      <c r="M75" s="68"/>
      <c r="N75" s="68"/>
      <c r="O75" s="68"/>
      <c r="P75" s="67"/>
      <c r="Q75" s="67"/>
      <c r="R75" s="67"/>
      <c r="S75" s="62"/>
      <c r="T75" s="62"/>
      <c r="U75" s="62"/>
      <c r="V75" s="62"/>
      <c r="W75" s="62"/>
    </row>
    <row r="76" spans="1:23">
      <c r="A76" s="63"/>
      <c r="B76" s="142"/>
      <c r="C76" s="142"/>
      <c r="D76" s="67"/>
      <c r="E76" s="67"/>
      <c r="F76" s="67"/>
      <c r="G76" s="67"/>
      <c r="H76" s="67"/>
      <c r="I76" s="67"/>
      <c r="J76" s="67"/>
      <c r="K76" s="67"/>
      <c r="L76" s="68"/>
      <c r="M76" s="68"/>
      <c r="N76" s="68"/>
      <c r="O76" s="68"/>
      <c r="P76" s="67"/>
      <c r="Q76" s="67"/>
      <c r="R76" s="67"/>
      <c r="S76" s="62"/>
      <c r="T76" s="62"/>
      <c r="U76" s="62"/>
      <c r="V76" s="62"/>
      <c r="W76" s="62"/>
    </row>
    <row r="77" spans="1:23">
      <c r="A77" s="63"/>
      <c r="B77" s="142"/>
      <c r="C77" s="142"/>
      <c r="D77" s="67"/>
      <c r="E77" s="67"/>
      <c r="F77" s="67"/>
      <c r="G77" s="67"/>
      <c r="H77" s="67"/>
      <c r="I77" s="67"/>
      <c r="J77" s="67"/>
      <c r="K77" s="67"/>
      <c r="L77" s="68"/>
      <c r="M77" s="68"/>
      <c r="N77" s="68"/>
      <c r="O77" s="68"/>
      <c r="P77" s="67"/>
      <c r="Q77" s="67"/>
      <c r="R77" s="67"/>
      <c r="S77" s="62"/>
      <c r="T77" s="62"/>
      <c r="U77" s="62"/>
      <c r="V77" s="62"/>
      <c r="W77" s="62"/>
    </row>
    <row r="78" spans="1:23">
      <c r="A78" s="63"/>
      <c r="B78" s="142"/>
      <c r="C78" s="142"/>
      <c r="D78" s="67"/>
      <c r="E78" s="67"/>
      <c r="F78" s="67"/>
      <c r="G78" s="67"/>
      <c r="H78" s="67"/>
      <c r="I78" s="67"/>
      <c r="J78" s="67"/>
      <c r="K78" s="67"/>
      <c r="L78" s="68"/>
      <c r="M78" s="68"/>
      <c r="N78" s="68"/>
      <c r="O78" s="68"/>
      <c r="P78" s="67"/>
      <c r="Q78" s="67"/>
      <c r="R78" s="67"/>
      <c r="S78" s="62"/>
      <c r="T78" s="62"/>
      <c r="U78" s="62"/>
      <c r="V78" s="62"/>
      <c r="W78" s="62"/>
    </row>
    <row r="79" spans="1:23">
      <c r="A79" s="63"/>
      <c r="B79" s="142"/>
      <c r="C79" s="142"/>
      <c r="D79" s="67"/>
      <c r="E79" s="67"/>
      <c r="F79" s="67"/>
      <c r="G79" s="67"/>
      <c r="H79" s="67"/>
      <c r="I79" s="67"/>
      <c r="J79" s="67"/>
      <c r="K79" s="67"/>
      <c r="L79" s="68"/>
      <c r="M79" s="68"/>
      <c r="N79" s="68"/>
      <c r="O79" s="68"/>
      <c r="P79" s="67"/>
      <c r="Q79" s="67"/>
      <c r="R79" s="67"/>
      <c r="S79" s="62"/>
      <c r="T79" s="62"/>
      <c r="U79" s="62"/>
      <c r="V79" s="62"/>
      <c r="W79" s="62"/>
    </row>
    <row r="80" spans="1:23">
      <c r="A80" s="63"/>
      <c r="B80" s="142"/>
      <c r="C80" s="142"/>
      <c r="D80" s="67"/>
      <c r="E80" s="67"/>
      <c r="F80" s="67"/>
      <c r="G80" s="67"/>
      <c r="H80" s="67"/>
      <c r="I80" s="67"/>
      <c r="J80" s="67"/>
      <c r="K80" s="67"/>
      <c r="L80" s="68"/>
      <c r="M80" s="68"/>
      <c r="N80" s="68"/>
      <c r="O80" s="68"/>
      <c r="P80" s="67"/>
      <c r="Q80" s="67"/>
      <c r="R80" s="67"/>
      <c r="S80" s="62"/>
      <c r="T80" s="62"/>
      <c r="U80" s="62"/>
      <c r="V80" s="62"/>
      <c r="W80" s="62"/>
    </row>
    <row r="81" spans="1:23">
      <c r="A81" s="63"/>
      <c r="B81" s="142"/>
      <c r="C81" s="142"/>
      <c r="D81" s="67"/>
      <c r="E81" s="67"/>
      <c r="F81" s="67"/>
      <c r="G81" s="67"/>
      <c r="H81" s="67"/>
      <c r="I81" s="67"/>
      <c r="J81" s="67"/>
      <c r="K81" s="67"/>
      <c r="L81" s="68"/>
      <c r="M81" s="68"/>
      <c r="N81" s="68"/>
      <c r="O81" s="68"/>
      <c r="P81" s="67"/>
      <c r="Q81" s="67"/>
      <c r="R81" s="67"/>
      <c r="S81" s="62"/>
      <c r="T81" s="62"/>
      <c r="U81" s="62"/>
      <c r="V81" s="62"/>
      <c r="W81" s="62"/>
    </row>
    <row r="82" spans="1:23">
      <c r="A82" s="63"/>
      <c r="B82" s="142"/>
      <c r="C82" s="142"/>
      <c r="D82" s="67"/>
      <c r="E82" s="67"/>
      <c r="F82" s="67"/>
      <c r="G82" s="67"/>
      <c r="H82" s="67"/>
      <c r="I82" s="67"/>
      <c r="J82" s="67"/>
      <c r="K82" s="67"/>
      <c r="L82" s="68"/>
      <c r="M82" s="68"/>
      <c r="N82" s="68"/>
      <c r="O82" s="68"/>
      <c r="P82" s="67"/>
      <c r="Q82" s="67"/>
      <c r="R82" s="67"/>
      <c r="S82" s="62"/>
      <c r="T82" s="62"/>
      <c r="U82" s="62"/>
      <c r="V82" s="62"/>
      <c r="W82" s="62"/>
    </row>
    <row r="83" spans="1:23">
      <c r="A83" s="63"/>
      <c r="B83" s="142"/>
      <c r="C83" s="142"/>
      <c r="D83" s="67"/>
      <c r="E83" s="67"/>
      <c r="F83" s="67"/>
      <c r="G83" s="67"/>
      <c r="H83" s="67"/>
      <c r="I83" s="67"/>
      <c r="J83" s="67"/>
      <c r="K83" s="67"/>
      <c r="L83" s="68"/>
      <c r="M83" s="68"/>
      <c r="N83" s="68"/>
      <c r="O83" s="68"/>
      <c r="P83" s="67"/>
      <c r="Q83" s="67"/>
      <c r="R83" s="67"/>
      <c r="S83" s="62"/>
      <c r="T83" s="62"/>
      <c r="U83" s="62"/>
      <c r="V83" s="62"/>
      <c r="W83" s="62"/>
    </row>
    <row r="84" spans="1:23">
      <c r="A84" s="63"/>
      <c r="B84" s="142"/>
      <c r="C84" s="142"/>
      <c r="D84" s="67"/>
      <c r="E84" s="67"/>
      <c r="F84" s="67"/>
      <c r="G84" s="67"/>
      <c r="H84" s="67"/>
      <c r="I84" s="67"/>
      <c r="J84" s="67"/>
      <c r="K84" s="67"/>
      <c r="L84" s="68"/>
      <c r="M84" s="68"/>
      <c r="N84" s="68"/>
      <c r="O84" s="68"/>
      <c r="P84" s="67"/>
      <c r="Q84" s="67"/>
      <c r="R84" s="67"/>
      <c r="S84" s="62"/>
      <c r="T84" s="62"/>
      <c r="U84" s="62"/>
      <c r="V84" s="62"/>
      <c r="W84" s="62"/>
    </row>
    <row r="85" spans="1:23">
      <c r="A85" s="63"/>
      <c r="B85" s="142"/>
      <c r="C85" s="142"/>
      <c r="D85" s="67"/>
      <c r="E85" s="67"/>
      <c r="F85" s="67"/>
      <c r="G85" s="67"/>
      <c r="H85" s="67"/>
      <c r="I85" s="67"/>
      <c r="J85" s="67"/>
      <c r="K85" s="67"/>
      <c r="L85" s="68"/>
      <c r="M85" s="68"/>
      <c r="N85" s="68"/>
      <c r="O85" s="68"/>
      <c r="P85" s="67"/>
      <c r="Q85" s="67"/>
      <c r="R85" s="67"/>
      <c r="S85" s="62"/>
      <c r="T85" s="62"/>
      <c r="U85" s="62"/>
      <c r="V85" s="62"/>
      <c r="W85" s="62"/>
    </row>
    <row r="86" spans="1:23">
      <c r="A86" s="63"/>
      <c r="B86" s="142"/>
      <c r="C86" s="142"/>
      <c r="D86" s="67"/>
      <c r="E86" s="67"/>
      <c r="F86" s="67"/>
      <c r="G86" s="67"/>
      <c r="H86" s="67"/>
      <c r="I86" s="67"/>
      <c r="J86" s="67"/>
      <c r="K86" s="67"/>
      <c r="L86" s="68"/>
      <c r="M86" s="68"/>
      <c r="N86" s="68"/>
      <c r="O86" s="68"/>
      <c r="P86" s="67"/>
      <c r="Q86" s="67"/>
      <c r="R86" s="67"/>
      <c r="S86" s="62"/>
      <c r="T86" s="62"/>
      <c r="U86" s="62"/>
      <c r="V86" s="62"/>
      <c r="W86" s="62"/>
    </row>
    <row r="87" spans="1:23">
      <c r="A87" s="63"/>
      <c r="B87" s="142"/>
      <c r="C87" s="142"/>
      <c r="D87" s="67"/>
      <c r="E87" s="67"/>
      <c r="F87" s="67"/>
      <c r="G87" s="67"/>
      <c r="H87" s="67"/>
      <c r="I87" s="67"/>
      <c r="J87" s="67"/>
      <c r="K87" s="67"/>
      <c r="L87" s="68"/>
      <c r="M87" s="68"/>
      <c r="N87" s="68"/>
      <c r="O87" s="68"/>
      <c r="P87" s="67"/>
      <c r="Q87" s="67"/>
      <c r="R87" s="67"/>
      <c r="S87" s="62"/>
      <c r="T87" s="62"/>
      <c r="U87" s="62"/>
      <c r="V87" s="62"/>
      <c r="W87" s="62"/>
    </row>
    <row r="88" spans="1:23">
      <c r="A88" s="63"/>
      <c r="B88" s="142"/>
      <c r="C88" s="142"/>
      <c r="D88" s="67"/>
      <c r="E88" s="67"/>
      <c r="F88" s="67"/>
      <c r="G88" s="67"/>
      <c r="H88" s="67"/>
      <c r="I88" s="67"/>
      <c r="J88" s="67"/>
      <c r="K88" s="67"/>
      <c r="L88" s="68"/>
      <c r="M88" s="68"/>
      <c r="N88" s="68"/>
      <c r="O88" s="68"/>
      <c r="P88" s="67"/>
      <c r="Q88" s="67"/>
      <c r="R88" s="67"/>
      <c r="S88" s="62"/>
      <c r="T88" s="62"/>
      <c r="U88" s="62"/>
      <c r="V88" s="62"/>
      <c r="W88" s="62"/>
    </row>
    <row r="89" spans="1:23">
      <c r="A89" s="63"/>
      <c r="B89" s="142"/>
      <c r="C89" s="142"/>
      <c r="D89" s="67"/>
      <c r="E89" s="67"/>
      <c r="F89" s="67"/>
      <c r="G89" s="67"/>
      <c r="H89" s="67"/>
      <c r="I89" s="67"/>
      <c r="J89" s="67"/>
      <c r="K89" s="67"/>
      <c r="L89" s="68"/>
      <c r="M89" s="68"/>
      <c r="N89" s="68"/>
      <c r="O89" s="68"/>
      <c r="P89" s="67"/>
      <c r="Q89" s="67"/>
      <c r="R89" s="67"/>
      <c r="S89" s="62"/>
      <c r="T89" s="62"/>
      <c r="U89" s="62"/>
      <c r="V89" s="62"/>
      <c r="W89" s="62"/>
    </row>
    <row r="90" spans="1:23">
      <c r="A90" s="63"/>
      <c r="B90" s="142"/>
      <c r="C90" s="142"/>
      <c r="D90" s="67"/>
      <c r="E90" s="67"/>
      <c r="F90" s="67"/>
      <c r="G90" s="67"/>
      <c r="H90" s="67"/>
      <c r="I90" s="67"/>
      <c r="J90" s="67"/>
      <c r="K90" s="67"/>
      <c r="L90" s="68"/>
      <c r="M90" s="68"/>
      <c r="N90" s="68"/>
      <c r="O90" s="68"/>
      <c r="P90" s="67"/>
      <c r="Q90" s="67"/>
      <c r="R90" s="67"/>
      <c r="S90" s="62"/>
      <c r="T90" s="62"/>
      <c r="U90" s="62"/>
      <c r="V90" s="62"/>
      <c r="W90" s="62"/>
    </row>
    <row r="91" spans="1:23">
      <c r="A91" s="63"/>
      <c r="B91" s="142"/>
      <c r="C91" s="142"/>
      <c r="D91" s="67"/>
      <c r="E91" s="67"/>
      <c r="F91" s="67"/>
      <c r="G91" s="67"/>
      <c r="H91" s="67"/>
      <c r="I91" s="67"/>
      <c r="J91" s="67"/>
      <c r="K91" s="67"/>
      <c r="L91" s="68"/>
      <c r="M91" s="68"/>
      <c r="N91" s="68"/>
      <c r="O91" s="68"/>
      <c r="P91" s="67"/>
      <c r="Q91" s="67"/>
      <c r="R91" s="67"/>
      <c r="S91" s="62"/>
      <c r="T91" s="62"/>
      <c r="U91" s="62"/>
      <c r="V91" s="62"/>
      <c r="W91" s="62"/>
    </row>
    <row r="92" spans="1:23">
      <c r="A92" s="63"/>
      <c r="B92" s="142"/>
      <c r="C92" s="142"/>
      <c r="D92" s="67"/>
      <c r="E92" s="67"/>
      <c r="F92" s="67"/>
      <c r="G92" s="67"/>
      <c r="H92" s="67"/>
      <c r="I92" s="67"/>
      <c r="J92" s="67"/>
      <c r="K92" s="67"/>
      <c r="L92" s="68"/>
      <c r="M92" s="68"/>
      <c r="N92" s="68"/>
      <c r="O92" s="68"/>
      <c r="P92" s="67"/>
      <c r="Q92" s="67"/>
      <c r="R92" s="67"/>
      <c r="S92" s="62"/>
      <c r="T92" s="62"/>
      <c r="U92" s="62"/>
      <c r="V92" s="62"/>
      <c r="W92" s="62"/>
    </row>
    <row r="93" spans="1:23">
      <c r="A93" s="63"/>
      <c r="B93" s="142"/>
      <c r="C93" s="142"/>
      <c r="D93" s="67"/>
      <c r="E93" s="67"/>
      <c r="F93" s="67"/>
      <c r="G93" s="67"/>
      <c r="H93" s="67"/>
      <c r="I93" s="67"/>
      <c r="J93" s="67"/>
      <c r="K93" s="67"/>
      <c r="L93" s="68"/>
      <c r="M93" s="68"/>
      <c r="N93" s="68"/>
      <c r="O93" s="68"/>
      <c r="P93" s="67"/>
      <c r="Q93" s="67"/>
      <c r="R93" s="67"/>
      <c r="S93" s="62"/>
      <c r="T93" s="62"/>
      <c r="U93" s="62"/>
      <c r="V93" s="62"/>
      <c r="W93" s="62"/>
    </row>
    <row r="94" spans="1:23">
      <c r="A94" s="62"/>
      <c r="B94" s="142"/>
      <c r="C94" s="142"/>
      <c r="D94" s="67"/>
      <c r="E94" s="67"/>
      <c r="F94" s="67"/>
      <c r="G94" s="67"/>
      <c r="H94" s="67"/>
      <c r="I94" s="67"/>
      <c r="J94" s="67"/>
      <c r="K94" s="67"/>
      <c r="L94" s="68"/>
      <c r="M94" s="68"/>
      <c r="N94" s="68"/>
      <c r="O94" s="68"/>
      <c r="P94" s="67"/>
      <c r="Q94" s="67"/>
      <c r="R94" s="67"/>
      <c r="S94" s="62"/>
      <c r="T94" s="62"/>
      <c r="U94" s="62"/>
      <c r="V94" s="62"/>
      <c r="W94" s="62"/>
    </row>
    <row r="95" spans="1:23">
      <c r="A95" s="62"/>
      <c r="B95" s="62"/>
      <c r="C95" s="62"/>
      <c r="D95" s="62"/>
      <c r="E95" s="62"/>
      <c r="F95" s="62"/>
      <c r="G95" s="62"/>
      <c r="H95" s="62"/>
      <c r="I95" s="62"/>
      <c r="J95" s="62"/>
      <c r="K95" s="62"/>
      <c r="L95" s="62"/>
      <c r="M95" s="62"/>
      <c r="N95" s="62"/>
      <c r="O95" s="62"/>
      <c r="P95" s="62"/>
      <c r="Q95" s="62"/>
      <c r="R95" s="62"/>
      <c r="S95" s="62"/>
      <c r="T95" s="62"/>
      <c r="U95" s="62"/>
      <c r="V95" s="62"/>
      <c r="W95" s="62"/>
    </row>
    <row r="96" spans="1:23">
      <c r="A96" s="62"/>
      <c r="B96" s="62"/>
      <c r="C96" s="62"/>
      <c r="D96" s="62"/>
      <c r="E96" s="62"/>
      <c r="F96" s="62"/>
      <c r="G96" s="62"/>
      <c r="H96" s="62"/>
      <c r="I96" s="62"/>
      <c r="J96" s="62"/>
      <c r="K96" s="62"/>
      <c r="L96" s="62"/>
      <c r="M96" s="62"/>
      <c r="N96" s="62"/>
      <c r="O96" s="62"/>
      <c r="P96" s="62"/>
      <c r="Q96" s="62"/>
      <c r="R96" s="62"/>
      <c r="S96" s="62"/>
      <c r="T96" s="62"/>
      <c r="U96" s="62"/>
      <c r="V96" s="62"/>
      <c r="W96" s="62"/>
    </row>
    <row r="97" spans="1:23">
      <c r="A97" s="62"/>
      <c r="B97" s="62"/>
      <c r="C97" s="62"/>
      <c r="D97" s="62"/>
      <c r="E97" s="62"/>
      <c r="F97" s="62"/>
      <c r="G97" s="62"/>
      <c r="H97" s="62"/>
      <c r="I97" s="62"/>
      <c r="J97" s="62"/>
      <c r="K97" s="62"/>
      <c r="L97" s="62"/>
      <c r="M97" s="62"/>
      <c r="N97" s="62"/>
      <c r="O97" s="62"/>
      <c r="P97" s="62"/>
      <c r="Q97" s="62"/>
      <c r="R97" s="62"/>
      <c r="S97" s="62"/>
      <c r="T97" s="62"/>
      <c r="U97" s="62"/>
      <c r="V97" s="62"/>
      <c r="W97" s="62"/>
    </row>
    <row r="98" spans="1:23">
      <c r="A98" s="62"/>
      <c r="B98" s="62"/>
      <c r="C98" s="62"/>
      <c r="D98" s="62"/>
      <c r="E98" s="62"/>
      <c r="F98" s="62"/>
      <c r="G98" s="62"/>
      <c r="H98" s="62"/>
      <c r="I98" s="62"/>
      <c r="J98" s="62"/>
      <c r="K98" s="62"/>
      <c r="L98" s="62"/>
      <c r="M98" s="62"/>
      <c r="N98" s="62"/>
      <c r="O98" s="62"/>
      <c r="P98" s="62"/>
      <c r="Q98" s="62"/>
      <c r="R98" s="62"/>
      <c r="S98" s="62"/>
      <c r="T98" s="62"/>
      <c r="U98" s="62"/>
      <c r="V98" s="62"/>
      <c r="W98" s="62"/>
    </row>
    <row r="99" spans="1:23">
      <c r="A99" s="62"/>
      <c r="B99" s="62"/>
      <c r="C99" s="62"/>
      <c r="D99" s="62"/>
      <c r="E99" s="62"/>
      <c r="F99" s="62"/>
      <c r="G99" s="62"/>
      <c r="H99" s="62"/>
      <c r="I99" s="62"/>
      <c r="J99" s="62"/>
      <c r="K99" s="62"/>
      <c r="L99" s="62"/>
      <c r="M99" s="62"/>
      <c r="N99" s="62"/>
      <c r="O99" s="62"/>
      <c r="P99" s="62"/>
      <c r="Q99" s="62"/>
      <c r="R99" s="62"/>
      <c r="S99" s="62"/>
      <c r="T99" s="62"/>
      <c r="U99" s="62"/>
      <c r="V99" s="62"/>
      <c r="W99" s="62"/>
    </row>
    <row r="121" spans="12:12">
      <c r="L121" s="16">
        <f>SUM(L7:L120)</f>
        <v>204243</v>
      </c>
    </row>
  </sheetData>
  <mergeCells count="3">
    <mergeCell ref="A9:A13"/>
    <mergeCell ref="A14:A16"/>
    <mergeCell ref="A17:A21"/>
  </mergeCells>
  <pageMargins left="0.7" right="0.7" top="0.75" bottom="0.75" header="0.3" footer="0.3"/>
  <pageSetup paperSize="9" orientation="landscape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>
  <dimension ref="A5:W108"/>
  <sheetViews>
    <sheetView topLeftCell="A4" workbookViewId="0">
      <selection activeCell="A17" sqref="A17"/>
    </sheetView>
  </sheetViews>
  <sheetFormatPr defaultRowHeight="14.4"/>
  <cols>
    <col min="1" max="1" width="7.88671875" style="1" customWidth="1"/>
    <col min="2" max="2" width="22" style="1" customWidth="1"/>
    <col min="3" max="3" width="7.77734375" style="1" customWidth="1"/>
    <col min="4" max="4" width="4.77734375" style="1" customWidth="1"/>
    <col min="5" max="5" width="9.88671875" style="1" customWidth="1"/>
    <col min="6" max="6" width="7.6640625" style="1" customWidth="1"/>
    <col min="7" max="7" width="6.6640625" style="1" customWidth="1"/>
    <col min="8" max="8" width="7.44140625" style="1" customWidth="1"/>
    <col min="9" max="9" width="5.88671875" style="1" customWidth="1"/>
    <col min="10" max="10" width="6" style="1" customWidth="1"/>
    <col min="11" max="11" width="8.44140625" style="1" customWidth="1"/>
    <col min="12" max="12" width="8.21875" style="1" customWidth="1"/>
    <col min="13" max="13" width="7.33203125" style="1" customWidth="1"/>
    <col min="14" max="18" width="8.88671875" style="1"/>
    <col min="19" max="19" width="16.21875" style="1" customWidth="1"/>
    <col min="20" max="16384" width="8.88671875" style="1"/>
  </cols>
  <sheetData>
    <row r="5" spans="1:23" ht="20.399999999999999">
      <c r="A5" s="58" t="s">
        <v>3</v>
      </c>
      <c r="B5" s="58" t="s">
        <v>4</v>
      </c>
      <c r="C5" s="58" t="s">
        <v>5</v>
      </c>
      <c r="D5" s="58" t="s">
        <v>6</v>
      </c>
      <c r="E5" s="58" t="s">
        <v>37</v>
      </c>
      <c r="F5" s="58" t="s">
        <v>7</v>
      </c>
      <c r="G5" s="58" t="s">
        <v>8</v>
      </c>
      <c r="H5" s="58" t="s">
        <v>9</v>
      </c>
      <c r="I5" s="58" t="s">
        <v>10</v>
      </c>
      <c r="J5" s="59" t="s">
        <v>18</v>
      </c>
      <c r="K5" s="59" t="s">
        <v>17</v>
      </c>
      <c r="L5" s="58" t="s">
        <v>11</v>
      </c>
      <c r="M5" s="58" t="s">
        <v>36</v>
      </c>
      <c r="N5" s="58" t="s">
        <v>12</v>
      </c>
      <c r="O5" s="58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125</v>
      </c>
    </row>
    <row r="6" spans="1:23">
      <c r="A6" s="63"/>
      <c r="B6" s="273"/>
      <c r="C6" s="273"/>
      <c r="D6" s="273"/>
      <c r="E6" s="273"/>
      <c r="F6" s="273"/>
      <c r="G6" s="273"/>
      <c r="H6" s="273"/>
      <c r="I6" s="273"/>
      <c r="J6" s="273"/>
      <c r="K6" s="273"/>
      <c r="L6" s="61"/>
      <c r="M6" s="61"/>
      <c r="N6" s="273"/>
      <c r="O6" s="62"/>
      <c r="P6" s="62"/>
      <c r="Q6" s="62"/>
      <c r="R6" s="62"/>
      <c r="S6" s="62"/>
      <c r="U6" s="17"/>
    </row>
    <row r="7" spans="1:23">
      <c r="A7" s="63"/>
      <c r="B7" s="67"/>
      <c r="C7" s="67"/>
      <c r="D7" s="67"/>
      <c r="E7" s="67"/>
      <c r="F7" s="67"/>
      <c r="G7" s="67"/>
      <c r="H7" s="67"/>
      <c r="I7" s="67"/>
      <c r="J7" s="67"/>
      <c r="K7" s="68"/>
      <c r="L7" s="68"/>
      <c r="M7" s="68"/>
      <c r="N7" s="68"/>
      <c r="O7" s="68"/>
      <c r="P7" s="67"/>
      <c r="Q7" s="62"/>
      <c r="R7" s="62"/>
      <c r="S7" s="62"/>
      <c r="T7" s="62"/>
      <c r="U7" s="62"/>
      <c r="V7" s="62"/>
      <c r="W7" s="62"/>
    </row>
    <row r="8" spans="1:23">
      <c r="A8" s="63"/>
      <c r="B8" s="67"/>
      <c r="C8" s="67"/>
      <c r="D8" s="67"/>
      <c r="E8" s="67"/>
      <c r="F8" s="67"/>
      <c r="G8" s="67"/>
      <c r="H8" s="67"/>
      <c r="I8" s="67"/>
      <c r="J8" s="67"/>
      <c r="K8" s="67"/>
      <c r="L8" s="68"/>
      <c r="M8" s="68"/>
      <c r="N8" s="68"/>
      <c r="O8" s="68"/>
      <c r="P8" s="67"/>
      <c r="Q8" s="62"/>
      <c r="R8" s="62"/>
      <c r="S8" s="62"/>
      <c r="T8" s="62"/>
      <c r="U8" s="62"/>
      <c r="V8" s="62"/>
      <c r="W8" s="62"/>
    </row>
    <row r="9" spans="1:23">
      <c r="A9" s="63"/>
      <c r="B9" s="67"/>
      <c r="C9" s="67"/>
      <c r="D9" s="67"/>
      <c r="E9" s="67"/>
      <c r="F9" s="67"/>
      <c r="G9" s="67"/>
      <c r="H9" s="67"/>
      <c r="I9" s="67"/>
      <c r="J9" s="67"/>
      <c r="K9" s="68"/>
      <c r="L9" s="68"/>
      <c r="M9" s="68"/>
      <c r="N9" s="68"/>
      <c r="O9" s="68"/>
      <c r="P9" s="67"/>
      <c r="Q9" s="62"/>
      <c r="R9" s="62"/>
      <c r="S9" s="62"/>
      <c r="T9" s="62"/>
      <c r="U9" s="62"/>
      <c r="V9" s="62"/>
      <c r="W9" s="62"/>
    </row>
    <row r="10" spans="1:23">
      <c r="A10" s="63" t="s">
        <v>2557</v>
      </c>
      <c r="B10" s="42" t="s">
        <v>2560</v>
      </c>
      <c r="C10" s="42" t="s">
        <v>88</v>
      </c>
      <c r="D10" s="42" t="s">
        <v>16</v>
      </c>
      <c r="E10" s="42" t="s">
        <v>2561</v>
      </c>
      <c r="F10" s="42">
        <v>21321</v>
      </c>
      <c r="G10" s="42"/>
      <c r="H10" s="42">
        <v>10000</v>
      </c>
      <c r="I10" s="42">
        <v>200</v>
      </c>
      <c r="J10" s="42"/>
      <c r="K10" s="43">
        <f>I10*J10</f>
        <v>0</v>
      </c>
      <c r="L10" s="43">
        <f>H10-K10</f>
        <v>10000</v>
      </c>
      <c r="M10" s="43"/>
      <c r="N10" s="43">
        <f>L10-M10</f>
        <v>10000</v>
      </c>
      <c r="O10" s="43">
        <v>0</v>
      </c>
      <c r="P10" s="42">
        <v>0</v>
      </c>
      <c r="Q10" s="42">
        <v>21</v>
      </c>
      <c r="R10" s="42">
        <f>L10*Q10</f>
        <v>210000</v>
      </c>
      <c r="S10" s="62"/>
      <c r="T10" s="62"/>
      <c r="U10" s="62"/>
      <c r="V10" s="62"/>
      <c r="W10" s="62"/>
    </row>
    <row r="11" spans="1:23">
      <c r="A11" s="63"/>
      <c r="B11" s="67"/>
      <c r="C11" s="67"/>
      <c r="D11" s="67"/>
      <c r="E11" s="67"/>
      <c r="F11" s="67"/>
      <c r="G11" s="67"/>
      <c r="H11" s="67"/>
      <c r="I11" s="67"/>
      <c r="J11" s="67"/>
      <c r="K11" s="68"/>
      <c r="L11" s="68"/>
      <c r="M11" s="68"/>
      <c r="N11" s="68"/>
      <c r="O11" s="68"/>
      <c r="P11" s="67"/>
      <c r="Q11" s="62"/>
      <c r="R11" s="62"/>
      <c r="S11" s="62"/>
      <c r="T11" s="62"/>
      <c r="U11" s="62"/>
      <c r="V11" s="62"/>
      <c r="W11" s="62"/>
    </row>
    <row r="12" spans="1:23">
      <c r="A12" s="63" t="s">
        <v>2576</v>
      </c>
      <c r="B12" s="42" t="s">
        <v>2577</v>
      </c>
      <c r="C12" s="42" t="s">
        <v>88</v>
      </c>
      <c r="D12" s="42" t="s">
        <v>16</v>
      </c>
      <c r="E12" s="42" t="s">
        <v>2419</v>
      </c>
      <c r="F12" s="42">
        <v>24619</v>
      </c>
      <c r="G12" s="42"/>
      <c r="H12" s="42">
        <v>15000</v>
      </c>
      <c r="I12" s="42">
        <v>300</v>
      </c>
      <c r="J12" s="42">
        <v>0</v>
      </c>
      <c r="K12" s="43">
        <f t="shared" ref="K12" si="0">I12*J12</f>
        <v>0</v>
      </c>
      <c r="L12" s="43">
        <f t="shared" ref="L12" si="1">H12-K12</f>
        <v>15000</v>
      </c>
      <c r="M12" s="43"/>
      <c r="N12" s="43">
        <f t="shared" ref="N12" si="2">L12-M12</f>
        <v>15000</v>
      </c>
      <c r="O12" s="43">
        <v>0</v>
      </c>
      <c r="P12" s="42">
        <v>5000</v>
      </c>
      <c r="Q12" s="42">
        <v>20.9</v>
      </c>
      <c r="R12" s="42">
        <f t="shared" ref="R12" si="3">L12*Q12</f>
        <v>313500</v>
      </c>
      <c r="S12" s="62"/>
      <c r="T12" s="62"/>
      <c r="U12" s="62"/>
      <c r="V12" s="62"/>
      <c r="W12" s="62"/>
    </row>
    <row r="13" spans="1:23">
      <c r="A13" s="63"/>
      <c r="B13" s="67"/>
      <c r="C13" s="67"/>
      <c r="D13" s="67"/>
      <c r="E13" s="67"/>
      <c r="F13" s="67"/>
      <c r="G13" s="67"/>
      <c r="H13" s="67"/>
      <c r="I13" s="67"/>
      <c r="J13" s="67"/>
      <c r="K13" s="68"/>
      <c r="L13" s="68"/>
      <c r="M13" s="68"/>
      <c r="N13" s="68"/>
      <c r="O13" s="68"/>
      <c r="P13" s="67"/>
      <c r="Q13" s="62"/>
      <c r="R13" s="62"/>
      <c r="S13" s="62"/>
      <c r="T13" s="62"/>
      <c r="U13" s="62"/>
      <c r="V13" s="62"/>
      <c r="W13" s="62"/>
    </row>
    <row r="14" spans="1:23">
      <c r="A14" s="63" t="s">
        <v>2583</v>
      </c>
      <c r="B14" s="42" t="s">
        <v>2577</v>
      </c>
      <c r="C14" s="42" t="s">
        <v>88</v>
      </c>
      <c r="D14" s="42" t="s">
        <v>16</v>
      </c>
      <c r="E14" s="42" t="s">
        <v>2585</v>
      </c>
      <c r="F14" s="42">
        <v>24622</v>
      </c>
      <c r="G14" s="42"/>
      <c r="H14" s="42">
        <v>10000</v>
      </c>
      <c r="I14" s="42">
        <v>200</v>
      </c>
      <c r="J14" s="42"/>
      <c r="K14" s="43">
        <f t="shared" ref="K14" si="4">I14*J14</f>
        <v>0</v>
      </c>
      <c r="L14" s="43">
        <f t="shared" ref="L14" si="5">H14-K14</f>
        <v>10000</v>
      </c>
      <c r="M14" s="43"/>
      <c r="N14" s="43">
        <f t="shared" ref="N14" si="6">L14-M14</f>
        <v>10000</v>
      </c>
      <c r="O14" s="43">
        <v>0</v>
      </c>
      <c r="P14" s="42">
        <v>4000</v>
      </c>
      <c r="Q14" s="42">
        <v>21.1</v>
      </c>
      <c r="R14" s="42">
        <f t="shared" ref="R14" si="7">L14*Q14</f>
        <v>211000</v>
      </c>
      <c r="S14" s="62"/>
      <c r="T14" s="62"/>
      <c r="U14" s="62"/>
      <c r="V14" s="62"/>
      <c r="W14" s="62"/>
    </row>
    <row r="15" spans="1:23">
      <c r="A15" s="63"/>
      <c r="B15" s="67"/>
      <c r="C15" s="67"/>
      <c r="D15" s="67"/>
      <c r="E15" s="67"/>
      <c r="F15" s="67"/>
      <c r="G15" s="67"/>
      <c r="H15" s="67"/>
      <c r="I15" s="67"/>
      <c r="J15" s="67"/>
      <c r="K15" s="68"/>
      <c r="L15" s="68"/>
      <c r="M15" s="68"/>
      <c r="N15" s="68"/>
      <c r="O15" s="68"/>
      <c r="P15" s="67"/>
      <c r="Q15" s="62"/>
      <c r="R15" s="62"/>
      <c r="S15" s="62"/>
      <c r="T15" s="62"/>
      <c r="U15" s="62"/>
      <c r="V15" s="62"/>
      <c r="W15" s="62"/>
    </row>
    <row r="16" spans="1:23">
      <c r="A16" s="63" t="s">
        <v>3452</v>
      </c>
      <c r="B16" s="42" t="s">
        <v>2577</v>
      </c>
      <c r="C16" s="42" t="s">
        <v>88</v>
      </c>
      <c r="D16" s="42" t="s">
        <v>16</v>
      </c>
      <c r="E16" s="47" t="s">
        <v>3451</v>
      </c>
      <c r="F16" s="47">
        <v>25388</v>
      </c>
      <c r="G16" s="47"/>
      <c r="H16" s="47">
        <v>14890</v>
      </c>
      <c r="I16" s="47">
        <v>260</v>
      </c>
      <c r="J16" s="47">
        <v>0.5</v>
      </c>
      <c r="K16" s="43">
        <f t="shared" ref="K16" si="8">I16*J16</f>
        <v>130</v>
      </c>
      <c r="L16" s="43">
        <f t="shared" ref="L16" si="9">H16-K16</f>
        <v>14760</v>
      </c>
      <c r="M16" s="43"/>
      <c r="N16" s="43">
        <f t="shared" ref="N16" si="10">L16-M16</f>
        <v>14760</v>
      </c>
      <c r="O16" s="43">
        <f t="shared" ref="O16" si="11">H16/1000*70</f>
        <v>1042.3</v>
      </c>
      <c r="P16" s="42">
        <v>23500</v>
      </c>
      <c r="Q16" s="42">
        <v>20</v>
      </c>
      <c r="R16" s="42">
        <f t="shared" ref="R16" si="12">L16*Q16</f>
        <v>295200</v>
      </c>
      <c r="S16" s="62"/>
      <c r="T16" s="62"/>
      <c r="U16" s="62"/>
      <c r="V16" s="62"/>
      <c r="W16" s="62"/>
    </row>
    <row r="17" spans="1:23">
      <c r="A17" s="63"/>
      <c r="B17" s="67"/>
      <c r="C17" s="67"/>
      <c r="D17" s="67"/>
      <c r="E17" s="67"/>
      <c r="F17" s="67"/>
      <c r="G17" s="67"/>
      <c r="H17" s="67"/>
      <c r="I17" s="67"/>
      <c r="J17" s="67"/>
      <c r="K17" s="68"/>
      <c r="L17" s="68"/>
      <c r="M17" s="68"/>
      <c r="N17" s="68"/>
      <c r="O17" s="68"/>
      <c r="P17" s="67"/>
      <c r="Q17" s="62"/>
      <c r="R17" s="62"/>
      <c r="S17" s="62"/>
      <c r="T17" s="62"/>
      <c r="U17" s="62"/>
      <c r="V17" s="62"/>
      <c r="W17" s="62"/>
    </row>
    <row r="18" spans="1:23">
      <c r="A18" s="63"/>
      <c r="B18" s="67"/>
      <c r="C18" s="67"/>
      <c r="D18" s="67"/>
      <c r="E18" s="67"/>
      <c r="F18" s="67"/>
      <c r="G18" s="67"/>
      <c r="H18" s="67"/>
      <c r="I18" s="67"/>
      <c r="J18" s="67"/>
      <c r="K18" s="68"/>
      <c r="L18" s="68"/>
      <c r="M18" s="68"/>
      <c r="N18" s="68"/>
      <c r="O18" s="68"/>
      <c r="P18" s="67"/>
      <c r="Q18" s="62"/>
      <c r="R18" s="62"/>
      <c r="S18" s="62"/>
      <c r="T18" s="62"/>
      <c r="U18" s="62"/>
      <c r="V18" s="62"/>
      <c r="W18" s="62"/>
    </row>
    <row r="19" spans="1:23">
      <c r="A19" s="63"/>
      <c r="B19" s="67"/>
      <c r="C19" s="67"/>
      <c r="D19" s="67"/>
      <c r="E19" s="67"/>
      <c r="F19" s="67"/>
      <c r="G19" s="67"/>
      <c r="H19" s="67"/>
      <c r="I19" s="67"/>
      <c r="J19" s="67"/>
      <c r="K19" s="68"/>
      <c r="L19" s="68"/>
      <c r="M19" s="68"/>
      <c r="N19" s="68"/>
      <c r="O19" s="68"/>
      <c r="P19" s="67"/>
      <c r="Q19" s="62"/>
      <c r="R19" s="62"/>
      <c r="S19" s="62"/>
      <c r="T19" s="62"/>
      <c r="U19" s="62"/>
      <c r="V19" s="62"/>
      <c r="W19" s="62"/>
    </row>
    <row r="20" spans="1:23">
      <c r="A20" s="63"/>
      <c r="B20" s="67"/>
      <c r="C20" s="67"/>
      <c r="D20" s="67"/>
      <c r="E20" s="67"/>
      <c r="F20" s="67"/>
      <c r="G20" s="67"/>
      <c r="H20" s="67"/>
      <c r="I20" s="67"/>
      <c r="J20" s="67"/>
      <c r="K20" s="68"/>
      <c r="L20" s="68"/>
      <c r="M20" s="68"/>
      <c r="N20" s="68"/>
      <c r="O20" s="68"/>
      <c r="P20" s="67"/>
      <c r="Q20" s="62"/>
      <c r="R20" s="62"/>
      <c r="S20" s="62"/>
      <c r="T20" s="62"/>
      <c r="U20" s="62"/>
      <c r="V20" s="62"/>
      <c r="W20" s="62"/>
    </row>
    <row r="21" spans="1:23">
      <c r="A21" s="63"/>
      <c r="B21" s="67"/>
      <c r="C21" s="67"/>
      <c r="D21" s="67"/>
      <c r="E21" s="67"/>
      <c r="F21" s="67"/>
      <c r="G21" s="67"/>
      <c r="H21" s="67"/>
      <c r="I21" s="67"/>
      <c r="J21" s="67"/>
      <c r="K21" s="68"/>
      <c r="L21" s="68"/>
      <c r="M21" s="68"/>
      <c r="N21" s="68"/>
      <c r="O21" s="68"/>
      <c r="P21" s="67"/>
      <c r="Q21" s="62"/>
      <c r="R21" s="62"/>
      <c r="S21" s="62"/>
      <c r="T21" s="62"/>
      <c r="U21" s="62"/>
      <c r="V21" s="62"/>
      <c r="W21" s="62"/>
    </row>
    <row r="22" spans="1:23">
      <c r="A22" s="63"/>
      <c r="B22" s="67"/>
      <c r="C22" s="67"/>
      <c r="D22" s="67"/>
      <c r="E22" s="67"/>
      <c r="F22" s="67"/>
      <c r="G22" s="67"/>
      <c r="H22" s="67"/>
      <c r="I22" s="67"/>
      <c r="J22" s="67"/>
      <c r="K22" s="68"/>
      <c r="L22" s="68"/>
      <c r="M22" s="68"/>
      <c r="N22" s="68"/>
      <c r="O22" s="68"/>
      <c r="P22" s="67"/>
      <c r="Q22" s="62"/>
      <c r="R22" s="62"/>
      <c r="S22" s="62"/>
      <c r="T22" s="62"/>
      <c r="U22" s="62"/>
      <c r="V22" s="62"/>
      <c r="W22" s="62"/>
    </row>
    <row r="23" spans="1:23">
      <c r="A23" s="63"/>
      <c r="B23" s="67"/>
      <c r="C23" s="67"/>
      <c r="D23" s="67"/>
      <c r="E23" s="67"/>
      <c r="F23" s="67"/>
      <c r="G23" s="67"/>
      <c r="H23" s="67"/>
      <c r="I23" s="67"/>
      <c r="J23" s="67"/>
      <c r="K23" s="68"/>
      <c r="L23" s="68"/>
      <c r="M23" s="68"/>
      <c r="N23" s="68"/>
      <c r="O23" s="68"/>
      <c r="P23" s="149"/>
      <c r="Q23" s="62"/>
      <c r="R23" s="62"/>
      <c r="S23" s="62"/>
      <c r="T23" s="62"/>
      <c r="U23" s="62"/>
      <c r="V23" s="62"/>
      <c r="W23" s="62"/>
    </row>
    <row r="24" spans="1:23">
      <c r="A24" s="63"/>
      <c r="B24" s="67"/>
      <c r="C24" s="67"/>
      <c r="D24" s="67"/>
      <c r="E24" s="67"/>
      <c r="F24" s="67"/>
      <c r="G24" s="67"/>
      <c r="H24" s="67"/>
      <c r="I24" s="67"/>
      <c r="J24" s="67"/>
      <c r="K24" s="68"/>
      <c r="L24" s="68"/>
      <c r="M24" s="68"/>
      <c r="N24" s="68"/>
      <c r="O24" s="68"/>
      <c r="P24" s="149"/>
      <c r="Q24" s="62"/>
      <c r="R24" s="62"/>
      <c r="S24" s="62"/>
      <c r="T24" s="62"/>
      <c r="U24" s="62"/>
      <c r="V24" s="62"/>
      <c r="W24" s="62"/>
    </row>
    <row r="25" spans="1:23">
      <c r="A25" s="63"/>
      <c r="B25" s="67"/>
      <c r="C25" s="67"/>
      <c r="D25" s="67"/>
      <c r="E25" s="67"/>
      <c r="F25" s="67"/>
      <c r="G25" s="67"/>
      <c r="H25" s="67"/>
      <c r="I25" s="67"/>
      <c r="J25" s="67"/>
      <c r="K25" s="68"/>
      <c r="L25" s="68"/>
      <c r="M25" s="68"/>
      <c r="N25" s="68"/>
      <c r="O25" s="68"/>
      <c r="P25" s="149"/>
      <c r="Q25" s="62"/>
      <c r="R25" s="62"/>
      <c r="S25" s="62"/>
      <c r="T25" s="62"/>
      <c r="U25" s="62"/>
      <c r="V25" s="62"/>
      <c r="W25" s="62"/>
    </row>
    <row r="26" spans="1:23">
      <c r="A26" s="63"/>
      <c r="B26" s="67"/>
      <c r="C26" s="67"/>
      <c r="D26" s="67"/>
      <c r="E26" s="67"/>
      <c r="F26" s="67"/>
      <c r="G26" s="67"/>
      <c r="H26" s="67"/>
      <c r="I26" s="67"/>
      <c r="J26" s="67"/>
      <c r="K26" s="68"/>
      <c r="L26" s="68"/>
      <c r="M26" s="68"/>
      <c r="N26" s="68"/>
      <c r="O26" s="68"/>
      <c r="P26" s="149"/>
      <c r="Q26" s="62"/>
      <c r="R26" s="62"/>
      <c r="S26" s="62"/>
      <c r="T26" s="62"/>
      <c r="U26" s="62"/>
      <c r="V26" s="62"/>
      <c r="W26" s="62"/>
    </row>
    <row r="27" spans="1:23">
      <c r="A27" s="63"/>
      <c r="B27" s="67"/>
      <c r="C27" s="67"/>
      <c r="D27" s="67"/>
      <c r="E27" s="67"/>
      <c r="F27" s="67"/>
      <c r="G27" s="67"/>
      <c r="H27" s="67"/>
      <c r="I27" s="67"/>
      <c r="J27" s="67"/>
      <c r="K27" s="68"/>
      <c r="L27" s="68"/>
      <c r="M27" s="68"/>
      <c r="N27" s="68"/>
      <c r="O27" s="68"/>
      <c r="P27" s="149"/>
      <c r="Q27" s="62"/>
      <c r="R27" s="62"/>
      <c r="S27" s="62"/>
      <c r="T27" s="62"/>
      <c r="U27" s="62"/>
      <c r="V27" s="62"/>
      <c r="W27" s="62"/>
    </row>
    <row r="28" spans="1:23">
      <c r="A28" s="63"/>
      <c r="B28" s="67"/>
      <c r="C28" s="67"/>
      <c r="D28" s="67"/>
      <c r="E28" s="67"/>
      <c r="F28" s="67"/>
      <c r="G28" s="67"/>
      <c r="H28" s="67"/>
      <c r="I28" s="67"/>
      <c r="J28" s="67"/>
      <c r="K28" s="68"/>
      <c r="L28" s="68"/>
      <c r="M28" s="68"/>
      <c r="N28" s="68"/>
      <c r="O28" s="68"/>
      <c r="P28" s="149"/>
      <c r="Q28" s="62"/>
      <c r="R28" s="62"/>
      <c r="S28" s="62"/>
      <c r="T28" s="62"/>
      <c r="U28" s="62"/>
      <c r="V28" s="62"/>
      <c r="W28" s="62"/>
    </row>
    <row r="29" spans="1:23">
      <c r="A29" s="63"/>
      <c r="B29" s="67"/>
      <c r="C29" s="67"/>
      <c r="D29" s="67"/>
      <c r="E29" s="67"/>
      <c r="F29" s="67"/>
      <c r="G29" s="67"/>
      <c r="H29" s="67"/>
      <c r="I29" s="67"/>
      <c r="J29" s="67"/>
      <c r="K29" s="68"/>
      <c r="L29" s="68"/>
      <c r="M29" s="68"/>
      <c r="N29" s="68"/>
      <c r="O29" s="68"/>
      <c r="P29" s="67"/>
      <c r="Q29" s="67"/>
      <c r="R29" s="67"/>
      <c r="S29" s="62"/>
      <c r="T29" s="62"/>
      <c r="U29" s="62"/>
      <c r="V29" s="62"/>
      <c r="W29" s="62"/>
    </row>
    <row r="30" spans="1:23">
      <c r="A30" s="63"/>
      <c r="B30" s="67"/>
      <c r="C30" s="67"/>
      <c r="D30" s="67"/>
      <c r="E30" s="67"/>
      <c r="F30" s="67"/>
      <c r="G30" s="67"/>
      <c r="H30" s="67"/>
      <c r="I30" s="67"/>
      <c r="J30" s="67"/>
      <c r="K30" s="68"/>
      <c r="L30" s="68"/>
      <c r="M30" s="68"/>
      <c r="N30" s="68"/>
      <c r="O30" s="68"/>
      <c r="P30" s="67"/>
      <c r="Q30" s="67"/>
      <c r="R30" s="67"/>
      <c r="S30" s="62"/>
      <c r="T30" s="62"/>
      <c r="U30" s="62"/>
      <c r="V30" s="62"/>
      <c r="W30" s="62"/>
    </row>
    <row r="31" spans="1:23">
      <c r="A31" s="63"/>
      <c r="B31" s="67"/>
      <c r="C31" s="67"/>
      <c r="D31" s="67"/>
      <c r="E31" s="67"/>
      <c r="F31" s="67"/>
      <c r="G31" s="67"/>
      <c r="H31" s="67"/>
      <c r="I31" s="67"/>
      <c r="J31" s="67"/>
      <c r="K31" s="68"/>
      <c r="L31" s="68"/>
      <c r="M31" s="68"/>
      <c r="N31" s="68"/>
      <c r="O31" s="68"/>
      <c r="P31" s="67"/>
      <c r="Q31" s="67"/>
      <c r="R31" s="67"/>
      <c r="S31" s="62"/>
      <c r="T31" s="62"/>
      <c r="U31" s="62"/>
      <c r="V31" s="62"/>
      <c r="W31" s="62"/>
    </row>
    <row r="32" spans="1:23">
      <c r="A32" s="63"/>
      <c r="B32" s="67"/>
      <c r="C32" s="67"/>
      <c r="D32" s="67"/>
      <c r="E32" s="67"/>
      <c r="F32" s="67"/>
      <c r="G32" s="67"/>
      <c r="H32" s="67"/>
      <c r="I32" s="67"/>
      <c r="J32" s="67"/>
      <c r="K32" s="68"/>
      <c r="L32" s="68"/>
      <c r="M32" s="68"/>
      <c r="N32" s="68"/>
      <c r="O32" s="68"/>
      <c r="P32" s="67"/>
      <c r="Q32" s="67"/>
      <c r="R32" s="67"/>
      <c r="S32" s="62"/>
      <c r="T32" s="62"/>
      <c r="U32" s="62"/>
      <c r="V32" s="62"/>
      <c r="W32" s="62"/>
    </row>
    <row r="33" spans="1:23">
      <c r="A33" s="63"/>
      <c r="B33" s="67"/>
      <c r="C33" s="67"/>
      <c r="D33" s="67"/>
      <c r="E33" s="67"/>
      <c r="F33" s="67"/>
      <c r="G33" s="67"/>
      <c r="H33" s="67"/>
      <c r="I33" s="67"/>
      <c r="J33" s="67"/>
      <c r="K33" s="68"/>
      <c r="L33" s="68"/>
      <c r="M33" s="68"/>
      <c r="N33" s="68"/>
      <c r="O33" s="68"/>
      <c r="P33" s="67"/>
      <c r="Q33" s="67"/>
      <c r="R33" s="67"/>
      <c r="S33" s="62"/>
      <c r="T33" s="62"/>
      <c r="U33" s="62"/>
      <c r="V33" s="62"/>
      <c r="W33" s="62"/>
    </row>
    <row r="34" spans="1:23">
      <c r="A34" s="63"/>
      <c r="B34" s="67"/>
      <c r="C34" s="67"/>
      <c r="D34" s="67"/>
      <c r="E34" s="67"/>
      <c r="F34" s="67"/>
      <c r="G34" s="67"/>
      <c r="H34" s="67"/>
      <c r="I34" s="67"/>
      <c r="J34" s="67"/>
      <c r="K34" s="68"/>
      <c r="L34" s="68"/>
      <c r="M34" s="68"/>
      <c r="N34" s="68"/>
      <c r="O34" s="68"/>
      <c r="P34" s="67"/>
      <c r="Q34" s="67"/>
      <c r="R34" s="67"/>
      <c r="S34" s="62"/>
      <c r="T34" s="62"/>
      <c r="U34" s="62"/>
      <c r="V34" s="62"/>
      <c r="W34" s="62"/>
    </row>
    <row r="35" spans="1:23">
      <c r="A35" s="63"/>
      <c r="B35" s="67"/>
      <c r="C35" s="67"/>
      <c r="D35" s="67"/>
      <c r="E35" s="67"/>
      <c r="F35" s="67"/>
      <c r="G35" s="67"/>
      <c r="H35" s="67"/>
      <c r="I35" s="67"/>
      <c r="J35" s="67"/>
      <c r="K35" s="68"/>
      <c r="L35" s="68"/>
      <c r="M35" s="68"/>
      <c r="N35" s="68"/>
      <c r="O35" s="68"/>
      <c r="P35" s="67"/>
      <c r="Q35" s="67"/>
      <c r="R35" s="67"/>
      <c r="S35" s="62"/>
      <c r="T35" s="62"/>
      <c r="U35" s="62"/>
      <c r="V35" s="62"/>
      <c r="W35" s="62"/>
    </row>
    <row r="36" spans="1:23">
      <c r="A36" s="63"/>
      <c r="B36" s="67"/>
      <c r="C36" s="67"/>
      <c r="D36" s="67"/>
      <c r="E36" s="67"/>
      <c r="F36" s="67"/>
      <c r="G36" s="67"/>
      <c r="H36" s="67"/>
      <c r="I36" s="67"/>
      <c r="J36" s="67"/>
      <c r="K36" s="68"/>
      <c r="L36" s="68"/>
      <c r="M36" s="68"/>
      <c r="N36" s="68"/>
      <c r="O36" s="68"/>
      <c r="P36" s="149"/>
      <c r="Q36" s="67"/>
      <c r="R36" s="67"/>
      <c r="S36" s="62"/>
      <c r="T36" s="62"/>
      <c r="U36" s="62"/>
      <c r="V36" s="62"/>
      <c r="W36" s="62"/>
    </row>
    <row r="37" spans="1:23">
      <c r="A37" s="63"/>
      <c r="B37" s="67"/>
      <c r="C37" s="67"/>
      <c r="D37" s="67"/>
      <c r="E37" s="67"/>
      <c r="F37" s="67"/>
      <c r="G37" s="67"/>
      <c r="H37" s="67"/>
      <c r="I37" s="67"/>
      <c r="J37" s="67"/>
      <c r="K37" s="67"/>
      <c r="L37" s="68"/>
      <c r="M37" s="68"/>
      <c r="N37" s="68"/>
      <c r="O37" s="68"/>
      <c r="P37" s="67"/>
      <c r="Q37" s="67"/>
      <c r="R37" s="67"/>
      <c r="S37" s="62"/>
      <c r="T37" s="62"/>
      <c r="U37" s="62"/>
      <c r="V37" s="62"/>
      <c r="W37" s="62"/>
    </row>
    <row r="38" spans="1:23">
      <c r="A38" s="63"/>
      <c r="B38" s="67"/>
      <c r="C38" s="67"/>
      <c r="D38" s="67"/>
      <c r="E38" s="67"/>
      <c r="F38" s="67"/>
      <c r="G38" s="67"/>
      <c r="H38" s="67"/>
      <c r="I38" s="67"/>
      <c r="J38" s="67"/>
      <c r="K38" s="67"/>
      <c r="L38" s="68"/>
      <c r="M38" s="68"/>
      <c r="N38" s="68"/>
      <c r="O38" s="68"/>
      <c r="P38" s="67"/>
      <c r="Q38" s="67"/>
      <c r="R38" s="67"/>
      <c r="S38" s="62"/>
      <c r="T38" s="62"/>
      <c r="U38" s="62"/>
      <c r="V38" s="62"/>
      <c r="W38" s="62"/>
    </row>
    <row r="39" spans="1:23">
      <c r="A39" s="63"/>
      <c r="B39" s="67"/>
      <c r="C39" s="67"/>
      <c r="D39" s="67"/>
      <c r="E39" s="67"/>
      <c r="F39" s="67"/>
      <c r="G39" s="67"/>
      <c r="H39" s="67"/>
      <c r="I39" s="67"/>
      <c r="J39" s="67"/>
      <c r="K39" s="67"/>
      <c r="L39" s="68"/>
      <c r="M39" s="68"/>
      <c r="N39" s="68"/>
      <c r="O39" s="68"/>
      <c r="P39" s="67"/>
      <c r="Q39" s="67"/>
      <c r="R39" s="67"/>
      <c r="S39" s="62"/>
      <c r="T39" s="62"/>
      <c r="U39" s="62"/>
      <c r="V39" s="62"/>
      <c r="W39" s="62"/>
    </row>
    <row r="40" spans="1:23">
      <c r="A40" s="63"/>
      <c r="B40" s="67"/>
      <c r="C40" s="67"/>
      <c r="D40" s="67"/>
      <c r="E40" s="67"/>
      <c r="F40" s="67"/>
      <c r="G40" s="67"/>
      <c r="H40" s="67"/>
      <c r="I40" s="67"/>
      <c r="J40" s="67"/>
      <c r="K40" s="67"/>
      <c r="L40" s="68"/>
      <c r="M40" s="68"/>
      <c r="N40" s="68"/>
      <c r="O40" s="68"/>
      <c r="P40" s="67"/>
      <c r="Q40" s="67"/>
      <c r="R40" s="67"/>
      <c r="S40" s="62"/>
      <c r="T40" s="62"/>
      <c r="U40" s="62"/>
      <c r="V40" s="62"/>
      <c r="W40" s="62"/>
    </row>
    <row r="41" spans="1:23">
      <c r="A41" s="63"/>
      <c r="B41" s="67"/>
      <c r="C41" s="67"/>
      <c r="D41" s="67"/>
      <c r="E41" s="67"/>
      <c r="F41" s="67"/>
      <c r="G41" s="67"/>
      <c r="H41" s="67"/>
      <c r="I41" s="67"/>
      <c r="J41" s="67"/>
      <c r="K41" s="67"/>
      <c r="L41" s="68"/>
      <c r="M41" s="68"/>
      <c r="N41" s="68"/>
      <c r="O41" s="68"/>
      <c r="P41" s="67"/>
      <c r="Q41" s="67"/>
      <c r="R41" s="67"/>
      <c r="S41" s="62"/>
      <c r="T41" s="62"/>
      <c r="U41" s="62"/>
      <c r="V41" s="62"/>
      <c r="W41" s="62"/>
    </row>
    <row r="42" spans="1:23">
      <c r="A42" s="63"/>
      <c r="B42" s="67"/>
      <c r="C42" s="67"/>
      <c r="D42" s="67"/>
      <c r="E42" s="67"/>
      <c r="F42" s="67"/>
      <c r="G42" s="67"/>
      <c r="H42" s="67"/>
      <c r="I42" s="67"/>
      <c r="J42" s="67"/>
      <c r="K42" s="67"/>
      <c r="L42" s="68"/>
      <c r="M42" s="68"/>
      <c r="N42" s="68"/>
      <c r="O42" s="68"/>
      <c r="P42" s="67"/>
      <c r="Q42" s="67"/>
      <c r="R42" s="67"/>
      <c r="S42" s="62"/>
      <c r="T42" s="62"/>
      <c r="U42" s="62"/>
      <c r="V42" s="62"/>
      <c r="W42" s="62"/>
    </row>
    <row r="43" spans="1:23">
      <c r="A43" s="63"/>
      <c r="B43" s="67"/>
      <c r="C43" s="67"/>
      <c r="D43" s="67"/>
      <c r="E43" s="67"/>
      <c r="F43" s="67"/>
      <c r="G43" s="67"/>
      <c r="H43" s="67"/>
      <c r="I43" s="67"/>
      <c r="J43" s="67"/>
      <c r="K43" s="67"/>
      <c r="L43" s="68"/>
      <c r="M43" s="68"/>
      <c r="N43" s="68"/>
      <c r="O43" s="68"/>
      <c r="P43" s="67"/>
      <c r="Q43" s="67"/>
      <c r="R43" s="67"/>
      <c r="S43" s="62"/>
      <c r="T43" s="62"/>
      <c r="U43" s="62"/>
      <c r="V43" s="62"/>
      <c r="W43" s="62"/>
    </row>
    <row r="44" spans="1:23">
      <c r="A44" s="62"/>
      <c r="B44" s="67"/>
      <c r="C44" s="67"/>
      <c r="D44" s="67"/>
      <c r="E44" s="67"/>
      <c r="F44" s="67"/>
      <c r="G44" s="67"/>
      <c r="H44" s="67"/>
      <c r="I44" s="67"/>
      <c r="J44" s="67"/>
      <c r="K44" s="67"/>
      <c r="L44" s="68"/>
      <c r="M44" s="68"/>
      <c r="N44" s="68"/>
      <c r="O44" s="68"/>
      <c r="P44" s="67"/>
      <c r="Q44" s="67"/>
      <c r="R44" s="67"/>
      <c r="S44" s="62"/>
      <c r="T44" s="62"/>
      <c r="U44" s="62"/>
      <c r="V44" s="62"/>
      <c r="W44" s="62"/>
    </row>
    <row r="45" spans="1:23">
      <c r="A45" s="63"/>
      <c r="B45" s="67"/>
      <c r="C45" s="67"/>
      <c r="D45" s="67"/>
      <c r="E45" s="67"/>
      <c r="F45" s="67"/>
      <c r="G45" s="67"/>
      <c r="H45" s="67"/>
      <c r="I45" s="67"/>
      <c r="J45" s="67"/>
      <c r="K45" s="67"/>
      <c r="L45" s="68"/>
      <c r="M45" s="68"/>
      <c r="N45" s="68"/>
      <c r="O45" s="68"/>
      <c r="P45" s="67"/>
      <c r="Q45" s="67"/>
      <c r="R45" s="67"/>
      <c r="S45" s="62"/>
      <c r="T45" s="62"/>
      <c r="U45" s="62"/>
      <c r="V45" s="62"/>
      <c r="W45" s="62"/>
    </row>
    <row r="46" spans="1:23">
      <c r="A46" s="63"/>
      <c r="B46" s="67"/>
      <c r="C46" s="67"/>
      <c r="D46" s="67"/>
      <c r="E46" s="67"/>
      <c r="F46" s="67"/>
      <c r="G46" s="67"/>
      <c r="H46" s="67"/>
      <c r="I46" s="67"/>
      <c r="J46" s="67"/>
      <c r="K46" s="67"/>
      <c r="L46" s="68"/>
      <c r="M46" s="68"/>
      <c r="N46" s="68"/>
      <c r="O46" s="68"/>
      <c r="P46" s="67"/>
      <c r="Q46" s="67"/>
      <c r="R46" s="67"/>
      <c r="S46" s="62"/>
      <c r="T46" s="62"/>
      <c r="U46" s="62"/>
      <c r="V46" s="62"/>
      <c r="W46" s="62"/>
    </row>
    <row r="47" spans="1:23">
      <c r="A47" s="63"/>
      <c r="B47" s="67"/>
      <c r="C47" s="67"/>
      <c r="D47" s="67"/>
      <c r="E47" s="67"/>
      <c r="F47" s="67"/>
      <c r="G47" s="67"/>
      <c r="H47" s="67"/>
      <c r="I47" s="67"/>
      <c r="J47" s="67"/>
      <c r="K47" s="67"/>
      <c r="L47" s="68"/>
      <c r="M47" s="68"/>
      <c r="N47" s="68"/>
      <c r="O47" s="68"/>
      <c r="P47" s="67"/>
      <c r="Q47" s="67"/>
      <c r="R47" s="67"/>
      <c r="S47" s="62"/>
      <c r="T47" s="62"/>
      <c r="U47" s="62"/>
      <c r="V47" s="62"/>
      <c r="W47" s="62"/>
    </row>
    <row r="48" spans="1:23">
      <c r="A48" s="63"/>
      <c r="B48" s="67"/>
      <c r="C48" s="67"/>
      <c r="D48" s="67"/>
      <c r="E48" s="67"/>
      <c r="F48" s="67"/>
      <c r="G48" s="67"/>
      <c r="H48" s="67"/>
      <c r="I48" s="67"/>
      <c r="J48" s="67"/>
      <c r="K48" s="67"/>
      <c r="L48" s="68"/>
      <c r="M48" s="68"/>
      <c r="N48" s="68"/>
      <c r="O48" s="68"/>
      <c r="P48" s="67"/>
      <c r="Q48" s="67"/>
      <c r="R48" s="67"/>
      <c r="S48" s="62"/>
      <c r="T48" s="62"/>
      <c r="U48" s="62"/>
      <c r="V48" s="62"/>
      <c r="W48" s="62"/>
    </row>
    <row r="49" spans="1:23">
      <c r="A49" s="63"/>
      <c r="B49" s="67"/>
      <c r="C49" s="67"/>
      <c r="D49" s="67"/>
      <c r="E49" s="67"/>
      <c r="F49" s="67"/>
      <c r="G49" s="67"/>
      <c r="H49" s="67"/>
      <c r="I49" s="67"/>
      <c r="J49" s="67"/>
      <c r="K49" s="67"/>
      <c r="L49" s="68"/>
      <c r="M49" s="68"/>
      <c r="N49" s="68"/>
      <c r="O49" s="68"/>
      <c r="P49" s="67"/>
      <c r="Q49" s="67"/>
      <c r="R49" s="67"/>
      <c r="S49" s="62"/>
      <c r="T49" s="62"/>
      <c r="U49" s="62"/>
      <c r="V49" s="62"/>
      <c r="W49" s="62"/>
    </row>
    <row r="50" spans="1:23">
      <c r="A50" s="63"/>
      <c r="B50" s="67"/>
      <c r="C50" s="67"/>
      <c r="D50" s="67"/>
      <c r="E50" s="67"/>
      <c r="F50" s="67"/>
      <c r="G50" s="67"/>
      <c r="H50" s="67"/>
      <c r="I50" s="67"/>
      <c r="J50" s="67"/>
      <c r="K50" s="67"/>
      <c r="L50" s="68"/>
      <c r="M50" s="68"/>
      <c r="N50" s="68"/>
      <c r="O50" s="68"/>
      <c r="P50" s="67"/>
      <c r="Q50" s="67"/>
      <c r="R50" s="67"/>
      <c r="S50" s="62"/>
      <c r="T50" s="62"/>
      <c r="U50" s="62"/>
      <c r="V50" s="62"/>
      <c r="W50" s="62"/>
    </row>
    <row r="51" spans="1:23">
      <c r="A51" s="63"/>
      <c r="B51" s="67"/>
      <c r="C51" s="67"/>
      <c r="D51" s="67"/>
      <c r="E51" s="67"/>
      <c r="F51" s="67"/>
      <c r="G51" s="67"/>
      <c r="H51" s="67"/>
      <c r="I51" s="67"/>
      <c r="J51" s="67"/>
      <c r="K51" s="67"/>
      <c r="L51" s="68"/>
      <c r="M51" s="68"/>
      <c r="N51" s="68"/>
      <c r="O51" s="68"/>
      <c r="P51" s="67"/>
      <c r="Q51" s="67"/>
      <c r="R51" s="67"/>
      <c r="S51" s="62"/>
      <c r="T51" s="62"/>
      <c r="U51" s="62"/>
      <c r="V51" s="62"/>
      <c r="W51" s="62"/>
    </row>
    <row r="52" spans="1:23">
      <c r="A52" s="63"/>
      <c r="B52" s="67"/>
      <c r="C52" s="67"/>
      <c r="D52" s="67"/>
      <c r="E52" s="67"/>
      <c r="F52" s="67"/>
      <c r="G52" s="67"/>
      <c r="H52" s="67"/>
      <c r="I52" s="67"/>
      <c r="J52" s="67"/>
      <c r="K52" s="67"/>
      <c r="L52" s="68"/>
      <c r="M52" s="68"/>
      <c r="N52" s="68"/>
      <c r="O52" s="68"/>
      <c r="P52" s="67"/>
      <c r="Q52" s="67"/>
      <c r="R52" s="67"/>
      <c r="S52" s="62"/>
      <c r="T52" s="62"/>
      <c r="U52" s="62"/>
      <c r="V52" s="62"/>
      <c r="W52" s="62"/>
    </row>
    <row r="53" spans="1:23">
      <c r="A53" s="63"/>
      <c r="B53" s="67"/>
      <c r="C53" s="67"/>
      <c r="D53" s="67"/>
      <c r="E53" s="67"/>
      <c r="F53" s="67"/>
      <c r="G53" s="67"/>
      <c r="H53" s="67"/>
      <c r="I53" s="67"/>
      <c r="J53" s="67"/>
      <c r="K53" s="67"/>
      <c r="L53" s="68"/>
      <c r="M53" s="68"/>
      <c r="N53" s="68"/>
      <c r="O53" s="68"/>
      <c r="P53" s="67"/>
      <c r="Q53" s="67"/>
      <c r="R53" s="67"/>
      <c r="S53" s="62"/>
      <c r="T53" s="62"/>
      <c r="U53" s="62"/>
      <c r="V53" s="62"/>
      <c r="W53" s="62"/>
    </row>
    <row r="54" spans="1:23">
      <c r="A54" s="62"/>
      <c r="B54" s="67"/>
      <c r="C54" s="67"/>
      <c r="D54" s="67"/>
      <c r="E54" s="67"/>
      <c r="F54" s="67"/>
      <c r="G54" s="67"/>
      <c r="H54" s="67"/>
      <c r="I54" s="67"/>
      <c r="J54" s="67"/>
      <c r="K54" s="67"/>
      <c r="L54" s="68"/>
      <c r="M54" s="68"/>
      <c r="N54" s="68"/>
      <c r="O54" s="68"/>
      <c r="P54" s="67"/>
      <c r="Q54" s="67"/>
      <c r="R54" s="67"/>
      <c r="S54" s="62"/>
      <c r="T54" s="62"/>
      <c r="U54" s="62"/>
      <c r="V54" s="62"/>
      <c r="W54" s="62"/>
    </row>
    <row r="55" spans="1:23">
      <c r="A55" s="63"/>
      <c r="B55" s="142"/>
      <c r="C55" s="142"/>
      <c r="D55" s="67"/>
      <c r="E55" s="67"/>
      <c r="F55" s="67"/>
      <c r="G55" s="67"/>
      <c r="H55" s="67"/>
      <c r="I55" s="67"/>
      <c r="J55" s="67"/>
      <c r="K55" s="67"/>
      <c r="L55" s="68"/>
      <c r="M55" s="68"/>
      <c r="N55" s="68"/>
      <c r="O55" s="68"/>
      <c r="P55" s="67"/>
      <c r="Q55" s="67"/>
      <c r="R55" s="67"/>
      <c r="S55" s="62"/>
      <c r="T55" s="62"/>
      <c r="U55" s="62"/>
      <c r="V55" s="62"/>
      <c r="W55" s="62"/>
    </row>
    <row r="56" spans="1:23">
      <c r="A56" s="63"/>
      <c r="B56" s="142"/>
      <c r="C56" s="142"/>
      <c r="D56" s="67"/>
      <c r="E56" s="67"/>
      <c r="F56" s="67"/>
      <c r="G56" s="67"/>
      <c r="H56" s="67"/>
      <c r="I56" s="67"/>
      <c r="J56" s="67"/>
      <c r="K56" s="67"/>
      <c r="L56" s="68"/>
      <c r="M56" s="68"/>
      <c r="N56" s="68"/>
      <c r="O56" s="68"/>
      <c r="P56" s="67"/>
      <c r="Q56" s="67"/>
      <c r="R56" s="67"/>
      <c r="S56" s="62"/>
      <c r="T56" s="62"/>
      <c r="U56" s="62"/>
      <c r="V56" s="62"/>
      <c r="W56" s="62"/>
    </row>
    <row r="57" spans="1:23">
      <c r="A57" s="63"/>
      <c r="B57" s="142"/>
      <c r="C57" s="142"/>
      <c r="D57" s="67"/>
      <c r="E57" s="67"/>
      <c r="F57" s="67"/>
      <c r="G57" s="67"/>
      <c r="H57" s="67"/>
      <c r="I57" s="67"/>
      <c r="J57" s="67"/>
      <c r="K57" s="67"/>
      <c r="L57" s="68"/>
      <c r="M57" s="68"/>
      <c r="N57" s="68"/>
      <c r="O57" s="68"/>
      <c r="P57" s="67"/>
      <c r="Q57" s="67"/>
      <c r="R57" s="67"/>
      <c r="S57" s="62"/>
      <c r="T57" s="62"/>
      <c r="U57" s="62"/>
      <c r="V57" s="62"/>
      <c r="W57" s="62"/>
    </row>
    <row r="58" spans="1:23">
      <c r="A58" s="63"/>
      <c r="B58" s="142"/>
      <c r="C58" s="142"/>
      <c r="D58" s="67"/>
      <c r="E58" s="67"/>
      <c r="F58" s="67"/>
      <c r="G58" s="67"/>
      <c r="H58" s="67"/>
      <c r="I58" s="67"/>
      <c r="J58" s="67"/>
      <c r="K58" s="67"/>
      <c r="L58" s="68"/>
      <c r="M58" s="68"/>
      <c r="N58" s="68"/>
      <c r="O58" s="68"/>
      <c r="P58" s="67"/>
      <c r="Q58" s="67"/>
      <c r="R58" s="67"/>
      <c r="S58" s="62"/>
      <c r="T58" s="62"/>
      <c r="U58" s="62"/>
      <c r="V58" s="62"/>
      <c r="W58" s="62"/>
    </row>
    <row r="59" spans="1:23">
      <c r="A59" s="63"/>
      <c r="B59" s="142"/>
      <c r="C59" s="142"/>
      <c r="D59" s="67"/>
      <c r="E59" s="67"/>
      <c r="F59" s="67"/>
      <c r="G59" s="67"/>
      <c r="H59" s="67"/>
      <c r="I59" s="67"/>
      <c r="J59" s="67"/>
      <c r="K59" s="67"/>
      <c r="L59" s="68"/>
      <c r="M59" s="68"/>
      <c r="N59" s="68"/>
      <c r="O59" s="68"/>
      <c r="P59" s="67"/>
      <c r="Q59" s="67"/>
      <c r="R59" s="67"/>
      <c r="S59" s="62"/>
      <c r="T59" s="62"/>
      <c r="U59" s="62"/>
      <c r="V59" s="62"/>
      <c r="W59" s="62"/>
    </row>
    <row r="60" spans="1:23">
      <c r="A60" s="63"/>
      <c r="B60" s="142"/>
      <c r="C60" s="142"/>
      <c r="D60" s="67"/>
      <c r="E60" s="67"/>
      <c r="F60" s="67"/>
      <c r="G60" s="67"/>
      <c r="H60" s="67"/>
      <c r="I60" s="67"/>
      <c r="J60" s="67"/>
      <c r="K60" s="67"/>
      <c r="L60" s="68"/>
      <c r="M60" s="68"/>
      <c r="N60" s="68"/>
      <c r="O60" s="68"/>
      <c r="P60" s="67"/>
      <c r="Q60" s="67"/>
      <c r="R60" s="67"/>
      <c r="S60" s="62"/>
      <c r="T60" s="62"/>
      <c r="U60" s="62"/>
      <c r="V60" s="62"/>
      <c r="W60" s="62"/>
    </row>
    <row r="61" spans="1:23">
      <c r="A61" s="63"/>
      <c r="B61" s="142"/>
      <c r="C61" s="142"/>
      <c r="D61" s="67"/>
      <c r="E61" s="67"/>
      <c r="F61" s="67"/>
      <c r="G61" s="67"/>
      <c r="H61" s="67"/>
      <c r="I61" s="67"/>
      <c r="J61" s="67"/>
      <c r="K61" s="67"/>
      <c r="L61" s="68"/>
      <c r="M61" s="68"/>
      <c r="N61" s="68"/>
      <c r="O61" s="68"/>
      <c r="P61" s="67"/>
      <c r="Q61" s="67"/>
      <c r="R61" s="67"/>
      <c r="S61" s="62"/>
      <c r="T61" s="62"/>
      <c r="U61" s="62"/>
      <c r="V61" s="62"/>
      <c r="W61" s="62"/>
    </row>
    <row r="62" spans="1:23">
      <c r="A62" s="63"/>
      <c r="B62" s="142"/>
      <c r="C62" s="142"/>
      <c r="D62" s="67"/>
      <c r="E62" s="67"/>
      <c r="F62" s="67"/>
      <c r="G62" s="67"/>
      <c r="H62" s="67"/>
      <c r="I62" s="67"/>
      <c r="J62" s="67"/>
      <c r="K62" s="67"/>
      <c r="L62" s="68"/>
      <c r="M62" s="68"/>
      <c r="N62" s="68"/>
      <c r="O62" s="68"/>
      <c r="P62" s="67"/>
      <c r="Q62" s="67"/>
      <c r="R62" s="67"/>
      <c r="S62" s="62"/>
      <c r="T62" s="62"/>
      <c r="U62" s="62"/>
      <c r="V62" s="62"/>
      <c r="W62" s="62"/>
    </row>
    <row r="63" spans="1:23">
      <c r="A63" s="63"/>
      <c r="B63" s="142"/>
      <c r="C63" s="142"/>
      <c r="D63" s="67"/>
      <c r="E63" s="67"/>
      <c r="F63" s="67"/>
      <c r="G63" s="67"/>
      <c r="H63" s="67"/>
      <c r="I63" s="67"/>
      <c r="J63" s="67"/>
      <c r="K63" s="67"/>
      <c r="L63" s="68"/>
      <c r="M63" s="68"/>
      <c r="N63" s="68"/>
      <c r="O63" s="68"/>
      <c r="P63" s="67"/>
      <c r="Q63" s="67"/>
      <c r="R63" s="67"/>
      <c r="S63" s="62"/>
      <c r="T63" s="62"/>
      <c r="U63" s="62"/>
      <c r="V63" s="62"/>
      <c r="W63" s="62"/>
    </row>
    <row r="64" spans="1:23">
      <c r="A64" s="63"/>
      <c r="B64" s="142"/>
      <c r="C64" s="142"/>
      <c r="D64" s="67"/>
      <c r="E64" s="67"/>
      <c r="F64" s="67"/>
      <c r="G64" s="67"/>
      <c r="H64" s="67"/>
      <c r="I64" s="67"/>
      <c r="J64" s="67"/>
      <c r="K64" s="67"/>
      <c r="L64" s="68"/>
      <c r="M64" s="68"/>
      <c r="N64" s="68"/>
      <c r="O64" s="68"/>
      <c r="P64" s="67"/>
      <c r="Q64" s="67"/>
      <c r="R64" s="67"/>
      <c r="S64" s="62"/>
      <c r="T64" s="62"/>
      <c r="U64" s="62"/>
      <c r="V64" s="62"/>
      <c r="W64" s="62"/>
    </row>
    <row r="65" spans="1:23">
      <c r="A65" s="63"/>
      <c r="B65" s="142"/>
      <c r="C65" s="142"/>
      <c r="D65" s="67"/>
      <c r="E65" s="67"/>
      <c r="F65" s="67"/>
      <c r="G65" s="67"/>
      <c r="H65" s="67"/>
      <c r="I65" s="67"/>
      <c r="J65" s="67"/>
      <c r="K65" s="67"/>
      <c r="L65" s="68"/>
      <c r="M65" s="68"/>
      <c r="N65" s="68"/>
      <c r="O65" s="68"/>
      <c r="P65" s="67"/>
      <c r="Q65" s="67"/>
      <c r="R65" s="67"/>
      <c r="S65" s="62"/>
      <c r="T65" s="62"/>
      <c r="U65" s="62"/>
      <c r="V65" s="62"/>
      <c r="W65" s="62"/>
    </row>
    <row r="66" spans="1:23">
      <c r="A66" s="63"/>
      <c r="B66" s="142"/>
      <c r="C66" s="142"/>
      <c r="D66" s="67"/>
      <c r="E66" s="67"/>
      <c r="F66" s="67"/>
      <c r="G66" s="67"/>
      <c r="H66" s="67"/>
      <c r="I66" s="67"/>
      <c r="J66" s="67"/>
      <c r="K66" s="67"/>
      <c r="L66" s="68"/>
      <c r="M66" s="68"/>
      <c r="N66" s="68"/>
      <c r="O66" s="68"/>
      <c r="P66" s="67"/>
      <c r="Q66" s="67"/>
      <c r="R66" s="67"/>
      <c r="S66" s="62"/>
      <c r="T66" s="62"/>
      <c r="U66" s="62"/>
      <c r="V66" s="62"/>
      <c r="W66" s="62"/>
    </row>
    <row r="67" spans="1:23">
      <c r="A67" s="63"/>
      <c r="B67" s="142"/>
      <c r="C67" s="142"/>
      <c r="D67" s="67"/>
      <c r="E67" s="67"/>
      <c r="F67" s="67"/>
      <c r="G67" s="67"/>
      <c r="H67" s="67"/>
      <c r="I67" s="67"/>
      <c r="J67" s="67"/>
      <c r="K67" s="67"/>
      <c r="L67" s="68"/>
      <c r="M67" s="68"/>
      <c r="N67" s="68"/>
      <c r="O67" s="68"/>
      <c r="P67" s="67"/>
      <c r="Q67" s="67"/>
      <c r="R67" s="67"/>
      <c r="S67" s="62"/>
      <c r="T67" s="62"/>
      <c r="U67" s="62"/>
      <c r="V67" s="62"/>
      <c r="W67" s="62"/>
    </row>
    <row r="68" spans="1:23">
      <c r="A68" s="63"/>
      <c r="B68" s="142"/>
      <c r="C68" s="142"/>
      <c r="D68" s="67"/>
      <c r="E68" s="67"/>
      <c r="F68" s="67"/>
      <c r="G68" s="67"/>
      <c r="H68" s="67"/>
      <c r="I68" s="67"/>
      <c r="J68" s="67"/>
      <c r="K68" s="67"/>
      <c r="L68" s="68"/>
      <c r="M68" s="68"/>
      <c r="N68" s="68"/>
      <c r="O68" s="68"/>
      <c r="P68" s="67"/>
      <c r="Q68" s="67"/>
      <c r="R68" s="67"/>
      <c r="S68" s="62"/>
      <c r="T68" s="62"/>
      <c r="U68" s="62"/>
      <c r="V68" s="62"/>
      <c r="W68" s="62"/>
    </row>
    <row r="69" spans="1:23">
      <c r="A69" s="63"/>
      <c r="B69" s="142"/>
      <c r="C69" s="142"/>
      <c r="D69" s="67"/>
      <c r="E69" s="67"/>
      <c r="F69" s="67"/>
      <c r="G69" s="67"/>
      <c r="H69" s="67"/>
      <c r="I69" s="67"/>
      <c r="J69" s="67"/>
      <c r="K69" s="67"/>
      <c r="L69" s="68"/>
      <c r="M69" s="68"/>
      <c r="N69" s="68"/>
      <c r="O69" s="68"/>
      <c r="P69" s="67"/>
      <c r="Q69" s="67"/>
      <c r="R69" s="67"/>
      <c r="S69" s="62"/>
      <c r="T69" s="62"/>
      <c r="U69" s="62"/>
      <c r="V69" s="62"/>
      <c r="W69" s="62"/>
    </row>
    <row r="70" spans="1:23">
      <c r="A70" s="63"/>
      <c r="B70" s="142"/>
      <c r="C70" s="142"/>
      <c r="D70" s="67"/>
      <c r="E70" s="67"/>
      <c r="F70" s="67"/>
      <c r="G70" s="67"/>
      <c r="H70" s="67"/>
      <c r="I70" s="67"/>
      <c r="J70" s="67"/>
      <c r="K70" s="67"/>
      <c r="L70" s="68"/>
      <c r="M70" s="68"/>
      <c r="N70" s="68"/>
      <c r="O70" s="68"/>
      <c r="P70" s="67"/>
      <c r="Q70" s="67"/>
      <c r="R70" s="67"/>
      <c r="S70" s="62"/>
      <c r="T70" s="62"/>
      <c r="U70" s="62"/>
      <c r="V70" s="62"/>
      <c r="W70" s="62"/>
    </row>
    <row r="71" spans="1:23">
      <c r="A71" s="63"/>
      <c r="B71" s="142"/>
      <c r="C71" s="142"/>
      <c r="D71" s="67"/>
      <c r="E71" s="67"/>
      <c r="F71" s="67"/>
      <c r="G71" s="67"/>
      <c r="H71" s="67"/>
      <c r="I71" s="67"/>
      <c r="J71" s="67"/>
      <c r="K71" s="67"/>
      <c r="L71" s="68"/>
      <c r="M71" s="68"/>
      <c r="N71" s="68"/>
      <c r="O71" s="68"/>
      <c r="P71" s="67"/>
      <c r="Q71" s="67"/>
      <c r="R71" s="67"/>
      <c r="S71" s="62"/>
      <c r="T71" s="62"/>
      <c r="U71" s="62"/>
      <c r="V71" s="62"/>
      <c r="W71" s="62"/>
    </row>
    <row r="72" spans="1:23">
      <c r="A72" s="63"/>
      <c r="B72" s="142"/>
      <c r="C72" s="142"/>
      <c r="D72" s="67"/>
      <c r="E72" s="67"/>
      <c r="F72" s="67"/>
      <c r="G72" s="67"/>
      <c r="H72" s="67"/>
      <c r="I72" s="67"/>
      <c r="J72" s="67"/>
      <c r="K72" s="67"/>
      <c r="L72" s="68"/>
      <c r="M72" s="68"/>
      <c r="N72" s="68"/>
      <c r="O72" s="68"/>
      <c r="P72" s="67"/>
      <c r="Q72" s="67"/>
      <c r="R72" s="67"/>
      <c r="S72" s="62"/>
      <c r="T72" s="62"/>
      <c r="U72" s="62"/>
      <c r="V72" s="62"/>
      <c r="W72" s="62"/>
    </row>
    <row r="73" spans="1:23">
      <c r="A73" s="63"/>
      <c r="B73" s="142"/>
      <c r="C73" s="142"/>
      <c r="D73" s="67"/>
      <c r="E73" s="67"/>
      <c r="F73" s="67"/>
      <c r="G73" s="67"/>
      <c r="H73" s="67"/>
      <c r="I73" s="67"/>
      <c r="J73" s="67"/>
      <c r="K73" s="67"/>
      <c r="L73" s="68"/>
      <c r="M73" s="68"/>
      <c r="N73" s="68"/>
      <c r="O73" s="68"/>
      <c r="P73" s="67"/>
      <c r="Q73" s="67"/>
      <c r="R73" s="67"/>
      <c r="S73" s="62"/>
      <c r="T73" s="62"/>
      <c r="U73" s="62"/>
      <c r="V73" s="62"/>
      <c r="W73" s="62"/>
    </row>
    <row r="74" spans="1:23">
      <c r="A74" s="63"/>
      <c r="B74" s="142"/>
      <c r="C74" s="142"/>
      <c r="D74" s="67"/>
      <c r="E74" s="67"/>
      <c r="F74" s="67"/>
      <c r="G74" s="67"/>
      <c r="H74" s="67"/>
      <c r="I74" s="67"/>
      <c r="J74" s="67"/>
      <c r="K74" s="67"/>
      <c r="L74" s="68"/>
      <c r="M74" s="68"/>
      <c r="N74" s="68"/>
      <c r="O74" s="68"/>
      <c r="P74" s="67"/>
      <c r="Q74" s="67"/>
      <c r="R74" s="67"/>
      <c r="S74" s="62"/>
      <c r="T74" s="62"/>
      <c r="U74" s="62"/>
      <c r="V74" s="62"/>
      <c r="W74" s="62"/>
    </row>
    <row r="75" spans="1:23">
      <c r="A75" s="63"/>
      <c r="B75" s="142"/>
      <c r="C75" s="142"/>
      <c r="D75" s="67"/>
      <c r="E75" s="67"/>
      <c r="F75" s="67"/>
      <c r="G75" s="67"/>
      <c r="H75" s="67"/>
      <c r="I75" s="67"/>
      <c r="J75" s="67"/>
      <c r="K75" s="67"/>
      <c r="L75" s="68"/>
      <c r="M75" s="68"/>
      <c r="N75" s="68"/>
      <c r="O75" s="68"/>
      <c r="P75" s="67"/>
      <c r="Q75" s="67"/>
      <c r="R75" s="67"/>
      <c r="S75" s="62"/>
      <c r="T75" s="62"/>
      <c r="U75" s="62"/>
      <c r="V75" s="62"/>
      <c r="W75" s="62"/>
    </row>
    <row r="76" spans="1:23">
      <c r="A76" s="63"/>
      <c r="B76" s="142"/>
      <c r="C76" s="142"/>
      <c r="D76" s="67"/>
      <c r="E76" s="67"/>
      <c r="F76" s="67"/>
      <c r="G76" s="67"/>
      <c r="H76" s="67"/>
      <c r="I76" s="67"/>
      <c r="J76" s="67"/>
      <c r="K76" s="67"/>
      <c r="L76" s="68"/>
      <c r="M76" s="68"/>
      <c r="N76" s="68"/>
      <c r="O76" s="68"/>
      <c r="P76" s="67"/>
      <c r="Q76" s="67"/>
      <c r="R76" s="67"/>
      <c r="S76" s="62"/>
      <c r="T76" s="62"/>
      <c r="U76" s="62"/>
      <c r="V76" s="62"/>
      <c r="W76" s="62"/>
    </row>
    <row r="77" spans="1:23">
      <c r="A77" s="63"/>
      <c r="B77" s="142"/>
      <c r="C77" s="142"/>
      <c r="D77" s="67"/>
      <c r="E77" s="67"/>
      <c r="F77" s="67"/>
      <c r="G77" s="67"/>
      <c r="H77" s="67"/>
      <c r="I77" s="67"/>
      <c r="J77" s="67"/>
      <c r="K77" s="67"/>
      <c r="L77" s="68"/>
      <c r="M77" s="68"/>
      <c r="N77" s="68"/>
      <c r="O77" s="68"/>
      <c r="P77" s="67"/>
      <c r="Q77" s="67"/>
      <c r="R77" s="67"/>
      <c r="S77" s="62"/>
      <c r="T77" s="62"/>
      <c r="U77" s="62"/>
      <c r="V77" s="62"/>
      <c r="W77" s="62"/>
    </row>
    <row r="78" spans="1:23">
      <c r="A78" s="63"/>
      <c r="B78" s="142"/>
      <c r="C78" s="142"/>
      <c r="D78" s="67"/>
      <c r="E78" s="67"/>
      <c r="F78" s="67"/>
      <c r="G78" s="67"/>
      <c r="H78" s="67"/>
      <c r="I78" s="67"/>
      <c r="J78" s="67"/>
      <c r="K78" s="67"/>
      <c r="L78" s="68"/>
      <c r="M78" s="68"/>
      <c r="N78" s="68"/>
      <c r="O78" s="68"/>
      <c r="P78" s="67"/>
      <c r="Q78" s="67"/>
      <c r="R78" s="67"/>
      <c r="S78" s="62"/>
      <c r="T78" s="62"/>
      <c r="U78" s="62"/>
      <c r="V78" s="62"/>
      <c r="W78" s="62"/>
    </row>
    <row r="79" spans="1:23">
      <c r="A79" s="63"/>
      <c r="B79" s="142"/>
      <c r="C79" s="142"/>
      <c r="D79" s="67"/>
      <c r="E79" s="67"/>
      <c r="F79" s="67"/>
      <c r="G79" s="67"/>
      <c r="H79" s="67"/>
      <c r="I79" s="67"/>
      <c r="J79" s="67"/>
      <c r="K79" s="67"/>
      <c r="L79" s="68"/>
      <c r="M79" s="68"/>
      <c r="N79" s="68"/>
      <c r="O79" s="68"/>
      <c r="P79" s="67"/>
      <c r="Q79" s="67"/>
      <c r="R79" s="67"/>
      <c r="S79" s="62"/>
      <c r="T79" s="62"/>
      <c r="U79" s="62"/>
      <c r="V79" s="62"/>
      <c r="W79" s="62"/>
    </row>
    <row r="80" spans="1:23">
      <c r="A80" s="63"/>
      <c r="B80" s="142"/>
      <c r="C80" s="142"/>
      <c r="D80" s="67"/>
      <c r="E80" s="67"/>
      <c r="F80" s="67"/>
      <c r="G80" s="67"/>
      <c r="H80" s="67"/>
      <c r="I80" s="67"/>
      <c r="J80" s="67"/>
      <c r="K80" s="67"/>
      <c r="L80" s="68"/>
      <c r="M80" s="68"/>
      <c r="N80" s="68"/>
      <c r="O80" s="68"/>
      <c r="P80" s="67"/>
      <c r="Q80" s="67"/>
      <c r="R80" s="67"/>
      <c r="S80" s="62"/>
      <c r="T80" s="62"/>
      <c r="U80" s="62"/>
      <c r="V80" s="62"/>
      <c r="W80" s="62"/>
    </row>
    <row r="81" spans="1:23">
      <c r="A81" s="62"/>
      <c r="B81" s="142"/>
      <c r="C81" s="142"/>
      <c r="D81" s="67"/>
      <c r="E81" s="67"/>
      <c r="F81" s="67"/>
      <c r="G81" s="67"/>
      <c r="H81" s="67"/>
      <c r="I81" s="67"/>
      <c r="J81" s="67"/>
      <c r="K81" s="67"/>
      <c r="L81" s="68"/>
      <c r="M81" s="68"/>
      <c r="N81" s="68"/>
      <c r="O81" s="68"/>
      <c r="P81" s="67"/>
      <c r="Q81" s="67"/>
      <c r="R81" s="67"/>
      <c r="S81" s="62"/>
      <c r="T81" s="62"/>
      <c r="U81" s="62"/>
      <c r="V81" s="62"/>
      <c r="W81" s="62"/>
    </row>
    <row r="82" spans="1:23">
      <c r="A82" s="62"/>
      <c r="B82" s="62"/>
      <c r="C82" s="62"/>
      <c r="D82" s="62"/>
      <c r="E82" s="62"/>
      <c r="F82" s="62"/>
      <c r="G82" s="62"/>
      <c r="H82" s="62"/>
      <c r="I82" s="62"/>
      <c r="J82" s="62"/>
      <c r="K82" s="62"/>
      <c r="L82" s="62"/>
      <c r="M82" s="62"/>
      <c r="N82" s="62"/>
      <c r="O82" s="62"/>
      <c r="P82" s="62"/>
      <c r="Q82" s="62"/>
      <c r="R82" s="62"/>
      <c r="S82" s="62"/>
      <c r="T82" s="62"/>
      <c r="U82" s="62"/>
      <c r="V82" s="62"/>
      <c r="W82" s="62"/>
    </row>
    <row r="83" spans="1:23">
      <c r="A83" s="62"/>
      <c r="B83" s="62"/>
      <c r="C83" s="62"/>
      <c r="D83" s="62"/>
      <c r="E83" s="62"/>
      <c r="F83" s="62"/>
      <c r="G83" s="62"/>
      <c r="H83" s="62"/>
      <c r="I83" s="62"/>
      <c r="J83" s="62"/>
      <c r="K83" s="62"/>
      <c r="L83" s="62"/>
      <c r="M83" s="62"/>
      <c r="N83" s="62"/>
      <c r="O83" s="62"/>
      <c r="P83" s="62"/>
      <c r="Q83" s="62"/>
      <c r="R83" s="62"/>
      <c r="S83" s="62"/>
      <c r="T83" s="62"/>
      <c r="U83" s="62"/>
      <c r="V83" s="62"/>
      <c r="W83" s="62"/>
    </row>
    <row r="84" spans="1:23">
      <c r="A84" s="62"/>
      <c r="B84" s="62"/>
      <c r="C84" s="62"/>
      <c r="D84" s="62"/>
      <c r="E84" s="62"/>
      <c r="F84" s="62"/>
      <c r="G84" s="62"/>
      <c r="H84" s="62"/>
      <c r="I84" s="62"/>
      <c r="J84" s="62"/>
      <c r="K84" s="62"/>
      <c r="L84" s="62"/>
      <c r="M84" s="62"/>
      <c r="N84" s="62"/>
      <c r="O84" s="62"/>
      <c r="P84" s="62"/>
      <c r="Q84" s="62"/>
      <c r="R84" s="62"/>
      <c r="S84" s="62"/>
      <c r="T84" s="62"/>
      <c r="U84" s="62"/>
      <c r="V84" s="62"/>
      <c r="W84" s="62"/>
    </row>
    <row r="85" spans="1:23">
      <c r="A85" s="62"/>
      <c r="B85" s="62"/>
      <c r="C85" s="62"/>
      <c r="D85" s="62"/>
      <c r="E85" s="62"/>
      <c r="F85" s="62"/>
      <c r="G85" s="62"/>
      <c r="H85" s="62"/>
      <c r="I85" s="62"/>
      <c r="J85" s="62"/>
      <c r="K85" s="62"/>
      <c r="L85" s="62"/>
      <c r="M85" s="62"/>
      <c r="N85" s="62"/>
      <c r="O85" s="62"/>
      <c r="P85" s="62"/>
      <c r="Q85" s="62"/>
      <c r="R85" s="62"/>
      <c r="S85" s="62"/>
      <c r="T85" s="62"/>
      <c r="U85" s="62"/>
      <c r="V85" s="62"/>
      <c r="W85" s="62"/>
    </row>
    <row r="86" spans="1:23">
      <c r="A86" s="62"/>
      <c r="B86" s="62"/>
      <c r="C86" s="62"/>
      <c r="D86" s="62"/>
      <c r="E86" s="62"/>
      <c r="F86" s="62"/>
      <c r="G86" s="62"/>
      <c r="H86" s="62"/>
      <c r="I86" s="62"/>
      <c r="J86" s="62"/>
      <c r="K86" s="62"/>
      <c r="L86" s="62"/>
      <c r="M86" s="62"/>
      <c r="N86" s="62"/>
      <c r="O86" s="62"/>
      <c r="P86" s="62"/>
      <c r="Q86" s="62"/>
      <c r="R86" s="62"/>
      <c r="S86" s="62"/>
      <c r="T86" s="62"/>
      <c r="U86" s="62"/>
      <c r="V86" s="62"/>
      <c r="W86" s="62"/>
    </row>
    <row r="108" spans="12:12">
      <c r="L108" s="16">
        <f>SUM(L7:L107)</f>
        <v>49760</v>
      </c>
    </row>
  </sheetData>
  <pageMargins left="0.7" right="0.7" top="0.75" bottom="0.75" header="0.3" footer="0.3"/>
  <pageSetup paperSize="9" orientation="landscape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>
  <dimension ref="A5:W105"/>
  <sheetViews>
    <sheetView topLeftCell="A37" workbookViewId="0">
      <selection activeCell="A59" sqref="A59"/>
    </sheetView>
  </sheetViews>
  <sheetFormatPr defaultRowHeight="14.4"/>
  <cols>
    <col min="1" max="1" width="7.88671875" style="1" customWidth="1"/>
    <col min="2" max="2" width="22" style="1" customWidth="1"/>
    <col min="3" max="3" width="7.77734375" style="1" customWidth="1"/>
    <col min="4" max="4" width="4.77734375" style="1" customWidth="1"/>
    <col min="5" max="5" width="9.88671875" style="1" customWidth="1"/>
    <col min="6" max="6" width="7.6640625" style="1" customWidth="1"/>
    <col min="7" max="7" width="6.6640625" style="1" customWidth="1"/>
    <col min="8" max="8" width="7.44140625" style="1" customWidth="1"/>
    <col min="9" max="9" width="5.88671875" style="1" customWidth="1"/>
    <col min="10" max="10" width="6" style="1" customWidth="1"/>
    <col min="11" max="11" width="8.44140625" style="1" customWidth="1"/>
    <col min="12" max="12" width="8.21875" style="1" customWidth="1"/>
    <col min="13" max="13" width="7.33203125" style="1" customWidth="1"/>
    <col min="14" max="18" width="8.88671875" style="1"/>
    <col min="19" max="19" width="16.21875" style="1" customWidth="1"/>
    <col min="20" max="16384" width="8.88671875" style="1"/>
  </cols>
  <sheetData>
    <row r="5" spans="1:23" ht="23.4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3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676</v>
      </c>
      <c r="M5" s="95" t="s">
        <v>677</v>
      </c>
      <c r="N5" s="3" t="s">
        <v>11</v>
      </c>
      <c r="O5" s="3" t="s">
        <v>36</v>
      </c>
      <c r="P5" s="3" t="s">
        <v>12</v>
      </c>
      <c r="Q5" s="3" t="s">
        <v>256</v>
      </c>
      <c r="R5" s="3" t="s">
        <v>257</v>
      </c>
      <c r="S5" s="3" t="s">
        <v>2</v>
      </c>
      <c r="T5" s="14" t="s">
        <v>80</v>
      </c>
      <c r="U5" s="14" t="s">
        <v>125</v>
      </c>
    </row>
    <row r="6" spans="1:23">
      <c r="A6" s="63"/>
      <c r="B6" s="274"/>
      <c r="C6" s="274"/>
      <c r="D6" s="274"/>
      <c r="E6" s="274"/>
      <c r="F6" s="274"/>
      <c r="G6" s="274"/>
      <c r="H6" s="274"/>
      <c r="I6" s="274"/>
      <c r="J6" s="274"/>
      <c r="K6" s="274"/>
      <c r="L6" s="61"/>
      <c r="M6" s="61"/>
      <c r="N6" s="274"/>
      <c r="O6" s="62"/>
      <c r="P6" s="62"/>
      <c r="Q6" s="62"/>
      <c r="R6" s="62"/>
      <c r="S6" s="62"/>
      <c r="U6" s="17"/>
    </row>
    <row r="7" spans="1:23">
      <c r="A7" s="63"/>
      <c r="B7" s="67"/>
      <c r="C7" s="67"/>
      <c r="D7" s="67"/>
      <c r="E7" s="67"/>
      <c r="F7" s="67"/>
      <c r="G7" s="67"/>
      <c r="H7" s="67"/>
      <c r="I7" s="67"/>
      <c r="J7" s="67"/>
      <c r="K7" s="68"/>
      <c r="L7" s="68"/>
      <c r="M7" s="68"/>
      <c r="N7" s="68"/>
      <c r="O7" s="68"/>
      <c r="P7" s="67"/>
      <c r="Q7" s="62"/>
      <c r="R7" s="62"/>
      <c r="S7" s="62"/>
      <c r="T7" s="62"/>
      <c r="U7" s="62"/>
      <c r="V7" s="62"/>
      <c r="W7" s="62"/>
    </row>
    <row r="8" spans="1:23">
      <c r="A8" s="63"/>
      <c r="B8" s="67"/>
      <c r="C8" s="67"/>
      <c r="D8" s="67"/>
      <c r="E8" s="67"/>
      <c r="F8" s="67"/>
      <c r="G8" s="67"/>
      <c r="H8" s="67"/>
      <c r="I8" s="67"/>
      <c r="J8" s="67"/>
      <c r="K8" s="67"/>
      <c r="L8" s="68"/>
      <c r="M8" s="68"/>
      <c r="N8" s="68"/>
      <c r="O8" s="68"/>
      <c r="P8" s="67"/>
      <c r="Q8" s="62"/>
      <c r="R8" s="62"/>
      <c r="S8" s="62"/>
      <c r="T8" s="62"/>
      <c r="U8" s="62"/>
      <c r="V8" s="62"/>
      <c r="W8" s="62"/>
    </row>
    <row r="9" spans="1:23">
      <c r="A9" s="63"/>
      <c r="B9" s="67"/>
      <c r="C9" s="67"/>
      <c r="D9" s="67"/>
      <c r="E9" s="67"/>
      <c r="F9" s="67"/>
      <c r="G9" s="67"/>
      <c r="H9" s="67"/>
      <c r="I9" s="67"/>
      <c r="J9" s="67"/>
      <c r="K9" s="68"/>
      <c r="L9" s="68"/>
      <c r="M9" s="68"/>
      <c r="N9" s="68"/>
      <c r="O9" s="68"/>
      <c r="P9" s="67"/>
      <c r="Q9" s="62"/>
      <c r="R9" s="62"/>
      <c r="S9" s="62"/>
      <c r="T9" s="62"/>
      <c r="U9" s="62"/>
      <c r="V9" s="62"/>
      <c r="W9" s="62"/>
    </row>
    <row r="10" spans="1:23">
      <c r="A10" s="374" t="s">
        <v>2572</v>
      </c>
      <c r="B10" s="42" t="s">
        <v>469</v>
      </c>
      <c r="C10" s="42" t="s">
        <v>88</v>
      </c>
      <c r="D10" s="42" t="s">
        <v>16</v>
      </c>
      <c r="E10" s="42" t="s">
        <v>1113</v>
      </c>
      <c r="F10" s="42">
        <v>122</v>
      </c>
      <c r="G10" s="42"/>
      <c r="H10" s="42">
        <v>15000</v>
      </c>
      <c r="I10" s="42">
        <v>300</v>
      </c>
      <c r="J10" s="42">
        <v>0.13</v>
      </c>
      <c r="K10" s="43">
        <f t="shared" ref="K10:K12" si="0">I10*J10</f>
        <v>39</v>
      </c>
      <c r="L10" s="43">
        <f t="shared" ref="L10:L12" si="1">H10-K10</f>
        <v>14961</v>
      </c>
      <c r="M10" s="43"/>
      <c r="N10" s="43">
        <f t="shared" ref="N10:N12" si="2">L10-M10</f>
        <v>14961</v>
      </c>
      <c r="O10" s="43">
        <f t="shared" ref="O10:O12" si="3">H10/1000*70</f>
        <v>1050</v>
      </c>
      <c r="P10" s="42">
        <v>9300</v>
      </c>
      <c r="Q10" s="42">
        <v>20.9</v>
      </c>
      <c r="R10" s="42">
        <f t="shared" ref="R10:R12" si="4">L10*Q10</f>
        <v>312684.89999999997</v>
      </c>
      <c r="S10" s="62"/>
      <c r="T10" s="62"/>
      <c r="U10" s="62"/>
      <c r="V10" s="62"/>
      <c r="W10" s="62"/>
    </row>
    <row r="11" spans="1:23">
      <c r="A11" s="374"/>
      <c r="B11" s="42" t="s">
        <v>469</v>
      </c>
      <c r="C11" s="42" t="s">
        <v>88</v>
      </c>
      <c r="D11" s="42" t="s">
        <v>16</v>
      </c>
      <c r="E11" s="42" t="s">
        <v>2537</v>
      </c>
      <c r="F11" s="42">
        <v>123</v>
      </c>
      <c r="G11" s="42"/>
      <c r="H11" s="42">
        <v>15000</v>
      </c>
      <c r="I11" s="42">
        <v>300</v>
      </c>
      <c r="J11" s="42">
        <v>0.13</v>
      </c>
      <c r="K11" s="43">
        <f t="shared" si="0"/>
        <v>39</v>
      </c>
      <c r="L11" s="43">
        <f t="shared" si="1"/>
        <v>14961</v>
      </c>
      <c r="M11" s="43"/>
      <c r="N11" s="43">
        <f t="shared" si="2"/>
        <v>14961</v>
      </c>
      <c r="O11" s="43">
        <f t="shared" si="3"/>
        <v>1050</v>
      </c>
      <c r="P11" s="42">
        <v>9300</v>
      </c>
      <c r="Q11" s="42">
        <v>20.9</v>
      </c>
      <c r="R11" s="42">
        <f t="shared" si="4"/>
        <v>312684.89999999997</v>
      </c>
      <c r="S11" s="62"/>
      <c r="T11" s="62"/>
      <c r="U11" s="62"/>
      <c r="V11" s="62"/>
      <c r="W11" s="62"/>
    </row>
    <row r="12" spans="1:23">
      <c r="A12" s="374"/>
      <c r="B12" s="42" t="s">
        <v>469</v>
      </c>
      <c r="C12" s="42" t="s">
        <v>88</v>
      </c>
      <c r="D12" s="42" t="s">
        <v>16</v>
      </c>
      <c r="E12" s="42" t="s">
        <v>2575</v>
      </c>
      <c r="F12" s="42">
        <v>126</v>
      </c>
      <c r="G12" s="42"/>
      <c r="H12" s="42">
        <v>19980</v>
      </c>
      <c r="I12" s="42">
        <v>400</v>
      </c>
      <c r="J12" s="42">
        <v>0.13</v>
      </c>
      <c r="K12" s="43">
        <f t="shared" si="0"/>
        <v>52</v>
      </c>
      <c r="L12" s="43">
        <f t="shared" si="1"/>
        <v>19928</v>
      </c>
      <c r="M12" s="43"/>
      <c r="N12" s="43">
        <f t="shared" si="2"/>
        <v>19928</v>
      </c>
      <c r="O12" s="43">
        <f t="shared" si="3"/>
        <v>1398.6000000000001</v>
      </c>
      <c r="P12" s="42">
        <v>11800</v>
      </c>
      <c r="Q12" s="42">
        <v>20.9</v>
      </c>
      <c r="R12" s="42">
        <f t="shared" si="4"/>
        <v>416495.19999999995</v>
      </c>
      <c r="S12" s="62"/>
      <c r="T12" s="62"/>
      <c r="U12" s="62"/>
      <c r="V12" s="62"/>
      <c r="W12" s="62"/>
    </row>
    <row r="13" spans="1:23">
      <c r="A13" s="63"/>
      <c r="B13" s="67"/>
      <c r="C13" s="67"/>
      <c r="D13" s="67"/>
      <c r="E13" s="67"/>
      <c r="F13" s="67"/>
      <c r="G13" s="67"/>
      <c r="H13" s="67"/>
      <c r="I13" s="67"/>
      <c r="J13" s="67"/>
      <c r="K13" s="68"/>
      <c r="L13" s="68"/>
      <c r="M13" s="68"/>
      <c r="N13" s="68"/>
      <c r="O13" s="68"/>
      <c r="P13" s="67"/>
      <c r="Q13" s="62"/>
      <c r="R13" s="62"/>
      <c r="S13" s="62"/>
      <c r="T13" s="62"/>
      <c r="U13" s="62"/>
      <c r="V13" s="62"/>
      <c r="W13" s="62"/>
    </row>
    <row r="14" spans="1:23">
      <c r="A14" s="63" t="s">
        <v>2593</v>
      </c>
      <c r="B14" s="42" t="s">
        <v>469</v>
      </c>
      <c r="C14" s="42" t="s">
        <v>88</v>
      </c>
      <c r="D14" s="42" t="s">
        <v>16</v>
      </c>
      <c r="E14" s="42" t="s">
        <v>2594</v>
      </c>
      <c r="F14" s="42">
        <v>138</v>
      </c>
      <c r="G14" s="42"/>
      <c r="H14" s="42">
        <v>20000</v>
      </c>
      <c r="I14" s="42">
        <v>400</v>
      </c>
      <c r="J14" s="42">
        <v>0.13</v>
      </c>
      <c r="K14" s="43">
        <f t="shared" ref="K14" si="5">I14*J14</f>
        <v>52</v>
      </c>
      <c r="L14" s="43">
        <f t="shared" ref="L14" si="6">H14-K14</f>
        <v>19948</v>
      </c>
      <c r="M14" s="43"/>
      <c r="N14" s="43">
        <f t="shared" ref="N14" si="7">L14-M14</f>
        <v>19948</v>
      </c>
      <c r="O14" s="43">
        <f t="shared" ref="O14" si="8">H14/1000*70</f>
        <v>1400</v>
      </c>
      <c r="P14" s="42">
        <v>11700</v>
      </c>
      <c r="Q14" s="42">
        <v>21.5</v>
      </c>
      <c r="R14" s="42">
        <f t="shared" ref="R14" si="9">L14*Q14</f>
        <v>428882</v>
      </c>
      <c r="S14" s="62"/>
      <c r="T14" s="62"/>
      <c r="U14" s="62"/>
      <c r="V14" s="62"/>
      <c r="W14" s="62"/>
    </row>
    <row r="15" spans="1:23">
      <c r="A15" s="63"/>
      <c r="B15" s="67"/>
      <c r="C15" s="67"/>
      <c r="D15" s="67"/>
      <c r="E15" s="67"/>
      <c r="F15" s="67"/>
      <c r="G15" s="67"/>
      <c r="H15" s="67"/>
      <c r="I15" s="67"/>
      <c r="J15" s="67"/>
      <c r="K15" s="68"/>
      <c r="L15" s="68"/>
      <c r="M15" s="68"/>
      <c r="N15" s="68"/>
      <c r="O15" s="68"/>
      <c r="P15" s="67"/>
      <c r="Q15" s="62"/>
      <c r="R15" s="62"/>
      <c r="S15" s="62"/>
      <c r="T15" s="62"/>
      <c r="U15" s="62"/>
      <c r="V15" s="62"/>
      <c r="W15" s="62"/>
    </row>
    <row r="16" spans="1:23">
      <c r="A16" s="374" t="s">
        <v>2600</v>
      </c>
      <c r="B16" s="42" t="s">
        <v>469</v>
      </c>
      <c r="C16" s="42" t="s">
        <v>88</v>
      </c>
      <c r="D16" s="42" t="s">
        <v>16</v>
      </c>
      <c r="E16" s="42" t="s">
        <v>2602</v>
      </c>
      <c r="F16" s="42">
        <v>601</v>
      </c>
      <c r="G16" s="42"/>
      <c r="H16" s="42">
        <v>15000</v>
      </c>
      <c r="I16" s="42">
        <v>300</v>
      </c>
      <c r="J16" s="42">
        <v>0.13</v>
      </c>
      <c r="K16" s="43">
        <f t="shared" ref="K16:K17" si="10">I16*J16</f>
        <v>39</v>
      </c>
      <c r="L16" s="43">
        <f t="shared" ref="L16:L17" si="11">H16-K16</f>
        <v>14961</v>
      </c>
      <c r="M16" s="43"/>
      <c r="N16" s="43">
        <f t="shared" ref="N16:N17" si="12">L16-M16</f>
        <v>14961</v>
      </c>
      <c r="O16" s="43">
        <f t="shared" ref="O16:O17" si="13">H16/1000*70</f>
        <v>1050</v>
      </c>
      <c r="P16" s="42">
        <v>8800</v>
      </c>
      <c r="Q16" s="42">
        <v>21.5</v>
      </c>
      <c r="R16" s="42">
        <f t="shared" ref="R16:R17" si="14">L16*Q16</f>
        <v>321661.5</v>
      </c>
      <c r="S16" s="62"/>
      <c r="T16" s="62"/>
      <c r="U16" s="62"/>
      <c r="V16" s="62"/>
      <c r="W16" s="62"/>
    </row>
    <row r="17" spans="1:23">
      <c r="A17" s="374"/>
      <c r="B17" s="42" t="s">
        <v>469</v>
      </c>
      <c r="C17" s="42" t="s">
        <v>88</v>
      </c>
      <c r="D17" s="42" t="s">
        <v>16</v>
      </c>
      <c r="E17" s="42" t="s">
        <v>1822</v>
      </c>
      <c r="F17" s="42">
        <v>602</v>
      </c>
      <c r="G17" s="42"/>
      <c r="H17" s="42">
        <v>15000</v>
      </c>
      <c r="I17" s="42">
        <v>300</v>
      </c>
      <c r="J17" s="42">
        <v>0.13</v>
      </c>
      <c r="K17" s="43">
        <f t="shared" si="10"/>
        <v>39</v>
      </c>
      <c r="L17" s="43">
        <f t="shared" si="11"/>
        <v>14961</v>
      </c>
      <c r="M17" s="43"/>
      <c r="N17" s="43">
        <f t="shared" si="12"/>
        <v>14961</v>
      </c>
      <c r="O17" s="43">
        <f t="shared" si="13"/>
        <v>1050</v>
      </c>
      <c r="P17" s="42">
        <v>8800</v>
      </c>
      <c r="Q17" s="42">
        <v>21.5</v>
      </c>
      <c r="R17" s="42">
        <f t="shared" si="14"/>
        <v>321661.5</v>
      </c>
      <c r="S17" s="62"/>
      <c r="T17" s="62"/>
      <c r="U17" s="62"/>
      <c r="V17" s="62"/>
      <c r="W17" s="62"/>
    </row>
    <row r="18" spans="1:23">
      <c r="A18" s="63"/>
      <c r="B18" s="67"/>
      <c r="C18" s="67"/>
      <c r="D18" s="67"/>
      <c r="E18" s="67"/>
      <c r="F18" s="67"/>
      <c r="G18" s="67"/>
      <c r="H18" s="67"/>
      <c r="I18" s="67"/>
      <c r="J18" s="67"/>
      <c r="K18" s="68"/>
      <c r="L18" s="68"/>
      <c r="M18" s="68"/>
      <c r="N18" s="68"/>
      <c r="O18" s="68"/>
      <c r="P18" s="67"/>
      <c r="Q18" s="62"/>
      <c r="R18" s="62"/>
      <c r="S18" s="62"/>
      <c r="T18" s="62"/>
      <c r="U18" s="62"/>
      <c r="V18" s="62"/>
      <c r="W18" s="62"/>
    </row>
    <row r="19" spans="1:23">
      <c r="A19" s="63" t="s">
        <v>2668</v>
      </c>
      <c r="B19" s="42" t="s">
        <v>2670</v>
      </c>
      <c r="C19" s="42" t="s">
        <v>88</v>
      </c>
      <c r="D19" s="42" t="s">
        <v>16</v>
      </c>
      <c r="E19" s="42" t="s">
        <v>2595</v>
      </c>
      <c r="F19" s="42">
        <v>5916</v>
      </c>
      <c r="G19" s="42"/>
      <c r="H19" s="42">
        <v>22240</v>
      </c>
      <c r="I19" s="42">
        <v>440</v>
      </c>
      <c r="J19" s="42">
        <v>0.13</v>
      </c>
      <c r="K19" s="43">
        <f t="shared" ref="K19:K20" si="15">I19*J19</f>
        <v>57.2</v>
      </c>
      <c r="L19" s="43">
        <f t="shared" ref="L19:L20" si="16">H19-K19</f>
        <v>22182.799999999999</v>
      </c>
      <c r="M19" s="43"/>
      <c r="N19" s="43">
        <f t="shared" ref="N19:N20" si="17">L19-M19</f>
        <v>22182.799999999999</v>
      </c>
      <c r="O19" s="43">
        <f t="shared" ref="O19:O20" si="18">H19/1000*70</f>
        <v>1556.8</v>
      </c>
      <c r="P19" s="42">
        <v>12000</v>
      </c>
      <c r="Q19" s="42">
        <v>21.2</v>
      </c>
      <c r="R19" s="42">
        <f t="shared" ref="R19:R20" si="19">L19*Q19</f>
        <v>470275.36</v>
      </c>
      <c r="S19" s="62"/>
      <c r="T19" s="62"/>
      <c r="U19" s="62"/>
      <c r="V19" s="62"/>
      <c r="W19" s="62"/>
    </row>
    <row r="20" spans="1:23">
      <c r="A20" s="63" t="s">
        <v>2674</v>
      </c>
      <c r="B20" s="42" t="s">
        <v>2670</v>
      </c>
      <c r="C20" s="42" t="s">
        <v>88</v>
      </c>
      <c r="D20" s="42" t="s">
        <v>16</v>
      </c>
      <c r="E20" s="42" t="s">
        <v>1185</v>
      </c>
      <c r="F20" s="42">
        <v>5917</v>
      </c>
      <c r="G20" s="42"/>
      <c r="H20" s="42">
        <v>22625</v>
      </c>
      <c r="I20" s="42">
        <v>445</v>
      </c>
      <c r="J20" s="42">
        <v>0.13</v>
      </c>
      <c r="K20" s="43">
        <f t="shared" si="15"/>
        <v>57.85</v>
      </c>
      <c r="L20" s="43">
        <f t="shared" si="16"/>
        <v>22567.15</v>
      </c>
      <c r="M20" s="43"/>
      <c r="N20" s="43">
        <f t="shared" si="17"/>
        <v>22567.15</v>
      </c>
      <c r="O20" s="43">
        <f t="shared" si="18"/>
        <v>1583.75</v>
      </c>
      <c r="P20" s="42">
        <v>12000</v>
      </c>
      <c r="Q20" s="42">
        <v>21.2</v>
      </c>
      <c r="R20" s="42">
        <f t="shared" si="19"/>
        <v>478423.58</v>
      </c>
      <c r="S20" s="62"/>
      <c r="T20" s="62"/>
      <c r="U20" s="62"/>
      <c r="V20" s="62"/>
      <c r="W20" s="62"/>
    </row>
    <row r="21" spans="1:23">
      <c r="A21" s="63"/>
      <c r="B21" s="67"/>
      <c r="C21" s="67"/>
      <c r="D21" s="67"/>
      <c r="E21" s="67"/>
      <c r="F21" s="67"/>
      <c r="G21" s="67"/>
      <c r="H21" s="67"/>
      <c r="I21" s="67"/>
      <c r="J21" s="67"/>
      <c r="K21" s="68"/>
      <c r="L21" s="68"/>
      <c r="M21" s="68"/>
      <c r="N21" s="68"/>
      <c r="O21" s="68"/>
      <c r="P21" s="149"/>
      <c r="Q21" s="62"/>
      <c r="R21" s="62"/>
      <c r="S21" s="62"/>
      <c r="T21" s="62"/>
      <c r="U21" s="62"/>
      <c r="V21" s="62"/>
      <c r="W21" s="62"/>
    </row>
    <row r="22" spans="1:23">
      <c r="A22" s="63" t="s">
        <v>2726</v>
      </c>
      <c r="B22" s="42" t="s">
        <v>469</v>
      </c>
      <c r="C22" s="42" t="s">
        <v>88</v>
      </c>
      <c r="D22" s="42" t="s">
        <v>16</v>
      </c>
      <c r="E22" s="42" t="s">
        <v>2419</v>
      </c>
      <c r="F22" s="42">
        <v>814</v>
      </c>
      <c r="G22" s="42"/>
      <c r="H22" s="42">
        <v>19990</v>
      </c>
      <c r="I22" s="42">
        <v>400</v>
      </c>
      <c r="J22" s="42">
        <v>0.13</v>
      </c>
      <c r="K22" s="43">
        <f t="shared" ref="K22" si="20">I22*J22</f>
        <v>52</v>
      </c>
      <c r="L22" s="43">
        <f t="shared" ref="L22" si="21">H22-K22</f>
        <v>19938</v>
      </c>
      <c r="M22" s="43"/>
      <c r="N22" s="43">
        <f t="shared" ref="N22" si="22">L22-M22</f>
        <v>19938</v>
      </c>
      <c r="O22" s="43">
        <f t="shared" ref="O22" si="23">H22/1000*70</f>
        <v>1399.3</v>
      </c>
      <c r="P22" s="42">
        <v>11000</v>
      </c>
      <c r="Q22" s="42"/>
      <c r="R22" s="42">
        <f t="shared" ref="R22" si="24">L22*Q22</f>
        <v>0</v>
      </c>
      <c r="S22" s="42"/>
      <c r="T22" s="62"/>
      <c r="U22" s="62"/>
      <c r="V22" s="62"/>
      <c r="W22" s="62"/>
    </row>
    <row r="23" spans="1:23">
      <c r="A23" s="63"/>
      <c r="B23" s="67"/>
      <c r="C23" s="67"/>
      <c r="D23" s="67"/>
      <c r="E23" s="67"/>
      <c r="F23" s="67"/>
      <c r="G23" s="67"/>
      <c r="H23" s="67"/>
      <c r="I23" s="67"/>
      <c r="J23" s="67"/>
      <c r="K23" s="68"/>
      <c r="L23" s="68"/>
      <c r="M23" s="68"/>
      <c r="N23" s="68"/>
      <c r="O23" s="68"/>
      <c r="P23" s="149"/>
      <c r="Q23" s="62"/>
      <c r="R23" s="62"/>
      <c r="S23" s="62"/>
      <c r="T23" s="62"/>
      <c r="U23" s="62"/>
      <c r="V23" s="62"/>
      <c r="W23" s="62"/>
    </row>
    <row r="24" spans="1:23">
      <c r="A24" s="150" t="s">
        <v>2727</v>
      </c>
      <c r="B24" s="42" t="s">
        <v>469</v>
      </c>
      <c r="C24" s="42" t="s">
        <v>88</v>
      </c>
      <c r="D24" s="42" t="s">
        <v>16</v>
      </c>
      <c r="E24" s="42" t="s">
        <v>2728</v>
      </c>
      <c r="F24" s="42">
        <v>816</v>
      </c>
      <c r="G24" s="42"/>
      <c r="H24" s="42">
        <v>19980</v>
      </c>
      <c r="I24" s="42">
        <v>400</v>
      </c>
      <c r="J24" s="42">
        <v>0.13</v>
      </c>
      <c r="K24" s="43">
        <f t="shared" ref="K24" si="25">I24*J24</f>
        <v>52</v>
      </c>
      <c r="L24" s="43">
        <f t="shared" ref="L24" si="26">H24-K24</f>
        <v>19928</v>
      </c>
      <c r="M24" s="43"/>
      <c r="N24" s="43">
        <f t="shared" ref="N24" si="27">L24-M24</f>
        <v>19928</v>
      </c>
      <c r="O24" s="43">
        <f t="shared" ref="O24" si="28">H24/1000*70</f>
        <v>1398.6000000000001</v>
      </c>
      <c r="P24" s="42">
        <v>11000</v>
      </c>
      <c r="Q24" s="42"/>
      <c r="R24" s="42">
        <f t="shared" ref="R24" si="29">L24*Q24</f>
        <v>0</v>
      </c>
      <c r="S24" s="62"/>
      <c r="T24" s="62"/>
      <c r="U24" s="62"/>
      <c r="V24" s="62"/>
      <c r="W24" s="62"/>
    </row>
    <row r="25" spans="1:23">
      <c r="A25" s="63"/>
      <c r="B25" s="67"/>
      <c r="C25" s="67"/>
      <c r="D25" s="67"/>
      <c r="E25" s="67"/>
      <c r="F25" s="67"/>
      <c r="G25" s="67"/>
      <c r="H25" s="67"/>
      <c r="I25" s="67"/>
      <c r="J25" s="67"/>
      <c r="K25" s="68"/>
      <c r="L25" s="68"/>
      <c r="M25" s="68"/>
      <c r="N25" s="68"/>
      <c r="O25" s="68"/>
      <c r="P25" s="149"/>
      <c r="Q25" s="62"/>
      <c r="R25" s="62"/>
      <c r="S25" s="62"/>
      <c r="T25" s="62"/>
      <c r="U25" s="62"/>
      <c r="V25" s="62"/>
      <c r="W25" s="62"/>
    </row>
    <row r="26" spans="1:23">
      <c r="A26" s="63" t="s">
        <v>2832</v>
      </c>
      <c r="B26" s="42" t="s">
        <v>469</v>
      </c>
      <c r="C26" s="42" t="s">
        <v>88</v>
      </c>
      <c r="D26" s="42" t="s">
        <v>16</v>
      </c>
      <c r="E26" s="42" t="s">
        <v>2833</v>
      </c>
      <c r="F26" s="42">
        <v>836</v>
      </c>
      <c r="G26" s="42"/>
      <c r="H26" s="42">
        <v>23115</v>
      </c>
      <c r="I26" s="42">
        <v>359</v>
      </c>
      <c r="J26" s="42">
        <v>0.13</v>
      </c>
      <c r="K26" s="43">
        <f t="shared" ref="K26:K27" si="30">I26*J26</f>
        <v>46.67</v>
      </c>
      <c r="L26" s="43">
        <f t="shared" ref="L26:L27" si="31">H26-K26</f>
        <v>23068.33</v>
      </c>
      <c r="M26" s="43"/>
      <c r="N26" s="43">
        <f t="shared" ref="N26:N27" si="32">L26-M26</f>
        <v>23068.33</v>
      </c>
      <c r="O26" s="43">
        <f t="shared" ref="O26:O27" si="33">H26/1000*70</f>
        <v>1618.05</v>
      </c>
      <c r="P26" s="42">
        <v>12700</v>
      </c>
      <c r="Q26" s="42">
        <v>20.25</v>
      </c>
      <c r="R26" s="42">
        <f t="shared" ref="R26:R27" si="34">L26*Q26</f>
        <v>467133.68250000005</v>
      </c>
      <c r="S26" s="62"/>
      <c r="T26" s="62"/>
      <c r="U26" s="62"/>
      <c r="V26" s="62"/>
      <c r="W26" s="62"/>
    </row>
    <row r="27" spans="1:23">
      <c r="A27" s="150" t="s">
        <v>2843</v>
      </c>
      <c r="B27" s="42" t="s">
        <v>469</v>
      </c>
      <c r="C27" s="42" t="s">
        <v>88</v>
      </c>
      <c r="D27" s="42" t="s">
        <v>16</v>
      </c>
      <c r="E27" s="42" t="s">
        <v>2846</v>
      </c>
      <c r="F27" s="42">
        <v>837</v>
      </c>
      <c r="G27" s="42"/>
      <c r="H27" s="42">
        <v>23980</v>
      </c>
      <c r="I27" s="42">
        <v>480</v>
      </c>
      <c r="J27" s="42">
        <v>0.13</v>
      </c>
      <c r="K27" s="43">
        <f t="shared" si="30"/>
        <v>62.400000000000006</v>
      </c>
      <c r="L27" s="43">
        <f t="shared" si="31"/>
        <v>23917.599999999999</v>
      </c>
      <c r="M27" s="43"/>
      <c r="N27" s="43">
        <f t="shared" si="32"/>
        <v>23917.599999999999</v>
      </c>
      <c r="O27" s="43">
        <f t="shared" si="33"/>
        <v>1678.6000000000001</v>
      </c>
      <c r="P27" s="42">
        <v>14000</v>
      </c>
      <c r="Q27" s="42">
        <v>20.25</v>
      </c>
      <c r="R27" s="42">
        <f t="shared" si="34"/>
        <v>484331.39999999997</v>
      </c>
      <c r="S27" s="62"/>
      <c r="T27" s="62"/>
      <c r="U27" s="62"/>
      <c r="V27" s="62"/>
      <c r="W27" s="62"/>
    </row>
    <row r="28" spans="1:23">
      <c r="A28" s="63"/>
      <c r="B28" s="67"/>
      <c r="C28" s="67"/>
      <c r="D28" s="67"/>
      <c r="E28" s="67"/>
      <c r="F28" s="67"/>
      <c r="G28" s="67"/>
      <c r="H28" s="67"/>
      <c r="I28" s="67"/>
      <c r="J28" s="67"/>
      <c r="K28" s="68"/>
      <c r="L28" s="68"/>
      <c r="M28" s="68"/>
      <c r="N28" s="68"/>
      <c r="O28" s="68"/>
      <c r="P28" s="67"/>
      <c r="Q28" s="67"/>
      <c r="R28" s="67"/>
      <c r="S28" s="62"/>
      <c r="T28" s="62"/>
      <c r="U28" s="62"/>
      <c r="V28" s="62"/>
      <c r="W28" s="62"/>
    </row>
    <row r="29" spans="1:23">
      <c r="A29" s="150" t="s">
        <v>2879</v>
      </c>
      <c r="B29" s="42" t="s">
        <v>469</v>
      </c>
      <c r="C29" s="42" t="s">
        <v>88</v>
      </c>
      <c r="D29" s="42" t="s">
        <v>16</v>
      </c>
      <c r="E29" s="42" t="s">
        <v>2880</v>
      </c>
      <c r="F29" s="42">
        <v>25</v>
      </c>
      <c r="G29" s="42"/>
      <c r="H29" s="42">
        <v>17480</v>
      </c>
      <c r="I29" s="42">
        <v>289</v>
      </c>
      <c r="J29" s="42">
        <v>0.5</v>
      </c>
      <c r="K29" s="43">
        <f t="shared" ref="K29" si="35">I29*J29</f>
        <v>144.5</v>
      </c>
      <c r="L29" s="43">
        <f t="shared" ref="L29" si="36">H29-K29</f>
        <v>17335.5</v>
      </c>
      <c r="M29" s="43"/>
      <c r="N29" s="43">
        <f t="shared" ref="N29" si="37">L29-M29</f>
        <v>17335.5</v>
      </c>
      <c r="O29" s="43">
        <f t="shared" ref="O29" si="38">H29/1000*70</f>
        <v>1223.6000000000001</v>
      </c>
      <c r="P29" s="42">
        <v>19370</v>
      </c>
      <c r="Q29" s="42">
        <v>19.5</v>
      </c>
      <c r="R29" s="42">
        <f t="shared" ref="R29" si="39">L29*Q29</f>
        <v>338042.25</v>
      </c>
      <c r="S29" s="62"/>
      <c r="T29" s="62"/>
      <c r="U29" s="62"/>
      <c r="V29" s="62"/>
      <c r="W29" s="62"/>
    </row>
    <row r="30" spans="1:23">
      <c r="A30" s="63"/>
      <c r="B30" s="67"/>
      <c r="C30" s="67"/>
      <c r="D30" s="67"/>
      <c r="E30" s="67"/>
      <c r="F30" s="67"/>
      <c r="G30" s="67"/>
      <c r="H30" s="67"/>
      <c r="I30" s="67"/>
      <c r="J30" s="67"/>
      <c r="K30" s="68"/>
      <c r="L30" s="68"/>
      <c r="M30" s="68"/>
      <c r="N30" s="68"/>
      <c r="O30" s="68"/>
      <c r="P30" s="67"/>
      <c r="Q30" s="67"/>
      <c r="R30" s="67"/>
      <c r="S30" s="62"/>
      <c r="T30" s="62"/>
      <c r="U30" s="62"/>
      <c r="V30" s="62"/>
      <c r="W30" s="62"/>
    </row>
    <row r="31" spans="1:23">
      <c r="A31" s="150" t="s">
        <v>3164</v>
      </c>
      <c r="B31" s="42" t="s">
        <v>469</v>
      </c>
      <c r="C31" s="42" t="s">
        <v>88</v>
      </c>
      <c r="D31" s="42" t="s">
        <v>16</v>
      </c>
      <c r="E31" s="42" t="s">
        <v>3168</v>
      </c>
      <c r="F31" s="42">
        <v>38</v>
      </c>
      <c r="G31" s="42"/>
      <c r="H31" s="42">
        <v>14810</v>
      </c>
      <c r="I31" s="42">
        <v>245</v>
      </c>
      <c r="J31" s="42">
        <v>0.5</v>
      </c>
      <c r="K31" s="43">
        <f t="shared" ref="K31" si="40">I31*J31</f>
        <v>122.5</v>
      </c>
      <c r="L31" s="43">
        <f t="shared" ref="L31" si="41">H31-K31</f>
        <v>14687.5</v>
      </c>
      <c r="M31" s="43"/>
      <c r="N31" s="43">
        <f t="shared" ref="N31" si="42">L31-M31</f>
        <v>14687.5</v>
      </c>
      <c r="O31" s="43">
        <f t="shared" ref="O31" si="43">H31/1000*70</f>
        <v>1036.7</v>
      </c>
      <c r="P31" s="42">
        <v>15800</v>
      </c>
      <c r="Q31" s="42">
        <v>16.5</v>
      </c>
      <c r="R31" s="42">
        <f t="shared" ref="R31" si="44">L31*Q31</f>
        <v>242343.75</v>
      </c>
      <c r="S31" s="62"/>
      <c r="T31" s="62"/>
      <c r="U31" s="62"/>
      <c r="V31" s="62"/>
      <c r="W31" s="62"/>
    </row>
    <row r="32" spans="1:23">
      <c r="A32" s="63"/>
      <c r="B32" s="67"/>
      <c r="C32" s="67"/>
      <c r="D32" s="67"/>
      <c r="E32" s="67"/>
      <c r="F32" s="67"/>
      <c r="G32" s="67"/>
      <c r="H32" s="67"/>
      <c r="I32" s="67"/>
      <c r="J32" s="67"/>
      <c r="K32" s="68"/>
      <c r="L32" s="68"/>
      <c r="M32" s="68"/>
      <c r="N32" s="68"/>
      <c r="O32" s="68"/>
      <c r="P32" s="67"/>
      <c r="Q32" s="67"/>
      <c r="R32" s="67"/>
      <c r="S32" s="62"/>
      <c r="T32" s="62"/>
      <c r="U32" s="62"/>
      <c r="V32" s="62"/>
      <c r="W32" s="62"/>
    </row>
    <row r="33" spans="1:23">
      <c r="A33" s="63" t="s">
        <v>3178</v>
      </c>
      <c r="B33" s="42" t="s">
        <v>469</v>
      </c>
      <c r="C33" s="42" t="s">
        <v>88</v>
      </c>
      <c r="D33" s="42" t="s">
        <v>16</v>
      </c>
      <c r="E33" s="42" t="s">
        <v>3177</v>
      </c>
      <c r="F33" s="42">
        <v>42</v>
      </c>
      <c r="G33" s="42"/>
      <c r="H33" s="42">
        <v>14800</v>
      </c>
      <c r="I33" s="42">
        <v>254</v>
      </c>
      <c r="J33" s="42">
        <v>0.5</v>
      </c>
      <c r="K33" s="43">
        <f t="shared" ref="K33" si="45">I33*J33</f>
        <v>127</v>
      </c>
      <c r="L33" s="43">
        <f t="shared" ref="L33" si="46">H33-K33</f>
        <v>14673</v>
      </c>
      <c r="M33" s="43"/>
      <c r="N33" s="43">
        <f t="shared" ref="N33" si="47">L33-M33</f>
        <v>14673</v>
      </c>
      <c r="O33" s="43">
        <f t="shared" ref="O33" si="48">H33/1000*70</f>
        <v>1036</v>
      </c>
      <c r="P33" s="42">
        <v>22900</v>
      </c>
      <c r="Q33" s="42">
        <v>17</v>
      </c>
      <c r="R33" s="42">
        <f t="shared" ref="R33" si="49">L33*Q33</f>
        <v>249441</v>
      </c>
      <c r="S33" s="62"/>
      <c r="T33" s="62"/>
      <c r="U33" s="62"/>
      <c r="V33" s="62"/>
      <c r="W33" s="62"/>
    </row>
    <row r="34" spans="1:23">
      <c r="A34" s="63"/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8"/>
      <c r="M34" s="68"/>
      <c r="N34" s="68"/>
      <c r="O34" s="68"/>
      <c r="P34" s="67"/>
      <c r="Q34" s="67"/>
      <c r="R34" s="67"/>
      <c r="S34" s="62"/>
      <c r="T34" s="62"/>
      <c r="U34" s="62"/>
      <c r="V34" s="62"/>
      <c r="W34" s="62"/>
    </row>
    <row r="35" spans="1:23">
      <c r="A35" s="63" t="s">
        <v>3208</v>
      </c>
      <c r="B35" s="42" t="s">
        <v>469</v>
      </c>
      <c r="C35" s="42" t="s">
        <v>88</v>
      </c>
      <c r="D35" s="42" t="s">
        <v>16</v>
      </c>
      <c r="E35" s="42" t="s">
        <v>3209</v>
      </c>
      <c r="F35" s="42">
        <v>48</v>
      </c>
      <c r="G35" s="42"/>
      <c r="H35" s="42">
        <v>15650</v>
      </c>
      <c r="I35" s="42">
        <v>264</v>
      </c>
      <c r="J35" s="42">
        <v>0.13</v>
      </c>
      <c r="K35" s="43">
        <f t="shared" ref="K35:K40" si="50">I35*J35</f>
        <v>34.32</v>
      </c>
      <c r="L35" s="43">
        <f t="shared" ref="L35:L40" si="51">H35-K35</f>
        <v>15615.68</v>
      </c>
      <c r="M35" s="43"/>
      <c r="N35" s="43">
        <f t="shared" ref="N35:N40" si="52">L35-M35</f>
        <v>15615.68</v>
      </c>
      <c r="O35" s="43">
        <f t="shared" ref="O35:O40" si="53">H35/1000*70</f>
        <v>1095.5</v>
      </c>
      <c r="P35" s="42">
        <v>23000</v>
      </c>
      <c r="Q35" s="42">
        <v>16.5</v>
      </c>
      <c r="R35" s="42">
        <f t="shared" ref="R35:R40" si="54">L35*Q35</f>
        <v>257658.72</v>
      </c>
      <c r="S35" s="62"/>
      <c r="T35" s="62"/>
      <c r="U35" s="62"/>
      <c r="V35" s="62"/>
      <c r="W35" s="62"/>
    </row>
    <row r="36" spans="1:23">
      <c r="A36" s="374" t="s">
        <v>3229</v>
      </c>
      <c r="B36" s="42" t="s">
        <v>469</v>
      </c>
      <c r="C36" s="42" t="s">
        <v>88</v>
      </c>
      <c r="D36" s="42" t="s">
        <v>16</v>
      </c>
      <c r="E36" s="42" t="s">
        <v>3230</v>
      </c>
      <c r="F36" s="42">
        <v>0</v>
      </c>
      <c r="G36" s="42"/>
      <c r="H36" s="42">
        <v>9770</v>
      </c>
      <c r="I36" s="42">
        <v>195</v>
      </c>
      <c r="J36" s="42">
        <v>0.5</v>
      </c>
      <c r="K36" s="43">
        <f t="shared" si="50"/>
        <v>97.5</v>
      </c>
      <c r="L36" s="43">
        <f t="shared" si="51"/>
        <v>9672.5</v>
      </c>
      <c r="M36" s="43"/>
      <c r="N36" s="43">
        <f t="shared" si="52"/>
        <v>9672.5</v>
      </c>
      <c r="O36" s="43">
        <f t="shared" si="53"/>
        <v>683.9</v>
      </c>
      <c r="P36" s="42">
        <v>0</v>
      </c>
      <c r="Q36" s="42">
        <v>16.5</v>
      </c>
      <c r="R36" s="42">
        <f t="shared" si="54"/>
        <v>159596.25</v>
      </c>
      <c r="S36" s="62"/>
      <c r="T36" s="62"/>
      <c r="U36" s="62"/>
      <c r="V36" s="62"/>
      <c r="W36" s="62"/>
    </row>
    <row r="37" spans="1:23">
      <c r="A37" s="374"/>
      <c r="B37" s="42" t="s">
        <v>469</v>
      </c>
      <c r="C37" s="42" t="s">
        <v>88</v>
      </c>
      <c r="D37" s="42" t="s">
        <v>16</v>
      </c>
      <c r="E37" s="42" t="s">
        <v>3231</v>
      </c>
      <c r="F37" s="42">
        <v>92</v>
      </c>
      <c r="G37" s="42"/>
      <c r="H37" s="42">
        <v>15180</v>
      </c>
      <c r="I37" s="42">
        <v>260</v>
      </c>
      <c r="J37" s="42">
        <v>0.5</v>
      </c>
      <c r="K37" s="43">
        <f t="shared" si="50"/>
        <v>130</v>
      </c>
      <c r="L37" s="43">
        <f t="shared" si="51"/>
        <v>15050</v>
      </c>
      <c r="M37" s="43"/>
      <c r="N37" s="43">
        <f t="shared" si="52"/>
        <v>15050</v>
      </c>
      <c r="O37" s="43">
        <f t="shared" si="53"/>
        <v>1062.5999999999999</v>
      </c>
      <c r="P37" s="42">
        <v>23300</v>
      </c>
      <c r="Q37" s="42">
        <v>16.5</v>
      </c>
      <c r="R37" s="42">
        <f t="shared" si="54"/>
        <v>248325</v>
      </c>
      <c r="S37" s="62"/>
      <c r="T37" s="62"/>
      <c r="U37" s="62"/>
      <c r="V37" s="62"/>
      <c r="W37" s="62"/>
    </row>
    <row r="38" spans="1:23">
      <c r="A38" s="63" t="s">
        <v>3248</v>
      </c>
      <c r="B38" s="42" t="s">
        <v>469</v>
      </c>
      <c r="C38" s="42" t="s">
        <v>88</v>
      </c>
      <c r="D38" s="42" t="s">
        <v>16</v>
      </c>
      <c r="E38" s="42" t="s">
        <v>3250</v>
      </c>
      <c r="F38" s="42">
        <v>54</v>
      </c>
      <c r="G38" s="42"/>
      <c r="H38" s="42">
        <v>15985</v>
      </c>
      <c r="I38" s="42">
        <v>255</v>
      </c>
      <c r="J38" s="42">
        <v>0.5</v>
      </c>
      <c r="K38" s="43">
        <f t="shared" si="50"/>
        <v>127.5</v>
      </c>
      <c r="L38" s="43">
        <f t="shared" si="51"/>
        <v>15857.5</v>
      </c>
      <c r="M38" s="43"/>
      <c r="N38" s="43">
        <f t="shared" si="52"/>
        <v>15857.5</v>
      </c>
      <c r="O38" s="43">
        <f t="shared" si="53"/>
        <v>1118.95</v>
      </c>
      <c r="P38" s="42">
        <v>25500</v>
      </c>
      <c r="Q38" s="42">
        <v>17</v>
      </c>
      <c r="R38" s="42">
        <f t="shared" si="54"/>
        <v>269577.5</v>
      </c>
      <c r="S38" s="62"/>
      <c r="T38" s="62"/>
      <c r="U38" s="62"/>
      <c r="V38" s="62"/>
      <c r="W38" s="62"/>
    </row>
    <row r="39" spans="1:23">
      <c r="A39" s="150" t="s">
        <v>3263</v>
      </c>
      <c r="B39" s="42" t="s">
        <v>469</v>
      </c>
      <c r="C39" s="42" t="s">
        <v>88</v>
      </c>
      <c r="D39" s="42" t="s">
        <v>16</v>
      </c>
      <c r="E39" s="42" t="s">
        <v>3265</v>
      </c>
      <c r="F39" s="42">
        <v>96</v>
      </c>
      <c r="G39" s="42"/>
      <c r="H39" s="42">
        <v>12830</v>
      </c>
      <c r="I39" s="42">
        <v>224</v>
      </c>
      <c r="J39" s="42">
        <v>0.5</v>
      </c>
      <c r="K39" s="43">
        <f t="shared" si="50"/>
        <v>112</v>
      </c>
      <c r="L39" s="43">
        <f t="shared" si="51"/>
        <v>12718</v>
      </c>
      <c r="M39" s="43"/>
      <c r="N39" s="43">
        <f t="shared" si="52"/>
        <v>12718</v>
      </c>
      <c r="O39" s="43">
        <f t="shared" si="53"/>
        <v>898.1</v>
      </c>
      <c r="P39" s="42">
        <v>22500</v>
      </c>
      <c r="Q39" s="42">
        <v>17</v>
      </c>
      <c r="R39" s="42">
        <f t="shared" si="54"/>
        <v>216206</v>
      </c>
      <c r="S39" s="62"/>
      <c r="T39" s="62"/>
      <c r="U39" s="62"/>
      <c r="V39" s="62"/>
      <c r="W39" s="62"/>
    </row>
    <row r="40" spans="1:23">
      <c r="A40" s="150" t="s">
        <v>3270</v>
      </c>
      <c r="B40" s="42" t="s">
        <v>469</v>
      </c>
      <c r="C40" s="42" t="s">
        <v>88</v>
      </c>
      <c r="D40" s="42" t="s">
        <v>16</v>
      </c>
      <c r="E40" s="42" t="s">
        <v>3271</v>
      </c>
      <c r="F40" s="42">
        <v>58</v>
      </c>
      <c r="G40" s="42"/>
      <c r="H40" s="42">
        <v>17610</v>
      </c>
      <c r="I40" s="42">
        <v>279</v>
      </c>
      <c r="J40" s="42">
        <v>0.5</v>
      </c>
      <c r="K40" s="43">
        <f t="shared" si="50"/>
        <v>139.5</v>
      </c>
      <c r="L40" s="43">
        <f t="shared" si="51"/>
        <v>17470.5</v>
      </c>
      <c r="M40" s="43"/>
      <c r="N40" s="43">
        <f t="shared" si="52"/>
        <v>17470.5</v>
      </c>
      <c r="O40" s="43">
        <f t="shared" si="53"/>
        <v>1232.7</v>
      </c>
      <c r="P40" s="42">
        <v>28000</v>
      </c>
      <c r="Q40" s="42">
        <v>17</v>
      </c>
      <c r="R40" s="42">
        <f t="shared" si="54"/>
        <v>296998.5</v>
      </c>
      <c r="S40" s="62"/>
      <c r="T40" s="62"/>
      <c r="U40" s="62"/>
      <c r="V40" s="62"/>
      <c r="W40" s="62"/>
    </row>
    <row r="41" spans="1:23">
      <c r="A41" s="62"/>
      <c r="B41" s="67"/>
      <c r="C41" s="67"/>
      <c r="D41" s="67"/>
      <c r="E41" s="67"/>
      <c r="F41" s="67"/>
      <c r="G41" s="67"/>
      <c r="H41" s="67"/>
      <c r="I41" s="67"/>
      <c r="J41" s="67"/>
      <c r="K41" s="67"/>
      <c r="L41" s="68"/>
      <c r="M41" s="68"/>
      <c r="N41" s="68"/>
      <c r="O41" s="68"/>
      <c r="P41" s="67"/>
      <c r="Q41" s="67"/>
      <c r="R41" s="67"/>
      <c r="S41" s="62"/>
      <c r="T41" s="62"/>
      <c r="U41" s="62"/>
      <c r="V41" s="62"/>
      <c r="W41" s="62"/>
    </row>
    <row r="42" spans="1:23">
      <c r="A42" s="53" t="s">
        <v>3275</v>
      </c>
      <c r="B42" s="42" t="s">
        <v>469</v>
      </c>
      <c r="C42" s="42" t="s">
        <v>88</v>
      </c>
      <c r="D42" s="42" t="s">
        <v>16</v>
      </c>
      <c r="E42" s="47" t="s">
        <v>3278</v>
      </c>
      <c r="F42" s="47">
        <v>90</v>
      </c>
      <c r="G42" s="47"/>
      <c r="H42" s="47">
        <v>15690</v>
      </c>
      <c r="I42" s="47">
        <v>250</v>
      </c>
      <c r="J42" s="47">
        <v>0.5</v>
      </c>
      <c r="K42" s="43">
        <v>125</v>
      </c>
      <c r="L42" s="43">
        <v>15565</v>
      </c>
      <c r="M42" s="43"/>
      <c r="N42" s="43">
        <v>15565</v>
      </c>
      <c r="O42" s="43">
        <v>1098.3</v>
      </c>
      <c r="P42" s="42">
        <v>25500</v>
      </c>
      <c r="Q42" s="42">
        <v>17</v>
      </c>
      <c r="R42" s="42">
        <v>264605</v>
      </c>
      <c r="S42" s="62"/>
      <c r="T42" s="62"/>
      <c r="U42" s="62"/>
      <c r="V42" s="62"/>
      <c r="W42" s="62"/>
    </row>
    <row r="43" spans="1:23">
      <c r="A43" s="53" t="s">
        <v>3280</v>
      </c>
      <c r="B43" s="42" t="s">
        <v>469</v>
      </c>
      <c r="C43" s="42" t="s">
        <v>88</v>
      </c>
      <c r="D43" s="42" t="s">
        <v>16</v>
      </c>
      <c r="E43" s="47" t="s">
        <v>3283</v>
      </c>
      <c r="F43" s="47">
        <v>91</v>
      </c>
      <c r="G43" s="47"/>
      <c r="H43" s="47">
        <v>15295</v>
      </c>
      <c r="I43" s="47">
        <v>260</v>
      </c>
      <c r="J43" s="47">
        <v>0.5</v>
      </c>
      <c r="K43" s="43">
        <v>130</v>
      </c>
      <c r="L43" s="43">
        <v>15165</v>
      </c>
      <c r="M43" s="43"/>
      <c r="N43" s="43">
        <v>15165</v>
      </c>
      <c r="O43" s="43">
        <v>1070.6500000000001</v>
      </c>
      <c r="P43" s="42">
        <v>25000</v>
      </c>
      <c r="Q43" s="42">
        <v>17</v>
      </c>
      <c r="R43" s="42">
        <v>257805</v>
      </c>
      <c r="S43" s="62"/>
      <c r="T43" s="62"/>
      <c r="U43" s="62"/>
      <c r="V43" s="62"/>
      <c r="W43" s="62"/>
    </row>
    <row r="44" spans="1:23">
      <c r="A44" s="63"/>
      <c r="B44" s="67"/>
      <c r="C44" s="67"/>
      <c r="D44" s="67"/>
      <c r="E44" s="67"/>
      <c r="F44" s="67"/>
      <c r="G44" s="67"/>
      <c r="H44" s="67"/>
      <c r="I44" s="67"/>
      <c r="J44" s="67"/>
      <c r="K44" s="67"/>
      <c r="L44" s="68"/>
      <c r="M44" s="68"/>
      <c r="N44" s="68"/>
      <c r="O44" s="68"/>
      <c r="P44" s="67"/>
      <c r="Q44" s="67"/>
      <c r="R44" s="67"/>
      <c r="S44" s="62"/>
      <c r="T44" s="62"/>
      <c r="U44" s="62"/>
      <c r="V44" s="62"/>
      <c r="W44" s="62"/>
    </row>
    <row r="45" spans="1:23">
      <c r="A45" s="150" t="s">
        <v>3292</v>
      </c>
      <c r="B45" s="42" t="s">
        <v>469</v>
      </c>
      <c r="C45" s="42" t="s">
        <v>88</v>
      </c>
      <c r="D45" s="42" t="s">
        <v>16</v>
      </c>
      <c r="E45" s="47" t="s">
        <v>3295</v>
      </c>
      <c r="F45" s="47">
        <v>94</v>
      </c>
      <c r="G45" s="47"/>
      <c r="H45" s="47">
        <v>16380</v>
      </c>
      <c r="I45" s="47">
        <v>250</v>
      </c>
      <c r="J45" s="47">
        <v>0.5</v>
      </c>
      <c r="K45" s="43">
        <f t="shared" ref="K45:K50" si="55">I45*J45</f>
        <v>125</v>
      </c>
      <c r="L45" s="43">
        <f t="shared" ref="L45:L50" si="56">H45-K45</f>
        <v>16255</v>
      </c>
      <c r="M45" s="43"/>
      <c r="N45" s="43">
        <f t="shared" ref="N45:N50" si="57">L45-M45</f>
        <v>16255</v>
      </c>
      <c r="O45" s="43">
        <f t="shared" ref="O45:O50" si="58">H45/1000*70</f>
        <v>1146.5999999999999</v>
      </c>
      <c r="P45" s="42">
        <v>28200</v>
      </c>
      <c r="Q45" s="42">
        <v>17.2</v>
      </c>
      <c r="R45" s="42">
        <f t="shared" ref="R45:R50" si="59">L45*Q45</f>
        <v>279586</v>
      </c>
      <c r="S45" s="62"/>
      <c r="T45" s="62"/>
      <c r="U45" s="62"/>
      <c r="V45" s="62"/>
      <c r="W45" s="62"/>
    </row>
    <row r="46" spans="1:23">
      <c r="A46" s="374" t="s">
        <v>3329</v>
      </c>
      <c r="B46" s="42" t="s">
        <v>469</v>
      </c>
      <c r="C46" s="42" t="s">
        <v>88</v>
      </c>
      <c r="D46" s="42" t="s">
        <v>16</v>
      </c>
      <c r="E46" s="47" t="s">
        <v>3340</v>
      </c>
      <c r="F46" s="47">
        <v>4606</v>
      </c>
      <c r="G46" s="47"/>
      <c r="H46" s="47">
        <v>15930</v>
      </c>
      <c r="I46" s="47">
        <v>260</v>
      </c>
      <c r="J46" s="47">
        <v>0.5</v>
      </c>
      <c r="K46" s="43">
        <f t="shared" si="55"/>
        <v>130</v>
      </c>
      <c r="L46" s="43">
        <f t="shared" si="56"/>
        <v>15800</v>
      </c>
      <c r="M46" s="43"/>
      <c r="N46" s="43">
        <f t="shared" si="57"/>
        <v>15800</v>
      </c>
      <c r="O46" s="43">
        <f t="shared" si="58"/>
        <v>1115.0999999999999</v>
      </c>
      <c r="P46" s="42">
        <v>29890</v>
      </c>
      <c r="Q46" s="42">
        <v>17.2</v>
      </c>
      <c r="R46" s="42">
        <f t="shared" si="59"/>
        <v>271760</v>
      </c>
      <c r="S46" s="62"/>
      <c r="T46" s="62"/>
      <c r="U46" s="62"/>
      <c r="V46" s="62"/>
      <c r="W46" s="62"/>
    </row>
    <row r="47" spans="1:23">
      <c r="A47" s="374"/>
      <c r="B47" s="42" t="s">
        <v>469</v>
      </c>
      <c r="C47" s="42" t="s">
        <v>88</v>
      </c>
      <c r="D47" s="42" t="s">
        <v>16</v>
      </c>
      <c r="E47" s="47" t="s">
        <v>3341</v>
      </c>
      <c r="F47" s="47">
        <v>4609</v>
      </c>
      <c r="G47" s="47"/>
      <c r="H47" s="47">
        <v>15850</v>
      </c>
      <c r="I47" s="47">
        <v>256</v>
      </c>
      <c r="J47" s="47">
        <v>0.5</v>
      </c>
      <c r="K47" s="43">
        <f t="shared" si="55"/>
        <v>128</v>
      </c>
      <c r="L47" s="43">
        <f t="shared" si="56"/>
        <v>15722</v>
      </c>
      <c r="M47" s="43"/>
      <c r="N47" s="43">
        <f t="shared" si="57"/>
        <v>15722</v>
      </c>
      <c r="O47" s="43">
        <f t="shared" si="58"/>
        <v>1109.5</v>
      </c>
      <c r="P47" s="42">
        <v>28000</v>
      </c>
      <c r="Q47" s="42">
        <v>17.2</v>
      </c>
      <c r="R47" s="42">
        <f t="shared" si="59"/>
        <v>270418.39999999997</v>
      </c>
      <c r="S47" s="62"/>
      <c r="T47" s="62"/>
      <c r="U47" s="62"/>
      <c r="V47" s="62"/>
      <c r="W47" s="62"/>
    </row>
    <row r="48" spans="1:23">
      <c r="A48" s="150" t="s">
        <v>3360</v>
      </c>
      <c r="B48" s="42" t="s">
        <v>469</v>
      </c>
      <c r="C48" s="42" t="s">
        <v>88</v>
      </c>
      <c r="D48" s="42" t="s">
        <v>16</v>
      </c>
      <c r="E48" s="47" t="s">
        <v>3265</v>
      </c>
      <c r="F48" s="47">
        <v>4613</v>
      </c>
      <c r="G48" s="47"/>
      <c r="H48" s="47">
        <v>15310</v>
      </c>
      <c r="I48" s="47">
        <v>251</v>
      </c>
      <c r="J48" s="47">
        <v>0.5</v>
      </c>
      <c r="K48" s="43">
        <f t="shared" si="55"/>
        <v>125.5</v>
      </c>
      <c r="L48" s="43">
        <f t="shared" si="56"/>
        <v>15184.5</v>
      </c>
      <c r="M48" s="43"/>
      <c r="N48" s="43">
        <f t="shared" si="57"/>
        <v>15184.5</v>
      </c>
      <c r="O48" s="43">
        <f t="shared" si="58"/>
        <v>1071.7</v>
      </c>
      <c r="P48" s="42">
        <v>24500</v>
      </c>
      <c r="Q48" s="42">
        <v>17.2</v>
      </c>
      <c r="R48" s="42">
        <f t="shared" si="59"/>
        <v>261173.4</v>
      </c>
      <c r="S48" s="62"/>
      <c r="T48" s="62"/>
      <c r="U48" s="62"/>
      <c r="V48" s="62"/>
      <c r="W48" s="62"/>
    </row>
    <row r="49" spans="1:23">
      <c r="A49" s="150" t="s">
        <v>3395</v>
      </c>
      <c r="B49" s="42" t="s">
        <v>469</v>
      </c>
      <c r="C49" s="42" t="s">
        <v>88</v>
      </c>
      <c r="D49" s="42" t="s">
        <v>16</v>
      </c>
      <c r="E49" s="47" t="s">
        <v>3396</v>
      </c>
      <c r="F49" s="47">
        <v>0</v>
      </c>
      <c r="G49" s="47"/>
      <c r="H49" s="47">
        <v>16460</v>
      </c>
      <c r="I49" s="47">
        <f>H49/50</f>
        <v>329.2</v>
      </c>
      <c r="J49" s="47">
        <v>0.5</v>
      </c>
      <c r="K49" s="43">
        <f t="shared" si="55"/>
        <v>164.6</v>
      </c>
      <c r="L49" s="43">
        <f t="shared" si="56"/>
        <v>16295.4</v>
      </c>
      <c r="M49" s="43"/>
      <c r="N49" s="43">
        <f t="shared" si="57"/>
        <v>16295.4</v>
      </c>
      <c r="O49" s="43">
        <f t="shared" si="58"/>
        <v>1152.2</v>
      </c>
      <c r="P49" s="42">
        <v>21000</v>
      </c>
      <c r="Q49" s="42">
        <v>17.2</v>
      </c>
      <c r="R49" s="42">
        <f t="shared" si="59"/>
        <v>280280.88</v>
      </c>
      <c r="S49" s="62"/>
      <c r="T49" s="62"/>
      <c r="U49" s="62"/>
      <c r="V49" s="62"/>
      <c r="W49" s="62"/>
    </row>
    <row r="50" spans="1:23">
      <c r="A50" s="150" t="s">
        <v>3468</v>
      </c>
      <c r="B50" s="42" t="s">
        <v>3467</v>
      </c>
      <c r="C50" s="42" t="s">
        <v>88</v>
      </c>
      <c r="D50" s="42" t="s">
        <v>16</v>
      </c>
      <c r="E50" s="47" t="s">
        <v>3472</v>
      </c>
      <c r="F50" s="47">
        <v>808</v>
      </c>
      <c r="G50" s="47"/>
      <c r="H50" s="47">
        <v>19030</v>
      </c>
      <c r="I50" s="47">
        <v>325</v>
      </c>
      <c r="J50" s="47">
        <v>0.13</v>
      </c>
      <c r="K50" s="43">
        <f t="shared" si="55"/>
        <v>42.25</v>
      </c>
      <c r="L50" s="43">
        <f t="shared" si="56"/>
        <v>18987.75</v>
      </c>
      <c r="M50" s="43"/>
      <c r="N50" s="43">
        <f t="shared" si="57"/>
        <v>18987.75</v>
      </c>
      <c r="O50" s="43">
        <f t="shared" si="58"/>
        <v>1332.1000000000001</v>
      </c>
      <c r="P50" s="42">
        <v>12000</v>
      </c>
      <c r="Q50" s="42">
        <v>20.3</v>
      </c>
      <c r="R50" s="42">
        <f t="shared" si="59"/>
        <v>385451.32500000001</v>
      </c>
      <c r="S50" s="62"/>
      <c r="T50" s="62"/>
      <c r="U50" s="62"/>
      <c r="V50" s="62"/>
      <c r="W50" s="62"/>
    </row>
    <row r="51" spans="1:23">
      <c r="A51" s="62"/>
      <c r="B51" s="67"/>
      <c r="C51" s="67"/>
      <c r="D51" s="67"/>
      <c r="E51" s="67"/>
      <c r="F51" s="67"/>
      <c r="G51" s="67"/>
      <c r="H51" s="67"/>
      <c r="I51" s="67"/>
      <c r="J51" s="67"/>
      <c r="K51" s="67"/>
      <c r="L51" s="68"/>
      <c r="M51" s="68"/>
      <c r="N51" s="68"/>
      <c r="O51" s="68"/>
      <c r="P51" s="67"/>
      <c r="Q51" s="67"/>
      <c r="R51" s="67"/>
      <c r="S51" s="62"/>
      <c r="T51" s="62"/>
      <c r="U51" s="62"/>
      <c r="V51" s="62"/>
      <c r="W51" s="62"/>
    </row>
    <row r="52" spans="1:23">
      <c r="A52" s="150" t="s">
        <v>3538</v>
      </c>
      <c r="B52" s="42" t="s">
        <v>3540</v>
      </c>
      <c r="C52" s="42" t="s">
        <v>88</v>
      </c>
      <c r="D52" s="42" t="s">
        <v>16</v>
      </c>
      <c r="E52" s="47" t="s">
        <v>1894</v>
      </c>
      <c r="F52" s="47">
        <v>274</v>
      </c>
      <c r="G52" s="47"/>
      <c r="H52" s="47">
        <v>17330</v>
      </c>
      <c r="I52" s="47">
        <v>215</v>
      </c>
      <c r="J52" s="47">
        <v>0.13</v>
      </c>
      <c r="K52" s="43">
        <f t="shared" ref="K52" si="60">I52*J52</f>
        <v>27.95</v>
      </c>
      <c r="L52" s="43">
        <f t="shared" ref="L52" si="61">H52-K52</f>
        <v>17302.05</v>
      </c>
      <c r="M52" s="43"/>
      <c r="N52" s="43">
        <f t="shared" ref="N52" si="62">L52-M52</f>
        <v>17302.05</v>
      </c>
      <c r="O52" s="43">
        <f t="shared" ref="O52" si="63">H52/1000*70</f>
        <v>1213.0999999999999</v>
      </c>
      <c r="P52" s="42">
        <v>21500</v>
      </c>
      <c r="Q52" s="42"/>
      <c r="R52" s="42">
        <f t="shared" ref="R52" si="64">L52*Q52</f>
        <v>0</v>
      </c>
      <c r="S52" s="62"/>
      <c r="T52" s="62"/>
      <c r="U52" s="62"/>
      <c r="V52" s="62"/>
      <c r="W52" s="62"/>
    </row>
    <row r="53" spans="1:23">
      <c r="A53" s="63"/>
      <c r="B53" s="142"/>
      <c r="C53" s="142"/>
      <c r="D53" s="67"/>
      <c r="E53" s="67"/>
      <c r="F53" s="67"/>
      <c r="G53" s="67"/>
      <c r="H53" s="67"/>
      <c r="I53" s="67"/>
      <c r="J53" s="67"/>
      <c r="K53" s="67"/>
      <c r="L53" s="68"/>
      <c r="M53" s="68"/>
      <c r="N53" s="68"/>
      <c r="O53" s="68"/>
      <c r="P53" s="67"/>
      <c r="Q53" s="67"/>
      <c r="R53" s="67"/>
      <c r="S53" s="62"/>
      <c r="T53" s="62"/>
      <c r="U53" s="62"/>
      <c r="V53" s="62"/>
      <c r="W53" s="62"/>
    </row>
    <row r="54" spans="1:23">
      <c r="A54" s="150" t="s">
        <v>3543</v>
      </c>
      <c r="B54" s="42" t="s">
        <v>3467</v>
      </c>
      <c r="C54" s="42" t="s">
        <v>88</v>
      </c>
      <c r="D54" s="42" t="s">
        <v>16</v>
      </c>
      <c r="E54" s="47" t="s">
        <v>3544</v>
      </c>
      <c r="F54" s="47">
        <v>11350</v>
      </c>
      <c r="G54" s="47"/>
      <c r="H54" s="47">
        <v>15390</v>
      </c>
      <c r="I54" s="47">
        <v>260</v>
      </c>
      <c r="J54" s="47">
        <v>0.5</v>
      </c>
      <c r="K54" s="43">
        <f t="shared" ref="K54" si="65">I54*J54</f>
        <v>130</v>
      </c>
      <c r="L54" s="43">
        <f t="shared" ref="L54" si="66">H54-K54</f>
        <v>15260</v>
      </c>
      <c r="M54" s="43"/>
      <c r="N54" s="43">
        <f t="shared" ref="N54" si="67">L54-M54</f>
        <v>15260</v>
      </c>
      <c r="O54" s="43">
        <f t="shared" ref="O54" si="68">H54/1000*70</f>
        <v>1077.3</v>
      </c>
      <c r="P54" s="42">
        <v>17100</v>
      </c>
      <c r="Q54" s="42"/>
      <c r="R54" s="42">
        <f t="shared" ref="R54" si="69">L54*Q54</f>
        <v>0</v>
      </c>
      <c r="S54" s="42"/>
      <c r="T54" s="62"/>
      <c r="U54" s="62"/>
      <c r="V54" s="62"/>
      <c r="W54" s="62"/>
    </row>
    <row r="55" spans="1:23">
      <c r="A55" s="63"/>
      <c r="B55" s="142"/>
      <c r="C55" s="142"/>
      <c r="D55" s="67"/>
      <c r="E55" s="67"/>
      <c r="F55" s="67"/>
      <c r="G55" s="67"/>
      <c r="H55" s="67"/>
      <c r="I55" s="67"/>
      <c r="J55" s="67"/>
      <c r="K55" s="67"/>
      <c r="L55" s="68"/>
      <c r="M55" s="68"/>
      <c r="N55" s="68"/>
      <c r="O55" s="68"/>
      <c r="P55" s="67"/>
      <c r="Q55" s="67"/>
      <c r="R55" s="67"/>
      <c r="S55" s="62"/>
      <c r="T55" s="62"/>
      <c r="U55" s="62"/>
      <c r="V55" s="62"/>
      <c r="W55" s="62"/>
    </row>
    <row r="56" spans="1:23">
      <c r="A56" s="374" t="s">
        <v>3548</v>
      </c>
      <c r="B56" s="42" t="s">
        <v>3467</v>
      </c>
      <c r="C56" s="42" t="s">
        <v>88</v>
      </c>
      <c r="D56" s="42" t="s">
        <v>16</v>
      </c>
      <c r="E56" s="47" t="s">
        <v>3549</v>
      </c>
      <c r="F56" s="47">
        <v>11864</v>
      </c>
      <c r="G56" s="47"/>
      <c r="H56" s="47">
        <v>15670</v>
      </c>
      <c r="I56" s="47">
        <v>264</v>
      </c>
      <c r="J56" s="47">
        <v>0.5</v>
      </c>
      <c r="K56" s="43">
        <f t="shared" ref="K56:K58" si="70">I56*J56</f>
        <v>132</v>
      </c>
      <c r="L56" s="43">
        <f t="shared" ref="L56:L58" si="71">H56-K56</f>
        <v>15538</v>
      </c>
      <c r="M56" s="43"/>
      <c r="N56" s="43">
        <f t="shared" ref="N56:N58" si="72">L56-M56</f>
        <v>15538</v>
      </c>
      <c r="O56" s="43">
        <f t="shared" ref="O56:O58" si="73">H56/1000*70</f>
        <v>1096.9000000000001</v>
      </c>
      <c r="P56" s="42">
        <v>18200</v>
      </c>
      <c r="Q56" s="42">
        <v>20.75</v>
      </c>
      <c r="R56" s="42">
        <f t="shared" ref="R56:R58" si="74">L56*Q56</f>
        <v>322413.5</v>
      </c>
      <c r="S56" s="62"/>
      <c r="T56" s="62"/>
      <c r="U56" s="62"/>
      <c r="V56" s="62"/>
      <c r="W56" s="62"/>
    </row>
    <row r="57" spans="1:23">
      <c r="A57" s="374"/>
      <c r="B57" s="42" t="s">
        <v>3467</v>
      </c>
      <c r="C57" s="42" t="s">
        <v>88</v>
      </c>
      <c r="D57" s="42" t="s">
        <v>16</v>
      </c>
      <c r="E57" s="47" t="s">
        <v>3550</v>
      </c>
      <c r="F57" s="47">
        <v>11863</v>
      </c>
      <c r="G57" s="47"/>
      <c r="H57" s="47">
        <v>15620</v>
      </c>
      <c r="I57" s="47">
        <v>261</v>
      </c>
      <c r="J57" s="47">
        <v>0.5</v>
      </c>
      <c r="K57" s="43">
        <f t="shared" si="70"/>
        <v>130.5</v>
      </c>
      <c r="L57" s="43">
        <f t="shared" si="71"/>
        <v>15489.5</v>
      </c>
      <c r="M57" s="43"/>
      <c r="N57" s="43">
        <f t="shared" si="72"/>
        <v>15489.5</v>
      </c>
      <c r="O57" s="43">
        <f t="shared" si="73"/>
        <v>1093.3999999999999</v>
      </c>
      <c r="P57" s="42">
        <v>23200</v>
      </c>
      <c r="Q57" s="42">
        <v>20.75</v>
      </c>
      <c r="R57" s="42">
        <f t="shared" si="74"/>
        <v>321407.125</v>
      </c>
      <c r="S57" s="62"/>
      <c r="T57" s="62"/>
      <c r="U57" s="62"/>
      <c r="V57" s="62"/>
      <c r="W57" s="62"/>
    </row>
    <row r="58" spans="1:23">
      <c r="A58" s="374"/>
      <c r="B58" s="42" t="s">
        <v>3467</v>
      </c>
      <c r="C58" s="42" t="s">
        <v>88</v>
      </c>
      <c r="D58" s="42" t="s">
        <v>16</v>
      </c>
      <c r="E58" s="47" t="s">
        <v>3551</v>
      </c>
      <c r="F58" s="47">
        <v>485</v>
      </c>
      <c r="G58" s="47"/>
      <c r="H58" s="47">
        <v>15080</v>
      </c>
      <c r="I58" s="47">
        <v>252</v>
      </c>
      <c r="J58" s="47">
        <v>0.5</v>
      </c>
      <c r="K58" s="43">
        <f t="shared" si="70"/>
        <v>126</v>
      </c>
      <c r="L58" s="43">
        <f t="shared" si="71"/>
        <v>14954</v>
      </c>
      <c r="M58" s="43"/>
      <c r="N58" s="43">
        <f t="shared" si="72"/>
        <v>14954</v>
      </c>
      <c r="O58" s="43">
        <f t="shared" si="73"/>
        <v>1055.5999999999999</v>
      </c>
      <c r="P58" s="42">
        <v>10000</v>
      </c>
      <c r="Q58" s="42">
        <v>20.75</v>
      </c>
      <c r="R58" s="42">
        <f t="shared" si="74"/>
        <v>310295.5</v>
      </c>
      <c r="S58" s="62"/>
      <c r="T58" s="62"/>
      <c r="U58" s="62"/>
      <c r="V58" s="62"/>
      <c r="W58" s="62"/>
    </row>
    <row r="59" spans="1:23">
      <c r="A59" s="63"/>
      <c r="B59" s="142"/>
      <c r="C59" s="142"/>
      <c r="D59" s="67"/>
      <c r="E59" s="67"/>
      <c r="F59" s="67"/>
      <c r="G59" s="67"/>
      <c r="H59" s="67"/>
      <c r="I59" s="67"/>
      <c r="J59" s="67"/>
      <c r="K59" s="67"/>
      <c r="L59" s="68"/>
      <c r="M59" s="68"/>
      <c r="N59" s="68"/>
      <c r="O59" s="68"/>
      <c r="P59" s="67"/>
      <c r="Q59" s="67"/>
      <c r="R59" s="67"/>
      <c r="S59" s="62"/>
      <c r="T59" s="62"/>
      <c r="U59" s="62"/>
      <c r="V59" s="62"/>
      <c r="W59" s="62"/>
    </row>
    <row r="60" spans="1:23">
      <c r="A60" s="63"/>
      <c r="B60" s="142"/>
      <c r="C60" s="142"/>
      <c r="D60" s="67"/>
      <c r="E60" s="67"/>
      <c r="F60" s="67"/>
      <c r="G60" s="67"/>
      <c r="H60" s="67"/>
      <c r="I60" s="67"/>
      <c r="J60" s="67"/>
      <c r="K60" s="67"/>
      <c r="L60" s="68"/>
      <c r="M60" s="68"/>
      <c r="N60" s="68"/>
      <c r="O60" s="68"/>
      <c r="P60" s="67"/>
      <c r="Q60" s="67"/>
      <c r="R60" s="67"/>
      <c r="S60" s="62"/>
      <c r="T60" s="62"/>
      <c r="U60" s="62"/>
      <c r="V60" s="62"/>
      <c r="W60" s="62"/>
    </row>
    <row r="61" spans="1:23">
      <c r="A61" s="63"/>
      <c r="B61" s="142"/>
      <c r="C61" s="142"/>
      <c r="D61" s="67"/>
      <c r="E61" s="67"/>
      <c r="F61" s="67"/>
      <c r="G61" s="67"/>
      <c r="H61" s="67"/>
      <c r="I61" s="67"/>
      <c r="J61" s="67"/>
      <c r="K61" s="67"/>
      <c r="L61" s="68"/>
      <c r="M61" s="68"/>
      <c r="N61" s="68"/>
      <c r="O61" s="68"/>
      <c r="P61" s="67"/>
      <c r="Q61" s="67"/>
      <c r="R61" s="67"/>
      <c r="S61" s="62"/>
      <c r="T61" s="62"/>
      <c r="U61" s="62"/>
      <c r="V61" s="62"/>
      <c r="W61" s="62"/>
    </row>
    <row r="62" spans="1:23">
      <c r="A62" s="63"/>
      <c r="B62" s="142"/>
      <c r="C62" s="142"/>
      <c r="D62" s="67"/>
      <c r="E62" s="67"/>
      <c r="F62" s="67"/>
      <c r="G62" s="67"/>
      <c r="H62" s="67"/>
      <c r="I62" s="67"/>
      <c r="J62" s="67"/>
      <c r="K62" s="67"/>
      <c r="L62" s="68"/>
      <c r="M62" s="68"/>
      <c r="N62" s="68"/>
      <c r="O62" s="68"/>
      <c r="P62" s="67"/>
      <c r="Q62" s="67"/>
      <c r="R62" s="67"/>
      <c r="S62" s="62"/>
      <c r="T62" s="62"/>
      <c r="U62" s="62"/>
      <c r="V62" s="62"/>
      <c r="W62" s="62"/>
    </row>
    <row r="63" spans="1:23">
      <c r="A63" s="63"/>
      <c r="B63" s="142"/>
      <c r="C63" s="142"/>
      <c r="D63" s="67"/>
      <c r="E63" s="67"/>
      <c r="F63" s="67"/>
      <c r="G63" s="67"/>
      <c r="H63" s="67"/>
      <c r="I63" s="67"/>
      <c r="J63" s="67"/>
      <c r="K63" s="67"/>
      <c r="L63" s="68"/>
      <c r="M63" s="68"/>
      <c r="N63" s="68"/>
      <c r="O63" s="68"/>
      <c r="P63" s="67"/>
      <c r="Q63" s="67"/>
      <c r="R63" s="67"/>
      <c r="S63" s="62"/>
      <c r="T63" s="62"/>
      <c r="U63" s="62"/>
      <c r="V63" s="62"/>
      <c r="W63" s="62"/>
    </row>
    <row r="64" spans="1:23">
      <c r="A64" s="63"/>
      <c r="B64" s="142"/>
      <c r="C64" s="142"/>
      <c r="D64" s="67"/>
      <c r="E64" s="67"/>
      <c r="F64" s="67"/>
      <c r="G64" s="67"/>
      <c r="H64" s="67"/>
      <c r="I64" s="67"/>
      <c r="J64" s="67"/>
      <c r="K64" s="67"/>
      <c r="L64" s="68"/>
      <c r="M64" s="68"/>
      <c r="N64" s="68"/>
      <c r="O64" s="68"/>
      <c r="P64" s="67"/>
      <c r="Q64" s="67"/>
      <c r="R64" s="67"/>
      <c r="S64" s="62"/>
      <c r="T64" s="62"/>
      <c r="U64" s="62"/>
      <c r="V64" s="62"/>
      <c r="W64" s="62"/>
    </row>
    <row r="65" spans="1:23">
      <c r="A65" s="63"/>
      <c r="B65" s="142"/>
      <c r="C65" s="142"/>
      <c r="D65" s="67"/>
      <c r="E65" s="67"/>
      <c r="F65" s="67"/>
      <c r="G65" s="67"/>
      <c r="H65" s="67"/>
      <c r="I65" s="67"/>
      <c r="J65" s="67"/>
      <c r="K65" s="67"/>
      <c r="L65" s="68"/>
      <c r="M65" s="68"/>
      <c r="N65" s="68"/>
      <c r="O65" s="68"/>
      <c r="P65" s="67"/>
      <c r="Q65" s="67"/>
      <c r="R65" s="67"/>
      <c r="S65" s="62"/>
      <c r="T65" s="62"/>
      <c r="U65" s="62"/>
      <c r="V65" s="62"/>
      <c r="W65" s="62"/>
    </row>
    <row r="66" spans="1:23">
      <c r="A66" s="63"/>
      <c r="B66" s="142"/>
      <c r="C66" s="142"/>
      <c r="D66" s="67"/>
      <c r="E66" s="67"/>
      <c r="F66" s="67"/>
      <c r="G66" s="67"/>
      <c r="H66" s="67"/>
      <c r="I66" s="67"/>
      <c r="J66" s="67"/>
      <c r="K66" s="67"/>
      <c r="L66" s="68"/>
      <c r="M66" s="68"/>
      <c r="N66" s="68"/>
      <c r="O66" s="68"/>
      <c r="P66" s="67"/>
      <c r="Q66" s="67"/>
      <c r="R66" s="67"/>
      <c r="S66" s="62"/>
      <c r="T66" s="62"/>
      <c r="U66" s="62"/>
      <c r="V66" s="62"/>
      <c r="W66" s="62"/>
    </row>
    <row r="67" spans="1:23">
      <c r="A67" s="63"/>
      <c r="B67" s="142"/>
      <c r="C67" s="142"/>
      <c r="D67" s="67"/>
      <c r="E67" s="67"/>
      <c r="F67" s="67"/>
      <c r="G67" s="67"/>
      <c r="H67" s="67"/>
      <c r="I67" s="67"/>
      <c r="J67" s="67"/>
      <c r="K67" s="67"/>
      <c r="L67" s="68"/>
      <c r="M67" s="68"/>
      <c r="N67" s="68"/>
      <c r="O67" s="68"/>
      <c r="P67" s="67"/>
      <c r="Q67" s="67"/>
      <c r="R67" s="67"/>
      <c r="S67" s="62"/>
      <c r="T67" s="62"/>
      <c r="U67" s="62"/>
      <c r="V67" s="62"/>
      <c r="W67" s="62"/>
    </row>
    <row r="68" spans="1:23">
      <c r="A68" s="63"/>
      <c r="B68" s="142"/>
      <c r="C68" s="142"/>
      <c r="D68" s="67"/>
      <c r="E68" s="67"/>
      <c r="F68" s="67"/>
      <c r="G68" s="67"/>
      <c r="H68" s="67"/>
      <c r="I68" s="67"/>
      <c r="J68" s="67"/>
      <c r="K68" s="67"/>
      <c r="L68" s="68"/>
      <c r="M68" s="68"/>
      <c r="N68" s="68"/>
      <c r="O68" s="68"/>
      <c r="P68" s="67"/>
      <c r="Q68" s="67"/>
      <c r="R68" s="67"/>
      <c r="S68" s="62"/>
      <c r="T68" s="62"/>
      <c r="U68" s="62"/>
      <c r="V68" s="62"/>
      <c r="W68" s="62"/>
    </row>
    <row r="69" spans="1:23">
      <c r="A69" s="63"/>
      <c r="B69" s="142"/>
      <c r="C69" s="142"/>
      <c r="D69" s="67"/>
      <c r="E69" s="67"/>
      <c r="F69" s="67"/>
      <c r="G69" s="67"/>
      <c r="H69" s="67"/>
      <c r="I69" s="67"/>
      <c r="J69" s="67"/>
      <c r="K69" s="67"/>
      <c r="L69" s="68"/>
      <c r="M69" s="68"/>
      <c r="N69" s="68"/>
      <c r="O69" s="68"/>
      <c r="P69" s="67"/>
      <c r="Q69" s="67"/>
      <c r="R69" s="67"/>
      <c r="S69" s="62"/>
      <c r="T69" s="62"/>
      <c r="U69" s="62"/>
      <c r="V69" s="62"/>
      <c r="W69" s="62"/>
    </row>
    <row r="70" spans="1:23">
      <c r="A70" s="63"/>
      <c r="B70" s="142"/>
      <c r="C70" s="142"/>
      <c r="D70" s="67"/>
      <c r="E70" s="67"/>
      <c r="F70" s="67"/>
      <c r="G70" s="67"/>
      <c r="H70" s="67"/>
      <c r="I70" s="67"/>
      <c r="J70" s="67"/>
      <c r="K70" s="67"/>
      <c r="L70" s="68"/>
      <c r="M70" s="68"/>
      <c r="N70" s="68"/>
      <c r="O70" s="68"/>
      <c r="P70" s="67"/>
      <c r="Q70" s="67"/>
      <c r="R70" s="67"/>
      <c r="S70" s="62"/>
      <c r="T70" s="62"/>
      <c r="U70" s="62"/>
      <c r="V70" s="62"/>
      <c r="W70" s="62"/>
    </row>
    <row r="71" spans="1:23">
      <c r="A71" s="63"/>
      <c r="B71" s="142"/>
      <c r="C71" s="142"/>
      <c r="D71" s="67"/>
      <c r="E71" s="67"/>
      <c r="F71" s="67"/>
      <c r="G71" s="67"/>
      <c r="H71" s="67"/>
      <c r="I71" s="67"/>
      <c r="J71" s="67"/>
      <c r="K71" s="67"/>
      <c r="L71" s="68"/>
      <c r="M71" s="68"/>
      <c r="N71" s="68"/>
      <c r="O71" s="68"/>
      <c r="P71" s="67"/>
      <c r="Q71" s="67"/>
      <c r="R71" s="67"/>
      <c r="S71" s="62"/>
      <c r="T71" s="62"/>
      <c r="U71" s="62"/>
      <c r="V71" s="62"/>
      <c r="W71" s="62"/>
    </row>
    <row r="72" spans="1:23">
      <c r="A72" s="63"/>
      <c r="B72" s="142"/>
      <c r="C72" s="142"/>
      <c r="D72" s="67"/>
      <c r="E72" s="67"/>
      <c r="F72" s="67"/>
      <c r="G72" s="67"/>
      <c r="H72" s="67"/>
      <c r="I72" s="67"/>
      <c r="J72" s="67"/>
      <c r="K72" s="67"/>
      <c r="L72" s="68"/>
      <c r="M72" s="68"/>
      <c r="N72" s="68"/>
      <c r="O72" s="68"/>
      <c r="P72" s="67"/>
      <c r="Q72" s="67"/>
      <c r="R72" s="67"/>
      <c r="S72" s="62"/>
      <c r="T72" s="62"/>
      <c r="U72" s="62"/>
      <c r="V72" s="62"/>
      <c r="W72" s="62"/>
    </row>
    <row r="73" spans="1:23">
      <c r="A73" s="63"/>
      <c r="B73" s="142"/>
      <c r="C73" s="142"/>
      <c r="D73" s="67"/>
      <c r="E73" s="67"/>
      <c r="F73" s="67"/>
      <c r="G73" s="67"/>
      <c r="H73" s="67"/>
      <c r="I73" s="67"/>
      <c r="J73" s="67"/>
      <c r="K73" s="67"/>
      <c r="L73" s="68"/>
      <c r="M73" s="68"/>
      <c r="N73" s="68"/>
      <c r="O73" s="68"/>
      <c r="P73" s="67"/>
      <c r="Q73" s="67"/>
      <c r="R73" s="67"/>
      <c r="S73" s="62"/>
      <c r="T73" s="62"/>
      <c r="U73" s="62"/>
      <c r="V73" s="62"/>
      <c r="W73" s="62"/>
    </row>
    <row r="74" spans="1:23">
      <c r="A74" s="63"/>
      <c r="B74" s="142"/>
      <c r="C74" s="142"/>
      <c r="D74" s="67"/>
      <c r="E74" s="67"/>
      <c r="F74" s="67"/>
      <c r="G74" s="67"/>
      <c r="H74" s="67"/>
      <c r="I74" s="67"/>
      <c r="J74" s="67"/>
      <c r="K74" s="67"/>
      <c r="L74" s="68"/>
      <c r="M74" s="68"/>
      <c r="N74" s="68"/>
      <c r="O74" s="68"/>
      <c r="P74" s="67"/>
      <c r="Q74" s="67"/>
      <c r="R74" s="67"/>
      <c r="S74" s="62"/>
      <c r="T74" s="62"/>
      <c r="U74" s="62"/>
      <c r="V74" s="62"/>
      <c r="W74" s="62"/>
    </row>
    <row r="75" spans="1:23">
      <c r="A75" s="63"/>
      <c r="B75" s="142"/>
      <c r="C75" s="142"/>
      <c r="D75" s="67"/>
      <c r="E75" s="67"/>
      <c r="F75" s="67"/>
      <c r="G75" s="67"/>
      <c r="H75" s="67"/>
      <c r="I75" s="67"/>
      <c r="J75" s="67"/>
      <c r="K75" s="67"/>
      <c r="L75" s="68"/>
      <c r="M75" s="68"/>
      <c r="N75" s="68"/>
      <c r="O75" s="68"/>
      <c r="P75" s="67"/>
      <c r="Q75" s="67"/>
      <c r="R75" s="67"/>
      <c r="S75" s="62"/>
      <c r="T75" s="62"/>
      <c r="U75" s="62"/>
      <c r="V75" s="62"/>
      <c r="W75" s="62"/>
    </row>
    <row r="76" spans="1:23">
      <c r="A76" s="63"/>
      <c r="B76" s="142"/>
      <c r="C76" s="142"/>
      <c r="D76" s="67"/>
      <c r="E76" s="67"/>
      <c r="F76" s="67"/>
      <c r="G76" s="67"/>
      <c r="H76" s="67"/>
      <c r="I76" s="67"/>
      <c r="J76" s="67"/>
      <c r="K76" s="67"/>
      <c r="L76" s="68"/>
      <c r="M76" s="68"/>
      <c r="N76" s="68"/>
      <c r="O76" s="68"/>
      <c r="P76" s="67"/>
      <c r="Q76" s="67"/>
      <c r="R76" s="67"/>
      <c r="S76" s="62"/>
      <c r="T76" s="62"/>
      <c r="U76" s="62"/>
      <c r="V76" s="62"/>
      <c r="W76" s="62"/>
    </row>
    <row r="77" spans="1:23">
      <c r="A77" s="63"/>
      <c r="B77" s="142"/>
      <c r="C77" s="142"/>
      <c r="D77" s="67"/>
      <c r="E77" s="67"/>
      <c r="F77" s="67"/>
      <c r="G77" s="67"/>
      <c r="H77" s="67"/>
      <c r="I77" s="67"/>
      <c r="J77" s="67"/>
      <c r="K77" s="67"/>
      <c r="L77" s="68"/>
      <c r="M77" s="68"/>
      <c r="N77" s="68"/>
      <c r="O77" s="68"/>
      <c r="P77" s="67"/>
      <c r="Q77" s="67"/>
      <c r="R77" s="67"/>
      <c r="S77" s="62"/>
      <c r="T77" s="62"/>
      <c r="U77" s="62"/>
      <c r="V77" s="62"/>
      <c r="W77" s="62"/>
    </row>
    <row r="78" spans="1:23">
      <c r="A78" s="62"/>
      <c r="B78" s="142"/>
      <c r="C78" s="142"/>
      <c r="D78" s="67"/>
      <c r="E78" s="67"/>
      <c r="F78" s="67"/>
      <c r="G78" s="67"/>
      <c r="H78" s="67"/>
      <c r="I78" s="67"/>
      <c r="J78" s="67"/>
      <c r="K78" s="67"/>
      <c r="L78" s="68"/>
      <c r="M78" s="68"/>
      <c r="N78" s="68"/>
      <c r="O78" s="68"/>
      <c r="P78" s="67"/>
      <c r="Q78" s="67"/>
      <c r="R78" s="67"/>
      <c r="S78" s="62"/>
      <c r="T78" s="62"/>
      <c r="U78" s="62"/>
      <c r="V78" s="62"/>
      <c r="W78" s="62"/>
    </row>
    <row r="79" spans="1:23">
      <c r="A79" s="62"/>
      <c r="B79" s="62"/>
      <c r="C79" s="62"/>
      <c r="D79" s="62"/>
      <c r="E79" s="62"/>
      <c r="F79" s="62"/>
      <c r="G79" s="62"/>
      <c r="H79" s="62"/>
      <c r="I79" s="62"/>
      <c r="J79" s="62"/>
      <c r="K79" s="62"/>
      <c r="L79" s="62"/>
      <c r="M79" s="62"/>
      <c r="N79" s="62"/>
      <c r="O79" s="62"/>
      <c r="P79" s="62"/>
      <c r="Q79" s="62"/>
      <c r="R79" s="62"/>
      <c r="S79" s="62"/>
      <c r="T79" s="62"/>
      <c r="U79" s="62"/>
      <c r="V79" s="62"/>
      <c r="W79" s="62"/>
    </row>
    <row r="80" spans="1:23">
      <c r="A80" s="62"/>
      <c r="B80" s="62"/>
      <c r="C80" s="62"/>
      <c r="D80" s="62"/>
      <c r="E80" s="62"/>
      <c r="F80" s="62"/>
      <c r="G80" s="62"/>
      <c r="H80" s="62"/>
      <c r="I80" s="62"/>
      <c r="J80" s="62"/>
      <c r="K80" s="62"/>
      <c r="L80" s="62"/>
      <c r="M80" s="62"/>
      <c r="N80" s="62"/>
      <c r="O80" s="62"/>
      <c r="P80" s="62"/>
      <c r="Q80" s="62"/>
      <c r="R80" s="62"/>
      <c r="S80" s="62"/>
      <c r="T80" s="62"/>
      <c r="U80" s="62"/>
      <c r="V80" s="62"/>
      <c r="W80" s="62"/>
    </row>
    <row r="81" spans="1:23">
      <c r="A81" s="62"/>
      <c r="B81" s="62"/>
      <c r="C81" s="62"/>
      <c r="D81" s="62"/>
      <c r="E81" s="62"/>
      <c r="F81" s="62"/>
      <c r="G81" s="62"/>
      <c r="H81" s="62"/>
      <c r="I81" s="62"/>
      <c r="J81" s="62"/>
      <c r="K81" s="62"/>
      <c r="L81" s="62"/>
      <c r="M81" s="62"/>
      <c r="N81" s="62"/>
      <c r="O81" s="62"/>
      <c r="P81" s="62"/>
      <c r="Q81" s="62"/>
      <c r="R81" s="62"/>
      <c r="S81" s="62"/>
      <c r="T81" s="62"/>
      <c r="U81" s="62"/>
      <c r="V81" s="62"/>
      <c r="W81" s="62"/>
    </row>
    <row r="82" spans="1:23">
      <c r="A82" s="62"/>
      <c r="B82" s="62"/>
      <c r="C82" s="62"/>
      <c r="D82" s="62"/>
      <c r="E82" s="62"/>
      <c r="F82" s="62"/>
      <c r="G82" s="62"/>
      <c r="H82" s="62"/>
      <c r="I82" s="62"/>
      <c r="J82" s="62"/>
      <c r="K82" s="62"/>
      <c r="L82" s="62"/>
      <c r="M82" s="62"/>
      <c r="N82" s="62"/>
      <c r="O82" s="62"/>
      <c r="P82" s="62"/>
      <c r="Q82" s="62"/>
      <c r="R82" s="62"/>
      <c r="S82" s="62"/>
      <c r="T82" s="62"/>
      <c r="U82" s="62"/>
      <c r="V82" s="62"/>
      <c r="W82" s="62"/>
    </row>
    <row r="83" spans="1:23">
      <c r="A83" s="62"/>
      <c r="B83" s="62"/>
      <c r="C83" s="62"/>
      <c r="D83" s="62"/>
      <c r="E83" s="62"/>
      <c r="F83" s="62"/>
      <c r="G83" s="62"/>
      <c r="H83" s="62"/>
      <c r="I83" s="62"/>
      <c r="J83" s="62"/>
      <c r="K83" s="62"/>
      <c r="L83" s="62"/>
      <c r="M83" s="62"/>
      <c r="N83" s="62"/>
      <c r="O83" s="62"/>
      <c r="P83" s="62"/>
      <c r="Q83" s="62"/>
      <c r="R83" s="62"/>
      <c r="S83" s="62"/>
      <c r="T83" s="62"/>
      <c r="U83" s="62"/>
      <c r="V83" s="62"/>
      <c r="W83" s="62"/>
    </row>
    <row r="105" spans="12:12">
      <c r="L105" s="16">
        <f>SUM(L7:L104)</f>
        <v>571920.26</v>
      </c>
    </row>
  </sheetData>
  <mergeCells count="5">
    <mergeCell ref="A10:A12"/>
    <mergeCell ref="A16:A17"/>
    <mergeCell ref="A36:A37"/>
    <mergeCell ref="A46:A47"/>
    <mergeCell ref="A56:A58"/>
  </mergeCells>
  <pageMargins left="0.7" right="0.7" top="0.75" bottom="0.75" header="0.3" footer="0.3"/>
  <pageSetup paperSize="9" orientation="landscape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>
  <dimension ref="A5:W100"/>
  <sheetViews>
    <sheetView topLeftCell="A4" workbookViewId="0">
      <selection activeCell="H24" sqref="H24"/>
    </sheetView>
  </sheetViews>
  <sheetFormatPr defaultRowHeight="14.4"/>
  <cols>
    <col min="1" max="1" width="7.88671875" style="1" customWidth="1"/>
    <col min="2" max="2" width="22" style="1" customWidth="1"/>
    <col min="3" max="3" width="7.77734375" style="1" customWidth="1"/>
    <col min="4" max="4" width="4.77734375" style="1" customWidth="1"/>
    <col min="5" max="5" width="9.88671875" style="1" customWidth="1"/>
    <col min="6" max="6" width="7.6640625" style="1" customWidth="1"/>
    <col min="7" max="7" width="6.6640625" style="1" customWidth="1"/>
    <col min="8" max="8" width="7.44140625" style="1" customWidth="1"/>
    <col min="9" max="9" width="5.88671875" style="1" customWidth="1"/>
    <col min="10" max="10" width="6" style="1" customWidth="1"/>
    <col min="11" max="11" width="8.44140625" style="1" customWidth="1"/>
    <col min="12" max="12" width="8.21875" style="1" customWidth="1"/>
    <col min="13" max="13" width="7.33203125" style="1" customWidth="1"/>
    <col min="14" max="18" width="8.88671875" style="1"/>
    <col min="19" max="19" width="16.21875" style="1" customWidth="1"/>
    <col min="20" max="16384" width="8.88671875" style="1"/>
  </cols>
  <sheetData>
    <row r="5" spans="1:23" ht="23.4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3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676</v>
      </c>
      <c r="M5" s="95" t="s">
        <v>677</v>
      </c>
      <c r="N5" s="3" t="s">
        <v>11</v>
      </c>
      <c r="O5" s="3" t="s">
        <v>36</v>
      </c>
      <c r="P5" s="3" t="s">
        <v>12</v>
      </c>
      <c r="Q5" s="3" t="s">
        <v>256</v>
      </c>
      <c r="R5" s="3" t="s">
        <v>257</v>
      </c>
      <c r="S5" s="3" t="s">
        <v>2</v>
      </c>
      <c r="T5" s="14" t="s">
        <v>80</v>
      </c>
      <c r="U5" s="14" t="s">
        <v>125</v>
      </c>
    </row>
    <row r="6" spans="1:23">
      <c r="A6" s="63"/>
      <c r="B6" s="276"/>
      <c r="C6" s="276"/>
      <c r="D6" s="276"/>
      <c r="E6" s="276"/>
      <c r="F6" s="276"/>
      <c r="G6" s="276"/>
      <c r="H6" s="276"/>
      <c r="I6" s="276"/>
      <c r="J6" s="276"/>
      <c r="K6" s="276"/>
      <c r="L6" s="61"/>
      <c r="M6" s="61"/>
      <c r="N6" s="276"/>
      <c r="O6" s="62"/>
      <c r="P6" s="62"/>
      <c r="Q6" s="62"/>
      <c r="R6" s="62"/>
      <c r="S6" s="62"/>
      <c r="U6" s="17"/>
    </row>
    <row r="7" spans="1:23">
      <c r="A7" s="63"/>
      <c r="B7" s="67"/>
      <c r="C7" s="67"/>
      <c r="D7" s="67"/>
      <c r="E7" s="67"/>
      <c r="F7" s="67"/>
      <c r="G7" s="67"/>
      <c r="H7" s="67"/>
      <c r="I7" s="67"/>
      <c r="J7" s="67"/>
      <c r="K7" s="68"/>
      <c r="L7" s="68"/>
      <c r="M7" s="68"/>
      <c r="N7" s="68"/>
      <c r="O7" s="68"/>
      <c r="P7" s="67"/>
      <c r="Q7" s="62"/>
      <c r="R7" s="62"/>
      <c r="S7" s="62"/>
      <c r="T7" s="62"/>
      <c r="U7" s="62"/>
      <c r="V7" s="62"/>
      <c r="W7" s="62"/>
    </row>
    <row r="8" spans="1:23">
      <c r="A8" s="63"/>
      <c r="B8" s="67"/>
      <c r="C8" s="67"/>
      <c r="D8" s="67"/>
      <c r="E8" s="67"/>
      <c r="F8" s="67"/>
      <c r="G8" s="67"/>
      <c r="H8" s="67"/>
      <c r="I8" s="67"/>
      <c r="J8" s="67"/>
      <c r="K8" s="67"/>
      <c r="L8" s="68"/>
      <c r="M8" s="68"/>
      <c r="N8" s="68"/>
      <c r="O8" s="68"/>
      <c r="P8" s="67"/>
      <c r="Q8" s="62"/>
      <c r="R8" s="62"/>
      <c r="S8" s="62"/>
      <c r="T8" s="62"/>
      <c r="U8" s="62"/>
      <c r="V8" s="62"/>
      <c r="W8" s="62"/>
    </row>
    <row r="9" spans="1:23">
      <c r="A9" s="63"/>
      <c r="B9" s="67"/>
      <c r="C9" s="67"/>
      <c r="D9" s="67"/>
      <c r="E9" s="67"/>
      <c r="F9" s="67"/>
      <c r="G9" s="67"/>
      <c r="H9" s="67"/>
      <c r="I9" s="67"/>
      <c r="J9" s="67"/>
      <c r="K9" s="68"/>
      <c r="L9" s="68"/>
      <c r="M9" s="68"/>
      <c r="N9" s="68"/>
      <c r="O9" s="68"/>
      <c r="P9" s="67"/>
      <c r="Q9" s="62"/>
      <c r="R9" s="62"/>
      <c r="S9" s="62"/>
      <c r="T9" s="62"/>
      <c r="U9" s="62"/>
      <c r="V9" s="62"/>
      <c r="W9" s="62"/>
    </row>
    <row r="10" spans="1:23">
      <c r="A10" s="63"/>
      <c r="B10" s="67"/>
      <c r="C10" s="67"/>
      <c r="D10" s="67"/>
      <c r="E10" s="67"/>
      <c r="F10" s="67"/>
      <c r="G10" s="67"/>
      <c r="H10" s="67"/>
      <c r="I10" s="67"/>
      <c r="J10" s="67"/>
      <c r="K10" s="68"/>
      <c r="L10" s="68"/>
      <c r="M10" s="68"/>
      <c r="N10" s="68"/>
      <c r="O10" s="68"/>
      <c r="P10" s="67"/>
      <c r="Q10" s="62"/>
      <c r="R10" s="62"/>
      <c r="S10" s="62"/>
      <c r="T10" s="62"/>
      <c r="U10" s="62"/>
      <c r="V10" s="62"/>
      <c r="W10" s="62"/>
    </row>
    <row r="11" spans="1:23">
      <c r="A11" s="63"/>
      <c r="B11" s="67"/>
      <c r="C11" s="67"/>
      <c r="D11" s="67"/>
      <c r="E11" s="67"/>
      <c r="F11" s="67"/>
      <c r="G11" s="67"/>
      <c r="H11" s="67"/>
      <c r="I11" s="67"/>
      <c r="J11" s="67"/>
      <c r="K11" s="68"/>
      <c r="L11" s="68"/>
      <c r="M11" s="68"/>
      <c r="N11" s="68"/>
      <c r="O11" s="68"/>
      <c r="P11" s="67"/>
      <c r="Q11" s="62"/>
      <c r="R11" s="62"/>
      <c r="S11" s="62"/>
      <c r="T11" s="62"/>
      <c r="U11" s="62"/>
      <c r="V11" s="62"/>
      <c r="W11" s="62"/>
    </row>
    <row r="12" spans="1:23">
      <c r="A12" s="374" t="s">
        <v>2610</v>
      </c>
      <c r="B12" s="42" t="s">
        <v>2617</v>
      </c>
      <c r="C12" s="42" t="s">
        <v>88</v>
      </c>
      <c r="D12" s="42" t="s">
        <v>16</v>
      </c>
      <c r="E12" s="42" t="s">
        <v>2612</v>
      </c>
      <c r="F12" s="42">
        <v>55478</v>
      </c>
      <c r="G12" s="42"/>
      <c r="H12" s="42">
        <v>15000</v>
      </c>
      <c r="I12" s="42">
        <v>300</v>
      </c>
      <c r="J12" s="42">
        <v>0.13</v>
      </c>
      <c r="K12" s="43">
        <f t="shared" ref="K12:K14" si="0">I12*J12</f>
        <v>39</v>
      </c>
      <c r="L12" s="43">
        <f t="shared" ref="L12:L14" si="1">H12-K12</f>
        <v>14961</v>
      </c>
      <c r="M12" s="43"/>
      <c r="N12" s="43">
        <f t="shared" ref="N12:N14" si="2">L12-M12</f>
        <v>14961</v>
      </c>
      <c r="O12" s="43">
        <f t="shared" ref="O12:O14" si="3">H12/1000*70</f>
        <v>1050</v>
      </c>
      <c r="P12" s="42">
        <v>10000</v>
      </c>
      <c r="Q12" s="42">
        <v>21.5</v>
      </c>
      <c r="R12" s="42">
        <f t="shared" ref="R12:R14" si="4">L12*Q12</f>
        <v>321661.5</v>
      </c>
      <c r="S12" s="62"/>
      <c r="T12" s="62"/>
      <c r="U12" s="62"/>
      <c r="V12" s="62"/>
      <c r="W12" s="62"/>
    </row>
    <row r="13" spans="1:23">
      <c r="A13" s="374"/>
      <c r="B13" s="42" t="s">
        <v>2617</v>
      </c>
      <c r="C13" s="42" t="s">
        <v>88</v>
      </c>
      <c r="D13" s="42" t="s">
        <v>16</v>
      </c>
      <c r="E13" s="42" t="s">
        <v>2613</v>
      </c>
      <c r="F13" s="42">
        <v>55481</v>
      </c>
      <c r="G13" s="42"/>
      <c r="H13" s="42">
        <v>20000</v>
      </c>
      <c r="I13" s="42">
        <v>400</v>
      </c>
      <c r="J13" s="42">
        <v>0.13</v>
      </c>
      <c r="K13" s="43">
        <f t="shared" si="0"/>
        <v>52</v>
      </c>
      <c r="L13" s="43">
        <f t="shared" si="1"/>
        <v>19948</v>
      </c>
      <c r="M13" s="43"/>
      <c r="N13" s="43">
        <f t="shared" si="2"/>
        <v>19948</v>
      </c>
      <c r="O13" s="43">
        <f t="shared" si="3"/>
        <v>1400</v>
      </c>
      <c r="P13" s="42">
        <v>11500</v>
      </c>
      <c r="Q13" s="42">
        <v>21.5</v>
      </c>
      <c r="R13" s="42">
        <f t="shared" si="4"/>
        <v>428882</v>
      </c>
      <c r="S13" s="62"/>
      <c r="T13" s="62"/>
      <c r="U13" s="62"/>
      <c r="V13" s="62"/>
      <c r="W13" s="62"/>
    </row>
    <row r="14" spans="1:23">
      <c r="A14" s="374"/>
      <c r="B14" s="42" t="s">
        <v>2617</v>
      </c>
      <c r="C14" s="42" t="s">
        <v>88</v>
      </c>
      <c r="D14" s="42" t="s">
        <v>16</v>
      </c>
      <c r="E14" s="42" t="s">
        <v>2614</v>
      </c>
      <c r="F14" s="42">
        <v>55471</v>
      </c>
      <c r="G14" s="42"/>
      <c r="H14" s="42">
        <v>20000</v>
      </c>
      <c r="I14" s="42">
        <v>400</v>
      </c>
      <c r="J14" s="42">
        <v>0.13</v>
      </c>
      <c r="K14" s="43">
        <f t="shared" si="0"/>
        <v>52</v>
      </c>
      <c r="L14" s="43">
        <f t="shared" si="1"/>
        <v>19948</v>
      </c>
      <c r="M14" s="43"/>
      <c r="N14" s="43">
        <f t="shared" si="2"/>
        <v>19948</v>
      </c>
      <c r="O14" s="43">
        <f t="shared" si="3"/>
        <v>1400</v>
      </c>
      <c r="P14" s="42">
        <v>11500</v>
      </c>
      <c r="Q14" s="42">
        <v>21.5</v>
      </c>
      <c r="R14" s="42">
        <f t="shared" si="4"/>
        <v>428882</v>
      </c>
      <c r="S14" s="62"/>
      <c r="T14" s="62"/>
      <c r="U14" s="62"/>
      <c r="V14" s="62"/>
      <c r="W14" s="62"/>
    </row>
    <row r="15" spans="1:23">
      <c r="A15" s="63"/>
      <c r="B15" s="67"/>
      <c r="C15" s="67"/>
      <c r="D15" s="67"/>
      <c r="E15" s="67"/>
      <c r="F15" s="67"/>
      <c r="G15" s="67"/>
      <c r="H15" s="67"/>
      <c r="I15" s="67"/>
      <c r="J15" s="67"/>
      <c r="K15" s="68"/>
      <c r="L15" s="68"/>
      <c r="M15" s="68"/>
      <c r="N15" s="68"/>
      <c r="O15" s="68"/>
      <c r="P15" s="149"/>
      <c r="Q15" s="62"/>
      <c r="R15" s="62"/>
      <c r="S15" s="62"/>
      <c r="T15" s="62"/>
      <c r="U15" s="62"/>
      <c r="V15" s="62"/>
      <c r="W15" s="62"/>
    </row>
    <row r="16" spans="1:23">
      <c r="A16" s="63"/>
      <c r="B16" s="67"/>
      <c r="C16" s="67"/>
      <c r="D16" s="67"/>
      <c r="E16" s="67"/>
      <c r="F16" s="67"/>
      <c r="G16" s="67"/>
      <c r="H16" s="67"/>
      <c r="I16" s="67"/>
      <c r="J16" s="67"/>
      <c r="K16" s="68"/>
      <c r="L16" s="68"/>
      <c r="M16" s="68"/>
      <c r="N16" s="68"/>
      <c r="O16" s="68"/>
      <c r="P16" s="149"/>
      <c r="Q16" s="62"/>
      <c r="R16" s="62"/>
      <c r="S16" s="62"/>
      <c r="T16" s="62"/>
      <c r="U16" s="62"/>
      <c r="V16" s="62"/>
      <c r="W16" s="62"/>
    </row>
    <row r="17" spans="1:23">
      <c r="A17" s="63"/>
      <c r="B17" s="67"/>
      <c r="C17" s="67"/>
      <c r="D17" s="67"/>
      <c r="E17" s="67"/>
      <c r="F17" s="67"/>
      <c r="G17" s="67"/>
      <c r="H17" s="67"/>
      <c r="I17" s="67"/>
      <c r="J17" s="67"/>
      <c r="K17" s="68"/>
      <c r="L17" s="68"/>
      <c r="M17" s="68"/>
      <c r="N17" s="68"/>
      <c r="O17" s="68"/>
      <c r="P17" s="149"/>
      <c r="Q17" s="62"/>
      <c r="R17" s="62"/>
      <c r="S17" s="62"/>
      <c r="T17" s="62"/>
      <c r="U17" s="62"/>
      <c r="V17" s="62"/>
      <c r="W17" s="62"/>
    </row>
    <row r="18" spans="1:23">
      <c r="A18" s="63"/>
      <c r="B18" s="67"/>
      <c r="C18" s="67"/>
      <c r="D18" s="67"/>
      <c r="E18" s="67"/>
      <c r="F18" s="67"/>
      <c r="G18" s="67"/>
      <c r="H18" s="67"/>
      <c r="I18" s="67"/>
      <c r="J18" s="67"/>
      <c r="K18" s="68"/>
      <c r="L18" s="68"/>
      <c r="M18" s="68"/>
      <c r="N18" s="68"/>
      <c r="O18" s="68"/>
      <c r="P18" s="149"/>
      <c r="Q18" s="62"/>
      <c r="R18" s="62"/>
      <c r="S18" s="62"/>
      <c r="T18" s="62"/>
      <c r="U18" s="62"/>
      <c r="V18" s="62"/>
      <c r="W18" s="62"/>
    </row>
    <row r="19" spans="1:23">
      <c r="A19" s="63"/>
      <c r="B19" s="67"/>
      <c r="C19" s="67"/>
      <c r="D19" s="67"/>
      <c r="E19" s="67"/>
      <c r="F19" s="67"/>
      <c r="G19" s="67"/>
      <c r="H19" s="67"/>
      <c r="I19" s="67"/>
      <c r="J19" s="67"/>
      <c r="K19" s="68"/>
      <c r="L19" s="68"/>
      <c r="M19" s="68"/>
      <c r="N19" s="68"/>
      <c r="O19" s="68"/>
      <c r="P19" s="149"/>
      <c r="Q19" s="62"/>
      <c r="R19" s="62"/>
      <c r="S19" s="62"/>
      <c r="T19" s="62"/>
      <c r="U19" s="62"/>
      <c r="V19" s="62"/>
      <c r="W19" s="62"/>
    </row>
    <row r="20" spans="1:23">
      <c r="A20" s="63"/>
      <c r="B20" s="67"/>
      <c r="C20" s="67"/>
      <c r="D20" s="67"/>
      <c r="E20" s="67"/>
      <c r="F20" s="67"/>
      <c r="G20" s="67"/>
      <c r="H20" s="67"/>
      <c r="I20" s="67"/>
      <c r="J20" s="67"/>
      <c r="K20" s="68"/>
      <c r="L20" s="68"/>
      <c r="M20" s="68"/>
      <c r="N20" s="68"/>
      <c r="O20" s="68"/>
      <c r="P20" s="149"/>
      <c r="Q20" s="62"/>
      <c r="R20" s="62"/>
      <c r="S20" s="62"/>
      <c r="T20" s="62"/>
      <c r="U20" s="62"/>
      <c r="V20" s="62"/>
      <c r="W20" s="62"/>
    </row>
    <row r="21" spans="1:23">
      <c r="A21" s="63"/>
      <c r="B21" s="67"/>
      <c r="C21" s="67"/>
      <c r="D21" s="67"/>
      <c r="E21" s="67"/>
      <c r="F21" s="67"/>
      <c r="G21" s="67"/>
      <c r="H21" s="67"/>
      <c r="I21" s="67"/>
      <c r="J21" s="67"/>
      <c r="K21" s="68"/>
      <c r="L21" s="68"/>
      <c r="M21" s="68"/>
      <c r="N21" s="68"/>
      <c r="O21" s="68"/>
      <c r="P21" s="67"/>
      <c r="Q21" s="67"/>
      <c r="R21" s="67"/>
      <c r="S21" s="62"/>
      <c r="T21" s="62"/>
      <c r="U21" s="62"/>
      <c r="V21" s="62"/>
      <c r="W21" s="62"/>
    </row>
    <row r="22" spans="1:23">
      <c r="A22" s="63"/>
      <c r="B22" s="67"/>
      <c r="C22" s="67"/>
      <c r="D22" s="67"/>
      <c r="E22" s="67"/>
      <c r="F22" s="67"/>
      <c r="G22" s="67"/>
      <c r="H22" s="67"/>
      <c r="I22" s="67"/>
      <c r="J22" s="67"/>
      <c r="K22" s="68"/>
      <c r="L22" s="68"/>
      <c r="M22" s="68"/>
      <c r="N22" s="68"/>
      <c r="O22" s="68"/>
      <c r="P22" s="67"/>
      <c r="Q22" s="67"/>
      <c r="R22" s="67"/>
      <c r="S22" s="62"/>
      <c r="T22" s="62"/>
      <c r="U22" s="62"/>
      <c r="V22" s="62"/>
      <c r="W22" s="62"/>
    </row>
    <row r="23" spans="1:23">
      <c r="A23" s="63"/>
      <c r="B23" s="67"/>
      <c r="C23" s="67"/>
      <c r="D23" s="67"/>
      <c r="E23" s="67"/>
      <c r="F23" s="67"/>
      <c r="G23" s="67"/>
      <c r="H23" s="67"/>
      <c r="I23" s="67"/>
      <c r="J23" s="67"/>
      <c r="K23" s="68"/>
      <c r="L23" s="68"/>
      <c r="M23" s="68"/>
      <c r="N23" s="68"/>
      <c r="O23" s="68"/>
      <c r="P23" s="67"/>
      <c r="Q23" s="67"/>
      <c r="R23" s="67"/>
      <c r="S23" s="62"/>
      <c r="T23" s="62"/>
      <c r="U23" s="62"/>
      <c r="V23" s="62"/>
      <c r="W23" s="62"/>
    </row>
    <row r="24" spans="1:23">
      <c r="A24" s="63"/>
      <c r="B24" s="67"/>
      <c r="C24" s="67"/>
      <c r="D24" s="67"/>
      <c r="E24" s="67"/>
      <c r="F24" s="67"/>
      <c r="G24" s="67"/>
      <c r="H24" s="67"/>
      <c r="I24" s="67"/>
      <c r="J24" s="67"/>
      <c r="K24" s="68"/>
      <c r="L24" s="68"/>
      <c r="M24" s="68"/>
      <c r="N24" s="68"/>
      <c r="O24" s="68"/>
      <c r="P24" s="67"/>
      <c r="Q24" s="67"/>
      <c r="R24" s="67"/>
      <c r="S24" s="62"/>
      <c r="T24" s="62"/>
      <c r="U24" s="62"/>
      <c r="V24" s="62"/>
      <c r="W24" s="62"/>
    </row>
    <row r="25" spans="1:23">
      <c r="A25" s="63"/>
      <c r="B25" s="67"/>
      <c r="C25" s="67"/>
      <c r="D25" s="67"/>
      <c r="E25" s="67"/>
      <c r="F25" s="67"/>
      <c r="G25" s="67"/>
      <c r="H25" s="67"/>
      <c r="I25" s="67"/>
      <c r="J25" s="67"/>
      <c r="K25" s="68"/>
      <c r="L25" s="68"/>
      <c r="M25" s="68"/>
      <c r="N25" s="68"/>
      <c r="O25" s="68"/>
      <c r="P25" s="67"/>
      <c r="Q25" s="67"/>
      <c r="R25" s="67"/>
      <c r="S25" s="62"/>
      <c r="T25" s="62"/>
      <c r="U25" s="62"/>
      <c r="V25" s="62"/>
      <c r="W25" s="62"/>
    </row>
    <row r="26" spans="1:23">
      <c r="A26" s="63"/>
      <c r="B26" s="67"/>
      <c r="C26" s="67"/>
      <c r="D26" s="67"/>
      <c r="E26" s="67"/>
      <c r="F26" s="67"/>
      <c r="G26" s="67"/>
      <c r="H26" s="67"/>
      <c r="I26" s="67"/>
      <c r="J26" s="67"/>
      <c r="K26" s="68"/>
      <c r="L26" s="68"/>
      <c r="M26" s="68"/>
      <c r="N26" s="68"/>
      <c r="O26" s="68"/>
      <c r="P26" s="67"/>
      <c r="Q26" s="67"/>
      <c r="R26" s="67"/>
      <c r="S26" s="62"/>
      <c r="T26" s="62"/>
      <c r="U26" s="62"/>
      <c r="V26" s="62"/>
      <c r="W26" s="62"/>
    </row>
    <row r="27" spans="1:23">
      <c r="A27" s="63"/>
      <c r="B27" s="67"/>
      <c r="C27" s="67"/>
      <c r="D27" s="67"/>
      <c r="E27" s="67"/>
      <c r="F27" s="67"/>
      <c r="G27" s="67"/>
      <c r="H27" s="67"/>
      <c r="I27" s="67"/>
      <c r="J27" s="67"/>
      <c r="K27" s="68"/>
      <c r="L27" s="68"/>
      <c r="M27" s="68"/>
      <c r="N27" s="68"/>
      <c r="O27" s="68"/>
      <c r="P27" s="67"/>
      <c r="Q27" s="67"/>
      <c r="R27" s="67"/>
      <c r="S27" s="62"/>
      <c r="T27" s="62"/>
      <c r="U27" s="62"/>
      <c r="V27" s="62"/>
      <c r="W27" s="62"/>
    </row>
    <row r="28" spans="1:23">
      <c r="A28" s="63"/>
      <c r="B28" s="67"/>
      <c r="C28" s="67"/>
      <c r="D28" s="67"/>
      <c r="E28" s="67"/>
      <c r="F28" s="67"/>
      <c r="G28" s="67"/>
      <c r="H28" s="67"/>
      <c r="I28" s="67"/>
      <c r="J28" s="67"/>
      <c r="K28" s="68"/>
      <c r="L28" s="68"/>
      <c r="M28" s="68"/>
      <c r="N28" s="68"/>
      <c r="O28" s="68"/>
      <c r="P28" s="149"/>
      <c r="Q28" s="67"/>
      <c r="R28" s="67"/>
      <c r="S28" s="62"/>
      <c r="T28" s="62"/>
      <c r="U28" s="62"/>
      <c r="V28" s="62"/>
      <c r="W28" s="62"/>
    </row>
    <row r="29" spans="1:23">
      <c r="A29" s="63"/>
      <c r="B29" s="67"/>
      <c r="C29" s="67"/>
      <c r="D29" s="67"/>
      <c r="E29" s="67"/>
      <c r="F29" s="67"/>
      <c r="G29" s="67"/>
      <c r="H29" s="67"/>
      <c r="I29" s="67"/>
      <c r="J29" s="67"/>
      <c r="K29" s="67"/>
      <c r="L29" s="68"/>
      <c r="M29" s="68"/>
      <c r="N29" s="68"/>
      <c r="O29" s="68"/>
      <c r="P29" s="67"/>
      <c r="Q29" s="67"/>
      <c r="R29" s="67"/>
      <c r="S29" s="62"/>
      <c r="T29" s="62"/>
      <c r="U29" s="62"/>
      <c r="V29" s="62"/>
      <c r="W29" s="62"/>
    </row>
    <row r="30" spans="1:23">
      <c r="A30" s="63"/>
      <c r="B30" s="67"/>
      <c r="C30" s="67"/>
      <c r="D30" s="67"/>
      <c r="E30" s="67"/>
      <c r="F30" s="67"/>
      <c r="G30" s="67"/>
      <c r="H30" s="67"/>
      <c r="I30" s="67"/>
      <c r="J30" s="67"/>
      <c r="K30" s="67"/>
      <c r="L30" s="68"/>
      <c r="M30" s="68"/>
      <c r="N30" s="68"/>
      <c r="O30" s="68"/>
      <c r="P30" s="67"/>
      <c r="Q30" s="67"/>
      <c r="R30" s="67"/>
      <c r="S30" s="62"/>
      <c r="T30" s="62"/>
      <c r="U30" s="62"/>
      <c r="V30" s="62"/>
      <c r="W30" s="62"/>
    </row>
    <row r="31" spans="1:23">
      <c r="A31" s="63"/>
      <c r="B31" s="67"/>
      <c r="C31" s="67"/>
      <c r="D31" s="67"/>
      <c r="E31" s="67"/>
      <c r="F31" s="67"/>
      <c r="G31" s="67"/>
      <c r="H31" s="67"/>
      <c r="I31" s="67"/>
      <c r="J31" s="67"/>
      <c r="K31" s="67"/>
      <c r="L31" s="68"/>
      <c r="M31" s="68"/>
      <c r="N31" s="68"/>
      <c r="O31" s="68"/>
      <c r="P31" s="67"/>
      <c r="Q31" s="67"/>
      <c r="R31" s="67"/>
      <c r="S31" s="62"/>
      <c r="T31" s="62"/>
      <c r="U31" s="62"/>
      <c r="V31" s="62"/>
      <c r="W31" s="62"/>
    </row>
    <row r="32" spans="1:23">
      <c r="A32" s="63"/>
      <c r="B32" s="67"/>
      <c r="C32" s="67"/>
      <c r="D32" s="67"/>
      <c r="E32" s="67"/>
      <c r="F32" s="67"/>
      <c r="G32" s="67"/>
      <c r="H32" s="67"/>
      <c r="I32" s="67"/>
      <c r="J32" s="67"/>
      <c r="K32" s="67"/>
      <c r="L32" s="68"/>
      <c r="M32" s="68"/>
      <c r="N32" s="68"/>
      <c r="O32" s="68"/>
      <c r="P32" s="67"/>
      <c r="Q32" s="67"/>
      <c r="R32" s="67"/>
      <c r="S32" s="62"/>
      <c r="T32" s="62"/>
      <c r="U32" s="62"/>
      <c r="V32" s="62"/>
      <c r="W32" s="62"/>
    </row>
    <row r="33" spans="1:23">
      <c r="A33" s="63"/>
      <c r="B33" s="67"/>
      <c r="C33" s="67"/>
      <c r="D33" s="67"/>
      <c r="E33" s="67"/>
      <c r="F33" s="67"/>
      <c r="G33" s="67"/>
      <c r="H33" s="67"/>
      <c r="I33" s="67"/>
      <c r="J33" s="67"/>
      <c r="K33" s="67"/>
      <c r="L33" s="68"/>
      <c r="M33" s="68"/>
      <c r="N33" s="68"/>
      <c r="O33" s="68"/>
      <c r="P33" s="67"/>
      <c r="Q33" s="67"/>
      <c r="R33" s="67"/>
      <c r="S33" s="62"/>
      <c r="T33" s="62"/>
      <c r="U33" s="62"/>
      <c r="V33" s="62"/>
      <c r="W33" s="62"/>
    </row>
    <row r="34" spans="1:23">
      <c r="A34" s="63"/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8"/>
      <c r="M34" s="68"/>
      <c r="N34" s="68"/>
      <c r="O34" s="68"/>
      <c r="P34" s="67"/>
      <c r="Q34" s="67"/>
      <c r="R34" s="67"/>
      <c r="S34" s="62"/>
      <c r="T34" s="62"/>
      <c r="U34" s="62"/>
      <c r="V34" s="62"/>
      <c r="W34" s="62"/>
    </row>
    <row r="35" spans="1:23">
      <c r="A35" s="63"/>
      <c r="B35" s="67"/>
      <c r="C35" s="67"/>
      <c r="D35" s="67"/>
      <c r="E35" s="67"/>
      <c r="F35" s="67"/>
      <c r="G35" s="67"/>
      <c r="H35" s="67"/>
      <c r="I35" s="67"/>
      <c r="J35" s="67"/>
      <c r="K35" s="67"/>
      <c r="L35" s="68"/>
      <c r="M35" s="68"/>
      <c r="N35" s="68"/>
      <c r="O35" s="68"/>
      <c r="P35" s="67"/>
      <c r="Q35" s="67"/>
      <c r="R35" s="67"/>
      <c r="S35" s="62"/>
      <c r="T35" s="62"/>
      <c r="U35" s="62"/>
      <c r="V35" s="62"/>
      <c r="W35" s="62"/>
    </row>
    <row r="36" spans="1:23">
      <c r="A36" s="62"/>
      <c r="B36" s="67"/>
      <c r="C36" s="67"/>
      <c r="D36" s="67"/>
      <c r="E36" s="67"/>
      <c r="F36" s="67"/>
      <c r="G36" s="67"/>
      <c r="H36" s="67"/>
      <c r="I36" s="67"/>
      <c r="J36" s="67"/>
      <c r="K36" s="67"/>
      <c r="L36" s="68"/>
      <c r="M36" s="68"/>
      <c r="N36" s="68"/>
      <c r="O36" s="68"/>
      <c r="P36" s="67"/>
      <c r="Q36" s="67"/>
      <c r="R36" s="67"/>
      <c r="S36" s="62"/>
      <c r="T36" s="62"/>
      <c r="U36" s="62"/>
      <c r="V36" s="62"/>
      <c r="W36" s="62"/>
    </row>
    <row r="37" spans="1:23">
      <c r="A37" s="63"/>
      <c r="B37" s="67"/>
      <c r="C37" s="67"/>
      <c r="D37" s="67"/>
      <c r="E37" s="67"/>
      <c r="F37" s="67"/>
      <c r="G37" s="67"/>
      <c r="H37" s="67"/>
      <c r="I37" s="67"/>
      <c r="J37" s="67"/>
      <c r="K37" s="67"/>
      <c r="L37" s="68"/>
      <c r="M37" s="68"/>
      <c r="N37" s="68"/>
      <c r="O37" s="68"/>
      <c r="P37" s="67"/>
      <c r="Q37" s="67"/>
      <c r="R37" s="67"/>
      <c r="S37" s="62"/>
      <c r="T37" s="62"/>
      <c r="U37" s="62"/>
      <c r="V37" s="62"/>
      <c r="W37" s="62"/>
    </row>
    <row r="38" spans="1:23">
      <c r="A38" s="63"/>
      <c r="B38" s="67"/>
      <c r="C38" s="67"/>
      <c r="D38" s="67"/>
      <c r="E38" s="67"/>
      <c r="F38" s="67"/>
      <c r="G38" s="67"/>
      <c r="H38" s="67"/>
      <c r="I38" s="67"/>
      <c r="J38" s="67"/>
      <c r="K38" s="67"/>
      <c r="L38" s="68"/>
      <c r="M38" s="68"/>
      <c r="N38" s="68"/>
      <c r="O38" s="68"/>
      <c r="P38" s="67"/>
      <c r="Q38" s="67"/>
      <c r="R38" s="67"/>
      <c r="S38" s="62"/>
      <c r="T38" s="62"/>
      <c r="U38" s="62"/>
      <c r="V38" s="62"/>
      <c r="W38" s="62"/>
    </row>
    <row r="39" spans="1:23">
      <c r="A39" s="63"/>
      <c r="B39" s="67"/>
      <c r="C39" s="67"/>
      <c r="D39" s="67"/>
      <c r="E39" s="67"/>
      <c r="F39" s="67"/>
      <c r="G39" s="67"/>
      <c r="H39" s="67"/>
      <c r="I39" s="67"/>
      <c r="J39" s="67"/>
      <c r="K39" s="67"/>
      <c r="L39" s="68"/>
      <c r="M39" s="68"/>
      <c r="N39" s="68"/>
      <c r="O39" s="68"/>
      <c r="P39" s="67"/>
      <c r="Q39" s="67"/>
      <c r="R39" s="67"/>
      <c r="S39" s="62"/>
      <c r="T39" s="62"/>
      <c r="U39" s="62"/>
      <c r="V39" s="62"/>
      <c r="W39" s="62"/>
    </row>
    <row r="40" spans="1:23">
      <c r="A40" s="63"/>
      <c r="B40" s="67"/>
      <c r="C40" s="67"/>
      <c r="D40" s="67"/>
      <c r="E40" s="67"/>
      <c r="F40" s="67"/>
      <c r="G40" s="67"/>
      <c r="H40" s="67"/>
      <c r="I40" s="67"/>
      <c r="J40" s="67"/>
      <c r="K40" s="67"/>
      <c r="L40" s="68"/>
      <c r="M40" s="68"/>
      <c r="N40" s="68"/>
      <c r="O40" s="68"/>
      <c r="P40" s="67"/>
      <c r="Q40" s="67"/>
      <c r="R40" s="67"/>
      <c r="S40" s="62"/>
      <c r="T40" s="62"/>
      <c r="U40" s="62"/>
      <c r="V40" s="62"/>
      <c r="W40" s="62"/>
    </row>
    <row r="41" spans="1:23">
      <c r="A41" s="63"/>
      <c r="B41" s="67"/>
      <c r="C41" s="67"/>
      <c r="D41" s="67"/>
      <c r="E41" s="67"/>
      <c r="F41" s="67"/>
      <c r="G41" s="67"/>
      <c r="H41" s="67"/>
      <c r="I41" s="67"/>
      <c r="J41" s="67"/>
      <c r="K41" s="67"/>
      <c r="L41" s="68"/>
      <c r="M41" s="68"/>
      <c r="N41" s="68"/>
      <c r="O41" s="68"/>
      <c r="P41" s="67"/>
      <c r="Q41" s="67"/>
      <c r="R41" s="67"/>
      <c r="S41" s="62"/>
      <c r="T41" s="62"/>
      <c r="U41" s="62"/>
      <c r="V41" s="62"/>
      <c r="W41" s="62"/>
    </row>
    <row r="42" spans="1:23">
      <c r="A42" s="63"/>
      <c r="B42" s="67"/>
      <c r="C42" s="67"/>
      <c r="D42" s="67"/>
      <c r="E42" s="67"/>
      <c r="F42" s="67"/>
      <c r="G42" s="67"/>
      <c r="H42" s="67"/>
      <c r="I42" s="67"/>
      <c r="J42" s="67"/>
      <c r="K42" s="67"/>
      <c r="L42" s="68"/>
      <c r="M42" s="68"/>
      <c r="N42" s="68"/>
      <c r="O42" s="68"/>
      <c r="P42" s="67"/>
      <c r="Q42" s="67"/>
      <c r="R42" s="67"/>
      <c r="S42" s="62"/>
      <c r="T42" s="62"/>
      <c r="U42" s="62"/>
      <c r="V42" s="62"/>
      <c r="W42" s="62"/>
    </row>
    <row r="43" spans="1:23">
      <c r="A43" s="63"/>
      <c r="B43" s="67"/>
      <c r="C43" s="67"/>
      <c r="D43" s="67"/>
      <c r="E43" s="67"/>
      <c r="F43" s="67"/>
      <c r="G43" s="67"/>
      <c r="H43" s="67"/>
      <c r="I43" s="67"/>
      <c r="J43" s="67"/>
      <c r="K43" s="67"/>
      <c r="L43" s="68"/>
      <c r="M43" s="68"/>
      <c r="N43" s="68"/>
      <c r="O43" s="68"/>
      <c r="P43" s="67"/>
      <c r="Q43" s="67"/>
      <c r="R43" s="67"/>
      <c r="S43" s="62"/>
      <c r="T43" s="62"/>
      <c r="U43" s="62"/>
      <c r="V43" s="62"/>
      <c r="W43" s="62"/>
    </row>
    <row r="44" spans="1:23">
      <c r="A44" s="63"/>
      <c r="B44" s="67"/>
      <c r="C44" s="67"/>
      <c r="D44" s="67"/>
      <c r="E44" s="67"/>
      <c r="F44" s="67"/>
      <c r="G44" s="67"/>
      <c r="H44" s="67"/>
      <c r="I44" s="67"/>
      <c r="J44" s="67"/>
      <c r="K44" s="67"/>
      <c r="L44" s="68"/>
      <c r="M44" s="68"/>
      <c r="N44" s="68"/>
      <c r="O44" s="68"/>
      <c r="P44" s="67"/>
      <c r="Q44" s="67"/>
      <c r="R44" s="67"/>
      <c r="S44" s="62"/>
      <c r="T44" s="62"/>
      <c r="U44" s="62"/>
      <c r="V44" s="62"/>
      <c r="W44" s="62"/>
    </row>
    <row r="45" spans="1:23">
      <c r="A45" s="63"/>
      <c r="B45" s="67"/>
      <c r="C45" s="67"/>
      <c r="D45" s="67"/>
      <c r="E45" s="67"/>
      <c r="F45" s="67"/>
      <c r="G45" s="67"/>
      <c r="H45" s="67"/>
      <c r="I45" s="67"/>
      <c r="J45" s="67"/>
      <c r="K45" s="67"/>
      <c r="L45" s="68"/>
      <c r="M45" s="68"/>
      <c r="N45" s="68"/>
      <c r="O45" s="68"/>
      <c r="P45" s="67"/>
      <c r="Q45" s="67"/>
      <c r="R45" s="67"/>
      <c r="S45" s="62"/>
      <c r="T45" s="62"/>
      <c r="U45" s="62"/>
      <c r="V45" s="62"/>
      <c r="W45" s="62"/>
    </row>
    <row r="46" spans="1:23">
      <c r="A46" s="62"/>
      <c r="B46" s="67"/>
      <c r="C46" s="67"/>
      <c r="D46" s="67"/>
      <c r="E46" s="67"/>
      <c r="F46" s="67"/>
      <c r="G46" s="67"/>
      <c r="H46" s="67"/>
      <c r="I46" s="67"/>
      <c r="J46" s="67"/>
      <c r="K46" s="67"/>
      <c r="L46" s="68"/>
      <c r="M46" s="68"/>
      <c r="N46" s="68"/>
      <c r="O46" s="68"/>
      <c r="P46" s="67"/>
      <c r="Q46" s="67"/>
      <c r="R46" s="67"/>
      <c r="S46" s="62"/>
      <c r="T46" s="62"/>
      <c r="U46" s="62"/>
      <c r="V46" s="62"/>
      <c r="W46" s="62"/>
    </row>
    <row r="47" spans="1:23">
      <c r="A47" s="63"/>
      <c r="B47" s="142"/>
      <c r="C47" s="142"/>
      <c r="D47" s="67"/>
      <c r="E47" s="67"/>
      <c r="F47" s="67"/>
      <c r="G47" s="67"/>
      <c r="H47" s="67"/>
      <c r="I47" s="67"/>
      <c r="J47" s="67"/>
      <c r="K47" s="67"/>
      <c r="L47" s="68"/>
      <c r="M47" s="68"/>
      <c r="N47" s="68"/>
      <c r="O47" s="68"/>
      <c r="P47" s="67"/>
      <c r="Q47" s="67"/>
      <c r="R47" s="67"/>
      <c r="S47" s="62"/>
      <c r="T47" s="62"/>
      <c r="U47" s="62"/>
      <c r="V47" s="62"/>
      <c r="W47" s="62"/>
    </row>
    <row r="48" spans="1:23">
      <c r="A48" s="63"/>
      <c r="B48" s="142"/>
      <c r="C48" s="142"/>
      <c r="D48" s="67"/>
      <c r="E48" s="67"/>
      <c r="F48" s="67"/>
      <c r="G48" s="67"/>
      <c r="H48" s="67"/>
      <c r="I48" s="67"/>
      <c r="J48" s="67"/>
      <c r="K48" s="67"/>
      <c r="L48" s="68"/>
      <c r="M48" s="68"/>
      <c r="N48" s="68"/>
      <c r="O48" s="68"/>
      <c r="P48" s="67"/>
      <c r="Q48" s="67"/>
      <c r="R48" s="67"/>
      <c r="S48" s="62"/>
      <c r="T48" s="62"/>
      <c r="U48" s="62"/>
      <c r="V48" s="62"/>
      <c r="W48" s="62"/>
    </row>
    <row r="49" spans="1:23">
      <c r="A49" s="63"/>
      <c r="B49" s="142"/>
      <c r="C49" s="142"/>
      <c r="D49" s="67"/>
      <c r="E49" s="67"/>
      <c r="F49" s="67"/>
      <c r="G49" s="67"/>
      <c r="H49" s="67"/>
      <c r="I49" s="67"/>
      <c r="J49" s="67"/>
      <c r="K49" s="67"/>
      <c r="L49" s="68"/>
      <c r="M49" s="68"/>
      <c r="N49" s="68"/>
      <c r="O49" s="68"/>
      <c r="P49" s="67"/>
      <c r="Q49" s="67"/>
      <c r="R49" s="67"/>
      <c r="S49" s="62"/>
      <c r="T49" s="62"/>
      <c r="U49" s="62"/>
      <c r="V49" s="62"/>
      <c r="W49" s="62"/>
    </row>
    <row r="50" spans="1:23">
      <c r="A50" s="63"/>
      <c r="B50" s="142"/>
      <c r="C50" s="142"/>
      <c r="D50" s="67"/>
      <c r="E50" s="67"/>
      <c r="F50" s="67"/>
      <c r="G50" s="67"/>
      <c r="H50" s="67"/>
      <c r="I50" s="67"/>
      <c r="J50" s="67"/>
      <c r="K50" s="67"/>
      <c r="L50" s="68"/>
      <c r="M50" s="68"/>
      <c r="N50" s="68"/>
      <c r="O50" s="68"/>
      <c r="P50" s="67"/>
      <c r="Q50" s="67"/>
      <c r="R50" s="67"/>
      <c r="S50" s="62"/>
      <c r="T50" s="62"/>
      <c r="U50" s="62"/>
      <c r="V50" s="62"/>
      <c r="W50" s="62"/>
    </row>
    <row r="51" spans="1:23">
      <c r="A51" s="63"/>
      <c r="B51" s="142"/>
      <c r="C51" s="142"/>
      <c r="D51" s="67"/>
      <c r="E51" s="67"/>
      <c r="F51" s="67"/>
      <c r="G51" s="67"/>
      <c r="H51" s="67"/>
      <c r="I51" s="67"/>
      <c r="J51" s="67"/>
      <c r="K51" s="67"/>
      <c r="L51" s="68"/>
      <c r="M51" s="68"/>
      <c r="N51" s="68"/>
      <c r="O51" s="68"/>
      <c r="P51" s="67"/>
      <c r="Q51" s="67"/>
      <c r="R51" s="67"/>
      <c r="S51" s="62"/>
      <c r="T51" s="62"/>
      <c r="U51" s="62"/>
      <c r="V51" s="62"/>
      <c r="W51" s="62"/>
    </row>
    <row r="52" spans="1:23">
      <c r="A52" s="63"/>
      <c r="B52" s="142"/>
      <c r="C52" s="142"/>
      <c r="D52" s="67"/>
      <c r="E52" s="67"/>
      <c r="F52" s="67"/>
      <c r="G52" s="67"/>
      <c r="H52" s="67"/>
      <c r="I52" s="67"/>
      <c r="J52" s="67"/>
      <c r="K52" s="67"/>
      <c r="L52" s="68"/>
      <c r="M52" s="68"/>
      <c r="N52" s="68"/>
      <c r="O52" s="68"/>
      <c r="P52" s="67"/>
      <c r="Q52" s="67"/>
      <c r="R52" s="67"/>
      <c r="S52" s="62"/>
      <c r="T52" s="62"/>
      <c r="U52" s="62"/>
      <c r="V52" s="62"/>
      <c r="W52" s="62"/>
    </row>
    <row r="53" spans="1:23">
      <c r="A53" s="63"/>
      <c r="B53" s="142"/>
      <c r="C53" s="142"/>
      <c r="D53" s="67"/>
      <c r="E53" s="67"/>
      <c r="F53" s="67"/>
      <c r="G53" s="67"/>
      <c r="H53" s="67"/>
      <c r="I53" s="67"/>
      <c r="J53" s="67"/>
      <c r="K53" s="67"/>
      <c r="L53" s="68"/>
      <c r="M53" s="68"/>
      <c r="N53" s="68"/>
      <c r="O53" s="68"/>
      <c r="P53" s="67"/>
      <c r="Q53" s="67"/>
      <c r="R53" s="67"/>
      <c r="S53" s="62"/>
      <c r="T53" s="62"/>
      <c r="U53" s="62"/>
      <c r="V53" s="62"/>
      <c r="W53" s="62"/>
    </row>
    <row r="54" spans="1:23">
      <c r="A54" s="63"/>
      <c r="B54" s="142"/>
      <c r="C54" s="142"/>
      <c r="D54" s="67"/>
      <c r="E54" s="67"/>
      <c r="F54" s="67"/>
      <c r="G54" s="67"/>
      <c r="H54" s="67"/>
      <c r="I54" s="67"/>
      <c r="J54" s="67"/>
      <c r="K54" s="67"/>
      <c r="L54" s="68"/>
      <c r="M54" s="68"/>
      <c r="N54" s="68"/>
      <c r="O54" s="68"/>
      <c r="P54" s="67"/>
      <c r="Q54" s="67"/>
      <c r="R54" s="67"/>
      <c r="S54" s="62"/>
      <c r="T54" s="62"/>
      <c r="U54" s="62"/>
      <c r="V54" s="62"/>
      <c r="W54" s="62"/>
    </row>
    <row r="55" spans="1:23">
      <c r="A55" s="63"/>
      <c r="B55" s="142"/>
      <c r="C55" s="142"/>
      <c r="D55" s="67"/>
      <c r="E55" s="67"/>
      <c r="F55" s="67"/>
      <c r="G55" s="67"/>
      <c r="H55" s="67"/>
      <c r="I55" s="67"/>
      <c r="J55" s="67"/>
      <c r="K55" s="67"/>
      <c r="L55" s="68"/>
      <c r="M55" s="68"/>
      <c r="N55" s="68"/>
      <c r="O55" s="68"/>
      <c r="P55" s="67"/>
      <c r="Q55" s="67"/>
      <c r="R55" s="67"/>
      <c r="S55" s="62"/>
      <c r="T55" s="62"/>
      <c r="U55" s="62"/>
      <c r="V55" s="62"/>
      <c r="W55" s="62"/>
    </row>
    <row r="56" spans="1:23">
      <c r="A56" s="63"/>
      <c r="B56" s="142"/>
      <c r="C56" s="142"/>
      <c r="D56" s="67"/>
      <c r="E56" s="67"/>
      <c r="F56" s="67"/>
      <c r="G56" s="67"/>
      <c r="H56" s="67"/>
      <c r="I56" s="67"/>
      <c r="J56" s="67"/>
      <c r="K56" s="67"/>
      <c r="L56" s="68"/>
      <c r="M56" s="68"/>
      <c r="N56" s="68"/>
      <c r="O56" s="68"/>
      <c r="P56" s="67"/>
      <c r="Q56" s="67"/>
      <c r="R56" s="67"/>
      <c r="S56" s="62"/>
      <c r="T56" s="62"/>
      <c r="U56" s="62"/>
      <c r="V56" s="62"/>
      <c r="W56" s="62"/>
    </row>
    <row r="57" spans="1:23">
      <c r="A57" s="63"/>
      <c r="B57" s="142"/>
      <c r="C57" s="142"/>
      <c r="D57" s="67"/>
      <c r="E57" s="67"/>
      <c r="F57" s="67"/>
      <c r="G57" s="67"/>
      <c r="H57" s="67"/>
      <c r="I57" s="67"/>
      <c r="J57" s="67"/>
      <c r="K57" s="67"/>
      <c r="L57" s="68"/>
      <c r="M57" s="68"/>
      <c r="N57" s="68"/>
      <c r="O57" s="68"/>
      <c r="P57" s="67"/>
      <c r="Q57" s="67"/>
      <c r="R57" s="67"/>
      <c r="S57" s="62"/>
      <c r="T57" s="62"/>
      <c r="U57" s="62"/>
      <c r="V57" s="62"/>
      <c r="W57" s="62"/>
    </row>
    <row r="58" spans="1:23">
      <c r="A58" s="63"/>
      <c r="B58" s="142"/>
      <c r="C58" s="142"/>
      <c r="D58" s="67"/>
      <c r="E58" s="67"/>
      <c r="F58" s="67"/>
      <c r="G58" s="67"/>
      <c r="H58" s="67"/>
      <c r="I58" s="67"/>
      <c r="J58" s="67"/>
      <c r="K58" s="67"/>
      <c r="L58" s="68"/>
      <c r="M58" s="68"/>
      <c r="N58" s="68"/>
      <c r="O58" s="68"/>
      <c r="P58" s="67"/>
      <c r="Q58" s="67"/>
      <c r="R58" s="67"/>
      <c r="S58" s="62"/>
      <c r="T58" s="62"/>
      <c r="U58" s="62"/>
      <c r="V58" s="62"/>
      <c r="W58" s="62"/>
    </row>
    <row r="59" spans="1:23">
      <c r="A59" s="63"/>
      <c r="B59" s="142"/>
      <c r="C59" s="142"/>
      <c r="D59" s="67"/>
      <c r="E59" s="67"/>
      <c r="F59" s="67"/>
      <c r="G59" s="67"/>
      <c r="H59" s="67"/>
      <c r="I59" s="67"/>
      <c r="J59" s="67"/>
      <c r="K59" s="67"/>
      <c r="L59" s="68"/>
      <c r="M59" s="68"/>
      <c r="N59" s="68"/>
      <c r="O59" s="68"/>
      <c r="P59" s="67"/>
      <c r="Q59" s="67"/>
      <c r="R59" s="67"/>
      <c r="S59" s="62"/>
      <c r="T59" s="62"/>
      <c r="U59" s="62"/>
      <c r="V59" s="62"/>
      <c r="W59" s="62"/>
    </row>
    <row r="60" spans="1:23">
      <c r="A60" s="63"/>
      <c r="B60" s="142"/>
      <c r="C60" s="142"/>
      <c r="D60" s="67"/>
      <c r="E60" s="67"/>
      <c r="F60" s="67"/>
      <c r="G60" s="67"/>
      <c r="H60" s="67"/>
      <c r="I60" s="67"/>
      <c r="J60" s="67"/>
      <c r="K60" s="67"/>
      <c r="L60" s="68"/>
      <c r="M60" s="68"/>
      <c r="N60" s="68"/>
      <c r="O60" s="68"/>
      <c r="P60" s="67"/>
      <c r="Q60" s="67"/>
      <c r="R60" s="67"/>
      <c r="S60" s="62"/>
      <c r="T60" s="62"/>
      <c r="U60" s="62"/>
      <c r="V60" s="62"/>
      <c r="W60" s="62"/>
    </row>
    <row r="61" spans="1:23">
      <c r="A61" s="63"/>
      <c r="B61" s="142"/>
      <c r="C61" s="142"/>
      <c r="D61" s="67"/>
      <c r="E61" s="67"/>
      <c r="F61" s="67"/>
      <c r="G61" s="67"/>
      <c r="H61" s="67"/>
      <c r="I61" s="67"/>
      <c r="J61" s="67"/>
      <c r="K61" s="67"/>
      <c r="L61" s="68"/>
      <c r="M61" s="68"/>
      <c r="N61" s="68"/>
      <c r="O61" s="68"/>
      <c r="P61" s="67"/>
      <c r="Q61" s="67"/>
      <c r="R61" s="67"/>
      <c r="S61" s="62"/>
      <c r="T61" s="62"/>
      <c r="U61" s="62"/>
      <c r="V61" s="62"/>
      <c r="W61" s="62"/>
    </row>
    <row r="62" spans="1:23">
      <c r="A62" s="63"/>
      <c r="B62" s="142"/>
      <c r="C62" s="142"/>
      <c r="D62" s="67"/>
      <c r="E62" s="67"/>
      <c r="F62" s="67"/>
      <c r="G62" s="67"/>
      <c r="H62" s="67"/>
      <c r="I62" s="67"/>
      <c r="J62" s="67"/>
      <c r="K62" s="67"/>
      <c r="L62" s="68"/>
      <c r="M62" s="68"/>
      <c r="N62" s="68"/>
      <c r="O62" s="68"/>
      <c r="P62" s="67"/>
      <c r="Q62" s="67"/>
      <c r="R62" s="67"/>
      <c r="S62" s="62"/>
      <c r="T62" s="62"/>
      <c r="U62" s="62"/>
      <c r="V62" s="62"/>
      <c r="W62" s="62"/>
    </row>
    <row r="63" spans="1:23">
      <c r="A63" s="63"/>
      <c r="B63" s="142"/>
      <c r="C63" s="142"/>
      <c r="D63" s="67"/>
      <c r="E63" s="67"/>
      <c r="F63" s="67"/>
      <c r="G63" s="67"/>
      <c r="H63" s="67"/>
      <c r="I63" s="67"/>
      <c r="J63" s="67"/>
      <c r="K63" s="67"/>
      <c r="L63" s="68"/>
      <c r="M63" s="68"/>
      <c r="N63" s="68"/>
      <c r="O63" s="68"/>
      <c r="P63" s="67"/>
      <c r="Q63" s="67"/>
      <c r="R63" s="67"/>
      <c r="S63" s="62"/>
      <c r="T63" s="62"/>
      <c r="U63" s="62"/>
      <c r="V63" s="62"/>
      <c r="W63" s="62"/>
    </row>
    <row r="64" spans="1:23">
      <c r="A64" s="63"/>
      <c r="B64" s="142"/>
      <c r="C64" s="142"/>
      <c r="D64" s="67"/>
      <c r="E64" s="67"/>
      <c r="F64" s="67"/>
      <c r="G64" s="67"/>
      <c r="H64" s="67"/>
      <c r="I64" s="67"/>
      <c r="J64" s="67"/>
      <c r="K64" s="67"/>
      <c r="L64" s="68"/>
      <c r="M64" s="68"/>
      <c r="N64" s="68"/>
      <c r="O64" s="68"/>
      <c r="P64" s="67"/>
      <c r="Q64" s="67"/>
      <c r="R64" s="67"/>
      <c r="S64" s="62"/>
      <c r="T64" s="62"/>
      <c r="U64" s="62"/>
      <c r="V64" s="62"/>
      <c r="W64" s="62"/>
    </row>
    <row r="65" spans="1:23">
      <c r="A65" s="63"/>
      <c r="B65" s="142"/>
      <c r="C65" s="142"/>
      <c r="D65" s="67"/>
      <c r="E65" s="67"/>
      <c r="F65" s="67"/>
      <c r="G65" s="67"/>
      <c r="H65" s="67"/>
      <c r="I65" s="67"/>
      <c r="J65" s="67"/>
      <c r="K65" s="67"/>
      <c r="L65" s="68"/>
      <c r="M65" s="68"/>
      <c r="N65" s="68"/>
      <c r="O65" s="68"/>
      <c r="P65" s="67"/>
      <c r="Q65" s="67"/>
      <c r="R65" s="67"/>
      <c r="S65" s="62"/>
      <c r="T65" s="62"/>
      <c r="U65" s="62"/>
      <c r="V65" s="62"/>
      <c r="W65" s="62"/>
    </row>
    <row r="66" spans="1:23">
      <c r="A66" s="63"/>
      <c r="B66" s="142"/>
      <c r="C66" s="142"/>
      <c r="D66" s="67"/>
      <c r="E66" s="67"/>
      <c r="F66" s="67"/>
      <c r="G66" s="67"/>
      <c r="H66" s="67"/>
      <c r="I66" s="67"/>
      <c r="J66" s="67"/>
      <c r="K66" s="67"/>
      <c r="L66" s="68"/>
      <c r="M66" s="68"/>
      <c r="N66" s="68"/>
      <c r="O66" s="68"/>
      <c r="P66" s="67"/>
      <c r="Q66" s="67"/>
      <c r="R66" s="67"/>
      <c r="S66" s="62"/>
      <c r="T66" s="62"/>
      <c r="U66" s="62"/>
      <c r="V66" s="62"/>
      <c r="W66" s="62"/>
    </row>
    <row r="67" spans="1:23">
      <c r="A67" s="63"/>
      <c r="B67" s="142"/>
      <c r="C67" s="142"/>
      <c r="D67" s="67"/>
      <c r="E67" s="67"/>
      <c r="F67" s="67"/>
      <c r="G67" s="67"/>
      <c r="H67" s="67"/>
      <c r="I67" s="67"/>
      <c r="J67" s="67"/>
      <c r="K67" s="67"/>
      <c r="L67" s="68"/>
      <c r="M67" s="68"/>
      <c r="N67" s="68"/>
      <c r="O67" s="68"/>
      <c r="P67" s="67"/>
      <c r="Q67" s="67"/>
      <c r="R67" s="67"/>
      <c r="S67" s="62"/>
      <c r="T67" s="62"/>
      <c r="U67" s="62"/>
      <c r="V67" s="62"/>
      <c r="W67" s="62"/>
    </row>
    <row r="68" spans="1:23">
      <c r="A68" s="63"/>
      <c r="B68" s="142"/>
      <c r="C68" s="142"/>
      <c r="D68" s="67"/>
      <c r="E68" s="67"/>
      <c r="F68" s="67"/>
      <c r="G68" s="67"/>
      <c r="H68" s="67"/>
      <c r="I68" s="67"/>
      <c r="J68" s="67"/>
      <c r="K68" s="67"/>
      <c r="L68" s="68"/>
      <c r="M68" s="68"/>
      <c r="N68" s="68"/>
      <c r="O68" s="68"/>
      <c r="P68" s="67"/>
      <c r="Q68" s="67"/>
      <c r="R68" s="67"/>
      <c r="S68" s="62"/>
      <c r="T68" s="62"/>
      <c r="U68" s="62"/>
      <c r="V68" s="62"/>
      <c r="W68" s="62"/>
    </row>
    <row r="69" spans="1:23">
      <c r="A69" s="63"/>
      <c r="B69" s="142"/>
      <c r="C69" s="142"/>
      <c r="D69" s="67"/>
      <c r="E69" s="67"/>
      <c r="F69" s="67"/>
      <c r="G69" s="67"/>
      <c r="H69" s="67"/>
      <c r="I69" s="67"/>
      <c r="J69" s="67"/>
      <c r="K69" s="67"/>
      <c r="L69" s="68"/>
      <c r="M69" s="68"/>
      <c r="N69" s="68"/>
      <c r="O69" s="68"/>
      <c r="P69" s="67"/>
      <c r="Q69" s="67"/>
      <c r="R69" s="67"/>
      <c r="S69" s="62"/>
      <c r="T69" s="62"/>
      <c r="U69" s="62"/>
      <c r="V69" s="62"/>
      <c r="W69" s="62"/>
    </row>
    <row r="70" spans="1:23">
      <c r="A70" s="63"/>
      <c r="B70" s="142"/>
      <c r="C70" s="142"/>
      <c r="D70" s="67"/>
      <c r="E70" s="67"/>
      <c r="F70" s="67"/>
      <c r="G70" s="67"/>
      <c r="H70" s="67"/>
      <c r="I70" s="67"/>
      <c r="J70" s="67"/>
      <c r="K70" s="67"/>
      <c r="L70" s="68"/>
      <c r="M70" s="68"/>
      <c r="N70" s="68"/>
      <c r="O70" s="68"/>
      <c r="P70" s="67"/>
      <c r="Q70" s="67"/>
      <c r="R70" s="67"/>
      <c r="S70" s="62"/>
      <c r="T70" s="62"/>
      <c r="U70" s="62"/>
      <c r="V70" s="62"/>
      <c r="W70" s="62"/>
    </row>
    <row r="71" spans="1:23">
      <c r="A71" s="63"/>
      <c r="B71" s="142"/>
      <c r="C71" s="142"/>
      <c r="D71" s="67"/>
      <c r="E71" s="67"/>
      <c r="F71" s="67"/>
      <c r="G71" s="67"/>
      <c r="H71" s="67"/>
      <c r="I71" s="67"/>
      <c r="J71" s="67"/>
      <c r="K71" s="67"/>
      <c r="L71" s="68"/>
      <c r="M71" s="68"/>
      <c r="N71" s="68"/>
      <c r="O71" s="68"/>
      <c r="P71" s="67"/>
      <c r="Q71" s="67"/>
      <c r="R71" s="67"/>
      <c r="S71" s="62"/>
      <c r="T71" s="62"/>
      <c r="U71" s="62"/>
      <c r="V71" s="62"/>
      <c r="W71" s="62"/>
    </row>
    <row r="72" spans="1:23">
      <c r="A72" s="63"/>
      <c r="B72" s="142"/>
      <c r="C72" s="142"/>
      <c r="D72" s="67"/>
      <c r="E72" s="67"/>
      <c r="F72" s="67"/>
      <c r="G72" s="67"/>
      <c r="H72" s="67"/>
      <c r="I72" s="67"/>
      <c r="J72" s="67"/>
      <c r="K72" s="67"/>
      <c r="L72" s="68"/>
      <c r="M72" s="68"/>
      <c r="N72" s="68"/>
      <c r="O72" s="68"/>
      <c r="P72" s="67"/>
      <c r="Q72" s="67"/>
      <c r="R72" s="67"/>
      <c r="S72" s="62"/>
      <c r="T72" s="62"/>
      <c r="U72" s="62"/>
      <c r="V72" s="62"/>
      <c r="W72" s="62"/>
    </row>
    <row r="73" spans="1:23">
      <c r="A73" s="62"/>
      <c r="B73" s="142"/>
      <c r="C73" s="142"/>
      <c r="D73" s="67"/>
      <c r="E73" s="67"/>
      <c r="F73" s="67"/>
      <c r="G73" s="67"/>
      <c r="H73" s="67"/>
      <c r="I73" s="67"/>
      <c r="J73" s="67"/>
      <c r="K73" s="67"/>
      <c r="L73" s="68"/>
      <c r="M73" s="68"/>
      <c r="N73" s="68"/>
      <c r="O73" s="68"/>
      <c r="P73" s="67"/>
      <c r="Q73" s="67"/>
      <c r="R73" s="67"/>
      <c r="S73" s="62"/>
      <c r="T73" s="62"/>
      <c r="U73" s="62"/>
      <c r="V73" s="62"/>
      <c r="W73" s="62"/>
    </row>
    <row r="74" spans="1:23">
      <c r="A74" s="62"/>
      <c r="B74" s="62"/>
      <c r="C74" s="62"/>
      <c r="D74" s="62"/>
      <c r="E74" s="62"/>
      <c r="F74" s="62"/>
      <c r="G74" s="62"/>
      <c r="H74" s="62"/>
      <c r="I74" s="62"/>
      <c r="J74" s="62"/>
      <c r="K74" s="62"/>
      <c r="L74" s="62"/>
      <c r="M74" s="62"/>
      <c r="N74" s="62"/>
      <c r="O74" s="62"/>
      <c r="P74" s="62"/>
      <c r="Q74" s="62"/>
      <c r="R74" s="62"/>
      <c r="S74" s="62"/>
      <c r="T74" s="62"/>
      <c r="U74" s="62"/>
      <c r="V74" s="62"/>
      <c r="W74" s="62"/>
    </row>
    <row r="75" spans="1:23">
      <c r="A75" s="62"/>
      <c r="B75" s="62"/>
      <c r="C75" s="62"/>
      <c r="D75" s="62"/>
      <c r="E75" s="62"/>
      <c r="F75" s="62"/>
      <c r="G75" s="62"/>
      <c r="H75" s="62"/>
      <c r="I75" s="62"/>
      <c r="J75" s="62"/>
      <c r="K75" s="62"/>
      <c r="L75" s="62"/>
      <c r="M75" s="62"/>
      <c r="N75" s="62"/>
      <c r="O75" s="62"/>
      <c r="P75" s="62"/>
      <c r="Q75" s="62"/>
      <c r="R75" s="62"/>
      <c r="S75" s="62"/>
      <c r="T75" s="62"/>
      <c r="U75" s="62"/>
      <c r="V75" s="62"/>
      <c r="W75" s="62"/>
    </row>
    <row r="76" spans="1:23">
      <c r="A76" s="62"/>
      <c r="B76" s="62"/>
      <c r="C76" s="62"/>
      <c r="D76" s="62"/>
      <c r="E76" s="62"/>
      <c r="F76" s="62"/>
      <c r="G76" s="62"/>
      <c r="H76" s="62"/>
      <c r="I76" s="62"/>
      <c r="J76" s="62"/>
      <c r="K76" s="62"/>
      <c r="L76" s="62"/>
      <c r="M76" s="62"/>
      <c r="N76" s="62"/>
      <c r="O76" s="62"/>
      <c r="P76" s="62"/>
      <c r="Q76" s="62"/>
      <c r="R76" s="62"/>
      <c r="S76" s="62"/>
      <c r="T76" s="62"/>
      <c r="U76" s="62"/>
      <c r="V76" s="62"/>
      <c r="W76" s="62"/>
    </row>
    <row r="77" spans="1:23">
      <c r="A77" s="62"/>
      <c r="B77" s="62"/>
      <c r="C77" s="62"/>
      <c r="D77" s="62"/>
      <c r="E77" s="62"/>
      <c r="F77" s="62"/>
      <c r="G77" s="62"/>
      <c r="H77" s="62"/>
      <c r="I77" s="62"/>
      <c r="J77" s="62"/>
      <c r="K77" s="62"/>
      <c r="L77" s="62"/>
      <c r="M77" s="62"/>
      <c r="N77" s="62"/>
      <c r="O77" s="62"/>
      <c r="P77" s="62"/>
      <c r="Q77" s="62"/>
      <c r="R77" s="62"/>
      <c r="S77" s="62"/>
      <c r="T77" s="62"/>
      <c r="U77" s="62"/>
      <c r="V77" s="62"/>
      <c r="W77" s="62"/>
    </row>
    <row r="78" spans="1:23">
      <c r="A78" s="62"/>
      <c r="B78" s="62"/>
      <c r="C78" s="62"/>
      <c r="D78" s="62"/>
      <c r="E78" s="62"/>
      <c r="F78" s="62"/>
      <c r="G78" s="62"/>
      <c r="H78" s="62"/>
      <c r="I78" s="62"/>
      <c r="J78" s="62"/>
      <c r="K78" s="62"/>
      <c r="L78" s="62"/>
      <c r="M78" s="62"/>
      <c r="N78" s="62"/>
      <c r="O78" s="62"/>
      <c r="P78" s="62"/>
      <c r="Q78" s="62"/>
      <c r="R78" s="62"/>
      <c r="S78" s="62"/>
      <c r="T78" s="62"/>
      <c r="U78" s="62"/>
      <c r="V78" s="62"/>
      <c r="W78" s="62"/>
    </row>
    <row r="100" spans="12:12">
      <c r="L100" s="16">
        <f>SUM(L7:L99)</f>
        <v>54857</v>
      </c>
    </row>
  </sheetData>
  <mergeCells count="1">
    <mergeCell ref="A12:A14"/>
  </mergeCells>
  <pageMargins left="0.7" right="0.7" top="0.75" bottom="0.75" header="0.3" footer="0.3"/>
  <pageSetup paperSize="9" orientation="landscape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>
  <dimension ref="A5:W96"/>
  <sheetViews>
    <sheetView topLeftCell="A10" workbookViewId="0">
      <selection activeCell="B30" sqref="B30"/>
    </sheetView>
  </sheetViews>
  <sheetFormatPr defaultRowHeight="14.4"/>
  <cols>
    <col min="1" max="1" width="7.88671875" style="1" customWidth="1"/>
    <col min="2" max="2" width="22" style="1" customWidth="1"/>
    <col min="3" max="3" width="7.77734375" style="1" customWidth="1"/>
    <col min="4" max="4" width="4.77734375" style="1" customWidth="1"/>
    <col min="5" max="5" width="9.88671875" style="1" customWidth="1"/>
    <col min="6" max="6" width="7.6640625" style="1" customWidth="1"/>
    <col min="7" max="7" width="6.6640625" style="1" customWidth="1"/>
    <col min="8" max="8" width="7.44140625" style="1" customWidth="1"/>
    <col min="9" max="9" width="5.88671875" style="1" customWidth="1"/>
    <col min="10" max="10" width="6" style="1" customWidth="1"/>
    <col min="11" max="11" width="8.44140625" style="1" customWidth="1"/>
    <col min="12" max="12" width="8.21875" style="1" customWidth="1"/>
    <col min="13" max="13" width="7.33203125" style="1" customWidth="1"/>
    <col min="14" max="18" width="8.88671875" style="1"/>
    <col min="19" max="19" width="17.33203125" style="1" customWidth="1"/>
    <col min="20" max="16384" width="8.88671875" style="1"/>
  </cols>
  <sheetData>
    <row r="5" spans="1:23" ht="23.4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3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676</v>
      </c>
      <c r="M5" s="95" t="s">
        <v>677</v>
      </c>
      <c r="N5" s="3" t="s">
        <v>11</v>
      </c>
      <c r="O5" s="3" t="s">
        <v>36</v>
      </c>
      <c r="P5" s="3" t="s">
        <v>12</v>
      </c>
      <c r="Q5" s="3" t="s">
        <v>256</v>
      </c>
      <c r="R5" s="3" t="s">
        <v>257</v>
      </c>
      <c r="S5" s="3" t="s">
        <v>2</v>
      </c>
      <c r="T5" s="14" t="s">
        <v>80</v>
      </c>
      <c r="U5" s="14" t="s">
        <v>125</v>
      </c>
    </row>
    <row r="6" spans="1:23">
      <c r="A6" s="63"/>
      <c r="B6" s="279"/>
      <c r="C6" s="279"/>
      <c r="D6" s="279"/>
      <c r="E6" s="279"/>
      <c r="F6" s="279"/>
      <c r="G6" s="279"/>
      <c r="H6" s="279"/>
      <c r="I6" s="279"/>
      <c r="J6" s="279"/>
      <c r="K6" s="279"/>
      <c r="L6" s="61"/>
      <c r="M6" s="61"/>
      <c r="N6" s="279"/>
      <c r="O6" s="62"/>
      <c r="P6" s="62"/>
      <c r="Q6" s="62"/>
      <c r="R6" s="62"/>
      <c r="S6" s="62"/>
      <c r="U6" s="17"/>
    </row>
    <row r="7" spans="1:23">
      <c r="A7" s="63"/>
      <c r="B7" s="67"/>
      <c r="C7" s="67"/>
      <c r="D7" s="67"/>
      <c r="E7" s="67"/>
      <c r="F7" s="67"/>
      <c r="G7" s="67"/>
      <c r="H7" s="67"/>
      <c r="I7" s="67"/>
      <c r="J7" s="67"/>
      <c r="K7" s="68"/>
      <c r="L7" s="68"/>
      <c r="M7" s="68"/>
      <c r="N7" s="68"/>
      <c r="O7" s="68"/>
      <c r="P7" s="67"/>
      <c r="Q7" s="62"/>
      <c r="R7" s="62"/>
      <c r="S7" s="62"/>
      <c r="T7" s="62"/>
      <c r="U7" s="62"/>
      <c r="V7" s="62"/>
      <c r="W7" s="62"/>
    </row>
    <row r="8" spans="1:23">
      <c r="A8" s="63"/>
      <c r="B8" s="67"/>
      <c r="C8" s="67"/>
      <c r="D8" s="67"/>
      <c r="E8" s="67"/>
      <c r="F8" s="67"/>
      <c r="G8" s="67"/>
      <c r="H8" s="67"/>
      <c r="I8" s="67"/>
      <c r="J8" s="67"/>
      <c r="K8" s="67"/>
      <c r="L8" s="68"/>
      <c r="M8" s="68"/>
      <c r="N8" s="68"/>
      <c r="O8" s="68"/>
      <c r="P8" s="67"/>
      <c r="Q8" s="62"/>
      <c r="R8" s="62"/>
      <c r="S8" s="62"/>
      <c r="T8" s="62"/>
      <c r="U8" s="62"/>
      <c r="V8" s="62"/>
      <c r="W8" s="62"/>
    </row>
    <row r="9" spans="1:23">
      <c r="A9" s="63"/>
      <c r="B9" s="67"/>
      <c r="C9" s="67"/>
      <c r="D9" s="67"/>
      <c r="E9" s="67"/>
      <c r="F9" s="67"/>
      <c r="G9" s="67"/>
      <c r="H9" s="67"/>
      <c r="I9" s="67"/>
      <c r="J9" s="67"/>
      <c r="K9" s="68"/>
      <c r="L9" s="68"/>
      <c r="M9" s="68"/>
      <c r="N9" s="68"/>
      <c r="O9" s="68"/>
      <c r="P9" s="67"/>
      <c r="Q9" s="62"/>
      <c r="R9" s="62"/>
      <c r="S9" s="62"/>
      <c r="T9" s="62"/>
      <c r="U9" s="62"/>
      <c r="V9" s="62"/>
      <c r="W9" s="62"/>
    </row>
    <row r="10" spans="1:23">
      <c r="A10" s="63"/>
      <c r="B10" s="67"/>
      <c r="C10" s="67"/>
      <c r="D10" s="67"/>
      <c r="E10" s="67"/>
      <c r="F10" s="67"/>
      <c r="G10" s="67"/>
      <c r="H10" s="67"/>
      <c r="I10" s="67"/>
      <c r="J10" s="67"/>
      <c r="K10" s="68"/>
      <c r="L10" s="68"/>
      <c r="M10" s="68"/>
      <c r="N10" s="68"/>
      <c r="O10" s="68"/>
      <c r="P10" s="67"/>
      <c r="Q10" s="62"/>
      <c r="R10" s="62"/>
      <c r="S10" s="62"/>
      <c r="T10" s="62"/>
      <c r="U10" s="62"/>
      <c r="V10" s="62"/>
      <c r="W10" s="62"/>
    </row>
    <row r="11" spans="1:23">
      <c r="A11" s="63"/>
      <c r="B11" s="67"/>
      <c r="C11" s="67"/>
      <c r="D11" s="67"/>
      <c r="E11" s="67"/>
      <c r="F11" s="67"/>
      <c r="G11" s="67"/>
      <c r="H11" s="67"/>
      <c r="I11" s="67"/>
      <c r="J11" s="67"/>
      <c r="K11" s="68"/>
      <c r="L11" s="68"/>
      <c r="M11" s="68"/>
      <c r="N11" s="68"/>
      <c r="O11" s="68"/>
      <c r="P11" s="67"/>
      <c r="Q11" s="62"/>
      <c r="R11" s="62"/>
      <c r="S11" s="62"/>
      <c r="T11" s="62"/>
      <c r="U11" s="62"/>
      <c r="V11" s="62"/>
      <c r="W11" s="62"/>
    </row>
    <row r="12" spans="1:23">
      <c r="A12" s="63" t="s">
        <v>2634</v>
      </c>
      <c r="B12" s="42" t="s">
        <v>2643</v>
      </c>
      <c r="C12" s="42" t="s">
        <v>88</v>
      </c>
      <c r="D12" s="42" t="s">
        <v>16</v>
      </c>
      <c r="E12" s="42" t="s">
        <v>2644</v>
      </c>
      <c r="F12" s="42">
        <v>622</v>
      </c>
      <c r="G12" s="42"/>
      <c r="H12" s="42">
        <v>15000</v>
      </c>
      <c r="I12" s="42">
        <v>300</v>
      </c>
      <c r="J12" s="42">
        <v>0.13</v>
      </c>
      <c r="K12" s="43">
        <f t="shared" ref="K12" si="0">I12*J12</f>
        <v>39</v>
      </c>
      <c r="L12" s="43">
        <f t="shared" ref="L12" si="1">H12-K12</f>
        <v>14961</v>
      </c>
      <c r="M12" s="43"/>
      <c r="N12" s="281">
        <f t="shared" ref="N12" si="2">L12-M12</f>
        <v>14961</v>
      </c>
      <c r="O12" s="43">
        <f t="shared" ref="O12" si="3">H12/1000*70</f>
        <v>1050</v>
      </c>
      <c r="P12" s="67"/>
      <c r="Q12" s="67"/>
      <c r="R12" s="67"/>
      <c r="S12" s="62"/>
      <c r="T12" s="62"/>
      <c r="U12" s="62"/>
      <c r="V12" s="62"/>
      <c r="W12" s="62"/>
    </row>
    <row r="13" spans="1:23">
      <c r="A13" s="63"/>
      <c r="B13" s="67"/>
      <c r="C13" s="67"/>
      <c r="D13" s="67"/>
      <c r="E13" s="67"/>
      <c r="F13" s="67"/>
      <c r="G13" s="67"/>
      <c r="H13" s="67"/>
      <c r="I13" s="67"/>
      <c r="J13" s="67"/>
      <c r="K13" s="68"/>
      <c r="L13" s="68"/>
      <c r="M13" s="68"/>
      <c r="N13" s="68"/>
      <c r="O13" s="43"/>
      <c r="P13" s="149"/>
      <c r="Q13" s="62"/>
      <c r="R13" s="62"/>
      <c r="S13" s="62"/>
      <c r="T13" s="62"/>
      <c r="U13" s="62"/>
      <c r="V13" s="62"/>
      <c r="W13" s="62"/>
    </row>
    <row r="14" spans="1:23">
      <c r="A14" s="63" t="s">
        <v>2645</v>
      </c>
      <c r="B14" s="42" t="s">
        <v>2643</v>
      </c>
      <c r="C14" s="42" t="s">
        <v>24</v>
      </c>
      <c r="D14" s="42" t="s">
        <v>16</v>
      </c>
      <c r="E14" s="42" t="s">
        <v>2652</v>
      </c>
      <c r="F14" s="42">
        <v>5844</v>
      </c>
      <c r="G14" s="42"/>
      <c r="H14" s="42">
        <v>15000</v>
      </c>
      <c r="I14" s="42">
        <v>300</v>
      </c>
      <c r="J14" s="42">
        <v>0.13</v>
      </c>
      <c r="K14" s="43">
        <f t="shared" ref="K14" si="4">I14*J14</f>
        <v>39</v>
      </c>
      <c r="L14" s="43">
        <f t="shared" ref="L14" si="5">H14-K14</f>
        <v>14961</v>
      </c>
      <c r="M14" s="43"/>
      <c r="N14" s="281">
        <f t="shared" ref="N14" si="6">L14-M14</f>
        <v>14961</v>
      </c>
      <c r="O14" s="43">
        <f t="shared" ref="O14" si="7">H14/1000*70</f>
        <v>1050</v>
      </c>
      <c r="P14" s="67"/>
      <c r="Q14" s="67"/>
      <c r="R14" s="67"/>
      <c r="S14" s="62"/>
      <c r="T14" s="62"/>
      <c r="U14" s="62"/>
      <c r="V14" s="62"/>
      <c r="W14" s="62"/>
    </row>
    <row r="15" spans="1:23">
      <c r="A15" s="63"/>
      <c r="B15" s="67"/>
      <c r="C15" s="67"/>
      <c r="D15" s="67"/>
      <c r="E15" s="67"/>
      <c r="F15" s="67"/>
      <c r="G15" s="67"/>
      <c r="H15" s="67"/>
      <c r="I15" s="67"/>
      <c r="J15" s="67"/>
      <c r="K15" s="68"/>
      <c r="L15" s="68"/>
      <c r="M15" s="68"/>
      <c r="N15" s="68"/>
      <c r="O15" s="43"/>
      <c r="P15" s="149"/>
      <c r="Q15" s="62"/>
      <c r="R15" s="62"/>
      <c r="S15" s="62"/>
      <c r="T15" s="62"/>
      <c r="U15" s="62"/>
      <c r="V15" s="62"/>
      <c r="W15" s="62"/>
    </row>
    <row r="16" spans="1:23">
      <c r="A16" s="374" t="s">
        <v>2663</v>
      </c>
      <c r="B16" s="42" t="s">
        <v>2643</v>
      </c>
      <c r="C16" s="42" t="s">
        <v>88</v>
      </c>
      <c r="D16" s="42" t="s">
        <v>16</v>
      </c>
      <c r="E16" s="42" t="s">
        <v>2495</v>
      </c>
      <c r="F16" s="42">
        <v>628</v>
      </c>
      <c r="G16" s="42"/>
      <c r="H16" s="42">
        <v>15000</v>
      </c>
      <c r="I16" s="42">
        <v>300</v>
      </c>
      <c r="J16" s="42">
        <v>0.13</v>
      </c>
      <c r="K16" s="43">
        <f t="shared" ref="K16:K17" si="8">I16*J16</f>
        <v>39</v>
      </c>
      <c r="L16" s="43">
        <f t="shared" ref="L16:L17" si="9">H16-K16</f>
        <v>14961</v>
      </c>
      <c r="M16" s="43"/>
      <c r="N16" s="281">
        <f t="shared" ref="N16:N17" si="10">L16-M16</f>
        <v>14961</v>
      </c>
      <c r="O16" s="43">
        <f t="shared" ref="O16:O17" si="11">H16/1000*70</f>
        <v>1050</v>
      </c>
      <c r="P16" s="67"/>
      <c r="Q16" s="67">
        <v>21.3</v>
      </c>
      <c r="R16" s="67"/>
      <c r="S16" s="62"/>
      <c r="T16" s="62"/>
      <c r="U16" s="62"/>
      <c r="V16" s="62"/>
      <c r="W16" s="62"/>
    </row>
    <row r="17" spans="1:23">
      <c r="A17" s="374"/>
      <c r="B17" s="42" t="s">
        <v>2643</v>
      </c>
      <c r="C17" s="42" t="s">
        <v>88</v>
      </c>
      <c r="D17" s="42" t="s">
        <v>16</v>
      </c>
      <c r="E17" s="42" t="s">
        <v>2201</v>
      </c>
      <c r="F17" s="42">
        <v>626</v>
      </c>
      <c r="G17" s="42"/>
      <c r="H17" s="42">
        <v>15000</v>
      </c>
      <c r="I17" s="42">
        <v>300</v>
      </c>
      <c r="J17" s="42">
        <v>0.13</v>
      </c>
      <c r="K17" s="43">
        <f t="shared" si="8"/>
        <v>39</v>
      </c>
      <c r="L17" s="43">
        <f t="shared" si="9"/>
        <v>14961</v>
      </c>
      <c r="M17" s="43"/>
      <c r="N17" s="281">
        <f t="shared" si="10"/>
        <v>14961</v>
      </c>
      <c r="O17" s="43">
        <f t="shared" si="11"/>
        <v>1050</v>
      </c>
      <c r="P17" s="67"/>
      <c r="Q17" s="67"/>
      <c r="R17" s="67"/>
      <c r="S17" s="62"/>
      <c r="T17" s="62"/>
      <c r="U17" s="62"/>
      <c r="V17" s="62"/>
      <c r="W17" s="62"/>
    </row>
    <row r="18" spans="1:23">
      <c r="A18" s="63"/>
      <c r="B18" s="67"/>
      <c r="C18" s="67"/>
      <c r="D18" s="67"/>
      <c r="E18" s="67"/>
      <c r="F18" s="67"/>
      <c r="G18" s="67"/>
      <c r="H18" s="67"/>
      <c r="I18" s="67"/>
      <c r="J18" s="67"/>
      <c r="K18" s="68"/>
      <c r="L18" s="68"/>
      <c r="M18" s="68"/>
      <c r="N18" s="68"/>
      <c r="O18" s="68"/>
      <c r="P18" s="67"/>
      <c r="Q18" s="67"/>
      <c r="R18" s="67"/>
      <c r="S18" s="62"/>
      <c r="T18" s="62"/>
      <c r="U18" s="62"/>
      <c r="V18" s="62"/>
      <c r="W18" s="62"/>
    </row>
    <row r="19" spans="1:23">
      <c r="A19" s="63" t="s">
        <v>2680</v>
      </c>
      <c r="B19" s="42" t="s">
        <v>2643</v>
      </c>
      <c r="C19" s="42" t="s">
        <v>1377</v>
      </c>
      <c r="D19" s="42" t="s">
        <v>16</v>
      </c>
      <c r="E19" s="42" t="s">
        <v>2683</v>
      </c>
      <c r="F19" s="42">
        <v>967</v>
      </c>
      <c r="G19" s="42"/>
      <c r="H19" s="42">
        <v>18210</v>
      </c>
      <c r="I19" s="42">
        <v>330</v>
      </c>
      <c r="J19" s="42">
        <v>0.75</v>
      </c>
      <c r="K19" s="43">
        <f t="shared" ref="K19" si="12">I19*J19</f>
        <v>247.5</v>
      </c>
      <c r="L19" s="43">
        <f t="shared" ref="L19" si="13">H19-K19</f>
        <v>17962.5</v>
      </c>
      <c r="M19" s="43"/>
      <c r="N19" s="43">
        <f t="shared" ref="N19" si="14">L19-M19</f>
        <v>17962.5</v>
      </c>
      <c r="O19" s="43">
        <f t="shared" ref="O19" si="15">H19/1000*70</f>
        <v>1274.7</v>
      </c>
      <c r="P19" s="42">
        <v>0</v>
      </c>
      <c r="Q19" s="42">
        <v>16.5</v>
      </c>
      <c r="R19" s="42">
        <f t="shared" ref="R19" si="16">L19*Q19</f>
        <v>296381.25</v>
      </c>
      <c r="S19" s="42"/>
      <c r="T19" s="62"/>
      <c r="U19" s="62"/>
      <c r="V19" s="62"/>
      <c r="W19" s="62"/>
    </row>
    <row r="20" spans="1:23">
      <c r="A20" s="63"/>
      <c r="B20" s="67"/>
      <c r="C20" s="67"/>
      <c r="D20" s="67"/>
      <c r="E20" s="67"/>
      <c r="F20" s="67"/>
      <c r="G20" s="67"/>
      <c r="H20" s="67"/>
      <c r="I20" s="67"/>
      <c r="J20" s="67"/>
      <c r="K20" s="68"/>
      <c r="L20" s="68"/>
      <c r="M20" s="68"/>
      <c r="N20" s="68"/>
      <c r="O20" s="68"/>
      <c r="P20" s="67"/>
      <c r="Q20" s="67"/>
      <c r="R20" s="67"/>
      <c r="S20" s="62"/>
      <c r="T20" s="62"/>
      <c r="U20" s="62"/>
      <c r="V20" s="62"/>
      <c r="W20" s="62"/>
    </row>
    <row r="21" spans="1:23">
      <c r="A21" s="374" t="s">
        <v>2734</v>
      </c>
      <c r="B21" s="42" t="s">
        <v>2643</v>
      </c>
      <c r="C21" s="42" t="s">
        <v>88</v>
      </c>
      <c r="D21" s="42" t="s">
        <v>16</v>
      </c>
      <c r="E21" s="42" t="s">
        <v>2739</v>
      </c>
      <c r="F21" s="42">
        <v>231</v>
      </c>
      <c r="G21" s="42"/>
      <c r="H21" s="42">
        <v>20000</v>
      </c>
      <c r="I21" s="42">
        <v>400</v>
      </c>
      <c r="J21" s="42">
        <v>0.13</v>
      </c>
      <c r="K21" s="43">
        <f t="shared" ref="K21:K27" si="17">I21*J21</f>
        <v>52</v>
      </c>
      <c r="L21" s="43">
        <f t="shared" ref="L21:L27" si="18">H21-K21</f>
        <v>19948</v>
      </c>
      <c r="M21" s="43"/>
      <c r="N21" s="43">
        <f t="shared" ref="N21:N27" si="19">L21-M21</f>
        <v>19948</v>
      </c>
      <c r="O21" s="43">
        <f t="shared" ref="O21:O27" si="20">H21/1000*70</f>
        <v>1400</v>
      </c>
      <c r="P21" s="42"/>
      <c r="Q21" s="42"/>
      <c r="R21" s="42">
        <f t="shared" ref="R21:R27" si="21">L21*Q21</f>
        <v>0</v>
      </c>
      <c r="S21" s="42"/>
      <c r="T21" s="62"/>
      <c r="U21" s="62"/>
      <c r="V21" s="62"/>
      <c r="W21" s="62"/>
    </row>
    <row r="22" spans="1:23">
      <c r="A22" s="374"/>
      <c r="B22" s="42" t="s">
        <v>2643</v>
      </c>
      <c r="C22" s="42" t="s">
        <v>24</v>
      </c>
      <c r="D22" s="42" t="s">
        <v>16</v>
      </c>
      <c r="E22" s="42" t="s">
        <v>2740</v>
      </c>
      <c r="F22" s="42">
        <v>232</v>
      </c>
      <c r="G22" s="42"/>
      <c r="H22" s="42">
        <v>4000</v>
      </c>
      <c r="I22" s="42">
        <v>80</v>
      </c>
      <c r="J22" s="42">
        <v>0.13</v>
      </c>
      <c r="K22" s="43">
        <f t="shared" si="17"/>
        <v>10.4</v>
      </c>
      <c r="L22" s="43">
        <f t="shared" si="18"/>
        <v>3989.6</v>
      </c>
      <c r="M22" s="43"/>
      <c r="N22" s="43">
        <f t="shared" si="19"/>
        <v>3989.6</v>
      </c>
      <c r="O22" s="43">
        <f t="shared" si="20"/>
        <v>280</v>
      </c>
      <c r="P22" s="42"/>
      <c r="Q22" s="42"/>
      <c r="R22" s="42">
        <f t="shared" si="21"/>
        <v>0</v>
      </c>
      <c r="S22" s="42"/>
      <c r="T22" s="62"/>
      <c r="U22" s="62"/>
      <c r="V22" s="62"/>
      <c r="W22" s="62"/>
    </row>
    <row r="23" spans="1:23">
      <c r="A23" s="374"/>
      <c r="B23" s="42"/>
      <c r="C23" s="42" t="s">
        <v>353</v>
      </c>
      <c r="D23" s="42" t="s">
        <v>16</v>
      </c>
      <c r="E23" s="42"/>
      <c r="F23" s="42"/>
      <c r="G23" s="42"/>
      <c r="H23" s="42">
        <v>1000</v>
      </c>
      <c r="I23" s="42">
        <v>20</v>
      </c>
      <c r="J23" s="42">
        <v>0.13</v>
      </c>
      <c r="K23" s="43">
        <f t="shared" si="17"/>
        <v>2.6</v>
      </c>
      <c r="L23" s="43">
        <f t="shared" si="18"/>
        <v>997.4</v>
      </c>
      <c r="M23" s="43"/>
      <c r="N23" s="43">
        <f t="shared" si="19"/>
        <v>997.4</v>
      </c>
      <c r="O23" s="43">
        <f t="shared" si="20"/>
        <v>70</v>
      </c>
      <c r="P23" s="42"/>
      <c r="Q23" s="42"/>
      <c r="R23" s="42">
        <f t="shared" si="21"/>
        <v>0</v>
      </c>
      <c r="S23" s="42"/>
      <c r="T23" s="62"/>
      <c r="U23" s="62"/>
      <c r="V23" s="62"/>
      <c r="W23" s="62"/>
    </row>
    <row r="24" spans="1:23">
      <c r="A24" s="374"/>
      <c r="B24" s="42"/>
      <c r="C24" s="42" t="s">
        <v>1377</v>
      </c>
      <c r="D24" s="42" t="s">
        <v>16</v>
      </c>
      <c r="E24" s="42"/>
      <c r="F24" s="42"/>
      <c r="G24" s="42"/>
      <c r="H24" s="42">
        <v>3000</v>
      </c>
      <c r="I24" s="42">
        <v>60</v>
      </c>
      <c r="J24" s="42">
        <v>0.75</v>
      </c>
      <c r="K24" s="43">
        <f t="shared" si="17"/>
        <v>45</v>
      </c>
      <c r="L24" s="43">
        <f t="shared" si="18"/>
        <v>2955</v>
      </c>
      <c r="M24" s="43"/>
      <c r="N24" s="43">
        <f t="shared" si="19"/>
        <v>2955</v>
      </c>
      <c r="O24" s="43">
        <f t="shared" si="20"/>
        <v>210</v>
      </c>
      <c r="P24" s="42"/>
      <c r="Q24" s="42"/>
      <c r="R24" s="42">
        <f t="shared" si="21"/>
        <v>0</v>
      </c>
      <c r="S24" s="42"/>
      <c r="T24" s="62"/>
      <c r="U24" s="62"/>
      <c r="V24" s="62"/>
      <c r="W24" s="62"/>
    </row>
    <row r="25" spans="1:23">
      <c r="A25" s="374"/>
      <c r="B25" s="42" t="s">
        <v>2643</v>
      </c>
      <c r="C25" s="42" t="s">
        <v>881</v>
      </c>
      <c r="D25" s="42" t="s">
        <v>16</v>
      </c>
      <c r="E25" s="42" t="s">
        <v>2741</v>
      </c>
      <c r="F25" s="42">
        <v>1973</v>
      </c>
      <c r="G25" s="42"/>
      <c r="H25" s="42">
        <v>440</v>
      </c>
      <c r="I25" s="42"/>
      <c r="J25" s="42"/>
      <c r="K25" s="43">
        <f t="shared" si="17"/>
        <v>0</v>
      </c>
      <c r="L25" s="43">
        <f t="shared" si="18"/>
        <v>440</v>
      </c>
      <c r="M25" s="43"/>
      <c r="N25" s="43">
        <f t="shared" si="19"/>
        <v>440</v>
      </c>
      <c r="O25" s="43">
        <f t="shared" si="20"/>
        <v>30.8</v>
      </c>
      <c r="P25" s="42"/>
      <c r="Q25" s="42"/>
      <c r="R25" s="42">
        <f t="shared" si="21"/>
        <v>0</v>
      </c>
      <c r="S25" s="42" t="s">
        <v>2742</v>
      </c>
      <c r="T25" s="62"/>
      <c r="U25" s="62"/>
      <c r="V25" s="62"/>
      <c r="W25" s="62"/>
    </row>
    <row r="26" spans="1:23">
      <c r="A26" s="374"/>
      <c r="B26" s="42" t="s">
        <v>2643</v>
      </c>
      <c r="C26" s="42" t="s">
        <v>24</v>
      </c>
      <c r="D26" s="42" t="s">
        <v>16</v>
      </c>
      <c r="E26" s="42" t="s">
        <v>1230</v>
      </c>
      <c r="F26" s="42">
        <v>233</v>
      </c>
      <c r="G26" s="42"/>
      <c r="H26" s="42">
        <v>1990</v>
      </c>
      <c r="I26" s="42">
        <v>40</v>
      </c>
      <c r="J26" s="42">
        <v>0.13</v>
      </c>
      <c r="K26" s="43">
        <f t="shared" si="17"/>
        <v>5.2</v>
      </c>
      <c r="L26" s="43">
        <f t="shared" si="18"/>
        <v>1984.8</v>
      </c>
      <c r="M26" s="43"/>
      <c r="N26" s="43">
        <f t="shared" si="19"/>
        <v>1984.8</v>
      </c>
      <c r="O26" s="43">
        <f t="shared" si="20"/>
        <v>139.30000000000001</v>
      </c>
      <c r="P26" s="42"/>
      <c r="Q26" s="42"/>
      <c r="R26" s="42">
        <f t="shared" si="21"/>
        <v>0</v>
      </c>
      <c r="S26" s="42"/>
      <c r="T26" s="62"/>
      <c r="U26" s="62"/>
      <c r="V26" s="62"/>
      <c r="W26" s="62"/>
    </row>
    <row r="27" spans="1:23">
      <c r="A27" s="374"/>
      <c r="B27" s="42"/>
      <c r="C27" s="42" t="s">
        <v>1377</v>
      </c>
      <c r="D27" s="42" t="s">
        <v>16</v>
      </c>
      <c r="E27" s="42"/>
      <c r="F27" s="42"/>
      <c r="G27" s="42"/>
      <c r="H27" s="42">
        <v>990</v>
      </c>
      <c r="I27" s="42">
        <v>20</v>
      </c>
      <c r="J27" s="42">
        <v>0.75</v>
      </c>
      <c r="K27" s="43">
        <f t="shared" si="17"/>
        <v>15</v>
      </c>
      <c r="L27" s="43">
        <f t="shared" si="18"/>
        <v>975</v>
      </c>
      <c r="M27" s="43"/>
      <c r="N27" s="43">
        <f t="shared" si="19"/>
        <v>975</v>
      </c>
      <c r="O27" s="43">
        <f t="shared" si="20"/>
        <v>69.3</v>
      </c>
      <c r="P27" s="42"/>
      <c r="Q27" s="42"/>
      <c r="R27" s="42">
        <f t="shared" si="21"/>
        <v>0</v>
      </c>
      <c r="S27" s="42"/>
      <c r="T27" s="62"/>
      <c r="U27" s="62"/>
      <c r="V27" s="62"/>
      <c r="W27" s="62"/>
    </row>
    <row r="28" spans="1:23">
      <c r="A28" s="63"/>
      <c r="B28" s="67"/>
      <c r="C28" s="67"/>
      <c r="D28" s="67"/>
      <c r="E28" s="67"/>
      <c r="F28" s="67"/>
      <c r="G28" s="67"/>
      <c r="H28" s="67"/>
      <c r="I28" s="67"/>
      <c r="J28" s="67"/>
      <c r="K28" s="67"/>
      <c r="L28" s="68"/>
      <c r="M28" s="68"/>
      <c r="N28" s="68"/>
      <c r="O28" s="68"/>
      <c r="P28" s="67"/>
      <c r="Q28" s="67"/>
      <c r="R28" s="67"/>
      <c r="S28" s="62"/>
      <c r="T28" s="62"/>
      <c r="U28" s="62"/>
      <c r="V28" s="62"/>
      <c r="W28" s="62"/>
    </row>
    <row r="29" spans="1:23">
      <c r="A29" s="63"/>
      <c r="B29" s="67"/>
      <c r="C29" s="67"/>
      <c r="D29" s="67"/>
      <c r="E29" s="67"/>
      <c r="F29" s="67"/>
      <c r="G29" s="67"/>
      <c r="H29" s="67"/>
      <c r="I29" s="67"/>
      <c r="J29" s="67"/>
      <c r="K29" s="67"/>
      <c r="L29" s="68"/>
      <c r="M29" s="68"/>
      <c r="N29" s="68"/>
      <c r="O29" s="68"/>
      <c r="P29" s="67"/>
      <c r="Q29" s="67"/>
      <c r="R29" s="67"/>
      <c r="S29" s="62"/>
      <c r="T29" s="62"/>
      <c r="U29" s="62"/>
      <c r="V29" s="62"/>
      <c r="W29" s="62"/>
    </row>
    <row r="30" spans="1:23">
      <c r="A30" s="63"/>
      <c r="B30" s="67"/>
      <c r="C30" s="67"/>
      <c r="D30" s="67"/>
      <c r="E30" s="67"/>
      <c r="F30" s="67"/>
      <c r="G30" s="67"/>
      <c r="H30" s="67"/>
      <c r="I30" s="67"/>
      <c r="J30" s="67"/>
      <c r="K30" s="67"/>
      <c r="L30" s="68"/>
      <c r="M30" s="68"/>
      <c r="N30" s="68"/>
      <c r="O30" s="68"/>
      <c r="P30" s="67"/>
      <c r="Q30" s="67"/>
      <c r="R30" s="67"/>
      <c r="S30" s="62"/>
      <c r="T30" s="62"/>
      <c r="U30" s="62"/>
      <c r="V30" s="62"/>
      <c r="W30" s="62"/>
    </row>
    <row r="31" spans="1:23">
      <c r="A31" s="63"/>
      <c r="B31" s="67"/>
      <c r="C31" s="67"/>
      <c r="D31" s="67"/>
      <c r="E31" s="67"/>
      <c r="F31" s="67"/>
      <c r="G31" s="67"/>
      <c r="H31" s="67"/>
      <c r="I31" s="67"/>
      <c r="J31" s="67"/>
      <c r="K31" s="67"/>
      <c r="L31" s="68"/>
      <c r="M31" s="68"/>
      <c r="N31" s="68"/>
      <c r="O31" s="68"/>
      <c r="P31" s="67"/>
      <c r="Q31" s="67"/>
      <c r="R31" s="67"/>
      <c r="S31" s="62"/>
      <c r="T31" s="62"/>
      <c r="U31" s="62"/>
      <c r="V31" s="62"/>
      <c r="W31" s="62"/>
    </row>
    <row r="32" spans="1:23">
      <c r="A32" s="62"/>
      <c r="B32" s="67"/>
      <c r="C32" s="67"/>
      <c r="D32" s="67"/>
      <c r="E32" s="67"/>
      <c r="F32" s="67"/>
      <c r="G32" s="67"/>
      <c r="H32" s="67"/>
      <c r="I32" s="67"/>
      <c r="J32" s="67"/>
      <c r="K32" s="67"/>
      <c r="L32" s="68"/>
      <c r="M32" s="68"/>
      <c r="N32" s="68"/>
      <c r="O32" s="68"/>
      <c r="P32" s="67"/>
      <c r="Q32" s="67"/>
      <c r="R32" s="67"/>
      <c r="S32" s="62"/>
      <c r="T32" s="62"/>
      <c r="U32" s="62"/>
      <c r="V32" s="62"/>
      <c r="W32" s="62"/>
    </row>
    <row r="33" spans="1:23">
      <c r="A33" s="63"/>
      <c r="B33" s="67"/>
      <c r="C33" s="67"/>
      <c r="D33" s="67"/>
      <c r="E33" s="67"/>
      <c r="F33" s="67"/>
      <c r="G33" s="67"/>
      <c r="H33" s="67"/>
      <c r="I33" s="67"/>
      <c r="J33" s="67"/>
      <c r="K33" s="67"/>
      <c r="L33" s="68"/>
      <c r="M33" s="68"/>
      <c r="N33" s="68"/>
      <c r="O33" s="68"/>
      <c r="P33" s="67"/>
      <c r="Q33" s="67"/>
      <c r="R33" s="67"/>
      <c r="S33" s="62"/>
      <c r="T33" s="62"/>
      <c r="U33" s="62"/>
      <c r="V33" s="62"/>
      <c r="W33" s="62"/>
    </row>
    <row r="34" spans="1:23">
      <c r="A34" s="63"/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8"/>
      <c r="M34" s="68"/>
      <c r="N34" s="68"/>
      <c r="O34" s="68"/>
      <c r="P34" s="67"/>
      <c r="Q34" s="67"/>
      <c r="R34" s="67"/>
      <c r="S34" s="62"/>
      <c r="T34" s="62"/>
      <c r="U34" s="62"/>
      <c r="V34" s="62"/>
      <c r="W34" s="62"/>
    </row>
    <row r="35" spans="1:23">
      <c r="A35" s="63"/>
      <c r="B35" s="67"/>
      <c r="C35" s="67"/>
      <c r="D35" s="67"/>
      <c r="E35" s="67"/>
      <c r="F35" s="67"/>
      <c r="G35" s="67"/>
      <c r="H35" s="67"/>
      <c r="I35" s="67"/>
      <c r="J35" s="67"/>
      <c r="K35" s="67"/>
      <c r="L35" s="68"/>
      <c r="M35" s="68"/>
      <c r="N35" s="68"/>
      <c r="O35" s="68"/>
      <c r="P35" s="67"/>
      <c r="Q35" s="67"/>
      <c r="R35" s="67"/>
      <c r="S35" s="62"/>
      <c r="T35" s="62"/>
      <c r="U35" s="62"/>
      <c r="V35" s="62"/>
      <c r="W35" s="62"/>
    </row>
    <row r="36" spans="1:23">
      <c r="A36" s="63"/>
      <c r="B36" s="67"/>
      <c r="C36" s="67"/>
      <c r="D36" s="67"/>
      <c r="E36" s="67"/>
      <c r="F36" s="67"/>
      <c r="G36" s="67"/>
      <c r="H36" s="67"/>
      <c r="I36" s="67"/>
      <c r="J36" s="67"/>
      <c r="K36" s="67"/>
      <c r="L36" s="68"/>
      <c r="M36" s="68"/>
      <c r="N36" s="68"/>
      <c r="O36" s="68"/>
      <c r="P36" s="67"/>
      <c r="Q36" s="67"/>
      <c r="R36" s="67"/>
      <c r="S36" s="62"/>
      <c r="T36" s="62"/>
      <c r="U36" s="62"/>
      <c r="V36" s="62"/>
      <c r="W36" s="62"/>
    </row>
    <row r="37" spans="1:23">
      <c r="A37" s="63"/>
      <c r="B37" s="67"/>
      <c r="C37" s="67"/>
      <c r="D37" s="67"/>
      <c r="E37" s="67"/>
      <c r="F37" s="67"/>
      <c r="G37" s="67"/>
      <c r="H37" s="67"/>
      <c r="I37" s="67"/>
      <c r="J37" s="67"/>
      <c r="K37" s="67"/>
      <c r="L37" s="68"/>
      <c r="M37" s="68"/>
      <c r="N37" s="68"/>
      <c r="O37" s="68"/>
      <c r="P37" s="67"/>
      <c r="Q37" s="67"/>
      <c r="R37" s="67"/>
      <c r="S37" s="62"/>
      <c r="T37" s="62"/>
      <c r="U37" s="62"/>
      <c r="V37" s="62"/>
      <c r="W37" s="62"/>
    </row>
    <row r="38" spans="1:23">
      <c r="A38" s="63"/>
      <c r="B38" s="67"/>
      <c r="C38" s="67"/>
      <c r="D38" s="67"/>
      <c r="E38" s="67"/>
      <c r="F38" s="67"/>
      <c r="G38" s="67"/>
      <c r="H38" s="67"/>
      <c r="I38" s="67"/>
      <c r="J38" s="67"/>
      <c r="K38" s="67"/>
      <c r="L38" s="68"/>
      <c r="M38" s="68"/>
      <c r="N38" s="68"/>
      <c r="O38" s="68"/>
      <c r="P38" s="67"/>
      <c r="Q38" s="67"/>
      <c r="R38" s="67"/>
      <c r="S38" s="62"/>
      <c r="T38" s="62"/>
      <c r="U38" s="62"/>
      <c r="V38" s="62"/>
      <c r="W38" s="62"/>
    </row>
    <row r="39" spans="1:23">
      <c r="A39" s="63"/>
      <c r="B39" s="67"/>
      <c r="C39" s="67"/>
      <c r="D39" s="67"/>
      <c r="E39" s="67"/>
      <c r="F39" s="67"/>
      <c r="G39" s="67"/>
      <c r="H39" s="67"/>
      <c r="I39" s="67"/>
      <c r="J39" s="67"/>
      <c r="K39" s="67"/>
      <c r="L39" s="68"/>
      <c r="M39" s="68"/>
      <c r="N39" s="68"/>
      <c r="O39" s="68"/>
      <c r="P39" s="67"/>
      <c r="Q39" s="67"/>
      <c r="R39" s="67"/>
      <c r="S39" s="62"/>
      <c r="T39" s="62"/>
      <c r="U39" s="62"/>
      <c r="V39" s="62"/>
      <c r="W39" s="62"/>
    </row>
    <row r="40" spans="1:23">
      <c r="A40" s="63"/>
      <c r="B40" s="67"/>
      <c r="C40" s="67"/>
      <c r="D40" s="67"/>
      <c r="E40" s="67"/>
      <c r="F40" s="67"/>
      <c r="G40" s="67"/>
      <c r="H40" s="67"/>
      <c r="I40" s="67"/>
      <c r="J40" s="67"/>
      <c r="K40" s="67"/>
      <c r="L40" s="68"/>
      <c r="M40" s="68"/>
      <c r="N40" s="68"/>
      <c r="O40" s="68"/>
      <c r="P40" s="67"/>
      <c r="Q40" s="67"/>
      <c r="R40" s="67"/>
      <c r="S40" s="62"/>
      <c r="T40" s="62"/>
      <c r="U40" s="62"/>
      <c r="V40" s="62"/>
      <c r="W40" s="62"/>
    </row>
    <row r="41" spans="1:23">
      <c r="A41" s="63"/>
      <c r="B41" s="67"/>
      <c r="C41" s="67"/>
      <c r="D41" s="67"/>
      <c r="E41" s="67"/>
      <c r="F41" s="67"/>
      <c r="G41" s="67"/>
      <c r="H41" s="67"/>
      <c r="I41" s="67"/>
      <c r="J41" s="67"/>
      <c r="K41" s="67"/>
      <c r="L41" s="68"/>
      <c r="M41" s="68"/>
      <c r="N41" s="68"/>
      <c r="O41" s="68"/>
      <c r="P41" s="67"/>
      <c r="Q41" s="67"/>
      <c r="R41" s="67"/>
      <c r="S41" s="62"/>
      <c r="T41" s="62"/>
      <c r="U41" s="62"/>
      <c r="V41" s="62"/>
      <c r="W41" s="62"/>
    </row>
    <row r="42" spans="1:23">
      <c r="A42" s="62"/>
      <c r="B42" s="67"/>
      <c r="C42" s="67"/>
      <c r="D42" s="67"/>
      <c r="E42" s="67"/>
      <c r="F42" s="67"/>
      <c r="G42" s="67"/>
      <c r="H42" s="67"/>
      <c r="I42" s="67"/>
      <c r="J42" s="67"/>
      <c r="K42" s="67"/>
      <c r="L42" s="68"/>
      <c r="M42" s="68"/>
      <c r="N42" s="68"/>
      <c r="O42" s="68"/>
      <c r="P42" s="67"/>
      <c r="Q42" s="67"/>
      <c r="R42" s="67"/>
      <c r="S42" s="62"/>
      <c r="T42" s="62"/>
      <c r="U42" s="62"/>
      <c r="V42" s="62"/>
      <c r="W42" s="62"/>
    </row>
    <row r="43" spans="1:23">
      <c r="A43" s="63"/>
      <c r="B43" s="142"/>
      <c r="C43" s="142"/>
      <c r="D43" s="67"/>
      <c r="E43" s="67"/>
      <c r="F43" s="67"/>
      <c r="G43" s="67"/>
      <c r="H43" s="67"/>
      <c r="I43" s="67"/>
      <c r="J43" s="67"/>
      <c r="K43" s="67"/>
      <c r="L43" s="68"/>
      <c r="M43" s="68"/>
      <c r="N43" s="68"/>
      <c r="O43" s="68"/>
      <c r="P43" s="67"/>
      <c r="Q43" s="67"/>
      <c r="R43" s="67"/>
      <c r="S43" s="62"/>
      <c r="T43" s="62"/>
      <c r="U43" s="62"/>
      <c r="V43" s="62"/>
      <c r="W43" s="62"/>
    </row>
    <row r="44" spans="1:23">
      <c r="A44" s="63"/>
      <c r="B44" s="142"/>
      <c r="C44" s="142"/>
      <c r="D44" s="67"/>
      <c r="E44" s="67"/>
      <c r="F44" s="67"/>
      <c r="G44" s="67"/>
      <c r="H44" s="67"/>
      <c r="I44" s="67"/>
      <c r="J44" s="67"/>
      <c r="K44" s="67"/>
      <c r="L44" s="68"/>
      <c r="M44" s="68"/>
      <c r="N44" s="68"/>
      <c r="O44" s="68"/>
      <c r="P44" s="67"/>
      <c r="Q44" s="67"/>
      <c r="R44" s="67"/>
      <c r="S44" s="62"/>
      <c r="T44" s="62"/>
      <c r="U44" s="62"/>
      <c r="V44" s="62"/>
      <c r="W44" s="62"/>
    </row>
    <row r="45" spans="1:23">
      <c r="A45" s="63"/>
      <c r="B45" s="142"/>
      <c r="C45" s="142"/>
      <c r="D45" s="67"/>
      <c r="E45" s="67"/>
      <c r="F45" s="67"/>
      <c r="G45" s="67"/>
      <c r="H45" s="67"/>
      <c r="I45" s="67"/>
      <c r="J45" s="67"/>
      <c r="K45" s="67"/>
      <c r="L45" s="68"/>
      <c r="M45" s="68"/>
      <c r="N45" s="68"/>
      <c r="O45" s="68"/>
      <c r="P45" s="67"/>
      <c r="Q45" s="67"/>
      <c r="R45" s="67"/>
      <c r="S45" s="62"/>
      <c r="T45" s="62"/>
      <c r="U45" s="62"/>
      <c r="V45" s="62"/>
      <c r="W45" s="62"/>
    </row>
    <row r="46" spans="1:23">
      <c r="A46" s="63"/>
      <c r="B46" s="142"/>
      <c r="C46" s="142"/>
      <c r="D46" s="67"/>
      <c r="E46" s="67"/>
      <c r="F46" s="67"/>
      <c r="G46" s="67"/>
      <c r="H46" s="67"/>
      <c r="I46" s="67"/>
      <c r="J46" s="67"/>
      <c r="K46" s="67"/>
      <c r="L46" s="68"/>
      <c r="M46" s="68"/>
      <c r="N46" s="68"/>
      <c r="O46" s="68"/>
      <c r="P46" s="67"/>
      <c r="Q46" s="67"/>
      <c r="R46" s="67"/>
      <c r="S46" s="62"/>
      <c r="T46" s="62"/>
      <c r="U46" s="62"/>
      <c r="V46" s="62"/>
      <c r="W46" s="62"/>
    </row>
    <row r="47" spans="1:23">
      <c r="A47" s="63"/>
      <c r="B47" s="142"/>
      <c r="C47" s="142"/>
      <c r="D47" s="67"/>
      <c r="E47" s="67"/>
      <c r="F47" s="67"/>
      <c r="G47" s="67"/>
      <c r="H47" s="67"/>
      <c r="I47" s="67"/>
      <c r="J47" s="67"/>
      <c r="K47" s="67"/>
      <c r="L47" s="68"/>
      <c r="M47" s="68"/>
      <c r="N47" s="68"/>
      <c r="O47" s="68"/>
      <c r="P47" s="67"/>
      <c r="Q47" s="67"/>
      <c r="R47" s="67"/>
      <c r="S47" s="62"/>
      <c r="T47" s="62"/>
      <c r="U47" s="62"/>
      <c r="V47" s="62"/>
      <c r="W47" s="62"/>
    </row>
    <row r="48" spans="1:23">
      <c r="A48" s="63"/>
      <c r="B48" s="142"/>
      <c r="C48" s="142"/>
      <c r="D48" s="67"/>
      <c r="E48" s="67"/>
      <c r="F48" s="67"/>
      <c r="G48" s="67"/>
      <c r="H48" s="67"/>
      <c r="I48" s="67"/>
      <c r="J48" s="67"/>
      <c r="K48" s="67"/>
      <c r="L48" s="68"/>
      <c r="M48" s="68"/>
      <c r="N48" s="68"/>
      <c r="O48" s="68"/>
      <c r="P48" s="67"/>
      <c r="Q48" s="67"/>
      <c r="R48" s="67"/>
      <c r="S48" s="62"/>
      <c r="T48" s="62"/>
      <c r="U48" s="62"/>
      <c r="V48" s="62"/>
      <c r="W48" s="62"/>
    </row>
    <row r="49" spans="1:23">
      <c r="A49" s="63"/>
      <c r="B49" s="142"/>
      <c r="C49" s="142"/>
      <c r="D49" s="67"/>
      <c r="E49" s="67"/>
      <c r="F49" s="67"/>
      <c r="G49" s="67"/>
      <c r="H49" s="67"/>
      <c r="I49" s="67"/>
      <c r="J49" s="67"/>
      <c r="K49" s="67"/>
      <c r="L49" s="68"/>
      <c r="M49" s="68"/>
      <c r="N49" s="68"/>
      <c r="O49" s="68"/>
      <c r="P49" s="67"/>
      <c r="Q49" s="67"/>
      <c r="R49" s="67"/>
      <c r="S49" s="62"/>
      <c r="T49" s="62"/>
      <c r="U49" s="62"/>
      <c r="V49" s="62"/>
      <c r="W49" s="62"/>
    </row>
    <row r="50" spans="1:23">
      <c r="A50" s="63"/>
      <c r="B50" s="142"/>
      <c r="C50" s="142"/>
      <c r="D50" s="67"/>
      <c r="E50" s="67"/>
      <c r="F50" s="67"/>
      <c r="G50" s="67"/>
      <c r="H50" s="67"/>
      <c r="I50" s="67"/>
      <c r="J50" s="67"/>
      <c r="K50" s="67"/>
      <c r="L50" s="68"/>
      <c r="M50" s="68"/>
      <c r="N50" s="68"/>
      <c r="O50" s="68"/>
      <c r="P50" s="67"/>
      <c r="Q50" s="67"/>
      <c r="R50" s="67"/>
      <c r="S50" s="62"/>
      <c r="T50" s="62"/>
      <c r="U50" s="62"/>
      <c r="V50" s="62"/>
      <c r="W50" s="62"/>
    </row>
    <row r="51" spans="1:23">
      <c r="A51" s="63"/>
      <c r="B51" s="142"/>
      <c r="C51" s="142"/>
      <c r="D51" s="67"/>
      <c r="E51" s="67"/>
      <c r="F51" s="67"/>
      <c r="G51" s="67"/>
      <c r="H51" s="67"/>
      <c r="I51" s="67"/>
      <c r="J51" s="67"/>
      <c r="K51" s="67"/>
      <c r="L51" s="68"/>
      <c r="M51" s="68"/>
      <c r="N51" s="68"/>
      <c r="O51" s="68"/>
      <c r="P51" s="67"/>
      <c r="Q51" s="67"/>
      <c r="R51" s="67"/>
      <c r="S51" s="62"/>
      <c r="T51" s="62"/>
      <c r="U51" s="62"/>
      <c r="V51" s="62"/>
      <c r="W51" s="62"/>
    </row>
    <row r="52" spans="1:23">
      <c r="A52" s="63"/>
      <c r="B52" s="142"/>
      <c r="C52" s="142"/>
      <c r="D52" s="67"/>
      <c r="E52" s="67"/>
      <c r="F52" s="67"/>
      <c r="G52" s="67"/>
      <c r="H52" s="67"/>
      <c r="I52" s="67"/>
      <c r="J52" s="67"/>
      <c r="K52" s="67"/>
      <c r="L52" s="68"/>
      <c r="M52" s="68"/>
      <c r="N52" s="68"/>
      <c r="O52" s="68"/>
      <c r="P52" s="67"/>
      <c r="Q52" s="67"/>
      <c r="R52" s="67"/>
      <c r="S52" s="62"/>
      <c r="T52" s="62"/>
      <c r="U52" s="62"/>
      <c r="V52" s="62"/>
      <c r="W52" s="62"/>
    </row>
    <row r="53" spans="1:23">
      <c r="A53" s="63"/>
      <c r="B53" s="142"/>
      <c r="C53" s="142"/>
      <c r="D53" s="67"/>
      <c r="E53" s="67"/>
      <c r="F53" s="67"/>
      <c r="G53" s="67"/>
      <c r="H53" s="67"/>
      <c r="I53" s="67"/>
      <c r="J53" s="67"/>
      <c r="K53" s="67"/>
      <c r="L53" s="68"/>
      <c r="M53" s="68"/>
      <c r="N53" s="68"/>
      <c r="O53" s="68"/>
      <c r="P53" s="67"/>
      <c r="Q53" s="67"/>
      <c r="R53" s="67"/>
      <c r="S53" s="62"/>
      <c r="T53" s="62"/>
      <c r="U53" s="62"/>
      <c r="V53" s="62"/>
      <c r="W53" s="62"/>
    </row>
    <row r="54" spans="1:23">
      <c r="A54" s="63"/>
      <c r="B54" s="142"/>
      <c r="C54" s="142"/>
      <c r="D54" s="67"/>
      <c r="E54" s="67"/>
      <c r="F54" s="67"/>
      <c r="G54" s="67"/>
      <c r="H54" s="67"/>
      <c r="I54" s="67"/>
      <c r="J54" s="67"/>
      <c r="K54" s="67"/>
      <c r="L54" s="68"/>
      <c r="M54" s="68"/>
      <c r="N54" s="68"/>
      <c r="O54" s="68"/>
      <c r="P54" s="67"/>
      <c r="Q54" s="67"/>
      <c r="R54" s="67"/>
      <c r="S54" s="62"/>
      <c r="T54" s="62"/>
      <c r="U54" s="62"/>
      <c r="V54" s="62"/>
      <c r="W54" s="62"/>
    </row>
    <row r="55" spans="1:23">
      <c r="A55" s="63"/>
      <c r="B55" s="142"/>
      <c r="C55" s="142"/>
      <c r="D55" s="67"/>
      <c r="E55" s="67"/>
      <c r="F55" s="67"/>
      <c r="G55" s="67"/>
      <c r="H55" s="67"/>
      <c r="I55" s="67"/>
      <c r="J55" s="67"/>
      <c r="K55" s="67"/>
      <c r="L55" s="68"/>
      <c r="M55" s="68"/>
      <c r="N55" s="68"/>
      <c r="O55" s="68"/>
      <c r="P55" s="67"/>
      <c r="Q55" s="67"/>
      <c r="R55" s="67"/>
      <c r="S55" s="62"/>
      <c r="T55" s="62"/>
      <c r="U55" s="62"/>
      <c r="V55" s="62"/>
      <c r="W55" s="62"/>
    </row>
    <row r="56" spans="1:23">
      <c r="A56" s="63"/>
      <c r="B56" s="142"/>
      <c r="C56" s="142"/>
      <c r="D56" s="67"/>
      <c r="E56" s="67"/>
      <c r="F56" s="67"/>
      <c r="G56" s="67"/>
      <c r="H56" s="67"/>
      <c r="I56" s="67"/>
      <c r="J56" s="67"/>
      <c r="K56" s="67"/>
      <c r="L56" s="68"/>
      <c r="M56" s="68"/>
      <c r="N56" s="68"/>
      <c r="O56" s="68"/>
      <c r="P56" s="67"/>
      <c r="Q56" s="67"/>
      <c r="R56" s="67"/>
      <c r="S56" s="62"/>
      <c r="T56" s="62"/>
      <c r="U56" s="62"/>
      <c r="V56" s="62"/>
      <c r="W56" s="62"/>
    </row>
    <row r="57" spans="1:23">
      <c r="A57" s="63"/>
      <c r="B57" s="142"/>
      <c r="C57" s="142"/>
      <c r="D57" s="67"/>
      <c r="E57" s="67"/>
      <c r="F57" s="67"/>
      <c r="G57" s="67"/>
      <c r="H57" s="67"/>
      <c r="I57" s="67"/>
      <c r="J57" s="67"/>
      <c r="K57" s="67"/>
      <c r="L57" s="68"/>
      <c r="M57" s="68"/>
      <c r="N57" s="68"/>
      <c r="O57" s="68"/>
      <c r="P57" s="67"/>
      <c r="Q57" s="67"/>
      <c r="R57" s="67"/>
      <c r="S57" s="62"/>
      <c r="T57" s="62"/>
      <c r="U57" s="62"/>
      <c r="V57" s="62"/>
      <c r="W57" s="62"/>
    </row>
    <row r="58" spans="1:23">
      <c r="A58" s="63"/>
      <c r="B58" s="142"/>
      <c r="C58" s="142"/>
      <c r="D58" s="67"/>
      <c r="E58" s="67"/>
      <c r="F58" s="67"/>
      <c r="G58" s="67"/>
      <c r="H58" s="67"/>
      <c r="I58" s="67"/>
      <c r="J58" s="67"/>
      <c r="K58" s="67"/>
      <c r="L58" s="68"/>
      <c r="M58" s="68"/>
      <c r="N58" s="68"/>
      <c r="O58" s="68"/>
      <c r="P58" s="67"/>
      <c r="Q58" s="67"/>
      <c r="R58" s="67"/>
      <c r="S58" s="62"/>
      <c r="T58" s="62"/>
      <c r="U58" s="62"/>
      <c r="V58" s="62"/>
      <c r="W58" s="62"/>
    </row>
    <row r="59" spans="1:23">
      <c r="A59" s="63"/>
      <c r="B59" s="142"/>
      <c r="C59" s="142"/>
      <c r="D59" s="67"/>
      <c r="E59" s="67"/>
      <c r="F59" s="67"/>
      <c r="G59" s="67"/>
      <c r="H59" s="67"/>
      <c r="I59" s="67"/>
      <c r="J59" s="67"/>
      <c r="K59" s="67"/>
      <c r="L59" s="68"/>
      <c r="M59" s="68"/>
      <c r="N59" s="68"/>
      <c r="O59" s="68"/>
      <c r="P59" s="67"/>
      <c r="Q59" s="67"/>
      <c r="R59" s="67"/>
      <c r="S59" s="62"/>
      <c r="T59" s="62"/>
      <c r="U59" s="62"/>
      <c r="V59" s="62"/>
      <c r="W59" s="62"/>
    </row>
    <row r="60" spans="1:23">
      <c r="A60" s="63"/>
      <c r="B60" s="142"/>
      <c r="C60" s="142"/>
      <c r="D60" s="67"/>
      <c r="E60" s="67"/>
      <c r="F60" s="67"/>
      <c r="G60" s="67"/>
      <c r="H60" s="67"/>
      <c r="I60" s="67"/>
      <c r="J60" s="67"/>
      <c r="K60" s="67"/>
      <c r="L60" s="68"/>
      <c r="M60" s="68"/>
      <c r="N60" s="68"/>
      <c r="O60" s="68"/>
      <c r="P60" s="67"/>
      <c r="Q60" s="67"/>
      <c r="R60" s="67"/>
      <c r="S60" s="62"/>
      <c r="T60" s="62"/>
      <c r="U60" s="62"/>
      <c r="V60" s="62"/>
      <c r="W60" s="62"/>
    </row>
    <row r="61" spans="1:23">
      <c r="A61" s="63"/>
      <c r="B61" s="142"/>
      <c r="C61" s="142"/>
      <c r="D61" s="67"/>
      <c r="E61" s="67"/>
      <c r="F61" s="67"/>
      <c r="G61" s="67"/>
      <c r="H61" s="67"/>
      <c r="I61" s="67"/>
      <c r="J61" s="67"/>
      <c r="K61" s="67"/>
      <c r="L61" s="68"/>
      <c r="M61" s="68"/>
      <c r="N61" s="68"/>
      <c r="O61" s="68"/>
      <c r="P61" s="67"/>
      <c r="Q61" s="67"/>
      <c r="R61" s="67"/>
      <c r="S61" s="62"/>
      <c r="T61" s="62"/>
      <c r="U61" s="62"/>
      <c r="V61" s="62"/>
      <c r="W61" s="62"/>
    </row>
    <row r="62" spans="1:23">
      <c r="A62" s="63"/>
      <c r="B62" s="142"/>
      <c r="C62" s="142"/>
      <c r="D62" s="67"/>
      <c r="E62" s="67"/>
      <c r="F62" s="67"/>
      <c r="G62" s="67"/>
      <c r="H62" s="67"/>
      <c r="I62" s="67"/>
      <c r="J62" s="67"/>
      <c r="K62" s="67"/>
      <c r="L62" s="68"/>
      <c r="M62" s="68"/>
      <c r="N62" s="68"/>
      <c r="O62" s="68"/>
      <c r="P62" s="67"/>
      <c r="Q62" s="67"/>
      <c r="R62" s="67"/>
      <c r="S62" s="62"/>
      <c r="T62" s="62"/>
      <c r="U62" s="62"/>
      <c r="V62" s="62"/>
      <c r="W62" s="62"/>
    </row>
    <row r="63" spans="1:23">
      <c r="A63" s="63"/>
      <c r="B63" s="142"/>
      <c r="C63" s="142"/>
      <c r="D63" s="67"/>
      <c r="E63" s="67"/>
      <c r="F63" s="67"/>
      <c r="G63" s="67"/>
      <c r="H63" s="67"/>
      <c r="I63" s="67"/>
      <c r="J63" s="67"/>
      <c r="K63" s="67"/>
      <c r="L63" s="68"/>
      <c r="M63" s="68"/>
      <c r="N63" s="68"/>
      <c r="O63" s="68"/>
      <c r="P63" s="67"/>
      <c r="Q63" s="67"/>
      <c r="R63" s="67"/>
      <c r="S63" s="62"/>
      <c r="T63" s="62"/>
      <c r="U63" s="62"/>
      <c r="V63" s="62"/>
      <c r="W63" s="62"/>
    </row>
    <row r="64" spans="1:23">
      <c r="A64" s="63"/>
      <c r="B64" s="142"/>
      <c r="C64" s="142"/>
      <c r="D64" s="67"/>
      <c r="E64" s="67"/>
      <c r="F64" s="67"/>
      <c r="G64" s="67"/>
      <c r="H64" s="67"/>
      <c r="I64" s="67"/>
      <c r="J64" s="67"/>
      <c r="K64" s="67"/>
      <c r="L64" s="68"/>
      <c r="M64" s="68"/>
      <c r="N64" s="68"/>
      <c r="O64" s="68"/>
      <c r="P64" s="67"/>
      <c r="Q64" s="67"/>
      <c r="R64" s="67"/>
      <c r="S64" s="62"/>
      <c r="T64" s="62"/>
      <c r="U64" s="62"/>
      <c r="V64" s="62"/>
      <c r="W64" s="62"/>
    </row>
    <row r="65" spans="1:23">
      <c r="A65" s="63"/>
      <c r="B65" s="142"/>
      <c r="C65" s="142"/>
      <c r="D65" s="67"/>
      <c r="E65" s="67"/>
      <c r="F65" s="67"/>
      <c r="G65" s="67"/>
      <c r="H65" s="67"/>
      <c r="I65" s="67"/>
      <c r="J65" s="67"/>
      <c r="K65" s="67"/>
      <c r="L65" s="68"/>
      <c r="M65" s="68"/>
      <c r="N65" s="68"/>
      <c r="O65" s="68"/>
      <c r="P65" s="67"/>
      <c r="Q65" s="67"/>
      <c r="R65" s="67"/>
      <c r="S65" s="62"/>
      <c r="T65" s="62"/>
      <c r="U65" s="62"/>
      <c r="V65" s="62"/>
      <c r="W65" s="62"/>
    </row>
    <row r="66" spans="1:23">
      <c r="A66" s="63"/>
      <c r="B66" s="142"/>
      <c r="C66" s="142"/>
      <c r="D66" s="67"/>
      <c r="E66" s="67"/>
      <c r="F66" s="67"/>
      <c r="G66" s="67"/>
      <c r="H66" s="67"/>
      <c r="I66" s="67"/>
      <c r="J66" s="67"/>
      <c r="K66" s="67"/>
      <c r="L66" s="68"/>
      <c r="M66" s="68"/>
      <c r="N66" s="68"/>
      <c r="O66" s="68"/>
      <c r="P66" s="67"/>
      <c r="Q66" s="67"/>
      <c r="R66" s="67"/>
      <c r="S66" s="62"/>
      <c r="T66" s="62"/>
      <c r="U66" s="62"/>
      <c r="V66" s="62"/>
      <c r="W66" s="62"/>
    </row>
    <row r="67" spans="1:23">
      <c r="A67" s="63"/>
      <c r="B67" s="142"/>
      <c r="C67" s="142"/>
      <c r="D67" s="67"/>
      <c r="E67" s="67"/>
      <c r="F67" s="67"/>
      <c r="G67" s="67"/>
      <c r="H67" s="67"/>
      <c r="I67" s="67"/>
      <c r="J67" s="67"/>
      <c r="K67" s="67"/>
      <c r="L67" s="68"/>
      <c r="M67" s="68"/>
      <c r="N67" s="68"/>
      <c r="O67" s="68"/>
      <c r="P67" s="67"/>
      <c r="Q67" s="67"/>
      <c r="R67" s="67"/>
      <c r="S67" s="62"/>
      <c r="T67" s="62"/>
      <c r="U67" s="62"/>
      <c r="V67" s="62"/>
      <c r="W67" s="62"/>
    </row>
    <row r="68" spans="1:23">
      <c r="A68" s="63"/>
      <c r="B68" s="142"/>
      <c r="C68" s="142"/>
      <c r="D68" s="67"/>
      <c r="E68" s="67"/>
      <c r="F68" s="67"/>
      <c r="G68" s="67"/>
      <c r="H68" s="67"/>
      <c r="I68" s="67"/>
      <c r="J68" s="67"/>
      <c r="K68" s="67"/>
      <c r="L68" s="68"/>
      <c r="M68" s="68"/>
      <c r="N68" s="68"/>
      <c r="O68" s="68"/>
      <c r="P68" s="67"/>
      <c r="Q68" s="67"/>
      <c r="R68" s="67"/>
      <c r="S68" s="62"/>
      <c r="T68" s="62"/>
      <c r="U68" s="62"/>
      <c r="V68" s="62"/>
      <c r="W68" s="62"/>
    </row>
    <row r="69" spans="1:23">
      <c r="A69" s="62"/>
      <c r="B69" s="142"/>
      <c r="C69" s="142"/>
      <c r="D69" s="67"/>
      <c r="E69" s="67"/>
      <c r="F69" s="67"/>
      <c r="G69" s="67"/>
      <c r="H69" s="67"/>
      <c r="I69" s="67"/>
      <c r="J69" s="67"/>
      <c r="K69" s="67"/>
      <c r="L69" s="68"/>
      <c r="M69" s="68"/>
      <c r="N69" s="68"/>
      <c r="O69" s="68"/>
      <c r="P69" s="67"/>
      <c r="Q69" s="67"/>
      <c r="R69" s="67"/>
      <c r="S69" s="62"/>
      <c r="T69" s="62"/>
      <c r="U69" s="62"/>
      <c r="V69" s="62"/>
      <c r="W69" s="62"/>
    </row>
    <row r="70" spans="1:23">
      <c r="A70" s="62"/>
      <c r="B70" s="62"/>
      <c r="C70" s="62"/>
      <c r="D70" s="62"/>
      <c r="E70" s="62"/>
      <c r="F70" s="62"/>
      <c r="G70" s="62"/>
      <c r="H70" s="62"/>
      <c r="I70" s="62"/>
      <c r="J70" s="62"/>
      <c r="K70" s="62"/>
      <c r="L70" s="62"/>
      <c r="M70" s="62"/>
      <c r="N70" s="62"/>
      <c r="O70" s="62"/>
      <c r="P70" s="62"/>
      <c r="Q70" s="62"/>
      <c r="R70" s="62"/>
      <c r="S70" s="62"/>
      <c r="T70" s="62"/>
      <c r="U70" s="62"/>
      <c r="V70" s="62"/>
      <c r="W70" s="62"/>
    </row>
    <row r="71" spans="1:23">
      <c r="A71" s="62"/>
      <c r="B71" s="62"/>
      <c r="C71" s="62"/>
      <c r="D71" s="62"/>
      <c r="E71" s="62"/>
      <c r="F71" s="62"/>
      <c r="G71" s="62"/>
      <c r="H71" s="62"/>
      <c r="I71" s="62"/>
      <c r="J71" s="62"/>
      <c r="K71" s="62"/>
      <c r="L71" s="62"/>
      <c r="M71" s="62"/>
      <c r="N71" s="62"/>
      <c r="O71" s="62"/>
      <c r="P71" s="62"/>
      <c r="Q71" s="62"/>
      <c r="R71" s="62"/>
      <c r="S71" s="62"/>
      <c r="T71" s="62"/>
      <c r="U71" s="62"/>
      <c r="V71" s="62"/>
      <c r="W71" s="62"/>
    </row>
    <row r="72" spans="1:23">
      <c r="A72" s="62"/>
      <c r="B72" s="62"/>
      <c r="C72" s="62"/>
      <c r="D72" s="62"/>
      <c r="E72" s="62"/>
      <c r="F72" s="62"/>
      <c r="G72" s="62"/>
      <c r="H72" s="62"/>
      <c r="I72" s="62"/>
      <c r="J72" s="62"/>
      <c r="K72" s="62"/>
      <c r="L72" s="62"/>
      <c r="M72" s="62"/>
      <c r="N72" s="62"/>
      <c r="O72" s="62"/>
      <c r="P72" s="62"/>
      <c r="Q72" s="62"/>
      <c r="R72" s="62"/>
      <c r="S72" s="62"/>
      <c r="T72" s="62"/>
      <c r="U72" s="62"/>
      <c r="V72" s="62"/>
      <c r="W72" s="62"/>
    </row>
    <row r="73" spans="1:23">
      <c r="A73" s="62"/>
      <c r="B73" s="62"/>
      <c r="C73" s="62"/>
      <c r="D73" s="62"/>
      <c r="E73" s="62"/>
      <c r="F73" s="62"/>
      <c r="G73" s="62"/>
      <c r="H73" s="62"/>
      <c r="I73" s="62"/>
      <c r="J73" s="62"/>
      <c r="K73" s="62"/>
      <c r="L73" s="62"/>
      <c r="M73" s="62"/>
      <c r="N73" s="62"/>
      <c r="O73" s="62"/>
      <c r="P73" s="62"/>
      <c r="Q73" s="62"/>
      <c r="R73" s="62"/>
      <c r="S73" s="62"/>
      <c r="T73" s="62"/>
      <c r="U73" s="62"/>
      <c r="V73" s="62"/>
      <c r="W73" s="62"/>
    </row>
    <row r="74" spans="1:23">
      <c r="A74" s="62"/>
      <c r="B74" s="62"/>
      <c r="C74" s="62"/>
      <c r="D74" s="62"/>
      <c r="E74" s="62"/>
      <c r="F74" s="62"/>
      <c r="G74" s="62"/>
      <c r="H74" s="62"/>
      <c r="I74" s="62"/>
      <c r="J74" s="62"/>
      <c r="K74" s="62"/>
      <c r="L74" s="62"/>
      <c r="M74" s="62"/>
      <c r="N74" s="62"/>
      <c r="O74" s="62"/>
      <c r="P74" s="62"/>
      <c r="Q74" s="62"/>
      <c r="R74" s="62"/>
      <c r="S74" s="62"/>
      <c r="T74" s="62"/>
      <c r="U74" s="62"/>
      <c r="V74" s="62"/>
      <c r="W74" s="62"/>
    </row>
    <row r="96" spans="12:12">
      <c r="L96" s="16">
        <f>SUM(L7:L95)</f>
        <v>109096.3</v>
      </c>
    </row>
  </sheetData>
  <mergeCells count="2">
    <mergeCell ref="A16:A17"/>
    <mergeCell ref="A21:A27"/>
  </mergeCells>
  <pageMargins left="0.7" right="0.7" top="0.75" bottom="0.75" header="0.3" footer="0.3"/>
  <pageSetup paperSize="9" orientation="landscape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>
  <dimension ref="A5:W82"/>
  <sheetViews>
    <sheetView topLeftCell="A4" workbookViewId="0">
      <selection activeCell="E17" sqref="E17"/>
    </sheetView>
  </sheetViews>
  <sheetFormatPr defaultRowHeight="14.4"/>
  <cols>
    <col min="1" max="1" width="7.88671875" style="1" customWidth="1"/>
    <col min="2" max="2" width="22" style="1" customWidth="1"/>
    <col min="3" max="3" width="7.77734375" style="1" customWidth="1"/>
    <col min="4" max="4" width="4.77734375" style="1" customWidth="1"/>
    <col min="5" max="5" width="9.88671875" style="1" customWidth="1"/>
    <col min="6" max="6" width="7.6640625" style="1" customWidth="1"/>
    <col min="7" max="7" width="6.6640625" style="1" customWidth="1"/>
    <col min="8" max="8" width="7.44140625" style="1" customWidth="1"/>
    <col min="9" max="9" width="5.88671875" style="1" customWidth="1"/>
    <col min="10" max="10" width="6" style="1" customWidth="1"/>
    <col min="11" max="11" width="8.44140625" style="1" customWidth="1"/>
    <col min="12" max="12" width="8.21875" style="1" customWidth="1"/>
    <col min="13" max="13" width="7.33203125" style="1" customWidth="1"/>
    <col min="14" max="18" width="8.88671875" style="1"/>
    <col min="19" max="19" width="9" style="1" customWidth="1"/>
    <col min="20" max="16384" width="8.88671875" style="1"/>
  </cols>
  <sheetData>
    <row r="5" spans="1:23" ht="23.4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3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676</v>
      </c>
      <c r="M5" s="95" t="s">
        <v>677</v>
      </c>
      <c r="N5" s="3" t="s">
        <v>11</v>
      </c>
      <c r="O5" s="3" t="s">
        <v>36</v>
      </c>
      <c r="P5" s="3" t="s">
        <v>12</v>
      </c>
      <c r="Q5" s="3" t="s">
        <v>256</v>
      </c>
      <c r="R5" s="3" t="s">
        <v>257</v>
      </c>
      <c r="S5" s="3" t="s">
        <v>2</v>
      </c>
      <c r="T5" s="14" t="s">
        <v>80</v>
      </c>
      <c r="U5" s="14" t="s">
        <v>125</v>
      </c>
    </row>
    <row r="6" spans="1:23">
      <c r="A6" s="63"/>
      <c r="B6" s="286"/>
      <c r="C6" s="286"/>
      <c r="D6" s="286"/>
      <c r="E6" s="286"/>
      <c r="F6" s="286"/>
      <c r="G6" s="286"/>
      <c r="H6" s="286"/>
      <c r="I6" s="286"/>
      <c r="J6" s="286"/>
      <c r="K6" s="286"/>
      <c r="L6" s="61"/>
      <c r="M6" s="61"/>
      <c r="N6" s="286"/>
      <c r="O6" s="62"/>
      <c r="P6" s="62"/>
      <c r="Q6" s="62"/>
      <c r="R6" s="62"/>
      <c r="S6" s="62"/>
      <c r="U6" s="17"/>
    </row>
    <row r="7" spans="1:23">
      <c r="A7" s="63"/>
      <c r="B7" s="67"/>
      <c r="C7" s="67"/>
      <c r="D7" s="67"/>
      <c r="E7" s="67"/>
      <c r="F7" s="67"/>
      <c r="G7" s="67"/>
      <c r="H7" s="67"/>
      <c r="I7" s="67"/>
      <c r="J7" s="67"/>
      <c r="K7" s="68"/>
      <c r="L7" s="68"/>
      <c r="M7" s="68"/>
      <c r="N7" s="68"/>
      <c r="O7" s="68"/>
      <c r="P7" s="67"/>
      <c r="Q7" s="62"/>
      <c r="R7" s="62"/>
      <c r="S7" s="62"/>
      <c r="T7" s="62"/>
      <c r="U7" s="62"/>
      <c r="V7" s="62"/>
      <c r="W7" s="62"/>
    </row>
    <row r="8" spans="1:23">
      <c r="A8" s="63"/>
      <c r="B8" s="67"/>
      <c r="C8" s="67"/>
      <c r="D8" s="67"/>
      <c r="E8" s="67"/>
      <c r="F8" s="67"/>
      <c r="G8" s="67"/>
      <c r="H8" s="67"/>
      <c r="I8" s="67"/>
      <c r="J8" s="67"/>
      <c r="K8" s="67"/>
      <c r="L8" s="68"/>
      <c r="M8" s="68"/>
      <c r="N8" s="68"/>
      <c r="O8" s="68"/>
      <c r="P8" s="67"/>
      <c r="Q8" s="62"/>
      <c r="R8" s="62"/>
      <c r="S8" s="62"/>
      <c r="T8" s="62"/>
      <c r="U8" s="62"/>
      <c r="V8" s="62"/>
      <c r="W8" s="62"/>
    </row>
    <row r="9" spans="1:23">
      <c r="A9" s="63"/>
      <c r="B9" s="67"/>
      <c r="C9" s="67"/>
      <c r="D9" s="67"/>
      <c r="E9" s="67"/>
      <c r="F9" s="67"/>
      <c r="G9" s="67"/>
      <c r="H9" s="67"/>
      <c r="I9" s="67"/>
      <c r="J9" s="67"/>
      <c r="K9" s="68"/>
      <c r="L9" s="68"/>
      <c r="M9" s="68"/>
      <c r="N9" s="68"/>
      <c r="O9" s="68"/>
      <c r="P9" s="67"/>
      <c r="Q9" s="62"/>
      <c r="R9" s="62"/>
      <c r="S9" s="62"/>
      <c r="T9" s="62"/>
      <c r="U9" s="62"/>
      <c r="V9" s="62"/>
      <c r="W9" s="62"/>
    </row>
    <row r="10" spans="1:23">
      <c r="A10" s="63"/>
      <c r="B10" s="67"/>
      <c r="C10" s="67"/>
      <c r="D10" s="67"/>
      <c r="E10" s="67"/>
      <c r="F10" s="67"/>
      <c r="G10" s="67"/>
      <c r="H10" s="67"/>
      <c r="I10" s="67"/>
      <c r="J10" s="67"/>
      <c r="K10" s="68"/>
      <c r="L10" s="68"/>
      <c r="M10" s="68"/>
      <c r="N10" s="68"/>
      <c r="O10" s="68"/>
      <c r="P10" s="67"/>
      <c r="Q10" s="62"/>
      <c r="R10" s="62"/>
      <c r="S10" s="62"/>
      <c r="T10" s="62"/>
      <c r="U10" s="62"/>
      <c r="V10" s="62"/>
      <c r="W10" s="62"/>
    </row>
    <row r="11" spans="1:23">
      <c r="A11" s="63"/>
      <c r="B11" s="67"/>
      <c r="C11" s="67"/>
      <c r="D11" s="67"/>
      <c r="E11" s="67"/>
      <c r="F11" s="67"/>
      <c r="G11" s="67"/>
      <c r="H11" s="67"/>
      <c r="I11" s="67"/>
      <c r="J11" s="67"/>
      <c r="K11" s="68"/>
      <c r="L11" s="68"/>
      <c r="M11" s="68"/>
      <c r="N11" s="68"/>
      <c r="O11" s="68"/>
      <c r="P11" s="67"/>
      <c r="Q11" s="62"/>
      <c r="R11" s="62"/>
      <c r="S11" s="62"/>
      <c r="T11" s="62"/>
      <c r="U11" s="62"/>
      <c r="V11" s="62"/>
      <c r="W11" s="62"/>
    </row>
    <row r="12" spans="1:23">
      <c r="A12" s="63"/>
      <c r="B12" s="67"/>
      <c r="C12" s="67"/>
      <c r="D12" s="67"/>
      <c r="E12" s="67"/>
      <c r="F12" s="67"/>
      <c r="G12" s="67"/>
      <c r="H12" s="67"/>
      <c r="I12" s="67"/>
      <c r="J12" s="67"/>
      <c r="K12" s="68"/>
      <c r="L12" s="68"/>
      <c r="M12" s="68"/>
      <c r="N12" s="68"/>
      <c r="O12" s="68"/>
      <c r="P12" s="67"/>
      <c r="Q12" s="67"/>
      <c r="R12" s="67"/>
      <c r="S12" s="62"/>
      <c r="T12" s="62"/>
      <c r="U12" s="62"/>
      <c r="V12" s="62"/>
      <c r="W12" s="62"/>
    </row>
    <row r="13" spans="1:23">
      <c r="A13" s="63"/>
      <c r="B13" s="67"/>
      <c r="C13" s="67"/>
      <c r="D13" s="67"/>
      <c r="E13" s="67"/>
      <c r="F13" s="67"/>
      <c r="G13" s="67"/>
      <c r="H13" s="67"/>
      <c r="I13" s="67"/>
      <c r="J13" s="67"/>
      <c r="K13" s="68"/>
      <c r="L13" s="68"/>
      <c r="M13" s="68"/>
      <c r="N13" s="68"/>
      <c r="O13" s="68"/>
      <c r="P13" s="67"/>
      <c r="Q13" s="67"/>
      <c r="R13" s="67"/>
      <c r="S13" s="62"/>
      <c r="T13" s="62"/>
      <c r="U13" s="62"/>
      <c r="V13" s="62"/>
      <c r="W13" s="62"/>
    </row>
    <row r="14" spans="1:23">
      <c r="A14" s="63" t="s">
        <v>2748</v>
      </c>
      <c r="B14" s="42" t="s">
        <v>2750</v>
      </c>
      <c r="C14" s="42" t="s">
        <v>88</v>
      </c>
      <c r="D14" s="42" t="s">
        <v>16</v>
      </c>
      <c r="E14" s="42" t="s">
        <v>2749</v>
      </c>
      <c r="F14" s="42">
        <v>12</v>
      </c>
      <c r="G14" s="42"/>
      <c r="H14" s="42">
        <v>15020</v>
      </c>
      <c r="I14" s="42">
        <v>251</v>
      </c>
      <c r="J14" s="42">
        <v>0.5</v>
      </c>
      <c r="K14" s="43">
        <f t="shared" ref="K14" si="0">I14*J14</f>
        <v>125.5</v>
      </c>
      <c r="L14" s="43">
        <f t="shared" ref="L14" si="1">H14-K14</f>
        <v>14894.5</v>
      </c>
      <c r="M14" s="43"/>
      <c r="N14" s="43">
        <f t="shared" ref="N14" si="2">L14-M14</f>
        <v>14894.5</v>
      </c>
      <c r="O14" s="43">
        <f t="shared" ref="O14" si="3">H14/1000*70</f>
        <v>1051.3999999999999</v>
      </c>
      <c r="P14" s="42">
        <v>22500</v>
      </c>
      <c r="Q14" s="42"/>
      <c r="R14" s="42">
        <f t="shared" ref="R14" si="4">L14*Q14</f>
        <v>0</v>
      </c>
      <c r="S14" s="62"/>
      <c r="T14" s="62"/>
      <c r="U14" s="62"/>
      <c r="V14" s="62"/>
      <c r="W14" s="62"/>
    </row>
    <row r="15" spans="1:23">
      <c r="A15" s="63"/>
      <c r="B15" s="67"/>
      <c r="C15" s="67"/>
      <c r="D15" s="67"/>
      <c r="E15" s="67"/>
      <c r="F15" s="67"/>
      <c r="G15" s="67"/>
      <c r="H15" s="67"/>
      <c r="I15" s="67"/>
      <c r="J15" s="67"/>
      <c r="K15" s="68"/>
      <c r="L15" s="68"/>
      <c r="M15" s="68"/>
      <c r="N15" s="68"/>
      <c r="O15" s="68"/>
      <c r="P15" s="67"/>
      <c r="Q15" s="67"/>
      <c r="R15" s="67"/>
      <c r="S15" s="62"/>
      <c r="T15" s="62"/>
      <c r="U15" s="62"/>
      <c r="V15" s="62"/>
      <c r="W15" s="62"/>
    </row>
    <row r="16" spans="1:23">
      <c r="A16" s="63"/>
      <c r="B16" s="67"/>
      <c r="C16" s="67"/>
      <c r="D16" s="67"/>
      <c r="E16" s="67"/>
      <c r="F16" s="67"/>
      <c r="G16" s="67"/>
      <c r="H16" s="67"/>
      <c r="I16" s="67"/>
      <c r="J16" s="67"/>
      <c r="K16" s="67"/>
      <c r="L16" s="68"/>
      <c r="M16" s="68"/>
      <c r="N16" s="68"/>
      <c r="O16" s="68"/>
      <c r="P16" s="67"/>
      <c r="Q16" s="67"/>
      <c r="R16" s="67"/>
      <c r="S16" s="62"/>
      <c r="T16" s="62"/>
      <c r="U16" s="62"/>
      <c r="V16" s="62"/>
      <c r="W16" s="62"/>
    </row>
    <row r="17" spans="1:23">
      <c r="A17" s="63"/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8"/>
      <c r="M17" s="68"/>
      <c r="N17" s="68"/>
      <c r="O17" s="68"/>
      <c r="P17" s="67"/>
      <c r="Q17" s="67"/>
      <c r="R17" s="67"/>
      <c r="S17" s="62"/>
      <c r="T17" s="62"/>
      <c r="U17" s="62"/>
      <c r="V17" s="62"/>
      <c r="W17" s="62"/>
    </row>
    <row r="18" spans="1:23">
      <c r="A18" s="62"/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8"/>
      <c r="M18" s="68"/>
      <c r="N18" s="68"/>
      <c r="O18" s="68"/>
      <c r="P18" s="67"/>
      <c r="Q18" s="67"/>
      <c r="R18" s="67"/>
      <c r="S18" s="62"/>
      <c r="T18" s="62"/>
      <c r="U18" s="62"/>
      <c r="V18" s="62"/>
      <c r="W18" s="62"/>
    </row>
    <row r="19" spans="1:23">
      <c r="A19" s="63"/>
      <c r="B19" s="67"/>
      <c r="C19" s="67"/>
      <c r="D19" s="67"/>
      <c r="E19" s="67"/>
      <c r="F19" s="67"/>
      <c r="G19" s="67"/>
      <c r="H19" s="67"/>
      <c r="I19" s="67"/>
      <c r="J19" s="67"/>
      <c r="K19" s="67"/>
      <c r="L19" s="68"/>
      <c r="M19" s="68"/>
      <c r="N19" s="68"/>
      <c r="O19" s="68"/>
      <c r="P19" s="67"/>
      <c r="Q19" s="67"/>
      <c r="R19" s="67"/>
      <c r="S19" s="62"/>
      <c r="T19" s="62"/>
      <c r="U19" s="62"/>
      <c r="V19" s="62"/>
      <c r="W19" s="62"/>
    </row>
    <row r="20" spans="1:23">
      <c r="A20" s="63"/>
      <c r="B20" s="67"/>
      <c r="C20" s="67"/>
      <c r="D20" s="67"/>
      <c r="E20" s="67"/>
      <c r="F20" s="67"/>
      <c r="G20" s="67"/>
      <c r="H20" s="67"/>
      <c r="I20" s="67"/>
      <c r="J20" s="67"/>
      <c r="K20" s="67"/>
      <c r="L20" s="68"/>
      <c r="M20" s="68"/>
      <c r="N20" s="68"/>
      <c r="O20" s="68"/>
      <c r="P20" s="67"/>
      <c r="Q20" s="67"/>
      <c r="R20" s="67"/>
      <c r="S20" s="62"/>
      <c r="T20" s="62"/>
      <c r="U20" s="62"/>
      <c r="V20" s="62"/>
      <c r="W20" s="62"/>
    </row>
    <row r="21" spans="1:23">
      <c r="A21" s="63"/>
      <c r="B21" s="67"/>
      <c r="C21" s="67"/>
      <c r="D21" s="67"/>
      <c r="E21" s="67"/>
      <c r="F21" s="67"/>
      <c r="G21" s="67"/>
      <c r="H21" s="67"/>
      <c r="I21" s="67"/>
      <c r="J21" s="67"/>
      <c r="K21" s="67"/>
      <c r="L21" s="68"/>
      <c r="M21" s="68"/>
      <c r="N21" s="68"/>
      <c r="O21" s="68"/>
      <c r="P21" s="67"/>
      <c r="Q21" s="67"/>
      <c r="R21" s="67"/>
      <c r="S21" s="62"/>
      <c r="T21" s="62"/>
      <c r="U21" s="62"/>
      <c r="V21" s="62"/>
      <c r="W21" s="62"/>
    </row>
    <row r="22" spans="1:23">
      <c r="A22" s="63"/>
      <c r="B22" s="67"/>
      <c r="C22" s="67"/>
      <c r="D22" s="67"/>
      <c r="E22" s="67"/>
      <c r="F22" s="67"/>
      <c r="G22" s="67"/>
      <c r="H22" s="67"/>
      <c r="I22" s="67"/>
      <c r="J22" s="67"/>
      <c r="K22" s="67"/>
      <c r="L22" s="68"/>
      <c r="M22" s="68"/>
      <c r="N22" s="68"/>
      <c r="O22" s="68"/>
      <c r="P22" s="67"/>
      <c r="Q22" s="67"/>
      <c r="R22" s="67"/>
      <c r="S22" s="62"/>
      <c r="T22" s="62"/>
      <c r="U22" s="62"/>
      <c r="V22" s="62"/>
      <c r="W22" s="62"/>
    </row>
    <row r="23" spans="1:23">
      <c r="A23" s="63"/>
      <c r="B23" s="67"/>
      <c r="C23" s="67"/>
      <c r="D23" s="67"/>
      <c r="E23" s="67"/>
      <c r="F23" s="67"/>
      <c r="G23" s="67"/>
      <c r="H23" s="67"/>
      <c r="I23" s="67"/>
      <c r="J23" s="67"/>
      <c r="K23" s="67"/>
      <c r="L23" s="68"/>
      <c r="M23" s="68"/>
      <c r="N23" s="68"/>
      <c r="O23" s="68"/>
      <c r="P23" s="67"/>
      <c r="Q23" s="67"/>
      <c r="R23" s="67"/>
      <c r="S23" s="62"/>
      <c r="T23" s="62"/>
      <c r="U23" s="62"/>
      <c r="V23" s="62"/>
      <c r="W23" s="62"/>
    </row>
    <row r="24" spans="1:23">
      <c r="A24" s="63"/>
      <c r="B24" s="67"/>
      <c r="C24" s="67"/>
      <c r="D24" s="67"/>
      <c r="E24" s="67"/>
      <c r="F24" s="67"/>
      <c r="G24" s="67"/>
      <c r="H24" s="67"/>
      <c r="I24" s="67"/>
      <c r="J24" s="67"/>
      <c r="K24" s="67"/>
      <c r="L24" s="68"/>
      <c r="M24" s="68"/>
      <c r="N24" s="68"/>
      <c r="O24" s="68"/>
      <c r="P24" s="67"/>
      <c r="Q24" s="67"/>
      <c r="R24" s="67"/>
      <c r="S24" s="62"/>
      <c r="T24" s="62"/>
      <c r="U24" s="62"/>
      <c r="V24" s="62"/>
      <c r="W24" s="62"/>
    </row>
    <row r="25" spans="1:23">
      <c r="A25" s="63"/>
      <c r="B25" s="67"/>
      <c r="C25" s="67"/>
      <c r="D25" s="67"/>
      <c r="E25" s="67"/>
      <c r="F25" s="67"/>
      <c r="G25" s="67"/>
      <c r="H25" s="67"/>
      <c r="I25" s="67"/>
      <c r="J25" s="67"/>
      <c r="K25" s="67"/>
      <c r="L25" s="68"/>
      <c r="M25" s="68"/>
      <c r="N25" s="68"/>
      <c r="O25" s="68"/>
      <c r="P25" s="67"/>
      <c r="Q25" s="67"/>
      <c r="R25" s="67"/>
      <c r="S25" s="62"/>
      <c r="T25" s="62"/>
      <c r="U25" s="62"/>
      <c r="V25" s="62"/>
      <c r="W25" s="62"/>
    </row>
    <row r="26" spans="1:23">
      <c r="A26" s="63"/>
      <c r="B26" s="67"/>
      <c r="C26" s="67"/>
      <c r="D26" s="67"/>
      <c r="E26" s="67"/>
      <c r="F26" s="67"/>
      <c r="G26" s="67"/>
      <c r="H26" s="67"/>
      <c r="I26" s="67"/>
      <c r="J26" s="67"/>
      <c r="K26" s="67"/>
      <c r="L26" s="68"/>
      <c r="M26" s="68"/>
      <c r="N26" s="68"/>
      <c r="O26" s="68"/>
      <c r="P26" s="67"/>
      <c r="Q26" s="67"/>
      <c r="R26" s="67"/>
      <c r="S26" s="62"/>
      <c r="T26" s="62"/>
      <c r="U26" s="62"/>
      <c r="V26" s="62"/>
      <c r="W26" s="62"/>
    </row>
    <row r="27" spans="1:23">
      <c r="A27" s="63"/>
      <c r="B27" s="67"/>
      <c r="C27" s="67"/>
      <c r="D27" s="67"/>
      <c r="E27" s="67"/>
      <c r="F27" s="67"/>
      <c r="G27" s="67"/>
      <c r="H27" s="67"/>
      <c r="I27" s="67"/>
      <c r="J27" s="67"/>
      <c r="K27" s="67"/>
      <c r="L27" s="68"/>
      <c r="M27" s="68"/>
      <c r="N27" s="68"/>
      <c r="O27" s="68"/>
      <c r="P27" s="67"/>
      <c r="Q27" s="67"/>
      <c r="R27" s="67"/>
      <c r="S27" s="62"/>
      <c r="T27" s="62"/>
      <c r="U27" s="62"/>
      <c r="V27" s="62"/>
      <c r="W27" s="62"/>
    </row>
    <row r="28" spans="1:23">
      <c r="A28" s="62"/>
      <c r="B28" s="67"/>
      <c r="C28" s="67"/>
      <c r="D28" s="67"/>
      <c r="E28" s="67"/>
      <c r="F28" s="67"/>
      <c r="G28" s="67"/>
      <c r="H28" s="67"/>
      <c r="I28" s="67"/>
      <c r="J28" s="67"/>
      <c r="K28" s="67"/>
      <c r="L28" s="68"/>
      <c r="M28" s="68"/>
      <c r="N28" s="68"/>
      <c r="O28" s="68"/>
      <c r="P28" s="67"/>
      <c r="Q28" s="67"/>
      <c r="R28" s="67"/>
      <c r="S28" s="62"/>
      <c r="T28" s="62"/>
      <c r="U28" s="62"/>
      <c r="V28" s="62"/>
      <c r="W28" s="62"/>
    </row>
    <row r="29" spans="1:23">
      <c r="A29" s="63"/>
      <c r="B29" s="142"/>
      <c r="C29" s="142"/>
      <c r="D29" s="67"/>
      <c r="E29" s="67"/>
      <c r="F29" s="67"/>
      <c r="G29" s="67"/>
      <c r="H29" s="67"/>
      <c r="I29" s="67"/>
      <c r="J29" s="67"/>
      <c r="K29" s="67"/>
      <c r="L29" s="68"/>
      <c r="M29" s="68"/>
      <c r="N29" s="68"/>
      <c r="O29" s="68"/>
      <c r="P29" s="67"/>
      <c r="Q29" s="67"/>
      <c r="R29" s="67"/>
      <c r="S29" s="62"/>
      <c r="T29" s="62"/>
      <c r="U29" s="62"/>
      <c r="V29" s="62"/>
      <c r="W29" s="62"/>
    </row>
    <row r="30" spans="1:23">
      <c r="A30" s="63"/>
      <c r="B30" s="142"/>
      <c r="C30" s="142"/>
      <c r="D30" s="67"/>
      <c r="E30" s="67"/>
      <c r="F30" s="67"/>
      <c r="G30" s="67"/>
      <c r="H30" s="67"/>
      <c r="I30" s="67"/>
      <c r="J30" s="67"/>
      <c r="K30" s="67"/>
      <c r="L30" s="68"/>
      <c r="M30" s="68"/>
      <c r="N30" s="68"/>
      <c r="O30" s="68"/>
      <c r="P30" s="67"/>
      <c r="Q30" s="67"/>
      <c r="R30" s="67"/>
      <c r="S30" s="62"/>
      <c r="T30" s="62"/>
      <c r="U30" s="62"/>
      <c r="V30" s="62"/>
      <c r="W30" s="62"/>
    </row>
    <row r="31" spans="1:23">
      <c r="A31" s="63"/>
      <c r="B31" s="142"/>
      <c r="C31" s="142"/>
      <c r="D31" s="67"/>
      <c r="E31" s="67"/>
      <c r="F31" s="67"/>
      <c r="G31" s="67"/>
      <c r="H31" s="67"/>
      <c r="I31" s="67"/>
      <c r="J31" s="67"/>
      <c r="K31" s="67"/>
      <c r="L31" s="68"/>
      <c r="M31" s="68"/>
      <c r="N31" s="68"/>
      <c r="O31" s="68"/>
      <c r="P31" s="67"/>
      <c r="Q31" s="67"/>
      <c r="R31" s="67"/>
      <c r="S31" s="62"/>
      <c r="T31" s="62"/>
      <c r="U31" s="62"/>
      <c r="V31" s="62"/>
      <c r="W31" s="62"/>
    </row>
    <row r="32" spans="1:23">
      <c r="A32" s="63"/>
      <c r="B32" s="142"/>
      <c r="C32" s="142"/>
      <c r="D32" s="67"/>
      <c r="E32" s="67"/>
      <c r="F32" s="67"/>
      <c r="G32" s="67"/>
      <c r="H32" s="67"/>
      <c r="I32" s="67"/>
      <c r="J32" s="67"/>
      <c r="K32" s="67"/>
      <c r="L32" s="68"/>
      <c r="M32" s="68"/>
      <c r="N32" s="68"/>
      <c r="O32" s="68"/>
      <c r="P32" s="67"/>
      <c r="Q32" s="67"/>
      <c r="R32" s="67"/>
      <c r="S32" s="62"/>
      <c r="T32" s="62"/>
      <c r="U32" s="62"/>
      <c r="V32" s="62"/>
      <c r="W32" s="62"/>
    </row>
    <row r="33" spans="1:23">
      <c r="A33" s="63"/>
      <c r="B33" s="142"/>
      <c r="C33" s="142"/>
      <c r="D33" s="67"/>
      <c r="E33" s="67"/>
      <c r="F33" s="67"/>
      <c r="G33" s="67"/>
      <c r="H33" s="67"/>
      <c r="I33" s="67"/>
      <c r="J33" s="67"/>
      <c r="K33" s="67"/>
      <c r="L33" s="68"/>
      <c r="M33" s="68"/>
      <c r="N33" s="68"/>
      <c r="O33" s="68"/>
      <c r="P33" s="67"/>
      <c r="Q33" s="67"/>
      <c r="R33" s="67"/>
      <c r="S33" s="62"/>
      <c r="T33" s="62"/>
      <c r="U33" s="62"/>
      <c r="V33" s="62"/>
      <c r="W33" s="62"/>
    </row>
    <row r="34" spans="1:23">
      <c r="A34" s="63"/>
      <c r="B34" s="142"/>
      <c r="C34" s="142"/>
      <c r="D34" s="67"/>
      <c r="E34" s="67"/>
      <c r="F34" s="67"/>
      <c r="G34" s="67"/>
      <c r="H34" s="67"/>
      <c r="I34" s="67"/>
      <c r="J34" s="67"/>
      <c r="K34" s="67"/>
      <c r="L34" s="68"/>
      <c r="M34" s="68"/>
      <c r="N34" s="68"/>
      <c r="O34" s="68"/>
      <c r="P34" s="67"/>
      <c r="Q34" s="67"/>
      <c r="R34" s="67"/>
      <c r="S34" s="62"/>
      <c r="T34" s="62"/>
      <c r="U34" s="62"/>
      <c r="V34" s="62"/>
      <c r="W34" s="62"/>
    </row>
    <row r="35" spans="1:23">
      <c r="A35" s="63"/>
      <c r="B35" s="142"/>
      <c r="C35" s="142"/>
      <c r="D35" s="67"/>
      <c r="E35" s="67"/>
      <c r="F35" s="67"/>
      <c r="G35" s="67"/>
      <c r="H35" s="67"/>
      <c r="I35" s="67"/>
      <c r="J35" s="67"/>
      <c r="K35" s="67"/>
      <c r="L35" s="68"/>
      <c r="M35" s="68"/>
      <c r="N35" s="68"/>
      <c r="O35" s="68"/>
      <c r="P35" s="67"/>
      <c r="Q35" s="67"/>
      <c r="R35" s="67"/>
      <c r="S35" s="62"/>
      <c r="T35" s="62"/>
      <c r="U35" s="62"/>
      <c r="V35" s="62"/>
      <c r="W35" s="62"/>
    </row>
    <row r="36" spans="1:23">
      <c r="A36" s="63"/>
      <c r="B36" s="142"/>
      <c r="C36" s="142"/>
      <c r="D36" s="67"/>
      <c r="E36" s="67"/>
      <c r="F36" s="67"/>
      <c r="G36" s="67"/>
      <c r="H36" s="67"/>
      <c r="I36" s="67"/>
      <c r="J36" s="67"/>
      <c r="K36" s="67"/>
      <c r="L36" s="68"/>
      <c r="M36" s="68"/>
      <c r="N36" s="68"/>
      <c r="O36" s="68"/>
      <c r="P36" s="67"/>
      <c r="Q36" s="67"/>
      <c r="R36" s="67"/>
      <c r="S36" s="62"/>
      <c r="T36" s="62"/>
      <c r="U36" s="62"/>
      <c r="V36" s="62"/>
      <c r="W36" s="62"/>
    </row>
    <row r="37" spans="1:23">
      <c r="A37" s="63"/>
      <c r="B37" s="142"/>
      <c r="C37" s="142"/>
      <c r="D37" s="67"/>
      <c r="E37" s="67"/>
      <c r="F37" s="67"/>
      <c r="G37" s="67"/>
      <c r="H37" s="67"/>
      <c r="I37" s="67"/>
      <c r="J37" s="67"/>
      <c r="K37" s="67"/>
      <c r="L37" s="68"/>
      <c r="M37" s="68"/>
      <c r="N37" s="68"/>
      <c r="O37" s="68"/>
      <c r="P37" s="67"/>
      <c r="Q37" s="67"/>
      <c r="R37" s="67"/>
      <c r="S37" s="62"/>
      <c r="T37" s="62"/>
      <c r="U37" s="62"/>
      <c r="V37" s="62"/>
      <c r="W37" s="62"/>
    </row>
    <row r="38" spans="1:23">
      <c r="A38" s="63"/>
      <c r="B38" s="142"/>
      <c r="C38" s="142"/>
      <c r="D38" s="67"/>
      <c r="E38" s="67"/>
      <c r="F38" s="67"/>
      <c r="G38" s="67"/>
      <c r="H38" s="67"/>
      <c r="I38" s="67"/>
      <c r="J38" s="67"/>
      <c r="K38" s="67"/>
      <c r="L38" s="68"/>
      <c r="M38" s="68"/>
      <c r="N38" s="68"/>
      <c r="O38" s="68"/>
      <c r="P38" s="67"/>
      <c r="Q38" s="67"/>
      <c r="R38" s="67"/>
      <c r="S38" s="62"/>
      <c r="T38" s="62"/>
      <c r="U38" s="62"/>
      <c r="V38" s="62"/>
      <c r="W38" s="62"/>
    </row>
    <row r="39" spans="1:23">
      <c r="A39" s="63"/>
      <c r="B39" s="142"/>
      <c r="C39" s="142"/>
      <c r="D39" s="67"/>
      <c r="E39" s="67"/>
      <c r="F39" s="67"/>
      <c r="G39" s="67"/>
      <c r="H39" s="67"/>
      <c r="I39" s="67"/>
      <c r="J39" s="67"/>
      <c r="K39" s="67"/>
      <c r="L39" s="68"/>
      <c r="M39" s="68"/>
      <c r="N39" s="68"/>
      <c r="O39" s="68"/>
      <c r="P39" s="67"/>
      <c r="Q39" s="67"/>
      <c r="R39" s="67"/>
      <c r="S39" s="62"/>
      <c r="T39" s="62"/>
      <c r="U39" s="62"/>
      <c r="V39" s="62"/>
      <c r="W39" s="62"/>
    </row>
    <row r="40" spans="1:23">
      <c r="A40" s="63"/>
      <c r="B40" s="142"/>
      <c r="C40" s="142"/>
      <c r="D40" s="67"/>
      <c r="E40" s="67"/>
      <c r="F40" s="67"/>
      <c r="G40" s="67"/>
      <c r="H40" s="67"/>
      <c r="I40" s="67"/>
      <c r="J40" s="67"/>
      <c r="K40" s="67"/>
      <c r="L40" s="68"/>
      <c r="M40" s="68"/>
      <c r="N40" s="68"/>
      <c r="O40" s="68"/>
      <c r="P40" s="67"/>
      <c r="Q40" s="67"/>
      <c r="R40" s="67"/>
      <c r="S40" s="62"/>
      <c r="T40" s="62"/>
      <c r="U40" s="62"/>
      <c r="V40" s="62"/>
      <c r="W40" s="62"/>
    </row>
    <row r="41" spans="1:23">
      <c r="A41" s="63"/>
      <c r="B41" s="142"/>
      <c r="C41" s="142"/>
      <c r="D41" s="67"/>
      <c r="E41" s="67"/>
      <c r="F41" s="67"/>
      <c r="G41" s="67"/>
      <c r="H41" s="67"/>
      <c r="I41" s="67"/>
      <c r="J41" s="67"/>
      <c r="K41" s="67"/>
      <c r="L41" s="68"/>
      <c r="M41" s="68"/>
      <c r="N41" s="68"/>
      <c r="O41" s="68"/>
      <c r="P41" s="67"/>
      <c r="Q41" s="67"/>
      <c r="R41" s="67"/>
      <c r="S41" s="62"/>
      <c r="T41" s="62"/>
      <c r="U41" s="62"/>
      <c r="V41" s="62"/>
      <c r="W41" s="62"/>
    </row>
    <row r="42" spans="1:23">
      <c r="A42" s="63"/>
      <c r="B42" s="142"/>
      <c r="C42" s="142"/>
      <c r="D42" s="67"/>
      <c r="E42" s="67"/>
      <c r="F42" s="67"/>
      <c r="G42" s="67"/>
      <c r="H42" s="67"/>
      <c r="I42" s="67"/>
      <c r="J42" s="67"/>
      <c r="K42" s="67"/>
      <c r="L42" s="68"/>
      <c r="M42" s="68"/>
      <c r="N42" s="68"/>
      <c r="O42" s="68"/>
      <c r="P42" s="67"/>
      <c r="Q42" s="67"/>
      <c r="R42" s="67"/>
      <c r="S42" s="62"/>
      <c r="T42" s="62"/>
      <c r="U42" s="62"/>
      <c r="V42" s="62"/>
      <c r="W42" s="62"/>
    </row>
    <row r="43" spans="1:23">
      <c r="A43" s="63"/>
      <c r="B43" s="142"/>
      <c r="C43" s="142"/>
      <c r="D43" s="67"/>
      <c r="E43" s="67"/>
      <c r="F43" s="67"/>
      <c r="G43" s="67"/>
      <c r="H43" s="67"/>
      <c r="I43" s="67"/>
      <c r="J43" s="67"/>
      <c r="K43" s="67"/>
      <c r="L43" s="68"/>
      <c r="M43" s="68"/>
      <c r="N43" s="68"/>
      <c r="O43" s="68"/>
      <c r="P43" s="67"/>
      <c r="Q43" s="67"/>
      <c r="R43" s="67"/>
      <c r="S43" s="62"/>
      <c r="T43" s="62"/>
      <c r="U43" s="62"/>
      <c r="V43" s="62"/>
      <c r="W43" s="62"/>
    </row>
    <row r="44" spans="1:23">
      <c r="A44" s="63"/>
      <c r="B44" s="142"/>
      <c r="C44" s="142"/>
      <c r="D44" s="67"/>
      <c r="E44" s="67"/>
      <c r="F44" s="67"/>
      <c r="G44" s="67"/>
      <c r="H44" s="67"/>
      <c r="I44" s="67"/>
      <c r="J44" s="67"/>
      <c r="K44" s="67"/>
      <c r="L44" s="68"/>
      <c r="M44" s="68"/>
      <c r="N44" s="68"/>
      <c r="O44" s="68"/>
      <c r="P44" s="67"/>
      <c r="Q44" s="67"/>
      <c r="R44" s="67"/>
      <c r="S44" s="62"/>
      <c r="T44" s="62"/>
      <c r="U44" s="62"/>
      <c r="V44" s="62"/>
      <c r="W44" s="62"/>
    </row>
    <row r="45" spans="1:23">
      <c r="A45" s="63"/>
      <c r="B45" s="142"/>
      <c r="C45" s="142"/>
      <c r="D45" s="67"/>
      <c r="E45" s="67"/>
      <c r="F45" s="67"/>
      <c r="G45" s="67"/>
      <c r="H45" s="67"/>
      <c r="I45" s="67"/>
      <c r="J45" s="67"/>
      <c r="K45" s="67"/>
      <c r="L45" s="68"/>
      <c r="M45" s="68"/>
      <c r="N45" s="68"/>
      <c r="O45" s="68"/>
      <c r="P45" s="67"/>
      <c r="Q45" s="67"/>
      <c r="R45" s="67"/>
      <c r="S45" s="62"/>
      <c r="T45" s="62"/>
      <c r="U45" s="62"/>
      <c r="V45" s="62"/>
      <c r="W45" s="62"/>
    </row>
    <row r="46" spans="1:23">
      <c r="A46" s="63"/>
      <c r="B46" s="142"/>
      <c r="C46" s="142"/>
      <c r="D46" s="67"/>
      <c r="E46" s="67"/>
      <c r="F46" s="67"/>
      <c r="G46" s="67"/>
      <c r="H46" s="67"/>
      <c r="I46" s="67"/>
      <c r="J46" s="67"/>
      <c r="K46" s="67"/>
      <c r="L46" s="68"/>
      <c r="M46" s="68"/>
      <c r="N46" s="68"/>
      <c r="O46" s="68"/>
      <c r="P46" s="67"/>
      <c r="Q46" s="67"/>
      <c r="R46" s="67"/>
      <c r="S46" s="62"/>
      <c r="T46" s="62"/>
      <c r="U46" s="62"/>
      <c r="V46" s="62"/>
      <c r="W46" s="62"/>
    </row>
    <row r="47" spans="1:23">
      <c r="A47" s="63"/>
      <c r="B47" s="142"/>
      <c r="C47" s="142"/>
      <c r="D47" s="67"/>
      <c r="E47" s="67"/>
      <c r="F47" s="67"/>
      <c r="G47" s="67"/>
      <c r="H47" s="67"/>
      <c r="I47" s="67"/>
      <c r="J47" s="67"/>
      <c r="K47" s="67"/>
      <c r="L47" s="68"/>
      <c r="M47" s="68"/>
      <c r="N47" s="68"/>
      <c r="O47" s="68"/>
      <c r="P47" s="67"/>
      <c r="Q47" s="67"/>
      <c r="R47" s="67"/>
      <c r="S47" s="62"/>
      <c r="T47" s="62"/>
      <c r="U47" s="62"/>
      <c r="V47" s="62"/>
      <c r="W47" s="62"/>
    </row>
    <row r="48" spans="1:23">
      <c r="A48" s="63"/>
      <c r="B48" s="142"/>
      <c r="C48" s="142"/>
      <c r="D48" s="67"/>
      <c r="E48" s="67"/>
      <c r="F48" s="67"/>
      <c r="G48" s="67"/>
      <c r="H48" s="67"/>
      <c r="I48" s="67"/>
      <c r="J48" s="67"/>
      <c r="K48" s="67"/>
      <c r="L48" s="68"/>
      <c r="M48" s="68"/>
      <c r="N48" s="68"/>
      <c r="O48" s="68"/>
      <c r="P48" s="67"/>
      <c r="Q48" s="67"/>
      <c r="R48" s="67"/>
      <c r="S48" s="62"/>
      <c r="T48" s="62"/>
      <c r="U48" s="62"/>
      <c r="V48" s="62"/>
      <c r="W48" s="62"/>
    </row>
    <row r="49" spans="1:23">
      <c r="A49" s="63"/>
      <c r="B49" s="142"/>
      <c r="C49" s="142"/>
      <c r="D49" s="67"/>
      <c r="E49" s="67"/>
      <c r="F49" s="67"/>
      <c r="G49" s="67"/>
      <c r="H49" s="67"/>
      <c r="I49" s="67"/>
      <c r="J49" s="67"/>
      <c r="K49" s="67"/>
      <c r="L49" s="68"/>
      <c r="M49" s="68"/>
      <c r="N49" s="68"/>
      <c r="O49" s="68"/>
      <c r="P49" s="67"/>
      <c r="Q49" s="67"/>
      <c r="R49" s="67"/>
      <c r="S49" s="62"/>
      <c r="T49" s="62"/>
      <c r="U49" s="62"/>
      <c r="V49" s="62"/>
      <c r="W49" s="62"/>
    </row>
    <row r="50" spans="1:23">
      <c r="A50" s="63"/>
      <c r="B50" s="142"/>
      <c r="C50" s="142"/>
      <c r="D50" s="67"/>
      <c r="E50" s="67"/>
      <c r="F50" s="67"/>
      <c r="G50" s="67"/>
      <c r="H50" s="67"/>
      <c r="I50" s="67"/>
      <c r="J50" s="67"/>
      <c r="K50" s="67"/>
      <c r="L50" s="68"/>
      <c r="M50" s="68"/>
      <c r="N50" s="68"/>
      <c r="O50" s="68"/>
      <c r="P50" s="67"/>
      <c r="Q50" s="67"/>
      <c r="R50" s="67"/>
      <c r="S50" s="62"/>
      <c r="T50" s="62"/>
      <c r="U50" s="62"/>
      <c r="V50" s="62"/>
      <c r="W50" s="62"/>
    </row>
    <row r="51" spans="1:23">
      <c r="A51" s="63"/>
      <c r="B51" s="142"/>
      <c r="C51" s="142"/>
      <c r="D51" s="67"/>
      <c r="E51" s="67"/>
      <c r="F51" s="67"/>
      <c r="G51" s="67"/>
      <c r="H51" s="67"/>
      <c r="I51" s="67"/>
      <c r="J51" s="67"/>
      <c r="K51" s="67"/>
      <c r="L51" s="68"/>
      <c r="M51" s="68"/>
      <c r="N51" s="68"/>
      <c r="O51" s="68"/>
      <c r="P51" s="67"/>
      <c r="Q51" s="67"/>
      <c r="R51" s="67"/>
      <c r="S51" s="62"/>
      <c r="T51" s="62"/>
      <c r="U51" s="62"/>
      <c r="V51" s="62"/>
      <c r="W51" s="62"/>
    </row>
    <row r="52" spans="1:23">
      <c r="A52" s="63"/>
      <c r="B52" s="142"/>
      <c r="C52" s="142"/>
      <c r="D52" s="67"/>
      <c r="E52" s="67"/>
      <c r="F52" s="67"/>
      <c r="G52" s="67"/>
      <c r="H52" s="67"/>
      <c r="I52" s="67"/>
      <c r="J52" s="67"/>
      <c r="K52" s="67"/>
      <c r="L52" s="68"/>
      <c r="M52" s="68"/>
      <c r="N52" s="68"/>
      <c r="O52" s="68"/>
      <c r="P52" s="67"/>
      <c r="Q52" s="67"/>
      <c r="R52" s="67"/>
      <c r="S52" s="62"/>
      <c r="T52" s="62"/>
      <c r="U52" s="62"/>
      <c r="V52" s="62"/>
      <c r="W52" s="62"/>
    </row>
    <row r="53" spans="1:23">
      <c r="A53" s="63"/>
      <c r="B53" s="142"/>
      <c r="C53" s="142"/>
      <c r="D53" s="67"/>
      <c r="E53" s="67"/>
      <c r="F53" s="67"/>
      <c r="G53" s="67"/>
      <c r="H53" s="67"/>
      <c r="I53" s="67"/>
      <c r="J53" s="67"/>
      <c r="K53" s="67"/>
      <c r="L53" s="68"/>
      <c r="M53" s="68"/>
      <c r="N53" s="68"/>
      <c r="O53" s="68"/>
      <c r="P53" s="67"/>
      <c r="Q53" s="67"/>
      <c r="R53" s="67"/>
      <c r="S53" s="62"/>
      <c r="T53" s="62"/>
      <c r="U53" s="62"/>
      <c r="V53" s="62"/>
      <c r="W53" s="62"/>
    </row>
    <row r="54" spans="1:23">
      <c r="A54" s="63"/>
      <c r="B54" s="142"/>
      <c r="C54" s="142"/>
      <c r="D54" s="67"/>
      <c r="E54" s="67"/>
      <c r="F54" s="67"/>
      <c r="G54" s="67"/>
      <c r="H54" s="67"/>
      <c r="I54" s="67"/>
      <c r="J54" s="67"/>
      <c r="K54" s="67"/>
      <c r="L54" s="68"/>
      <c r="M54" s="68"/>
      <c r="N54" s="68"/>
      <c r="O54" s="68"/>
      <c r="P54" s="67"/>
      <c r="Q54" s="67"/>
      <c r="R54" s="67"/>
      <c r="S54" s="62"/>
      <c r="T54" s="62"/>
      <c r="U54" s="62"/>
      <c r="V54" s="62"/>
      <c r="W54" s="62"/>
    </row>
    <row r="55" spans="1:23">
      <c r="A55" s="62"/>
      <c r="B55" s="142"/>
      <c r="C55" s="142"/>
      <c r="D55" s="67"/>
      <c r="E55" s="67"/>
      <c r="F55" s="67"/>
      <c r="G55" s="67"/>
      <c r="H55" s="67"/>
      <c r="I55" s="67"/>
      <c r="J55" s="67"/>
      <c r="K55" s="67"/>
      <c r="L55" s="68"/>
      <c r="M55" s="68"/>
      <c r="N55" s="68"/>
      <c r="O55" s="68"/>
      <c r="P55" s="67"/>
      <c r="Q55" s="67"/>
      <c r="R55" s="67"/>
      <c r="S55" s="62"/>
      <c r="T55" s="62"/>
      <c r="U55" s="62"/>
      <c r="V55" s="62"/>
      <c r="W55" s="62"/>
    </row>
    <row r="56" spans="1:23">
      <c r="A56" s="62"/>
      <c r="B56" s="62"/>
      <c r="C56" s="62"/>
      <c r="D56" s="62"/>
      <c r="E56" s="62"/>
      <c r="F56" s="62"/>
      <c r="G56" s="62"/>
      <c r="H56" s="62"/>
      <c r="I56" s="62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</row>
    <row r="57" spans="1:23">
      <c r="A57" s="62"/>
      <c r="B57" s="62"/>
      <c r="C57" s="62"/>
      <c r="D57" s="62"/>
      <c r="E57" s="62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</row>
    <row r="58" spans="1:23">
      <c r="A58" s="62"/>
      <c r="B58" s="62"/>
      <c r="C58" s="62"/>
      <c r="D58" s="62"/>
      <c r="E58" s="62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</row>
    <row r="59" spans="1:23">
      <c r="A59" s="62"/>
      <c r="B59" s="62"/>
      <c r="C59" s="62"/>
      <c r="D59" s="62"/>
      <c r="E59" s="62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</row>
    <row r="60" spans="1:23">
      <c r="A60" s="62"/>
      <c r="B60" s="62"/>
      <c r="C60" s="62"/>
      <c r="D60" s="62"/>
      <c r="E60" s="62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</row>
    <row r="82" spans="12:12">
      <c r="L82" s="16">
        <f>SUM(L7:L81)</f>
        <v>14894.5</v>
      </c>
    </row>
  </sheetData>
  <pageMargins left="0.7" right="0.7" top="0.75" bottom="0.75" header="0.3" footer="0.3"/>
  <pageSetup paperSize="9" orientation="landscape" verticalDpi="0" r:id="rId1"/>
</worksheet>
</file>

<file path=xl/worksheets/sheet33.xml><?xml version="1.0" encoding="utf-8"?>
<worksheet xmlns="http://schemas.openxmlformats.org/spreadsheetml/2006/main" xmlns:r="http://schemas.openxmlformats.org/officeDocument/2006/relationships">
  <dimension ref="A5:W82"/>
  <sheetViews>
    <sheetView topLeftCell="A4" workbookViewId="0">
      <selection activeCell="K26" sqref="K26"/>
    </sheetView>
  </sheetViews>
  <sheetFormatPr defaultRowHeight="14.4"/>
  <cols>
    <col min="1" max="1" width="7.88671875" style="1" customWidth="1"/>
    <col min="2" max="2" width="22" style="1" customWidth="1"/>
    <col min="3" max="3" width="7.77734375" style="1" customWidth="1"/>
    <col min="4" max="4" width="4.77734375" style="1" customWidth="1"/>
    <col min="5" max="5" width="9.88671875" style="1" customWidth="1"/>
    <col min="6" max="6" width="7.6640625" style="1" customWidth="1"/>
    <col min="7" max="7" width="6.6640625" style="1" customWidth="1"/>
    <col min="8" max="8" width="7.44140625" style="1" customWidth="1"/>
    <col min="9" max="9" width="5.88671875" style="1" customWidth="1"/>
    <col min="10" max="10" width="6" style="1" customWidth="1"/>
    <col min="11" max="11" width="8.44140625" style="1" customWidth="1"/>
    <col min="12" max="12" width="8.21875" style="1" customWidth="1"/>
    <col min="13" max="13" width="7.33203125" style="1" customWidth="1"/>
    <col min="14" max="18" width="8.88671875" style="1"/>
    <col min="19" max="19" width="9" style="1" customWidth="1"/>
    <col min="20" max="16384" width="8.88671875" style="1"/>
  </cols>
  <sheetData>
    <row r="5" spans="1:23" ht="23.4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3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676</v>
      </c>
      <c r="M5" s="95" t="s">
        <v>677</v>
      </c>
      <c r="N5" s="3" t="s">
        <v>11</v>
      </c>
      <c r="O5" s="3" t="s">
        <v>36</v>
      </c>
      <c r="P5" s="3" t="s">
        <v>12</v>
      </c>
      <c r="Q5" s="3" t="s">
        <v>256</v>
      </c>
      <c r="R5" s="3" t="s">
        <v>257</v>
      </c>
      <c r="S5" s="3" t="s">
        <v>2</v>
      </c>
      <c r="T5" s="14" t="s">
        <v>80</v>
      </c>
      <c r="U5" s="14" t="s">
        <v>125</v>
      </c>
    </row>
    <row r="6" spans="1:23">
      <c r="A6" s="63"/>
      <c r="B6" s="301"/>
      <c r="C6" s="301"/>
      <c r="D6" s="301"/>
      <c r="E6" s="301"/>
      <c r="F6" s="301"/>
      <c r="G6" s="301"/>
      <c r="H6" s="301"/>
      <c r="I6" s="301"/>
      <c r="J6" s="301"/>
      <c r="K6" s="301"/>
      <c r="L6" s="61"/>
      <c r="M6" s="61"/>
      <c r="N6" s="301"/>
      <c r="O6" s="62"/>
      <c r="P6" s="62"/>
      <c r="Q6" s="62"/>
      <c r="R6" s="62"/>
      <c r="S6" s="62"/>
      <c r="U6" s="17"/>
    </row>
    <row r="7" spans="1:23">
      <c r="A7" s="63"/>
      <c r="B7" s="67"/>
      <c r="C7" s="67"/>
      <c r="D7" s="67"/>
      <c r="E7" s="67"/>
      <c r="F7" s="67"/>
      <c r="G7" s="67"/>
      <c r="H7" s="67"/>
      <c r="I7" s="67"/>
      <c r="J7" s="67"/>
      <c r="K7" s="68"/>
      <c r="L7" s="68"/>
      <c r="M7" s="68"/>
      <c r="N7" s="68"/>
      <c r="O7" s="68"/>
      <c r="P7" s="67"/>
      <c r="Q7" s="62"/>
      <c r="R7" s="62"/>
      <c r="S7" s="62"/>
      <c r="T7" s="62"/>
      <c r="U7" s="62"/>
      <c r="V7" s="62"/>
      <c r="W7" s="62"/>
    </row>
    <row r="8" spans="1:23">
      <c r="A8" s="63"/>
      <c r="B8" s="67"/>
      <c r="C8" s="67"/>
      <c r="D8" s="67"/>
      <c r="E8" s="67"/>
      <c r="F8" s="67"/>
      <c r="G8" s="67"/>
      <c r="H8" s="67"/>
      <c r="I8" s="67"/>
      <c r="J8" s="67"/>
      <c r="K8" s="67"/>
      <c r="L8" s="68"/>
      <c r="M8" s="68"/>
      <c r="N8" s="68"/>
      <c r="O8" s="68"/>
      <c r="P8" s="67"/>
      <c r="Q8" s="62"/>
      <c r="R8" s="62"/>
      <c r="S8" s="62"/>
      <c r="T8" s="62"/>
      <c r="U8" s="62"/>
      <c r="V8" s="62"/>
      <c r="W8" s="62"/>
    </row>
    <row r="9" spans="1:23">
      <c r="A9" s="63"/>
      <c r="B9" s="67"/>
      <c r="C9" s="67"/>
      <c r="D9" s="67"/>
      <c r="E9" s="67"/>
      <c r="F9" s="67"/>
      <c r="G9" s="67"/>
      <c r="H9" s="67"/>
      <c r="I9" s="67"/>
      <c r="J9" s="67"/>
      <c r="K9" s="68"/>
      <c r="L9" s="68"/>
      <c r="M9" s="68"/>
      <c r="N9" s="68"/>
      <c r="O9" s="68"/>
      <c r="P9" s="67"/>
      <c r="Q9" s="62"/>
      <c r="R9" s="62"/>
      <c r="S9" s="62"/>
      <c r="T9" s="62"/>
      <c r="U9" s="62"/>
      <c r="V9" s="62"/>
      <c r="W9" s="62"/>
    </row>
    <row r="10" spans="1:23">
      <c r="A10" s="63"/>
      <c r="B10" s="67"/>
      <c r="C10" s="67"/>
      <c r="D10" s="67"/>
      <c r="E10" s="67"/>
      <c r="F10" s="67"/>
      <c r="G10" s="67"/>
      <c r="H10" s="67"/>
      <c r="I10" s="67"/>
      <c r="J10" s="67"/>
      <c r="K10" s="68"/>
      <c r="L10" s="68"/>
      <c r="M10" s="68"/>
      <c r="N10" s="68"/>
      <c r="O10" s="68"/>
      <c r="P10" s="67"/>
      <c r="Q10" s="62"/>
      <c r="R10" s="62"/>
      <c r="S10" s="62"/>
      <c r="T10" s="62"/>
      <c r="U10" s="62"/>
      <c r="V10" s="62"/>
      <c r="W10" s="62"/>
    </row>
    <row r="11" spans="1:23">
      <c r="A11" s="63"/>
      <c r="B11" s="67"/>
      <c r="C11" s="67"/>
      <c r="D11" s="67"/>
      <c r="E11" s="67"/>
      <c r="F11" s="67"/>
      <c r="G11" s="67"/>
      <c r="H11" s="67"/>
      <c r="I11" s="67"/>
      <c r="J11" s="67"/>
      <c r="K11" s="68"/>
      <c r="L11" s="68"/>
      <c r="M11" s="68"/>
      <c r="N11" s="68"/>
      <c r="O11" s="68"/>
      <c r="P11" s="67"/>
      <c r="Q11" s="62"/>
      <c r="R11" s="62"/>
      <c r="S11" s="62"/>
      <c r="T11" s="62"/>
      <c r="U11" s="62"/>
      <c r="V11" s="62"/>
      <c r="W11" s="62"/>
    </row>
    <row r="12" spans="1:23">
      <c r="A12" s="63"/>
      <c r="B12" s="67"/>
      <c r="C12" s="67"/>
      <c r="D12" s="67"/>
      <c r="E12" s="67"/>
      <c r="F12" s="67"/>
      <c r="G12" s="67"/>
      <c r="H12" s="67"/>
      <c r="I12" s="67"/>
      <c r="J12" s="67"/>
      <c r="K12" s="68"/>
      <c r="L12" s="68"/>
      <c r="M12" s="68"/>
      <c r="N12" s="68"/>
      <c r="O12" s="68"/>
      <c r="P12" s="67"/>
      <c r="Q12" s="67"/>
      <c r="R12" s="67"/>
      <c r="S12" s="62"/>
      <c r="T12" s="62"/>
      <c r="U12" s="62"/>
      <c r="V12" s="62"/>
      <c r="W12" s="62"/>
    </row>
    <row r="13" spans="1:23">
      <c r="A13" s="63"/>
      <c r="B13" s="67"/>
      <c r="C13" s="67"/>
      <c r="D13" s="67"/>
      <c r="E13" s="67"/>
      <c r="F13" s="67"/>
      <c r="G13" s="67"/>
      <c r="H13" s="67"/>
      <c r="I13" s="67"/>
      <c r="J13" s="67"/>
      <c r="K13" s="68"/>
      <c r="L13" s="68"/>
      <c r="M13" s="68"/>
      <c r="N13" s="68"/>
      <c r="O13" s="68"/>
      <c r="P13" s="67"/>
      <c r="Q13" s="67"/>
      <c r="R13" s="67"/>
      <c r="S13" s="62"/>
      <c r="T13" s="62"/>
      <c r="U13" s="62"/>
      <c r="V13" s="62"/>
      <c r="W13" s="62"/>
    </row>
    <row r="14" spans="1:23">
      <c r="A14" s="63"/>
      <c r="B14" s="67"/>
      <c r="C14" s="67"/>
      <c r="D14" s="67"/>
      <c r="E14" s="67"/>
      <c r="F14" s="67"/>
      <c r="G14" s="67"/>
      <c r="H14" s="67"/>
      <c r="I14" s="67"/>
      <c r="J14" s="67"/>
      <c r="K14" s="68"/>
      <c r="L14" s="68"/>
      <c r="M14" s="68"/>
      <c r="N14" s="68"/>
      <c r="O14" s="68"/>
      <c r="P14" s="67"/>
      <c r="Q14" s="67"/>
      <c r="R14" s="67"/>
      <c r="S14" s="62"/>
      <c r="T14" s="62"/>
      <c r="U14" s="62"/>
      <c r="V14" s="62"/>
      <c r="W14" s="62"/>
    </row>
    <row r="15" spans="1:23">
      <c r="A15" s="63"/>
      <c r="B15" s="67"/>
      <c r="C15" s="67"/>
      <c r="D15" s="67"/>
      <c r="E15" s="67"/>
      <c r="F15" s="67"/>
      <c r="G15" s="67"/>
      <c r="H15" s="67"/>
      <c r="I15" s="67"/>
      <c r="J15" s="67"/>
      <c r="K15" s="67"/>
      <c r="L15" s="68"/>
      <c r="M15" s="68"/>
      <c r="N15" s="68"/>
      <c r="O15" s="68"/>
      <c r="P15" s="67"/>
      <c r="Q15" s="67"/>
      <c r="R15" s="67"/>
      <c r="S15" s="62"/>
      <c r="T15" s="62"/>
      <c r="U15" s="62"/>
      <c r="V15" s="62"/>
      <c r="W15" s="62"/>
    </row>
    <row r="16" spans="1:23">
      <c r="A16" s="63" t="s">
        <v>3117</v>
      </c>
      <c r="B16" s="42" t="s">
        <v>3118</v>
      </c>
      <c r="C16" s="42" t="s">
        <v>88</v>
      </c>
      <c r="D16" s="42" t="s">
        <v>16</v>
      </c>
      <c r="E16" s="42" t="s">
        <v>3119</v>
      </c>
      <c r="F16" s="42">
        <v>0</v>
      </c>
      <c r="G16" s="42"/>
      <c r="H16" s="42">
        <v>21900</v>
      </c>
      <c r="I16" s="42">
        <v>360</v>
      </c>
      <c r="J16" s="42">
        <v>0.13</v>
      </c>
      <c r="K16" s="43">
        <f t="shared" ref="K16" si="0">I16*J16</f>
        <v>46.800000000000004</v>
      </c>
      <c r="L16" s="43">
        <f t="shared" ref="L16" si="1">H16-K16</f>
        <v>21853.200000000001</v>
      </c>
      <c r="M16" s="43"/>
      <c r="N16" s="43">
        <f t="shared" ref="N16" si="2">L16-M16</f>
        <v>21853.200000000001</v>
      </c>
      <c r="O16" s="43">
        <f t="shared" ref="O16" si="3">H16/1000*70</f>
        <v>1533</v>
      </c>
      <c r="P16" s="42">
        <v>20500</v>
      </c>
      <c r="Q16" s="42">
        <v>16.899999999999999</v>
      </c>
      <c r="R16" s="42">
        <f t="shared" ref="R16" si="4">L16*Q16</f>
        <v>369319.07999999996</v>
      </c>
      <c r="S16" s="62"/>
      <c r="T16" s="62"/>
      <c r="U16" s="62"/>
      <c r="V16" s="62"/>
      <c r="W16" s="62"/>
    </row>
    <row r="17" spans="1:23">
      <c r="A17" s="63"/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8"/>
      <c r="M17" s="68"/>
      <c r="N17" s="68"/>
      <c r="O17" s="68"/>
      <c r="P17" s="67"/>
      <c r="Q17" s="67"/>
      <c r="R17" s="67"/>
      <c r="S17" s="62"/>
      <c r="T17" s="62"/>
      <c r="U17" s="62"/>
      <c r="V17" s="62"/>
      <c r="W17" s="62"/>
    </row>
    <row r="18" spans="1:23">
      <c r="A18" s="62" t="s">
        <v>3126</v>
      </c>
      <c r="B18" s="42" t="s">
        <v>3118</v>
      </c>
      <c r="C18" s="42" t="s">
        <v>88</v>
      </c>
      <c r="D18" s="42" t="s">
        <v>16</v>
      </c>
      <c r="E18" s="42" t="s">
        <v>3127</v>
      </c>
      <c r="F18" s="42">
        <v>157</v>
      </c>
      <c r="G18" s="42"/>
      <c r="H18" s="42">
        <v>21770</v>
      </c>
      <c r="I18" s="42">
        <v>348</v>
      </c>
      <c r="J18" s="42">
        <v>0.13</v>
      </c>
      <c r="K18" s="43">
        <f t="shared" ref="K18" si="5">I18*J18</f>
        <v>45.24</v>
      </c>
      <c r="L18" s="43">
        <f t="shared" ref="L18" si="6">H18-K18</f>
        <v>21724.76</v>
      </c>
      <c r="M18" s="43">
        <f>L18*1%</f>
        <v>217.24759999999998</v>
      </c>
      <c r="N18" s="43">
        <f t="shared" ref="N18" si="7">L18-M18</f>
        <v>21507.5124</v>
      </c>
      <c r="O18" s="43">
        <f t="shared" ref="O18" si="8">H18/1000*70</f>
        <v>1523.8999999999999</v>
      </c>
      <c r="P18" s="42">
        <v>17200</v>
      </c>
      <c r="Q18" s="42">
        <v>16.899999999999999</v>
      </c>
      <c r="R18" s="42">
        <f t="shared" ref="R18" si="9">L18*Q18</f>
        <v>367148.44399999996</v>
      </c>
      <c r="S18" s="62"/>
      <c r="T18" s="62"/>
      <c r="U18" s="62"/>
      <c r="V18" s="62"/>
      <c r="W18" s="62"/>
    </row>
    <row r="19" spans="1:23">
      <c r="A19" s="63"/>
      <c r="B19" s="67"/>
      <c r="C19" s="67"/>
      <c r="D19" s="67"/>
      <c r="E19" s="67"/>
      <c r="F19" s="67"/>
      <c r="G19" s="67"/>
      <c r="H19" s="67"/>
      <c r="I19" s="67"/>
      <c r="J19" s="67"/>
      <c r="K19" s="67"/>
      <c r="L19" s="68"/>
      <c r="M19" s="68"/>
      <c r="N19" s="68"/>
      <c r="O19" s="68"/>
      <c r="P19" s="67"/>
      <c r="Q19" s="67"/>
      <c r="R19" s="67"/>
      <c r="S19" s="62"/>
      <c r="T19" s="62"/>
      <c r="U19" s="62"/>
      <c r="V19" s="62"/>
      <c r="W19" s="62"/>
    </row>
    <row r="20" spans="1:23">
      <c r="A20" s="63" t="s">
        <v>3128</v>
      </c>
      <c r="B20" s="42" t="s">
        <v>3118</v>
      </c>
      <c r="C20" s="42" t="s">
        <v>88</v>
      </c>
      <c r="D20" s="42" t="s">
        <v>16</v>
      </c>
      <c r="E20" s="42" t="s">
        <v>3131</v>
      </c>
      <c r="F20" s="42">
        <v>4042</v>
      </c>
      <c r="G20" s="42"/>
      <c r="H20" s="42">
        <v>18460</v>
      </c>
      <c r="I20" s="42">
        <v>312</v>
      </c>
      <c r="J20" s="42">
        <v>0.5</v>
      </c>
      <c r="K20" s="43">
        <f t="shared" ref="K20" si="10">I20*J20</f>
        <v>156</v>
      </c>
      <c r="L20" s="43">
        <f t="shared" ref="L20" si="11">H20-K20</f>
        <v>18304</v>
      </c>
      <c r="M20" s="43">
        <f>L20*1%</f>
        <v>183.04</v>
      </c>
      <c r="N20" s="43">
        <f t="shared" ref="N20" si="12">L20-M20</f>
        <v>18120.96</v>
      </c>
      <c r="O20" s="43">
        <f t="shared" ref="O20" si="13">H20/1000*70</f>
        <v>1292.2</v>
      </c>
      <c r="P20" s="42">
        <v>0</v>
      </c>
      <c r="Q20" s="42">
        <v>16.899999999999999</v>
      </c>
      <c r="R20" s="42">
        <f t="shared" ref="R20" si="14">L20*Q20</f>
        <v>309337.59999999998</v>
      </c>
      <c r="S20" s="62"/>
      <c r="T20" s="62"/>
      <c r="U20" s="62"/>
      <c r="V20" s="62"/>
      <c r="W20" s="62"/>
    </row>
    <row r="21" spans="1:23">
      <c r="A21" s="63"/>
      <c r="B21" s="67"/>
      <c r="C21" s="67"/>
      <c r="D21" s="67"/>
      <c r="E21" s="67"/>
      <c r="F21" s="67"/>
      <c r="G21" s="67"/>
      <c r="H21" s="67"/>
      <c r="I21" s="67"/>
      <c r="J21" s="67"/>
      <c r="K21" s="67"/>
      <c r="L21" s="68"/>
      <c r="M21" s="68"/>
      <c r="N21" s="68"/>
      <c r="O21" s="68"/>
      <c r="P21" s="67"/>
      <c r="Q21" s="67"/>
      <c r="R21" s="67"/>
      <c r="S21" s="62"/>
      <c r="T21" s="62"/>
      <c r="U21" s="62"/>
      <c r="V21" s="62"/>
      <c r="W21" s="62"/>
    </row>
    <row r="22" spans="1:23">
      <c r="A22" s="63"/>
      <c r="B22" s="42" t="s">
        <v>2999</v>
      </c>
      <c r="C22" s="42" t="s">
        <v>88</v>
      </c>
      <c r="D22" s="42" t="s">
        <v>16</v>
      </c>
      <c r="E22" s="42" t="s">
        <v>3175</v>
      </c>
      <c r="F22" s="42">
        <v>4</v>
      </c>
      <c r="G22" s="42"/>
      <c r="H22" s="42">
        <v>20530</v>
      </c>
      <c r="I22" s="42">
        <v>411</v>
      </c>
      <c r="J22" s="42">
        <v>0.13</v>
      </c>
      <c r="K22" s="43">
        <f>I22*J22</f>
        <v>53.43</v>
      </c>
      <c r="L22" s="43">
        <f>H22-K22</f>
        <v>20476.57</v>
      </c>
      <c r="M22" s="43"/>
      <c r="N22" s="43">
        <f>L22-M22</f>
        <v>20476.57</v>
      </c>
      <c r="O22" s="43">
        <f>H22/1000*70</f>
        <v>1437.1000000000001</v>
      </c>
      <c r="P22" s="42">
        <v>11200</v>
      </c>
      <c r="Q22" s="42">
        <v>16.8</v>
      </c>
      <c r="R22" s="42">
        <f>L22*Q22</f>
        <v>344006.37599999999</v>
      </c>
      <c r="S22" s="62"/>
      <c r="T22" s="62"/>
      <c r="U22" s="62"/>
      <c r="V22" s="62"/>
      <c r="W22" s="62"/>
    </row>
    <row r="23" spans="1:23">
      <c r="A23" s="63"/>
      <c r="B23" s="67"/>
      <c r="C23" s="67"/>
      <c r="D23" s="67"/>
      <c r="E23" s="67"/>
      <c r="F23" s="67"/>
      <c r="G23" s="67"/>
      <c r="H23" s="67"/>
      <c r="I23" s="67"/>
      <c r="J23" s="67"/>
      <c r="K23" s="67"/>
      <c r="L23" s="68"/>
      <c r="M23" s="68"/>
      <c r="N23" s="68"/>
      <c r="O23" s="68"/>
      <c r="P23" s="67"/>
      <c r="Q23" s="67"/>
      <c r="R23" s="67"/>
      <c r="S23" s="62"/>
      <c r="T23" s="62"/>
      <c r="U23" s="62"/>
      <c r="V23" s="62"/>
      <c r="W23" s="62"/>
    </row>
    <row r="24" spans="1:23">
      <c r="A24" s="63"/>
      <c r="B24" s="67"/>
      <c r="C24" s="67"/>
      <c r="D24" s="67"/>
      <c r="E24" s="67"/>
      <c r="F24" s="67"/>
      <c r="G24" s="67"/>
      <c r="H24" s="67"/>
      <c r="I24" s="67"/>
      <c r="J24" s="67"/>
      <c r="K24" s="67"/>
      <c r="L24" s="68"/>
      <c r="M24" s="68"/>
      <c r="N24" s="68"/>
      <c r="O24" s="68"/>
      <c r="P24" s="67"/>
      <c r="Q24" s="67"/>
      <c r="R24" s="67"/>
      <c r="S24" s="62"/>
      <c r="T24" s="62"/>
      <c r="U24" s="62"/>
      <c r="V24" s="62"/>
      <c r="W24" s="62"/>
    </row>
    <row r="25" spans="1:23">
      <c r="A25" s="63"/>
      <c r="B25" s="67"/>
      <c r="C25" s="67"/>
      <c r="D25" s="67"/>
      <c r="E25" s="67"/>
      <c r="F25" s="67"/>
      <c r="G25" s="67"/>
      <c r="H25" s="67"/>
      <c r="I25" s="67"/>
      <c r="J25" s="67"/>
      <c r="K25" s="67"/>
      <c r="L25" s="68"/>
      <c r="M25" s="68"/>
      <c r="N25" s="68"/>
      <c r="O25" s="68"/>
      <c r="P25" s="67"/>
      <c r="Q25" s="67"/>
      <c r="R25" s="67"/>
      <c r="S25" s="62"/>
      <c r="T25" s="62"/>
      <c r="U25" s="62"/>
      <c r="V25" s="62"/>
      <c r="W25" s="62"/>
    </row>
    <row r="26" spans="1:23">
      <c r="A26" s="63"/>
      <c r="B26" s="67"/>
      <c r="C26" s="67"/>
      <c r="D26" s="67"/>
      <c r="E26" s="67"/>
      <c r="F26" s="67"/>
      <c r="G26" s="67"/>
      <c r="H26" s="67"/>
      <c r="I26" s="67"/>
      <c r="J26" s="67"/>
      <c r="K26" s="67"/>
      <c r="L26" s="68"/>
      <c r="M26" s="68"/>
      <c r="N26" s="68"/>
      <c r="O26" s="68"/>
      <c r="P26" s="67"/>
      <c r="Q26" s="67"/>
      <c r="R26" s="67"/>
      <c r="S26" s="62"/>
      <c r="T26" s="62"/>
      <c r="U26" s="62"/>
      <c r="V26" s="62"/>
      <c r="W26" s="62"/>
    </row>
    <row r="27" spans="1:23">
      <c r="A27" s="63"/>
      <c r="B27" s="67"/>
      <c r="C27" s="67"/>
      <c r="D27" s="67"/>
      <c r="E27" s="67"/>
      <c r="F27" s="67"/>
      <c r="G27" s="67"/>
      <c r="H27" s="67"/>
      <c r="I27" s="67"/>
      <c r="J27" s="67"/>
      <c r="K27" s="67"/>
      <c r="L27" s="68"/>
      <c r="M27" s="68"/>
      <c r="N27" s="68"/>
      <c r="O27" s="68"/>
      <c r="P27" s="67"/>
      <c r="Q27" s="67"/>
      <c r="R27" s="67"/>
      <c r="S27" s="62"/>
      <c r="T27" s="62"/>
      <c r="U27" s="62"/>
      <c r="V27" s="62"/>
      <c r="W27" s="62"/>
    </row>
    <row r="28" spans="1:23">
      <c r="A28" s="62"/>
      <c r="B28" s="67"/>
      <c r="C28" s="67"/>
      <c r="D28" s="67"/>
      <c r="E28" s="67"/>
      <c r="F28" s="67"/>
      <c r="G28" s="67"/>
      <c r="H28" s="67"/>
      <c r="I28" s="67"/>
      <c r="J28" s="67"/>
      <c r="K28" s="67"/>
      <c r="L28" s="68"/>
      <c r="M28" s="68"/>
      <c r="N28" s="68"/>
      <c r="O28" s="68"/>
      <c r="P28" s="67"/>
      <c r="Q28" s="67"/>
      <c r="R28" s="67"/>
      <c r="S28" s="62"/>
      <c r="T28" s="62"/>
      <c r="U28" s="62"/>
      <c r="V28" s="62"/>
      <c r="W28" s="62"/>
    </row>
    <row r="29" spans="1:23">
      <c r="A29" s="63"/>
      <c r="B29" s="142"/>
      <c r="C29" s="142"/>
      <c r="D29" s="67"/>
      <c r="E29" s="67"/>
      <c r="F29" s="67"/>
      <c r="G29" s="67"/>
      <c r="H29" s="67"/>
      <c r="I29" s="67"/>
      <c r="J29" s="67"/>
      <c r="K29" s="67"/>
      <c r="L29" s="68"/>
      <c r="M29" s="68"/>
      <c r="N29" s="68"/>
      <c r="O29" s="68"/>
      <c r="P29" s="67"/>
      <c r="Q29" s="67"/>
      <c r="R29" s="67"/>
      <c r="S29" s="62"/>
      <c r="T29" s="62"/>
      <c r="U29" s="62"/>
      <c r="V29" s="62"/>
      <c r="W29" s="62"/>
    </row>
    <row r="30" spans="1:23">
      <c r="A30" s="63"/>
      <c r="B30" s="142"/>
      <c r="C30" s="142"/>
      <c r="D30" s="67"/>
      <c r="E30" s="67"/>
      <c r="F30" s="67"/>
      <c r="G30" s="67"/>
      <c r="H30" s="67"/>
      <c r="I30" s="67"/>
      <c r="J30" s="67"/>
      <c r="K30" s="67"/>
      <c r="L30" s="68"/>
      <c r="M30" s="68"/>
      <c r="N30" s="68"/>
      <c r="O30" s="68"/>
      <c r="P30" s="67"/>
      <c r="Q30" s="67"/>
      <c r="R30" s="67"/>
      <c r="S30" s="62"/>
      <c r="T30" s="62"/>
      <c r="U30" s="62"/>
      <c r="V30" s="62"/>
      <c r="W30" s="62"/>
    </row>
    <row r="31" spans="1:23">
      <c r="A31" s="63"/>
      <c r="B31" s="142"/>
      <c r="C31" s="142"/>
      <c r="D31" s="67"/>
      <c r="E31" s="67"/>
      <c r="F31" s="67"/>
      <c r="G31" s="67"/>
      <c r="H31" s="67"/>
      <c r="I31" s="67"/>
      <c r="J31" s="67"/>
      <c r="K31" s="67"/>
      <c r="L31" s="68"/>
      <c r="M31" s="68"/>
      <c r="N31" s="68"/>
      <c r="O31" s="68"/>
      <c r="P31" s="67"/>
      <c r="Q31" s="67"/>
      <c r="R31" s="67"/>
      <c r="S31" s="62"/>
      <c r="T31" s="62"/>
      <c r="U31" s="62"/>
      <c r="V31" s="62"/>
      <c r="W31" s="62"/>
    </row>
    <row r="32" spans="1:23">
      <c r="A32" s="63"/>
      <c r="B32" s="142"/>
      <c r="C32" s="142"/>
      <c r="D32" s="67"/>
      <c r="E32" s="67"/>
      <c r="F32" s="67"/>
      <c r="G32" s="67"/>
      <c r="H32" s="67"/>
      <c r="I32" s="67"/>
      <c r="J32" s="67"/>
      <c r="K32" s="67"/>
      <c r="L32" s="68"/>
      <c r="M32" s="68"/>
      <c r="N32" s="68"/>
      <c r="O32" s="68"/>
      <c r="P32" s="67"/>
      <c r="Q32" s="67"/>
      <c r="R32" s="67"/>
      <c r="S32" s="62"/>
      <c r="T32" s="62"/>
      <c r="U32" s="62"/>
      <c r="V32" s="62"/>
      <c r="W32" s="62"/>
    </row>
    <row r="33" spans="1:23">
      <c r="A33" s="63"/>
      <c r="B33" s="142"/>
      <c r="C33" s="142"/>
      <c r="D33" s="67"/>
      <c r="E33" s="67"/>
      <c r="F33" s="67"/>
      <c r="G33" s="67"/>
      <c r="H33" s="67"/>
      <c r="I33" s="67"/>
      <c r="J33" s="67"/>
      <c r="K33" s="67"/>
      <c r="L33" s="68"/>
      <c r="M33" s="68"/>
      <c r="N33" s="68"/>
      <c r="O33" s="68"/>
      <c r="P33" s="67"/>
      <c r="Q33" s="67"/>
      <c r="R33" s="67"/>
      <c r="S33" s="62"/>
      <c r="T33" s="62"/>
      <c r="U33" s="62"/>
      <c r="V33" s="62"/>
      <c r="W33" s="62"/>
    </row>
    <row r="34" spans="1:23">
      <c r="A34" s="63"/>
      <c r="B34" s="142"/>
      <c r="C34" s="142"/>
      <c r="D34" s="67"/>
      <c r="E34" s="67"/>
      <c r="F34" s="67"/>
      <c r="G34" s="67"/>
      <c r="H34" s="67"/>
      <c r="I34" s="67"/>
      <c r="J34" s="67"/>
      <c r="K34" s="67"/>
      <c r="L34" s="68"/>
      <c r="M34" s="68"/>
      <c r="N34" s="68"/>
      <c r="O34" s="68"/>
      <c r="P34" s="67"/>
      <c r="Q34" s="67"/>
      <c r="R34" s="67"/>
      <c r="S34" s="62"/>
      <c r="T34" s="62"/>
      <c r="U34" s="62"/>
      <c r="V34" s="62"/>
      <c r="W34" s="62"/>
    </row>
    <row r="35" spans="1:23">
      <c r="A35" s="63"/>
      <c r="B35" s="142"/>
      <c r="C35" s="142"/>
      <c r="D35" s="67"/>
      <c r="E35" s="67"/>
      <c r="F35" s="67"/>
      <c r="G35" s="67"/>
      <c r="H35" s="67"/>
      <c r="I35" s="67"/>
      <c r="J35" s="67"/>
      <c r="K35" s="67"/>
      <c r="L35" s="68"/>
      <c r="M35" s="68"/>
      <c r="N35" s="68"/>
      <c r="O35" s="68"/>
      <c r="P35" s="67"/>
      <c r="Q35" s="67"/>
      <c r="R35" s="67"/>
      <c r="S35" s="62"/>
      <c r="T35" s="62"/>
      <c r="U35" s="62"/>
      <c r="V35" s="62"/>
      <c r="W35" s="62"/>
    </row>
    <row r="36" spans="1:23">
      <c r="A36" s="63"/>
      <c r="B36" s="142"/>
      <c r="C36" s="142"/>
      <c r="D36" s="67"/>
      <c r="E36" s="67"/>
      <c r="F36" s="67"/>
      <c r="G36" s="67"/>
      <c r="H36" s="67"/>
      <c r="I36" s="67"/>
      <c r="J36" s="67"/>
      <c r="K36" s="67"/>
      <c r="L36" s="68"/>
      <c r="M36" s="68"/>
      <c r="N36" s="68"/>
      <c r="O36" s="68"/>
      <c r="P36" s="67"/>
      <c r="Q36" s="67"/>
      <c r="R36" s="67"/>
      <c r="S36" s="62"/>
      <c r="T36" s="62"/>
      <c r="U36" s="62"/>
      <c r="V36" s="62"/>
      <c r="W36" s="62"/>
    </row>
    <row r="37" spans="1:23">
      <c r="A37" s="63"/>
      <c r="B37" s="142"/>
      <c r="C37" s="142"/>
      <c r="D37" s="67"/>
      <c r="E37" s="67"/>
      <c r="F37" s="67"/>
      <c r="G37" s="67"/>
      <c r="H37" s="67"/>
      <c r="I37" s="67"/>
      <c r="J37" s="67"/>
      <c r="K37" s="67"/>
      <c r="L37" s="68"/>
      <c r="M37" s="68"/>
      <c r="N37" s="68"/>
      <c r="O37" s="68"/>
      <c r="P37" s="67"/>
      <c r="Q37" s="67"/>
      <c r="R37" s="67"/>
      <c r="S37" s="62"/>
      <c r="T37" s="62"/>
      <c r="U37" s="62"/>
      <c r="V37" s="62"/>
      <c r="W37" s="62"/>
    </row>
    <row r="38" spans="1:23">
      <c r="A38" s="63"/>
      <c r="B38" s="142"/>
      <c r="C38" s="142"/>
      <c r="D38" s="67"/>
      <c r="E38" s="67"/>
      <c r="F38" s="67"/>
      <c r="G38" s="67"/>
      <c r="H38" s="67"/>
      <c r="I38" s="67"/>
      <c r="J38" s="67"/>
      <c r="K38" s="67"/>
      <c r="L38" s="68"/>
      <c r="M38" s="68"/>
      <c r="N38" s="68"/>
      <c r="O38" s="68"/>
      <c r="P38" s="67"/>
      <c r="Q38" s="67"/>
      <c r="R38" s="67"/>
      <c r="S38" s="62"/>
      <c r="T38" s="62"/>
      <c r="U38" s="62"/>
      <c r="V38" s="62"/>
      <c r="W38" s="62"/>
    </row>
    <row r="39" spans="1:23">
      <c r="A39" s="63"/>
      <c r="B39" s="142"/>
      <c r="C39" s="142"/>
      <c r="D39" s="67"/>
      <c r="E39" s="67"/>
      <c r="F39" s="67"/>
      <c r="G39" s="67"/>
      <c r="H39" s="67"/>
      <c r="I39" s="67"/>
      <c r="J39" s="67"/>
      <c r="K39" s="67"/>
      <c r="L39" s="68"/>
      <c r="M39" s="68"/>
      <c r="N39" s="68"/>
      <c r="O39" s="68"/>
      <c r="P39" s="67"/>
      <c r="Q39" s="67"/>
      <c r="R39" s="67"/>
      <c r="S39" s="62"/>
      <c r="T39" s="62"/>
      <c r="U39" s="62"/>
      <c r="V39" s="62"/>
      <c r="W39" s="62"/>
    </row>
    <row r="40" spans="1:23">
      <c r="A40" s="63"/>
      <c r="B40" s="142"/>
      <c r="C40" s="142"/>
      <c r="D40" s="67"/>
      <c r="E40" s="67"/>
      <c r="F40" s="67"/>
      <c r="G40" s="67"/>
      <c r="H40" s="67"/>
      <c r="I40" s="67"/>
      <c r="J40" s="67"/>
      <c r="K40" s="67"/>
      <c r="L40" s="68"/>
      <c r="M40" s="68"/>
      <c r="N40" s="68"/>
      <c r="O40" s="68"/>
      <c r="P40" s="67"/>
      <c r="Q40" s="67"/>
      <c r="R40" s="67"/>
      <c r="S40" s="62"/>
      <c r="T40" s="62"/>
      <c r="U40" s="62"/>
      <c r="V40" s="62"/>
      <c r="W40" s="62"/>
    </row>
    <row r="41" spans="1:23">
      <c r="A41" s="63"/>
      <c r="B41" s="142"/>
      <c r="C41" s="142"/>
      <c r="D41" s="67"/>
      <c r="E41" s="67"/>
      <c r="F41" s="67"/>
      <c r="G41" s="67"/>
      <c r="H41" s="67"/>
      <c r="I41" s="67"/>
      <c r="J41" s="67"/>
      <c r="K41" s="67"/>
      <c r="L41" s="68"/>
      <c r="M41" s="68"/>
      <c r="N41" s="68"/>
      <c r="O41" s="68"/>
      <c r="P41" s="67"/>
      <c r="Q41" s="67"/>
      <c r="R41" s="67"/>
      <c r="S41" s="62"/>
      <c r="T41" s="62"/>
      <c r="U41" s="62"/>
      <c r="V41" s="62"/>
      <c r="W41" s="62"/>
    </row>
    <row r="42" spans="1:23">
      <c r="A42" s="63"/>
      <c r="B42" s="142"/>
      <c r="C42" s="142"/>
      <c r="D42" s="67"/>
      <c r="E42" s="67"/>
      <c r="F42" s="67"/>
      <c r="G42" s="67"/>
      <c r="H42" s="67"/>
      <c r="I42" s="67"/>
      <c r="J42" s="67"/>
      <c r="K42" s="67"/>
      <c r="L42" s="68"/>
      <c r="M42" s="68"/>
      <c r="N42" s="68"/>
      <c r="O42" s="68"/>
      <c r="P42" s="67"/>
      <c r="Q42" s="67"/>
      <c r="R42" s="67"/>
      <c r="S42" s="62"/>
      <c r="T42" s="62"/>
      <c r="U42" s="62"/>
      <c r="V42" s="62"/>
      <c r="W42" s="62"/>
    </row>
    <row r="43" spans="1:23">
      <c r="A43" s="63"/>
      <c r="B43" s="142"/>
      <c r="C43" s="142"/>
      <c r="D43" s="67"/>
      <c r="E43" s="67"/>
      <c r="F43" s="67"/>
      <c r="G43" s="67"/>
      <c r="H43" s="67"/>
      <c r="I43" s="67"/>
      <c r="J43" s="67"/>
      <c r="K43" s="67"/>
      <c r="L43" s="68"/>
      <c r="M43" s="68"/>
      <c r="N43" s="68"/>
      <c r="O43" s="68"/>
      <c r="P43" s="67"/>
      <c r="Q43" s="67"/>
      <c r="R43" s="67"/>
      <c r="S43" s="62"/>
      <c r="T43" s="62"/>
      <c r="U43" s="62"/>
      <c r="V43" s="62"/>
      <c r="W43" s="62"/>
    </row>
    <row r="44" spans="1:23">
      <c r="A44" s="63"/>
      <c r="B44" s="142"/>
      <c r="C44" s="142"/>
      <c r="D44" s="67"/>
      <c r="E44" s="67"/>
      <c r="F44" s="67"/>
      <c r="G44" s="67"/>
      <c r="H44" s="67"/>
      <c r="I44" s="67"/>
      <c r="J44" s="67"/>
      <c r="K44" s="67"/>
      <c r="L44" s="68"/>
      <c r="M44" s="68"/>
      <c r="N44" s="68"/>
      <c r="O44" s="68"/>
      <c r="P44" s="67"/>
      <c r="Q44" s="67"/>
      <c r="R44" s="67"/>
      <c r="S44" s="62"/>
      <c r="T44" s="62"/>
      <c r="U44" s="62"/>
      <c r="V44" s="62"/>
      <c r="W44" s="62"/>
    </row>
    <row r="45" spans="1:23">
      <c r="A45" s="63"/>
      <c r="B45" s="142"/>
      <c r="C45" s="142"/>
      <c r="D45" s="67"/>
      <c r="E45" s="67"/>
      <c r="F45" s="67"/>
      <c r="G45" s="67"/>
      <c r="H45" s="67"/>
      <c r="I45" s="67"/>
      <c r="J45" s="67"/>
      <c r="K45" s="67"/>
      <c r="L45" s="68"/>
      <c r="M45" s="68"/>
      <c r="N45" s="68"/>
      <c r="O45" s="68"/>
      <c r="P45" s="67"/>
      <c r="Q45" s="67"/>
      <c r="R45" s="67"/>
      <c r="S45" s="62"/>
      <c r="T45" s="62"/>
      <c r="U45" s="62"/>
      <c r="V45" s="62"/>
      <c r="W45" s="62"/>
    </row>
    <row r="46" spans="1:23">
      <c r="A46" s="63"/>
      <c r="B46" s="142"/>
      <c r="C46" s="142"/>
      <c r="D46" s="67"/>
      <c r="E46" s="67"/>
      <c r="F46" s="67"/>
      <c r="G46" s="67"/>
      <c r="H46" s="67"/>
      <c r="I46" s="67"/>
      <c r="J46" s="67"/>
      <c r="K46" s="67"/>
      <c r="L46" s="68"/>
      <c r="M46" s="68"/>
      <c r="N46" s="68"/>
      <c r="O46" s="68"/>
      <c r="P46" s="67"/>
      <c r="Q46" s="67"/>
      <c r="R46" s="67"/>
      <c r="S46" s="62"/>
      <c r="T46" s="62"/>
      <c r="U46" s="62"/>
      <c r="V46" s="62"/>
      <c r="W46" s="62"/>
    </row>
    <row r="47" spans="1:23">
      <c r="A47" s="63"/>
      <c r="B47" s="142"/>
      <c r="C47" s="142"/>
      <c r="D47" s="67"/>
      <c r="E47" s="67"/>
      <c r="F47" s="67"/>
      <c r="G47" s="67"/>
      <c r="H47" s="67"/>
      <c r="I47" s="67"/>
      <c r="J47" s="67"/>
      <c r="K47" s="67"/>
      <c r="L47" s="68"/>
      <c r="M47" s="68"/>
      <c r="N47" s="68"/>
      <c r="O47" s="68"/>
      <c r="P47" s="67"/>
      <c r="Q47" s="67"/>
      <c r="R47" s="67"/>
      <c r="S47" s="62"/>
      <c r="T47" s="62"/>
      <c r="U47" s="62"/>
      <c r="V47" s="62"/>
      <c r="W47" s="62"/>
    </row>
    <row r="48" spans="1:23">
      <c r="A48" s="63"/>
      <c r="B48" s="142"/>
      <c r="C48" s="142"/>
      <c r="D48" s="67"/>
      <c r="E48" s="67"/>
      <c r="F48" s="67"/>
      <c r="G48" s="67"/>
      <c r="H48" s="67"/>
      <c r="I48" s="67"/>
      <c r="J48" s="67"/>
      <c r="K48" s="67"/>
      <c r="L48" s="68"/>
      <c r="M48" s="68"/>
      <c r="N48" s="68"/>
      <c r="O48" s="68"/>
      <c r="P48" s="67"/>
      <c r="Q48" s="67"/>
      <c r="R48" s="67"/>
      <c r="S48" s="62"/>
      <c r="T48" s="62"/>
      <c r="U48" s="62"/>
      <c r="V48" s="62"/>
      <c r="W48" s="62"/>
    </row>
    <row r="49" spans="1:23">
      <c r="A49" s="63"/>
      <c r="B49" s="142"/>
      <c r="C49" s="142"/>
      <c r="D49" s="67"/>
      <c r="E49" s="67"/>
      <c r="F49" s="67"/>
      <c r="G49" s="67"/>
      <c r="H49" s="67"/>
      <c r="I49" s="67"/>
      <c r="J49" s="67"/>
      <c r="K49" s="67"/>
      <c r="L49" s="68"/>
      <c r="M49" s="68"/>
      <c r="N49" s="68"/>
      <c r="O49" s="68"/>
      <c r="P49" s="67"/>
      <c r="Q49" s="67"/>
      <c r="R49" s="67"/>
      <c r="S49" s="62"/>
      <c r="T49" s="62"/>
      <c r="U49" s="62"/>
      <c r="V49" s="62"/>
      <c r="W49" s="62"/>
    </row>
    <row r="50" spans="1:23">
      <c r="A50" s="63"/>
      <c r="B50" s="142"/>
      <c r="C50" s="142"/>
      <c r="D50" s="67"/>
      <c r="E50" s="67"/>
      <c r="F50" s="67"/>
      <c r="G50" s="67"/>
      <c r="H50" s="67"/>
      <c r="I50" s="67"/>
      <c r="J50" s="67"/>
      <c r="K50" s="67"/>
      <c r="L50" s="68"/>
      <c r="M50" s="68"/>
      <c r="N50" s="68"/>
      <c r="O50" s="68"/>
      <c r="P50" s="67"/>
      <c r="Q50" s="67"/>
      <c r="R50" s="67"/>
      <c r="S50" s="62"/>
      <c r="T50" s="62"/>
      <c r="U50" s="62"/>
      <c r="V50" s="62"/>
      <c r="W50" s="62"/>
    </row>
    <row r="51" spans="1:23">
      <c r="A51" s="63"/>
      <c r="B51" s="142"/>
      <c r="C51" s="142"/>
      <c r="D51" s="67"/>
      <c r="E51" s="67"/>
      <c r="F51" s="67"/>
      <c r="G51" s="67"/>
      <c r="H51" s="67"/>
      <c r="I51" s="67"/>
      <c r="J51" s="67"/>
      <c r="K51" s="67"/>
      <c r="L51" s="68"/>
      <c r="M51" s="68"/>
      <c r="N51" s="68"/>
      <c r="O51" s="68"/>
      <c r="P51" s="67"/>
      <c r="Q51" s="67"/>
      <c r="R51" s="67"/>
      <c r="S51" s="62"/>
      <c r="T51" s="62"/>
      <c r="U51" s="62"/>
      <c r="V51" s="62"/>
      <c r="W51" s="62"/>
    </row>
    <row r="52" spans="1:23">
      <c r="A52" s="63"/>
      <c r="B52" s="142"/>
      <c r="C52" s="142"/>
      <c r="D52" s="67"/>
      <c r="E52" s="67"/>
      <c r="F52" s="67"/>
      <c r="G52" s="67"/>
      <c r="H52" s="67"/>
      <c r="I52" s="67"/>
      <c r="J52" s="67"/>
      <c r="K52" s="67"/>
      <c r="L52" s="68"/>
      <c r="M52" s="68"/>
      <c r="N52" s="68"/>
      <c r="O52" s="68"/>
      <c r="P52" s="67"/>
      <c r="Q52" s="67"/>
      <c r="R52" s="67"/>
      <c r="S52" s="62"/>
      <c r="T52" s="62"/>
      <c r="U52" s="62"/>
      <c r="V52" s="62"/>
      <c r="W52" s="62"/>
    </row>
    <row r="53" spans="1:23">
      <c r="A53" s="63"/>
      <c r="B53" s="142"/>
      <c r="C53" s="142"/>
      <c r="D53" s="67"/>
      <c r="E53" s="67"/>
      <c r="F53" s="67"/>
      <c r="G53" s="67"/>
      <c r="H53" s="67"/>
      <c r="I53" s="67"/>
      <c r="J53" s="67"/>
      <c r="K53" s="67"/>
      <c r="L53" s="68"/>
      <c r="M53" s="68"/>
      <c r="N53" s="68"/>
      <c r="O53" s="68"/>
      <c r="P53" s="67"/>
      <c r="Q53" s="67"/>
      <c r="R53" s="67"/>
      <c r="S53" s="62"/>
      <c r="T53" s="62"/>
      <c r="U53" s="62"/>
      <c r="V53" s="62"/>
      <c r="W53" s="62"/>
    </row>
    <row r="54" spans="1:23">
      <c r="A54" s="63"/>
      <c r="B54" s="142"/>
      <c r="C54" s="142"/>
      <c r="D54" s="67"/>
      <c r="E54" s="67"/>
      <c r="F54" s="67"/>
      <c r="G54" s="67"/>
      <c r="H54" s="67"/>
      <c r="I54" s="67"/>
      <c r="J54" s="67"/>
      <c r="K54" s="67"/>
      <c r="L54" s="68"/>
      <c r="M54" s="68"/>
      <c r="N54" s="68"/>
      <c r="O54" s="68"/>
      <c r="P54" s="67"/>
      <c r="Q54" s="67"/>
      <c r="R54" s="67"/>
      <c r="S54" s="62"/>
      <c r="T54" s="62"/>
      <c r="U54" s="62"/>
      <c r="V54" s="62"/>
      <c r="W54" s="62"/>
    </row>
    <row r="55" spans="1:23">
      <c r="A55" s="62"/>
      <c r="B55" s="142"/>
      <c r="C55" s="142"/>
      <c r="D55" s="67"/>
      <c r="E55" s="67"/>
      <c r="F55" s="67"/>
      <c r="G55" s="67"/>
      <c r="H55" s="67"/>
      <c r="I55" s="67"/>
      <c r="J55" s="67"/>
      <c r="K55" s="67"/>
      <c r="L55" s="68"/>
      <c r="M55" s="68"/>
      <c r="N55" s="68"/>
      <c r="O55" s="68"/>
      <c r="P55" s="67"/>
      <c r="Q55" s="67"/>
      <c r="R55" s="67"/>
      <c r="S55" s="62"/>
      <c r="T55" s="62"/>
      <c r="U55" s="62"/>
      <c r="V55" s="62"/>
      <c r="W55" s="62"/>
    </row>
    <row r="56" spans="1:23">
      <c r="A56" s="62"/>
      <c r="B56" s="62"/>
      <c r="C56" s="62"/>
      <c r="D56" s="62"/>
      <c r="E56" s="62"/>
      <c r="F56" s="62"/>
      <c r="G56" s="62"/>
      <c r="H56" s="62"/>
      <c r="I56" s="62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</row>
    <row r="57" spans="1:23">
      <c r="A57" s="62"/>
      <c r="B57" s="62"/>
      <c r="C57" s="62"/>
      <c r="D57" s="62"/>
      <c r="E57" s="62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</row>
    <row r="58" spans="1:23">
      <c r="A58" s="62"/>
      <c r="B58" s="62"/>
      <c r="C58" s="62"/>
      <c r="D58" s="62"/>
      <c r="E58" s="62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</row>
    <row r="59" spans="1:23">
      <c r="A59" s="62"/>
      <c r="B59" s="62"/>
      <c r="C59" s="62"/>
      <c r="D59" s="62"/>
      <c r="E59" s="62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</row>
    <row r="60" spans="1:23">
      <c r="A60" s="62"/>
      <c r="B60" s="62"/>
      <c r="C60" s="62"/>
      <c r="D60" s="62"/>
      <c r="E60" s="62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</row>
    <row r="82" spans="12:12">
      <c r="L82" s="16">
        <f>SUM(L7:L81)</f>
        <v>82358.53</v>
      </c>
    </row>
  </sheetData>
  <pageMargins left="0.7" right="0.7" top="0.75" bottom="0.75" header="0.3" footer="0.3"/>
  <pageSetup paperSize="9" orientation="landscape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>
  <dimension ref="A5:W77"/>
  <sheetViews>
    <sheetView topLeftCell="A43" workbookViewId="0">
      <selection activeCell="A54" sqref="A54"/>
    </sheetView>
  </sheetViews>
  <sheetFormatPr defaultRowHeight="14.4"/>
  <cols>
    <col min="1" max="1" width="7.88671875" style="1" customWidth="1"/>
    <col min="2" max="2" width="22" style="1" customWidth="1"/>
    <col min="3" max="3" width="7.77734375" style="1" customWidth="1"/>
    <col min="4" max="4" width="4.77734375" style="1" customWidth="1"/>
    <col min="5" max="5" width="9.88671875" style="1" customWidth="1"/>
    <col min="6" max="6" width="7.6640625" style="1" customWidth="1"/>
    <col min="7" max="7" width="6.6640625" style="1" customWidth="1"/>
    <col min="8" max="8" width="7.44140625" style="1" customWidth="1"/>
    <col min="9" max="9" width="5.88671875" style="1" customWidth="1"/>
    <col min="10" max="10" width="6" style="1" customWidth="1"/>
    <col min="11" max="11" width="8.44140625" style="1" customWidth="1"/>
    <col min="12" max="12" width="8.21875" style="1" customWidth="1"/>
    <col min="13" max="13" width="7.33203125" style="1" customWidth="1"/>
    <col min="14" max="18" width="8.88671875" style="1"/>
    <col min="19" max="19" width="9" style="1" customWidth="1"/>
    <col min="20" max="16384" width="8.88671875" style="1"/>
  </cols>
  <sheetData>
    <row r="5" spans="1:23" ht="23.4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3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676</v>
      </c>
      <c r="M5" s="95" t="s">
        <v>677</v>
      </c>
      <c r="N5" s="3" t="s">
        <v>11</v>
      </c>
      <c r="O5" s="3" t="s">
        <v>36</v>
      </c>
      <c r="P5" s="3" t="s">
        <v>12</v>
      </c>
      <c r="Q5" s="3" t="s">
        <v>256</v>
      </c>
      <c r="R5" s="3" t="s">
        <v>257</v>
      </c>
      <c r="S5" s="3" t="s">
        <v>2</v>
      </c>
      <c r="T5" s="14" t="s">
        <v>80</v>
      </c>
      <c r="U5" s="14" t="s">
        <v>125</v>
      </c>
    </row>
    <row r="6" spans="1:23">
      <c r="A6" s="63"/>
      <c r="B6" s="301"/>
      <c r="C6" s="301"/>
      <c r="D6" s="301"/>
      <c r="E6" s="301"/>
      <c r="F6" s="301"/>
      <c r="G6" s="301"/>
      <c r="H6" s="301"/>
      <c r="I6" s="301"/>
      <c r="J6" s="301"/>
      <c r="K6" s="301"/>
      <c r="L6" s="61"/>
      <c r="M6" s="61"/>
      <c r="N6" s="301"/>
      <c r="O6" s="62"/>
      <c r="P6" s="62"/>
      <c r="Q6" s="62"/>
      <c r="R6" s="62"/>
      <c r="S6" s="62"/>
      <c r="U6" s="17"/>
    </row>
    <row r="7" spans="1:23">
      <c r="A7" s="63"/>
      <c r="B7" s="67"/>
      <c r="C7" s="67"/>
      <c r="D7" s="67"/>
      <c r="E7" s="67"/>
      <c r="F7" s="67"/>
      <c r="G7" s="67"/>
      <c r="H7" s="67"/>
      <c r="I7" s="67"/>
      <c r="J7" s="67"/>
      <c r="K7" s="68"/>
      <c r="L7" s="68"/>
      <c r="M7" s="68"/>
      <c r="N7" s="68"/>
      <c r="O7" s="68"/>
      <c r="P7" s="67"/>
      <c r="Q7" s="62"/>
      <c r="R7" s="62"/>
      <c r="S7" s="62"/>
      <c r="T7" s="62"/>
      <c r="U7" s="62"/>
      <c r="V7" s="62"/>
      <c r="W7" s="62"/>
    </row>
    <row r="8" spans="1:23">
      <c r="A8" s="63"/>
      <c r="B8" s="67"/>
      <c r="C8" s="67"/>
      <c r="D8" s="67"/>
      <c r="E8" s="67"/>
      <c r="F8" s="67"/>
      <c r="G8" s="67"/>
      <c r="H8" s="67"/>
      <c r="I8" s="67"/>
      <c r="J8" s="67"/>
      <c r="K8" s="67"/>
      <c r="L8" s="68"/>
      <c r="M8" s="68"/>
      <c r="N8" s="68"/>
      <c r="O8" s="68"/>
      <c r="P8" s="67"/>
      <c r="Q8" s="62"/>
      <c r="R8" s="62"/>
      <c r="S8" s="62"/>
      <c r="T8" s="62"/>
      <c r="U8" s="62"/>
      <c r="V8" s="62"/>
      <c r="W8" s="62"/>
    </row>
    <row r="9" spans="1:23">
      <c r="A9" s="63"/>
      <c r="B9" s="67"/>
      <c r="C9" s="67"/>
      <c r="D9" s="67"/>
      <c r="E9" s="67"/>
      <c r="F9" s="67"/>
      <c r="G9" s="67"/>
      <c r="H9" s="67"/>
      <c r="I9" s="67"/>
      <c r="J9" s="67"/>
      <c r="K9" s="68"/>
      <c r="L9" s="68"/>
      <c r="M9" s="68"/>
      <c r="N9" s="68"/>
      <c r="O9" s="68"/>
      <c r="P9" s="67"/>
      <c r="Q9" s="62"/>
      <c r="R9" s="62"/>
      <c r="S9" s="62"/>
      <c r="T9" s="62"/>
      <c r="U9" s="62"/>
      <c r="V9" s="62"/>
      <c r="W9" s="62"/>
    </row>
    <row r="10" spans="1:23">
      <c r="A10" s="63"/>
      <c r="B10" s="67"/>
      <c r="C10" s="67"/>
      <c r="D10" s="67"/>
      <c r="E10" s="67"/>
      <c r="F10" s="67"/>
      <c r="G10" s="67"/>
      <c r="H10" s="67"/>
      <c r="I10" s="67"/>
      <c r="J10" s="67"/>
      <c r="K10" s="68"/>
      <c r="L10" s="68"/>
      <c r="M10" s="68"/>
      <c r="N10" s="68"/>
      <c r="O10" s="68"/>
      <c r="P10" s="67"/>
      <c r="Q10" s="62"/>
      <c r="R10" s="62"/>
      <c r="S10" s="62"/>
      <c r="T10" s="62"/>
      <c r="U10" s="62"/>
      <c r="V10" s="62"/>
      <c r="W10" s="62"/>
    </row>
    <row r="11" spans="1:23">
      <c r="A11" s="63"/>
      <c r="B11" s="67"/>
      <c r="C11" s="67"/>
      <c r="D11" s="67"/>
      <c r="E11" s="67"/>
      <c r="F11" s="67"/>
      <c r="G11" s="67"/>
      <c r="H11" s="67"/>
      <c r="I11" s="67"/>
      <c r="J11" s="67"/>
      <c r="K11" s="68"/>
      <c r="L11" s="68"/>
      <c r="M11" s="68"/>
      <c r="N11" s="68"/>
      <c r="O11" s="68"/>
      <c r="P11" s="67"/>
      <c r="Q11" s="62"/>
      <c r="R11" s="62"/>
      <c r="S11" s="62"/>
      <c r="T11" s="62"/>
      <c r="U11" s="62"/>
      <c r="V11" s="62"/>
      <c r="W11" s="62"/>
    </row>
    <row r="12" spans="1:23">
      <c r="A12" s="63"/>
      <c r="B12" s="67"/>
      <c r="C12" s="67"/>
      <c r="D12" s="67"/>
      <c r="E12" s="67"/>
      <c r="F12" s="67"/>
      <c r="G12" s="67"/>
      <c r="H12" s="67"/>
      <c r="I12" s="67"/>
      <c r="J12" s="67"/>
      <c r="K12" s="68"/>
      <c r="L12" s="68"/>
      <c r="M12" s="68"/>
      <c r="N12" s="68"/>
      <c r="O12" s="68"/>
      <c r="P12" s="67"/>
      <c r="Q12" s="67"/>
      <c r="R12" s="67"/>
      <c r="S12" s="62"/>
      <c r="T12" s="62"/>
      <c r="U12" s="62"/>
      <c r="V12" s="62"/>
      <c r="W12" s="62"/>
    </row>
    <row r="13" spans="1:23">
      <c r="A13" s="63"/>
      <c r="B13" s="67"/>
      <c r="C13" s="67"/>
      <c r="D13" s="67"/>
      <c r="E13" s="67"/>
      <c r="F13" s="67"/>
      <c r="G13" s="67"/>
      <c r="H13" s="67"/>
      <c r="I13" s="67"/>
      <c r="J13" s="67"/>
      <c r="K13" s="68"/>
      <c r="L13" s="68"/>
      <c r="M13" s="68"/>
      <c r="N13" s="68"/>
      <c r="O13" s="68"/>
      <c r="P13" s="67"/>
      <c r="Q13" s="67"/>
      <c r="R13" s="67"/>
      <c r="S13" s="62"/>
      <c r="T13" s="62"/>
      <c r="U13" s="62"/>
      <c r="V13" s="62"/>
      <c r="W13" s="62"/>
    </row>
    <row r="14" spans="1:23">
      <c r="A14" s="63"/>
      <c r="B14" s="67"/>
      <c r="C14" s="67"/>
      <c r="D14" s="67"/>
      <c r="E14" s="67"/>
      <c r="F14" s="67"/>
      <c r="G14" s="67"/>
      <c r="H14" s="67"/>
      <c r="I14" s="67"/>
      <c r="J14" s="67"/>
      <c r="K14" s="68"/>
      <c r="L14" s="68"/>
      <c r="M14" s="68"/>
      <c r="N14" s="68"/>
      <c r="O14" s="68"/>
      <c r="P14" s="67"/>
      <c r="Q14" s="67"/>
      <c r="R14" s="67"/>
      <c r="S14" s="62"/>
      <c r="T14" s="62"/>
      <c r="U14" s="62"/>
      <c r="V14" s="62"/>
      <c r="W14" s="62"/>
    </row>
    <row r="15" spans="1:23">
      <c r="A15" s="63"/>
      <c r="B15" s="67"/>
      <c r="C15" s="67"/>
      <c r="D15" s="67"/>
      <c r="E15" s="67"/>
      <c r="F15" s="67"/>
      <c r="G15" s="67"/>
      <c r="H15" s="67"/>
      <c r="I15" s="67"/>
      <c r="J15" s="67"/>
      <c r="K15" s="67"/>
      <c r="L15" s="68"/>
      <c r="M15" s="68"/>
      <c r="N15" s="68"/>
      <c r="O15" s="68"/>
      <c r="P15" s="67"/>
      <c r="Q15" s="67"/>
      <c r="R15" s="67"/>
      <c r="S15" s="62"/>
      <c r="T15" s="62"/>
      <c r="U15" s="62"/>
      <c r="V15" s="62"/>
      <c r="W15" s="62"/>
    </row>
    <row r="16" spans="1:23">
      <c r="A16" s="63"/>
      <c r="B16" s="67"/>
      <c r="C16" s="67"/>
      <c r="D16" s="67"/>
      <c r="E16" s="67"/>
      <c r="F16" s="67"/>
      <c r="G16" s="67"/>
      <c r="H16" s="67"/>
      <c r="I16" s="67"/>
      <c r="J16" s="67"/>
      <c r="K16" s="67"/>
      <c r="L16" s="68"/>
      <c r="M16" s="68"/>
      <c r="N16" s="68"/>
      <c r="O16" s="68"/>
      <c r="P16" s="67"/>
      <c r="Q16" s="67"/>
      <c r="R16" s="67"/>
      <c r="S16" s="62"/>
      <c r="T16" s="62"/>
      <c r="U16" s="62"/>
      <c r="V16" s="62"/>
      <c r="W16" s="62"/>
    </row>
    <row r="17" spans="1:23">
      <c r="A17" s="63" t="s">
        <v>3178</v>
      </c>
      <c r="B17" s="42" t="s">
        <v>2999</v>
      </c>
      <c r="C17" s="42" t="s">
        <v>88</v>
      </c>
      <c r="D17" s="42" t="s">
        <v>16</v>
      </c>
      <c r="E17" s="42" t="s">
        <v>3175</v>
      </c>
      <c r="F17" s="42">
        <v>4</v>
      </c>
      <c r="G17" s="42"/>
      <c r="H17" s="42">
        <v>20530</v>
      </c>
      <c r="I17" s="42">
        <v>411</v>
      </c>
      <c r="J17" s="42">
        <v>0.13</v>
      </c>
      <c r="K17" s="43">
        <f>I17*J17</f>
        <v>53.43</v>
      </c>
      <c r="L17" s="43">
        <f>H17-K17</f>
        <v>20476.57</v>
      </c>
      <c r="M17" s="43"/>
      <c r="N17" s="43">
        <f>L17-M17</f>
        <v>20476.57</v>
      </c>
      <c r="O17" s="43">
        <f>H17/1000*70</f>
        <v>1437.1000000000001</v>
      </c>
      <c r="P17" s="42">
        <v>11200</v>
      </c>
      <c r="Q17" s="42">
        <v>16.8</v>
      </c>
      <c r="R17" s="42">
        <f>L17*Q17</f>
        <v>344006.37599999999</v>
      </c>
      <c r="S17" s="62"/>
      <c r="T17" s="62"/>
      <c r="U17" s="62"/>
      <c r="V17" s="62"/>
      <c r="W17" s="62"/>
    </row>
    <row r="18" spans="1:23">
      <c r="A18" s="63"/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8"/>
      <c r="M18" s="68"/>
      <c r="N18" s="68"/>
      <c r="O18" s="68"/>
      <c r="P18" s="67"/>
      <c r="Q18" s="67"/>
      <c r="R18" s="67"/>
      <c r="S18" s="62"/>
      <c r="T18" s="62"/>
      <c r="U18" s="62"/>
      <c r="V18" s="62"/>
      <c r="W18" s="62"/>
    </row>
    <row r="19" spans="1:23">
      <c r="A19" s="63"/>
      <c r="B19" s="67"/>
      <c r="C19" s="67"/>
      <c r="D19" s="67"/>
      <c r="E19" s="67"/>
      <c r="F19" s="67"/>
      <c r="G19" s="67"/>
      <c r="H19" s="67"/>
      <c r="I19" s="67"/>
      <c r="J19" s="67"/>
      <c r="K19" s="67"/>
      <c r="L19" s="68"/>
      <c r="M19" s="68"/>
      <c r="N19" s="68"/>
      <c r="O19" s="68"/>
      <c r="P19" s="67"/>
      <c r="Q19" s="67"/>
      <c r="R19" s="67"/>
      <c r="S19" s="62"/>
      <c r="T19" s="62"/>
      <c r="U19" s="62"/>
      <c r="V19" s="62"/>
      <c r="W19" s="62"/>
    </row>
    <row r="20" spans="1:23">
      <c r="A20" s="374" t="s">
        <v>3252</v>
      </c>
      <c r="B20" s="42" t="s">
        <v>3254</v>
      </c>
      <c r="C20" s="42" t="s">
        <v>88</v>
      </c>
      <c r="D20" s="42" t="s">
        <v>16</v>
      </c>
      <c r="E20" s="42" t="s">
        <v>3253</v>
      </c>
      <c r="F20" s="42">
        <v>1554</v>
      </c>
      <c r="G20" s="42"/>
      <c r="H20" s="42">
        <v>14235</v>
      </c>
      <c r="I20" s="42">
        <v>255</v>
      </c>
      <c r="J20" s="42">
        <v>0.5</v>
      </c>
      <c r="K20" s="43">
        <f t="shared" ref="K20:K22" si="0">I20*J20</f>
        <v>127.5</v>
      </c>
      <c r="L20" s="43">
        <f t="shared" ref="L20:L22" si="1">H20-K20</f>
        <v>14107.5</v>
      </c>
      <c r="M20" s="43"/>
      <c r="N20" s="43">
        <f t="shared" ref="N20:N22" si="2">L20-M20</f>
        <v>14107.5</v>
      </c>
      <c r="O20" s="43">
        <f t="shared" ref="O20:O21" si="3">H20/1000*70</f>
        <v>996.44999999999993</v>
      </c>
      <c r="P20" s="42">
        <v>12500</v>
      </c>
      <c r="Q20" s="42">
        <v>16.75</v>
      </c>
      <c r="R20" s="42">
        <f t="shared" ref="R20:R22" si="4">L20*Q20</f>
        <v>236300.625</v>
      </c>
      <c r="S20" s="62"/>
      <c r="T20" s="62"/>
      <c r="U20" s="62"/>
      <c r="V20" s="62"/>
      <c r="W20" s="62"/>
    </row>
    <row r="21" spans="1:23">
      <c r="A21" s="374"/>
      <c r="B21" s="42" t="s">
        <v>3254</v>
      </c>
      <c r="C21" s="42" t="s">
        <v>88</v>
      </c>
      <c r="D21" s="42" t="s">
        <v>16</v>
      </c>
      <c r="E21" s="42" t="s">
        <v>1268</v>
      </c>
      <c r="F21" s="42">
        <v>422</v>
      </c>
      <c r="G21" s="42"/>
      <c r="H21" s="42">
        <v>15410</v>
      </c>
      <c r="I21" s="42">
        <v>279</v>
      </c>
      <c r="J21" s="42">
        <v>0.5</v>
      </c>
      <c r="K21" s="43">
        <f t="shared" si="0"/>
        <v>139.5</v>
      </c>
      <c r="L21" s="43">
        <f t="shared" si="1"/>
        <v>15270.5</v>
      </c>
      <c r="M21" s="43"/>
      <c r="N21" s="43">
        <f t="shared" si="2"/>
        <v>15270.5</v>
      </c>
      <c r="O21" s="43">
        <f t="shared" si="3"/>
        <v>1078.7</v>
      </c>
      <c r="P21" s="42">
        <v>14300</v>
      </c>
      <c r="Q21" s="42">
        <v>16.75</v>
      </c>
      <c r="R21" s="42">
        <f t="shared" si="4"/>
        <v>255780.875</v>
      </c>
      <c r="S21" s="62"/>
      <c r="T21" s="62"/>
      <c r="U21" s="62"/>
      <c r="V21" s="62"/>
      <c r="W21" s="62"/>
    </row>
    <row r="22" spans="1:23">
      <c r="A22" s="63" t="s">
        <v>3272</v>
      </c>
      <c r="B22" s="42" t="s">
        <v>2999</v>
      </c>
      <c r="C22" s="42" t="s">
        <v>88</v>
      </c>
      <c r="D22" s="42" t="s">
        <v>16</v>
      </c>
      <c r="E22" s="42" t="s">
        <v>3274</v>
      </c>
      <c r="F22" s="42">
        <v>7</v>
      </c>
      <c r="G22" s="42"/>
      <c r="H22" s="42">
        <v>5990</v>
      </c>
      <c r="I22" s="42">
        <v>7</v>
      </c>
      <c r="J22" s="42"/>
      <c r="K22" s="43">
        <f t="shared" si="0"/>
        <v>0</v>
      </c>
      <c r="L22" s="43">
        <f t="shared" si="1"/>
        <v>5990</v>
      </c>
      <c r="M22" s="43"/>
      <c r="N22" s="43">
        <f t="shared" si="2"/>
        <v>5990</v>
      </c>
      <c r="O22" s="43">
        <v>0</v>
      </c>
      <c r="P22" s="42">
        <v>0</v>
      </c>
      <c r="Q22" s="42">
        <v>17</v>
      </c>
      <c r="R22" s="42">
        <f t="shared" si="4"/>
        <v>101830</v>
      </c>
      <c r="S22" s="62"/>
      <c r="T22" s="62"/>
      <c r="U22" s="62"/>
      <c r="V22" s="62"/>
      <c r="W22" s="62"/>
    </row>
    <row r="23" spans="1:23">
      <c r="A23" s="62"/>
      <c r="B23" s="67"/>
      <c r="C23" s="67"/>
      <c r="D23" s="67"/>
      <c r="E23" s="67"/>
      <c r="F23" s="67"/>
      <c r="G23" s="67"/>
      <c r="H23" s="67"/>
      <c r="I23" s="67"/>
      <c r="J23" s="67"/>
      <c r="K23" s="67"/>
      <c r="L23" s="68"/>
      <c r="M23" s="68"/>
      <c r="N23" s="68"/>
      <c r="O23" s="68"/>
      <c r="P23" s="67"/>
      <c r="Q23" s="67"/>
      <c r="R23" s="67"/>
      <c r="S23" s="62"/>
      <c r="T23" s="62"/>
      <c r="U23" s="62"/>
      <c r="V23" s="62"/>
      <c r="W23" s="62"/>
    </row>
    <row r="24" spans="1:23">
      <c r="A24" s="63" t="s">
        <v>3280</v>
      </c>
      <c r="B24" s="42" t="s">
        <v>2999</v>
      </c>
      <c r="C24" s="42" t="s">
        <v>88</v>
      </c>
      <c r="D24" s="42" t="s">
        <v>16</v>
      </c>
      <c r="E24" s="47" t="s">
        <v>3282</v>
      </c>
      <c r="F24" s="47">
        <v>8</v>
      </c>
      <c r="G24" s="47"/>
      <c r="H24" s="47">
        <v>13870</v>
      </c>
      <c r="I24" s="47">
        <v>277</v>
      </c>
      <c r="J24" s="47"/>
      <c r="K24" s="43">
        <f t="shared" ref="K24" si="5">I24*J24</f>
        <v>0</v>
      </c>
      <c r="L24" s="43">
        <f t="shared" ref="L24" si="6">H24-K24</f>
        <v>13870</v>
      </c>
      <c r="M24" s="43"/>
      <c r="N24" s="43">
        <f t="shared" ref="N24" si="7">L24-M24</f>
        <v>13870</v>
      </c>
      <c r="O24" s="43">
        <v>0</v>
      </c>
      <c r="P24" s="42">
        <v>0</v>
      </c>
      <c r="Q24" s="42">
        <v>17</v>
      </c>
      <c r="R24" s="42">
        <f t="shared" ref="R24" si="8">L24*Q24</f>
        <v>235790</v>
      </c>
      <c r="S24" s="62"/>
      <c r="T24" s="62"/>
      <c r="U24" s="62"/>
      <c r="V24" s="62"/>
      <c r="W24" s="62"/>
    </row>
    <row r="25" spans="1:23">
      <c r="A25" s="63"/>
      <c r="B25" s="142"/>
      <c r="C25" s="142"/>
      <c r="D25" s="67"/>
      <c r="E25" s="67"/>
      <c r="F25" s="67"/>
      <c r="G25" s="67"/>
      <c r="H25" s="67"/>
      <c r="I25" s="67"/>
      <c r="J25" s="67"/>
      <c r="K25" s="67"/>
      <c r="L25" s="68"/>
      <c r="M25" s="68"/>
      <c r="N25" s="68"/>
      <c r="O25" s="68"/>
      <c r="P25" s="67"/>
      <c r="Q25" s="67"/>
      <c r="R25" s="67"/>
      <c r="S25" s="62"/>
      <c r="T25" s="62"/>
      <c r="U25" s="62"/>
      <c r="V25" s="62"/>
      <c r="W25" s="62"/>
    </row>
    <row r="26" spans="1:23">
      <c r="A26" s="374" t="s">
        <v>3287</v>
      </c>
      <c r="B26" s="42" t="s">
        <v>2999</v>
      </c>
      <c r="C26" s="42" t="s">
        <v>88</v>
      </c>
      <c r="D26" s="42" t="s">
        <v>16</v>
      </c>
      <c r="E26" s="47" t="s">
        <v>3288</v>
      </c>
      <c r="F26" s="47">
        <v>9</v>
      </c>
      <c r="G26" s="47">
        <v>2300</v>
      </c>
      <c r="H26" s="47">
        <v>21260</v>
      </c>
      <c r="I26" s="47">
        <v>354</v>
      </c>
      <c r="J26" s="47"/>
      <c r="K26" s="43">
        <f t="shared" ref="K26:K27" si="9">I26*J26</f>
        <v>0</v>
      </c>
      <c r="L26" s="43">
        <f t="shared" ref="L26:L27" si="10">H26-K26</f>
        <v>21260</v>
      </c>
      <c r="M26" s="43"/>
      <c r="N26" s="43">
        <f t="shared" ref="N26:N27" si="11">L26-M26</f>
        <v>21260</v>
      </c>
      <c r="O26" s="43">
        <v>0</v>
      </c>
      <c r="P26" s="42">
        <v>0</v>
      </c>
      <c r="Q26" s="42">
        <v>16.899999999999999</v>
      </c>
      <c r="R26" s="42">
        <f t="shared" ref="R26:R27" si="12">L26*Q26</f>
        <v>359293.99999999994</v>
      </c>
      <c r="S26" s="62"/>
      <c r="T26" s="62"/>
      <c r="U26" s="62"/>
      <c r="V26" s="62"/>
      <c r="W26" s="62"/>
    </row>
    <row r="27" spans="1:23">
      <c r="A27" s="374"/>
      <c r="B27" s="42" t="s">
        <v>3289</v>
      </c>
      <c r="C27" s="42" t="s">
        <v>88</v>
      </c>
      <c r="D27" s="42" t="s">
        <v>16</v>
      </c>
      <c r="E27" s="47" t="s">
        <v>1474</v>
      </c>
      <c r="F27" s="47">
        <v>10</v>
      </c>
      <c r="G27" s="47">
        <v>2301</v>
      </c>
      <c r="H27" s="47">
        <v>20350</v>
      </c>
      <c r="I27" s="47">
        <v>407</v>
      </c>
      <c r="J27" s="47"/>
      <c r="K27" s="43">
        <f t="shared" si="9"/>
        <v>0</v>
      </c>
      <c r="L27" s="43">
        <f t="shared" si="10"/>
        <v>20350</v>
      </c>
      <c r="M27" s="43"/>
      <c r="N27" s="43">
        <f t="shared" si="11"/>
        <v>20350</v>
      </c>
      <c r="O27" s="43">
        <v>0</v>
      </c>
      <c r="P27" s="42">
        <v>0</v>
      </c>
      <c r="Q27" s="42">
        <v>16.899999999999999</v>
      </c>
      <c r="R27" s="42">
        <f t="shared" si="12"/>
        <v>343915</v>
      </c>
      <c r="S27" s="62"/>
      <c r="T27" s="62"/>
      <c r="U27" s="62"/>
      <c r="V27" s="62"/>
      <c r="W27" s="62"/>
    </row>
    <row r="28" spans="1:23">
      <c r="A28" s="63"/>
      <c r="B28" s="142"/>
      <c r="C28" s="142"/>
      <c r="D28" s="67"/>
      <c r="E28" s="67"/>
      <c r="F28" s="67"/>
      <c r="G28" s="67"/>
      <c r="H28" s="67"/>
      <c r="I28" s="67"/>
      <c r="J28" s="67"/>
      <c r="K28" s="67"/>
      <c r="L28" s="68"/>
      <c r="M28" s="68"/>
      <c r="N28" s="68"/>
      <c r="O28" s="68"/>
      <c r="P28" s="67"/>
      <c r="Q28" s="67"/>
      <c r="R28" s="67"/>
      <c r="S28" s="62"/>
      <c r="T28" s="62"/>
      <c r="U28" s="62"/>
      <c r="V28" s="62"/>
      <c r="W28" s="62"/>
    </row>
    <row r="29" spans="1:23">
      <c r="A29" s="63" t="s">
        <v>3329</v>
      </c>
      <c r="B29" s="42" t="s">
        <v>2999</v>
      </c>
      <c r="C29" s="42" t="s">
        <v>24</v>
      </c>
      <c r="D29" s="42" t="s">
        <v>16</v>
      </c>
      <c r="E29" s="47" t="s">
        <v>3274</v>
      </c>
      <c r="F29" s="47">
        <v>12</v>
      </c>
      <c r="G29" s="47"/>
      <c r="H29" s="47">
        <v>12000</v>
      </c>
      <c r="I29" s="47">
        <v>240</v>
      </c>
      <c r="J29" s="47"/>
      <c r="K29" s="43">
        <f t="shared" ref="K29" si="13">I29*J29</f>
        <v>0</v>
      </c>
      <c r="L29" s="43">
        <f t="shared" ref="L29" si="14">H29-K29</f>
        <v>12000</v>
      </c>
      <c r="M29" s="43"/>
      <c r="N29" s="43">
        <f t="shared" ref="N29" si="15">L29-M29</f>
        <v>12000</v>
      </c>
      <c r="O29" s="43">
        <v>0</v>
      </c>
      <c r="P29" s="42">
        <v>0</v>
      </c>
      <c r="Q29" s="42">
        <v>34</v>
      </c>
      <c r="R29" s="42">
        <f t="shared" ref="R29" si="16">L29*Q29</f>
        <v>408000</v>
      </c>
      <c r="S29" s="62"/>
      <c r="T29" s="62"/>
      <c r="U29" s="62"/>
      <c r="V29" s="62"/>
      <c r="W29" s="62"/>
    </row>
    <row r="30" spans="1:23">
      <c r="A30" s="63"/>
      <c r="B30" s="142"/>
      <c r="C30" s="142"/>
      <c r="D30" s="67"/>
      <c r="E30" s="67"/>
      <c r="F30" s="67"/>
      <c r="G30" s="67"/>
      <c r="H30" s="67"/>
      <c r="I30" s="67"/>
      <c r="J30" s="67"/>
      <c r="K30" s="67"/>
      <c r="L30" s="68"/>
      <c r="M30" s="68"/>
      <c r="N30" s="68"/>
      <c r="O30" s="68"/>
      <c r="P30" s="67"/>
      <c r="Q30" s="67"/>
      <c r="R30" s="67"/>
      <c r="S30" s="62"/>
      <c r="T30" s="62"/>
      <c r="U30" s="62"/>
      <c r="V30" s="62"/>
      <c r="W30" s="62"/>
    </row>
    <row r="31" spans="1:23">
      <c r="A31" s="63" t="s">
        <v>3377</v>
      </c>
      <c r="B31" s="42" t="s">
        <v>3378</v>
      </c>
      <c r="C31" s="42" t="s">
        <v>88</v>
      </c>
      <c r="D31" s="42" t="s">
        <v>16</v>
      </c>
      <c r="E31" s="47" t="s">
        <v>3379</v>
      </c>
      <c r="F31" s="47">
        <v>1504</v>
      </c>
      <c r="G31" s="47"/>
      <c r="H31" s="47">
        <v>16760</v>
      </c>
      <c r="I31" s="47">
        <v>285</v>
      </c>
      <c r="J31" s="47"/>
      <c r="K31" s="43">
        <f t="shared" ref="K31" si="17">I31*J31</f>
        <v>0</v>
      </c>
      <c r="L31" s="43">
        <f t="shared" ref="L31" si="18">H31-K31</f>
        <v>16760</v>
      </c>
      <c r="M31" s="43"/>
      <c r="N31" s="43">
        <f t="shared" ref="N31" si="19">L31-M31</f>
        <v>16760</v>
      </c>
      <c r="O31" s="43">
        <v>0</v>
      </c>
      <c r="P31" s="42">
        <v>0</v>
      </c>
      <c r="Q31" s="42">
        <v>17</v>
      </c>
      <c r="R31" s="42">
        <f t="shared" ref="R31" si="20">L31*Q31</f>
        <v>284920</v>
      </c>
      <c r="S31" s="62"/>
      <c r="T31" s="62"/>
      <c r="U31" s="62"/>
      <c r="V31" s="62"/>
      <c r="W31" s="62"/>
    </row>
    <row r="32" spans="1:23">
      <c r="A32" s="63"/>
      <c r="B32" s="142"/>
      <c r="C32" s="142"/>
      <c r="D32" s="67"/>
      <c r="E32" s="67"/>
      <c r="F32" s="67"/>
      <c r="G32" s="67"/>
      <c r="H32" s="67"/>
      <c r="I32" s="67"/>
      <c r="J32" s="67"/>
      <c r="K32" s="67"/>
      <c r="L32" s="68"/>
      <c r="M32" s="68"/>
      <c r="N32" s="68"/>
      <c r="O32" s="68"/>
      <c r="P32" s="67"/>
      <c r="Q32" s="67"/>
      <c r="R32" s="67"/>
      <c r="S32" s="62"/>
      <c r="T32" s="62"/>
      <c r="U32" s="62"/>
      <c r="V32" s="62"/>
      <c r="W32" s="62"/>
    </row>
    <row r="33" spans="1:23">
      <c r="A33" s="63" t="s">
        <v>3395</v>
      </c>
      <c r="B33" s="42" t="s">
        <v>3378</v>
      </c>
      <c r="C33" s="42" t="s">
        <v>88</v>
      </c>
      <c r="D33" s="42" t="s">
        <v>16</v>
      </c>
      <c r="E33" s="47" t="s">
        <v>3389</v>
      </c>
      <c r="F33" s="47">
        <v>17</v>
      </c>
      <c r="G33" s="47"/>
      <c r="H33" s="47">
        <v>14410</v>
      </c>
      <c r="I33" s="47">
        <v>244</v>
      </c>
      <c r="J33" s="47">
        <v>0.5</v>
      </c>
      <c r="K33" s="43">
        <f t="shared" ref="K33" si="21">I33*J33</f>
        <v>122</v>
      </c>
      <c r="L33" s="43">
        <f t="shared" ref="L33" si="22">H33-K33</f>
        <v>14288</v>
      </c>
      <c r="M33" s="43"/>
      <c r="N33" s="43">
        <f t="shared" ref="N33" si="23">L33-M33</f>
        <v>14288</v>
      </c>
      <c r="O33" s="43">
        <f t="shared" ref="O33" si="24">H33/1000*70</f>
        <v>1008.7</v>
      </c>
      <c r="P33" s="42">
        <v>0</v>
      </c>
      <c r="Q33" s="42">
        <v>17.5</v>
      </c>
      <c r="R33" s="42">
        <f t="shared" ref="R33" si="25">L33*Q33</f>
        <v>250040</v>
      </c>
      <c r="S33" s="62"/>
      <c r="T33" s="62"/>
      <c r="U33" s="62"/>
      <c r="V33" s="62"/>
      <c r="W33" s="62"/>
    </row>
    <row r="34" spans="1:23">
      <c r="A34" s="63"/>
      <c r="B34" s="142"/>
      <c r="C34" s="142"/>
      <c r="D34" s="67"/>
      <c r="E34" s="67"/>
      <c r="F34" s="67"/>
      <c r="G34" s="67"/>
      <c r="H34" s="67"/>
      <c r="I34" s="67"/>
      <c r="J34" s="67"/>
      <c r="K34" s="67"/>
      <c r="L34" s="68"/>
      <c r="M34" s="68"/>
      <c r="N34" s="68"/>
      <c r="O34" s="68"/>
      <c r="P34" s="67"/>
      <c r="Q34" s="67"/>
      <c r="R34" s="67"/>
      <c r="S34" s="62"/>
      <c r="T34" s="62"/>
      <c r="U34" s="62"/>
      <c r="V34" s="62"/>
      <c r="W34" s="62"/>
    </row>
    <row r="35" spans="1:23">
      <c r="A35" s="63" t="s">
        <v>3400</v>
      </c>
      <c r="B35" s="42" t="s">
        <v>3378</v>
      </c>
      <c r="C35" s="42" t="s">
        <v>118</v>
      </c>
      <c r="D35" s="42" t="s">
        <v>16</v>
      </c>
      <c r="E35" s="47" t="s">
        <v>3274</v>
      </c>
      <c r="F35" s="47">
        <v>20</v>
      </c>
      <c r="G35" s="47"/>
      <c r="H35" s="47">
        <v>4000</v>
      </c>
      <c r="I35" s="47">
        <v>80</v>
      </c>
      <c r="J35" s="47"/>
      <c r="K35" s="43">
        <f t="shared" ref="K35" si="26">I35*J35</f>
        <v>0</v>
      </c>
      <c r="L35" s="43">
        <f t="shared" ref="L35" si="27">H35-K35</f>
        <v>4000</v>
      </c>
      <c r="M35" s="43"/>
      <c r="N35" s="43">
        <f t="shared" ref="N35" si="28">L35-M35</f>
        <v>4000</v>
      </c>
      <c r="O35" s="43">
        <v>0</v>
      </c>
      <c r="P35" s="42">
        <v>0</v>
      </c>
      <c r="Q35" s="42">
        <v>20.8</v>
      </c>
      <c r="R35" s="42">
        <f t="shared" ref="R35" si="29">L35*Q35</f>
        <v>83200</v>
      </c>
      <c r="S35" s="62"/>
      <c r="T35" s="62"/>
      <c r="U35" s="62"/>
      <c r="V35" s="62"/>
      <c r="W35" s="62"/>
    </row>
    <row r="36" spans="1:23">
      <c r="A36" s="63"/>
      <c r="B36" s="142"/>
      <c r="C36" s="142"/>
      <c r="D36" s="67"/>
      <c r="E36" s="67"/>
      <c r="F36" s="67"/>
      <c r="G36" s="67"/>
      <c r="H36" s="67"/>
      <c r="I36" s="67"/>
      <c r="J36" s="67"/>
      <c r="K36" s="67"/>
      <c r="L36" s="68"/>
      <c r="M36" s="68"/>
      <c r="N36" s="68"/>
      <c r="O36" s="68"/>
      <c r="P36" s="67"/>
      <c r="Q36" s="67"/>
      <c r="R36" s="67"/>
      <c r="S36" s="62"/>
      <c r="T36" s="62"/>
      <c r="U36" s="62"/>
      <c r="V36" s="62"/>
      <c r="W36" s="62"/>
    </row>
    <row r="37" spans="1:23">
      <c r="A37" s="374" t="s">
        <v>3420</v>
      </c>
      <c r="B37" s="42" t="s">
        <v>3378</v>
      </c>
      <c r="C37" s="42" t="s">
        <v>88</v>
      </c>
      <c r="D37" s="42" t="s">
        <v>16</v>
      </c>
      <c r="E37" s="47" t="s">
        <v>3421</v>
      </c>
      <c r="F37" s="47">
        <v>1521</v>
      </c>
      <c r="G37" s="47"/>
      <c r="H37" s="47">
        <v>14980</v>
      </c>
      <c r="I37" s="47">
        <v>272</v>
      </c>
      <c r="J37" s="47">
        <v>0.5</v>
      </c>
      <c r="K37" s="43">
        <f t="shared" ref="K37:K41" si="30">I37*J37</f>
        <v>136</v>
      </c>
      <c r="L37" s="43">
        <f t="shared" ref="L37:L41" si="31">H37-K37</f>
        <v>14844</v>
      </c>
      <c r="M37" s="43"/>
      <c r="N37" s="43">
        <f t="shared" ref="N37:N41" si="32">L37-M37</f>
        <v>14844</v>
      </c>
      <c r="O37" s="43">
        <f t="shared" ref="O37:O38" si="33">H37/1000*70</f>
        <v>1048.6000000000001</v>
      </c>
      <c r="P37" s="42">
        <v>18000</v>
      </c>
      <c r="Q37" s="42">
        <v>17.5</v>
      </c>
      <c r="R37" s="42">
        <f t="shared" ref="R37:R41" si="34">L37*Q37</f>
        <v>259770</v>
      </c>
      <c r="S37" s="62"/>
      <c r="T37" s="62"/>
      <c r="U37" s="62"/>
      <c r="V37" s="62"/>
      <c r="W37" s="62"/>
    </row>
    <row r="38" spans="1:23">
      <c r="A38" s="374"/>
      <c r="B38" s="42" t="s">
        <v>3378</v>
      </c>
      <c r="C38" s="42" t="s">
        <v>88</v>
      </c>
      <c r="D38" s="42" t="s">
        <v>16</v>
      </c>
      <c r="E38" s="47" t="s">
        <v>3422</v>
      </c>
      <c r="F38" s="47">
        <v>1519</v>
      </c>
      <c r="G38" s="47"/>
      <c r="H38" s="47">
        <v>15685</v>
      </c>
      <c r="I38" s="47">
        <v>279</v>
      </c>
      <c r="J38" s="47">
        <v>0.5</v>
      </c>
      <c r="K38" s="43">
        <f t="shared" si="30"/>
        <v>139.5</v>
      </c>
      <c r="L38" s="43">
        <f t="shared" si="31"/>
        <v>15545.5</v>
      </c>
      <c r="M38" s="43"/>
      <c r="N38" s="43">
        <f t="shared" si="32"/>
        <v>15545.5</v>
      </c>
      <c r="O38" s="43">
        <f t="shared" si="33"/>
        <v>1097.95</v>
      </c>
      <c r="P38" s="42">
        <v>22500</v>
      </c>
      <c r="Q38" s="42">
        <v>17.5</v>
      </c>
      <c r="R38" s="42">
        <f t="shared" si="34"/>
        <v>272046.25</v>
      </c>
      <c r="S38" s="62"/>
      <c r="T38" s="62"/>
      <c r="U38" s="62"/>
      <c r="V38" s="62"/>
      <c r="W38" s="62"/>
    </row>
    <row r="39" spans="1:23">
      <c r="A39" s="63" t="s">
        <v>3431</v>
      </c>
      <c r="B39" s="42" t="s">
        <v>3378</v>
      </c>
      <c r="C39" s="42" t="s">
        <v>88</v>
      </c>
      <c r="D39" s="42" t="s">
        <v>16</v>
      </c>
      <c r="E39" s="47" t="s">
        <v>1265</v>
      </c>
      <c r="F39" s="47">
        <v>26</v>
      </c>
      <c r="G39" s="47"/>
      <c r="H39" s="47">
        <v>2970</v>
      </c>
      <c r="I39" s="47">
        <v>55</v>
      </c>
      <c r="J39" s="47"/>
      <c r="K39" s="43">
        <f t="shared" si="30"/>
        <v>0</v>
      </c>
      <c r="L39" s="43">
        <f t="shared" si="31"/>
        <v>2970</v>
      </c>
      <c r="M39" s="43"/>
      <c r="N39" s="43">
        <f t="shared" si="32"/>
        <v>2970</v>
      </c>
      <c r="O39" s="43">
        <v>0</v>
      </c>
      <c r="P39" s="42">
        <v>1000</v>
      </c>
      <c r="Q39" s="50">
        <f>54460/2970</f>
        <v>18.336700336700336</v>
      </c>
      <c r="R39" s="42">
        <f t="shared" si="34"/>
        <v>54460</v>
      </c>
      <c r="S39" s="62"/>
      <c r="T39" s="62"/>
      <c r="U39" s="62"/>
      <c r="V39" s="62"/>
      <c r="W39" s="62"/>
    </row>
    <row r="40" spans="1:23">
      <c r="A40" s="63" t="s">
        <v>3574</v>
      </c>
      <c r="B40" s="42" t="s">
        <v>3289</v>
      </c>
      <c r="C40" s="42" t="s">
        <v>88</v>
      </c>
      <c r="D40" s="42" t="s">
        <v>16</v>
      </c>
      <c r="E40" s="47" t="s">
        <v>3575</v>
      </c>
      <c r="F40" s="47">
        <v>404</v>
      </c>
      <c r="G40" s="47"/>
      <c r="H40" s="47">
        <v>9860</v>
      </c>
      <c r="I40" s="47">
        <v>197</v>
      </c>
      <c r="J40" s="47">
        <v>0.5</v>
      </c>
      <c r="K40" s="43">
        <f t="shared" si="30"/>
        <v>98.5</v>
      </c>
      <c r="L40" s="43">
        <f t="shared" si="31"/>
        <v>9761.5</v>
      </c>
      <c r="M40" s="43"/>
      <c r="N40" s="43">
        <f t="shared" si="32"/>
        <v>9761.5</v>
      </c>
      <c r="O40" s="43">
        <f t="shared" ref="O40:O41" si="35">H40/1000*70</f>
        <v>690.19999999999993</v>
      </c>
      <c r="P40" s="42">
        <v>13500</v>
      </c>
      <c r="Q40" s="42">
        <v>20.399999999999999</v>
      </c>
      <c r="R40" s="42">
        <f t="shared" si="34"/>
        <v>199134.59999999998</v>
      </c>
      <c r="S40" s="62"/>
      <c r="T40" s="62"/>
      <c r="U40" s="62"/>
      <c r="V40" s="62"/>
      <c r="W40" s="62"/>
    </row>
    <row r="41" spans="1:23">
      <c r="A41" s="150" t="s">
        <v>3582</v>
      </c>
      <c r="B41" s="42" t="s">
        <v>3289</v>
      </c>
      <c r="C41" s="42" t="s">
        <v>88</v>
      </c>
      <c r="D41" s="42" t="s">
        <v>16</v>
      </c>
      <c r="E41" s="47" t="s">
        <v>3585</v>
      </c>
      <c r="F41" s="47">
        <v>577</v>
      </c>
      <c r="G41" s="47"/>
      <c r="H41" s="47">
        <v>15010</v>
      </c>
      <c r="I41" s="47">
        <v>230</v>
      </c>
      <c r="J41" s="47">
        <v>0.5</v>
      </c>
      <c r="K41" s="43">
        <f t="shared" si="30"/>
        <v>115</v>
      </c>
      <c r="L41" s="43">
        <f t="shared" si="31"/>
        <v>14895</v>
      </c>
      <c r="M41" s="43"/>
      <c r="N41" s="43">
        <f t="shared" si="32"/>
        <v>14895</v>
      </c>
      <c r="O41" s="43">
        <f t="shared" si="35"/>
        <v>1050.7</v>
      </c>
      <c r="P41" s="42">
        <v>20000</v>
      </c>
      <c r="Q41" s="42">
        <v>20.399999999999999</v>
      </c>
      <c r="R41" s="42">
        <f t="shared" si="34"/>
        <v>303858</v>
      </c>
      <c r="S41" s="62"/>
      <c r="T41" s="62"/>
      <c r="U41" s="62"/>
      <c r="V41" s="62"/>
      <c r="W41" s="62"/>
    </row>
    <row r="42" spans="1:23">
      <c r="A42" s="63"/>
      <c r="B42" s="142"/>
      <c r="C42" s="142"/>
      <c r="D42" s="67"/>
      <c r="E42" s="67"/>
      <c r="F42" s="67"/>
      <c r="G42" s="67"/>
      <c r="H42" s="67"/>
      <c r="I42" s="67"/>
      <c r="J42" s="67"/>
      <c r="K42" s="67"/>
      <c r="L42" s="68"/>
      <c r="M42" s="68"/>
      <c r="N42" s="68"/>
      <c r="O42" s="68"/>
      <c r="P42" s="67"/>
      <c r="Q42" s="67"/>
      <c r="R42" s="67"/>
      <c r="S42" s="62"/>
      <c r="T42" s="62"/>
      <c r="U42" s="62"/>
      <c r="V42" s="62"/>
      <c r="W42" s="62"/>
    </row>
    <row r="43" spans="1:23">
      <c r="A43" s="374" t="s">
        <v>3596</v>
      </c>
      <c r="B43" s="42" t="s">
        <v>3289</v>
      </c>
      <c r="C43" s="42" t="s">
        <v>88</v>
      </c>
      <c r="D43" s="42" t="s">
        <v>16</v>
      </c>
      <c r="E43" s="47" t="s">
        <v>3597</v>
      </c>
      <c r="F43" s="47">
        <v>1208</v>
      </c>
      <c r="G43" s="47">
        <v>2598</v>
      </c>
      <c r="H43" s="47">
        <v>15200</v>
      </c>
      <c r="I43" s="47">
        <v>248</v>
      </c>
      <c r="J43" s="47">
        <v>0.5</v>
      </c>
      <c r="K43" s="43">
        <f t="shared" ref="K43:K44" si="36">I43*J43</f>
        <v>124</v>
      </c>
      <c r="L43" s="43">
        <f t="shared" ref="L43:L44" si="37">H43-K43</f>
        <v>15076</v>
      </c>
      <c r="M43" s="43"/>
      <c r="N43" s="43">
        <f t="shared" ref="N43:N44" si="38">L43-M43</f>
        <v>15076</v>
      </c>
      <c r="O43" s="43">
        <f t="shared" ref="O43:O44" si="39">H43/1000*70</f>
        <v>1064</v>
      </c>
      <c r="P43" s="42">
        <v>20000</v>
      </c>
      <c r="Q43" s="42">
        <v>20.399999999999999</v>
      </c>
      <c r="R43" s="42">
        <f t="shared" ref="R43:R44" si="40">L43*Q43</f>
        <v>307550.39999999997</v>
      </c>
      <c r="S43" s="62"/>
      <c r="T43" s="62"/>
      <c r="U43" s="62"/>
      <c r="V43" s="62"/>
      <c r="W43" s="62"/>
    </row>
    <row r="44" spans="1:23">
      <c r="A44" s="374"/>
      <c r="B44" s="42" t="s">
        <v>3289</v>
      </c>
      <c r="C44" s="42" t="s">
        <v>88</v>
      </c>
      <c r="D44" s="42" t="s">
        <v>16</v>
      </c>
      <c r="E44" s="47" t="s">
        <v>3585</v>
      </c>
      <c r="F44" s="47">
        <v>582</v>
      </c>
      <c r="G44" s="47">
        <v>2599</v>
      </c>
      <c r="H44" s="47">
        <v>15035</v>
      </c>
      <c r="I44" s="47">
        <v>228</v>
      </c>
      <c r="J44" s="47">
        <v>0.5</v>
      </c>
      <c r="K44" s="43">
        <f t="shared" si="36"/>
        <v>114</v>
      </c>
      <c r="L44" s="43">
        <f t="shared" si="37"/>
        <v>14921</v>
      </c>
      <c r="M44" s="43"/>
      <c r="N44" s="43">
        <f t="shared" si="38"/>
        <v>14921</v>
      </c>
      <c r="O44" s="43">
        <f t="shared" si="39"/>
        <v>1052.45</v>
      </c>
      <c r="P44" s="42">
        <v>25000</v>
      </c>
      <c r="Q44" s="42">
        <v>20.399999999999999</v>
      </c>
      <c r="R44" s="42">
        <f t="shared" si="40"/>
        <v>304388.39999999997</v>
      </c>
      <c r="S44" s="62"/>
      <c r="T44" s="62"/>
      <c r="U44" s="62"/>
      <c r="V44" s="62"/>
      <c r="W44" s="62"/>
    </row>
    <row r="45" spans="1:23">
      <c r="A45" s="63"/>
      <c r="B45" s="142"/>
      <c r="C45" s="142"/>
      <c r="D45" s="67"/>
      <c r="E45" s="67"/>
      <c r="F45" s="67"/>
      <c r="G45" s="67"/>
      <c r="H45" s="67"/>
      <c r="I45" s="67"/>
      <c r="J45" s="67"/>
      <c r="K45" s="67"/>
      <c r="L45" s="68"/>
      <c r="M45" s="68"/>
      <c r="N45" s="68"/>
      <c r="O45" s="68"/>
      <c r="P45" s="67"/>
      <c r="Q45" s="67"/>
      <c r="R45" s="67"/>
      <c r="S45" s="62"/>
      <c r="T45" s="62"/>
      <c r="U45" s="62"/>
      <c r="V45" s="62"/>
      <c r="W45" s="62"/>
    </row>
    <row r="46" spans="1:23">
      <c r="A46" s="63" t="s">
        <v>3750</v>
      </c>
      <c r="B46" s="42" t="s">
        <v>3289</v>
      </c>
      <c r="C46" s="42" t="s">
        <v>88</v>
      </c>
      <c r="D46" s="42" t="s">
        <v>16</v>
      </c>
      <c r="E46" s="47" t="s">
        <v>3174</v>
      </c>
      <c r="F46" s="47">
        <v>433</v>
      </c>
      <c r="G46" s="47"/>
      <c r="H46" s="47">
        <v>14350</v>
      </c>
      <c r="I46" s="47">
        <v>300</v>
      </c>
      <c r="J46" s="47">
        <v>0.5</v>
      </c>
      <c r="K46" s="43">
        <f t="shared" ref="K46:K53" si="41">I46*J46</f>
        <v>150</v>
      </c>
      <c r="L46" s="43">
        <f t="shared" ref="L46:L53" si="42">H46-K46</f>
        <v>14200</v>
      </c>
      <c r="M46" s="43"/>
      <c r="N46" s="43">
        <f t="shared" ref="N46:N53" si="43">L46-M46</f>
        <v>14200</v>
      </c>
      <c r="O46" s="43">
        <f t="shared" ref="O46:O48" si="44">H46/1000*70</f>
        <v>1004.5</v>
      </c>
      <c r="P46" s="42">
        <v>6000</v>
      </c>
      <c r="Q46" s="42">
        <v>19.5</v>
      </c>
      <c r="R46" s="42">
        <f t="shared" ref="R46:R53" si="45">L46*Q46</f>
        <v>276900</v>
      </c>
      <c r="S46" s="62"/>
      <c r="T46" s="62"/>
      <c r="U46" s="62"/>
      <c r="V46" s="62"/>
      <c r="W46" s="62"/>
    </row>
    <row r="47" spans="1:23">
      <c r="A47" s="374" t="s">
        <v>3751</v>
      </c>
      <c r="B47" s="42" t="s">
        <v>3289</v>
      </c>
      <c r="C47" s="42" t="s">
        <v>88</v>
      </c>
      <c r="D47" s="42" t="s">
        <v>16</v>
      </c>
      <c r="E47" s="47" t="s">
        <v>3755</v>
      </c>
      <c r="F47" s="47">
        <v>434</v>
      </c>
      <c r="G47" s="47"/>
      <c r="H47" s="47">
        <v>16070</v>
      </c>
      <c r="I47" s="47">
        <v>292</v>
      </c>
      <c r="J47" s="47">
        <v>0.5</v>
      </c>
      <c r="K47" s="43">
        <f t="shared" si="41"/>
        <v>146</v>
      </c>
      <c r="L47" s="43">
        <f t="shared" si="42"/>
        <v>15924</v>
      </c>
      <c r="M47" s="43"/>
      <c r="N47" s="43">
        <f t="shared" si="43"/>
        <v>15924</v>
      </c>
      <c r="O47" s="43">
        <f t="shared" si="44"/>
        <v>1124.9000000000001</v>
      </c>
      <c r="P47" s="42">
        <v>18500</v>
      </c>
      <c r="Q47" s="42">
        <v>19.5</v>
      </c>
      <c r="R47" s="42">
        <f t="shared" si="45"/>
        <v>310518</v>
      </c>
      <c r="S47" s="62"/>
      <c r="T47" s="62"/>
      <c r="U47" s="62"/>
      <c r="V47" s="62"/>
      <c r="W47" s="62"/>
    </row>
    <row r="48" spans="1:23">
      <c r="A48" s="374"/>
      <c r="B48" s="42" t="s">
        <v>3289</v>
      </c>
      <c r="C48" s="42" t="s">
        <v>88</v>
      </c>
      <c r="D48" s="42" t="s">
        <v>16</v>
      </c>
      <c r="E48" s="47" t="s">
        <v>3756</v>
      </c>
      <c r="F48" s="47">
        <v>435</v>
      </c>
      <c r="G48" s="47"/>
      <c r="H48" s="47">
        <v>15580</v>
      </c>
      <c r="I48" s="47">
        <v>283</v>
      </c>
      <c r="J48" s="47">
        <v>0.5</v>
      </c>
      <c r="K48" s="43">
        <f t="shared" si="41"/>
        <v>141.5</v>
      </c>
      <c r="L48" s="43">
        <f t="shared" si="42"/>
        <v>15438.5</v>
      </c>
      <c r="M48" s="43"/>
      <c r="N48" s="43">
        <f t="shared" si="43"/>
        <v>15438.5</v>
      </c>
      <c r="O48" s="43">
        <f t="shared" si="44"/>
        <v>1090.5999999999999</v>
      </c>
      <c r="P48" s="42">
        <v>19500</v>
      </c>
      <c r="Q48" s="42">
        <v>19.5</v>
      </c>
      <c r="R48" s="42">
        <f t="shared" si="45"/>
        <v>301050.75</v>
      </c>
      <c r="S48" s="62"/>
      <c r="T48" s="62"/>
      <c r="U48" s="62"/>
      <c r="V48" s="62"/>
      <c r="W48" s="62"/>
    </row>
    <row r="49" spans="1:23">
      <c r="A49" s="63" t="s">
        <v>3757</v>
      </c>
      <c r="B49" s="42" t="s">
        <v>3289</v>
      </c>
      <c r="C49" s="42" t="s">
        <v>88</v>
      </c>
      <c r="D49" s="42" t="s">
        <v>16</v>
      </c>
      <c r="E49" s="47" t="s">
        <v>666</v>
      </c>
      <c r="F49" s="47">
        <v>436</v>
      </c>
      <c r="G49" s="47"/>
      <c r="H49" s="47">
        <v>3990</v>
      </c>
      <c r="I49" s="47">
        <v>80</v>
      </c>
      <c r="J49" s="47"/>
      <c r="K49" s="43">
        <f t="shared" si="41"/>
        <v>0</v>
      </c>
      <c r="L49" s="43">
        <f t="shared" si="42"/>
        <v>3990</v>
      </c>
      <c r="M49" s="43"/>
      <c r="N49" s="43">
        <f t="shared" si="43"/>
        <v>3990</v>
      </c>
      <c r="O49" s="43">
        <v>0</v>
      </c>
      <c r="P49" s="42">
        <v>0</v>
      </c>
      <c r="Q49" s="42">
        <v>19.5</v>
      </c>
      <c r="R49" s="42">
        <f t="shared" si="45"/>
        <v>77805</v>
      </c>
      <c r="S49" s="62"/>
      <c r="T49" s="62"/>
      <c r="U49" s="62"/>
      <c r="V49" s="62"/>
      <c r="W49" s="62"/>
    </row>
    <row r="50" spans="1:23">
      <c r="A50" s="62" t="s">
        <v>3825</v>
      </c>
      <c r="B50" s="42" t="s">
        <v>3289</v>
      </c>
      <c r="C50" s="42" t="s">
        <v>88</v>
      </c>
      <c r="D50" s="42" t="s">
        <v>16</v>
      </c>
      <c r="E50" s="47" t="s">
        <v>3826</v>
      </c>
      <c r="F50" s="47">
        <v>446</v>
      </c>
      <c r="G50" s="47"/>
      <c r="H50" s="47">
        <v>16080</v>
      </c>
      <c r="I50" s="47">
        <v>292</v>
      </c>
      <c r="J50" s="47">
        <v>0.5</v>
      </c>
      <c r="K50" s="43">
        <f t="shared" si="41"/>
        <v>146</v>
      </c>
      <c r="L50" s="43">
        <f t="shared" si="42"/>
        <v>15934</v>
      </c>
      <c r="M50" s="43"/>
      <c r="N50" s="43">
        <f t="shared" si="43"/>
        <v>15934</v>
      </c>
      <c r="O50" s="43">
        <f t="shared" ref="O50:O51" si="46">H50/1000*70</f>
        <v>1125.5999999999999</v>
      </c>
      <c r="P50" s="42">
        <v>19000</v>
      </c>
      <c r="Q50" s="42">
        <v>21.5</v>
      </c>
      <c r="R50" s="42">
        <f t="shared" si="45"/>
        <v>342581</v>
      </c>
      <c r="S50" s="62"/>
      <c r="T50" s="62"/>
      <c r="U50" s="62"/>
      <c r="V50" s="62"/>
      <c r="W50" s="62"/>
    </row>
    <row r="51" spans="1:23">
      <c r="A51" s="21" t="s">
        <v>3849</v>
      </c>
      <c r="B51" s="42" t="s">
        <v>3289</v>
      </c>
      <c r="C51" s="42" t="s">
        <v>444</v>
      </c>
      <c r="D51" s="42" t="s">
        <v>16</v>
      </c>
      <c r="E51" s="47" t="s">
        <v>3274</v>
      </c>
      <c r="F51" s="47">
        <v>450</v>
      </c>
      <c r="G51" s="47"/>
      <c r="H51" s="47">
        <v>5070</v>
      </c>
      <c r="I51" s="47">
        <v>110</v>
      </c>
      <c r="J51" s="47"/>
      <c r="K51" s="43">
        <f t="shared" si="41"/>
        <v>0</v>
      </c>
      <c r="L51" s="43">
        <f t="shared" si="42"/>
        <v>5070</v>
      </c>
      <c r="M51" s="43"/>
      <c r="N51" s="43">
        <f t="shared" si="43"/>
        <v>5070</v>
      </c>
      <c r="O51" s="43">
        <f t="shared" si="46"/>
        <v>354.90000000000003</v>
      </c>
      <c r="P51" s="42">
        <v>0</v>
      </c>
      <c r="Q51" s="42"/>
      <c r="R51" s="42">
        <f t="shared" si="45"/>
        <v>0</v>
      </c>
      <c r="S51" s="85" t="s">
        <v>3850</v>
      </c>
      <c r="T51" s="62"/>
      <c r="U51" s="62"/>
      <c r="V51" s="62"/>
      <c r="W51" s="62"/>
    </row>
    <row r="52" spans="1:23">
      <c r="A52" s="21" t="s">
        <v>3970</v>
      </c>
      <c r="B52" s="342" t="s">
        <v>2999</v>
      </c>
      <c r="C52" s="342" t="s">
        <v>88</v>
      </c>
      <c r="D52" s="42" t="s">
        <v>16</v>
      </c>
      <c r="E52" s="342" t="s">
        <v>666</v>
      </c>
      <c r="F52" s="342">
        <v>458</v>
      </c>
      <c r="G52" s="342"/>
      <c r="H52" s="342">
        <v>10000</v>
      </c>
      <c r="I52" s="342">
        <v>195</v>
      </c>
      <c r="J52" s="342"/>
      <c r="K52" s="43">
        <f t="shared" si="41"/>
        <v>0</v>
      </c>
      <c r="L52" s="43">
        <f t="shared" si="42"/>
        <v>10000</v>
      </c>
      <c r="M52" s="43"/>
      <c r="N52" s="43">
        <f t="shared" si="43"/>
        <v>10000</v>
      </c>
      <c r="O52" s="43">
        <v>0</v>
      </c>
      <c r="P52" s="42">
        <v>0</v>
      </c>
      <c r="Q52" s="42">
        <v>22.5</v>
      </c>
      <c r="R52" s="42">
        <f t="shared" si="45"/>
        <v>225000</v>
      </c>
      <c r="S52" s="62"/>
      <c r="T52" s="62"/>
      <c r="U52" s="62"/>
      <c r="V52" s="62"/>
      <c r="W52" s="62"/>
    </row>
    <row r="53" spans="1:23">
      <c r="A53" s="21" t="s">
        <v>4062</v>
      </c>
      <c r="B53" s="359" t="s">
        <v>3289</v>
      </c>
      <c r="C53" s="359" t="s">
        <v>88</v>
      </c>
      <c r="D53" s="42" t="s">
        <v>16</v>
      </c>
      <c r="E53" s="359" t="s">
        <v>4069</v>
      </c>
      <c r="F53" s="359">
        <v>464</v>
      </c>
      <c r="G53" s="359"/>
      <c r="H53" s="359">
        <v>15340</v>
      </c>
      <c r="I53" s="359">
        <v>307</v>
      </c>
      <c r="J53" s="359">
        <v>0.13</v>
      </c>
      <c r="K53" s="43">
        <f t="shared" si="41"/>
        <v>39.910000000000004</v>
      </c>
      <c r="L53" s="43">
        <f t="shared" si="42"/>
        <v>15300.09</v>
      </c>
      <c r="M53" s="43"/>
      <c r="N53" s="43">
        <f t="shared" si="43"/>
        <v>15300.09</v>
      </c>
      <c r="O53" s="43">
        <f t="shared" ref="O53" si="47">H53/1000*70</f>
        <v>1073.8</v>
      </c>
      <c r="P53" s="42">
        <v>19000</v>
      </c>
      <c r="Q53" s="42"/>
      <c r="R53" s="42">
        <f t="shared" si="45"/>
        <v>0</v>
      </c>
      <c r="S53" s="47"/>
      <c r="T53" s="62"/>
      <c r="U53" s="62"/>
      <c r="V53" s="62"/>
      <c r="W53" s="62"/>
    </row>
    <row r="54" spans="1:23">
      <c r="A54" s="62"/>
      <c r="B54" s="62"/>
      <c r="C54" s="62"/>
      <c r="D54" s="62"/>
      <c r="E54" s="62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</row>
    <row r="55" spans="1:23">
      <c r="A55" s="62"/>
      <c r="B55" s="62"/>
      <c r="C55" s="62"/>
      <c r="D55" s="62"/>
      <c r="E55" s="62"/>
      <c r="F55" s="62"/>
      <c r="G55" s="62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</row>
    <row r="77" spans="12:12">
      <c r="L77" s="16">
        <f>SUM(L7:L76)</f>
        <v>342242.16000000003</v>
      </c>
    </row>
  </sheetData>
  <mergeCells count="5">
    <mergeCell ref="A20:A21"/>
    <mergeCell ref="A26:A27"/>
    <mergeCell ref="A37:A38"/>
    <mergeCell ref="A43:A44"/>
    <mergeCell ref="A47:A48"/>
  </mergeCells>
  <pageMargins left="0.7" right="0.7" top="0.75" bottom="0.75" header="0.3" footer="0.3"/>
  <pageSetup paperSize="9" orientation="landscape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>
  <dimension ref="A5:W76"/>
  <sheetViews>
    <sheetView topLeftCell="A10" workbookViewId="0">
      <selection activeCell="M29" sqref="M29"/>
    </sheetView>
  </sheetViews>
  <sheetFormatPr defaultRowHeight="14.4"/>
  <cols>
    <col min="1" max="1" width="7.88671875" style="1" customWidth="1"/>
    <col min="2" max="2" width="22" style="1" customWidth="1"/>
    <col min="3" max="3" width="7.77734375" style="1" customWidth="1"/>
    <col min="4" max="4" width="4.77734375" style="1" customWidth="1"/>
    <col min="5" max="5" width="9.88671875" style="1" customWidth="1"/>
    <col min="6" max="6" width="7.6640625" style="1" customWidth="1"/>
    <col min="7" max="7" width="6.6640625" style="1" customWidth="1"/>
    <col min="8" max="8" width="7.44140625" style="1" customWidth="1"/>
    <col min="9" max="9" width="5.88671875" style="1" customWidth="1"/>
    <col min="10" max="10" width="6" style="1" customWidth="1"/>
    <col min="11" max="11" width="8.44140625" style="1" customWidth="1"/>
    <col min="12" max="12" width="8.21875" style="1" customWidth="1"/>
    <col min="13" max="13" width="7.33203125" style="1" customWidth="1"/>
    <col min="14" max="18" width="8.88671875" style="1"/>
    <col min="19" max="19" width="9" style="1" customWidth="1"/>
    <col min="20" max="16384" width="8.88671875" style="1"/>
  </cols>
  <sheetData>
    <row r="5" spans="1:23" ht="23.4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3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676</v>
      </c>
      <c r="M5" s="95" t="s">
        <v>677</v>
      </c>
      <c r="N5" s="3" t="s">
        <v>11</v>
      </c>
      <c r="O5" s="3" t="s">
        <v>36</v>
      </c>
      <c r="P5" s="3" t="s">
        <v>12</v>
      </c>
      <c r="Q5" s="3" t="s">
        <v>256</v>
      </c>
      <c r="R5" s="3" t="s">
        <v>257</v>
      </c>
      <c r="S5" s="3" t="s">
        <v>2</v>
      </c>
      <c r="T5" s="14" t="s">
        <v>80</v>
      </c>
      <c r="U5" s="14" t="s">
        <v>125</v>
      </c>
    </row>
    <row r="6" spans="1:23">
      <c r="A6" s="63"/>
      <c r="B6" s="301"/>
      <c r="C6" s="301"/>
      <c r="D6" s="301"/>
      <c r="E6" s="301"/>
      <c r="F6" s="301"/>
      <c r="G6" s="301"/>
      <c r="H6" s="301"/>
      <c r="I6" s="301"/>
      <c r="J6" s="301"/>
      <c r="K6" s="301"/>
      <c r="L6" s="61"/>
      <c r="M6" s="61"/>
      <c r="N6" s="301"/>
      <c r="O6" s="62"/>
      <c r="P6" s="62"/>
      <c r="Q6" s="62"/>
      <c r="R6" s="62"/>
      <c r="S6" s="62"/>
      <c r="U6" s="17"/>
    </row>
    <row r="7" spans="1:23">
      <c r="A7" s="63"/>
      <c r="B7" s="67"/>
      <c r="C7" s="67"/>
      <c r="D7" s="67"/>
      <c r="E7" s="67"/>
      <c r="F7" s="67"/>
      <c r="G7" s="67"/>
      <c r="H7" s="67"/>
      <c r="I7" s="67"/>
      <c r="J7" s="67"/>
      <c r="K7" s="68"/>
      <c r="L7" s="68"/>
      <c r="M7" s="68"/>
      <c r="N7" s="68"/>
      <c r="O7" s="68"/>
      <c r="P7" s="67"/>
      <c r="Q7" s="62"/>
      <c r="R7" s="62"/>
      <c r="S7" s="62"/>
      <c r="T7" s="62"/>
      <c r="U7" s="62"/>
      <c r="V7" s="62"/>
      <c r="W7" s="62"/>
    </row>
    <row r="8" spans="1:23">
      <c r="A8" s="63"/>
      <c r="B8" s="67"/>
      <c r="C8" s="67"/>
      <c r="D8" s="67"/>
      <c r="E8" s="67"/>
      <c r="F8" s="67"/>
      <c r="G8" s="67"/>
      <c r="H8" s="67"/>
      <c r="I8" s="67"/>
      <c r="J8" s="67"/>
      <c r="K8" s="67"/>
      <c r="L8" s="68"/>
      <c r="M8" s="68"/>
      <c r="N8" s="68"/>
      <c r="O8" s="68"/>
      <c r="P8" s="67"/>
      <c r="Q8" s="62"/>
      <c r="R8" s="62"/>
      <c r="S8" s="62"/>
      <c r="T8" s="62"/>
      <c r="U8" s="62"/>
      <c r="V8" s="62"/>
      <c r="W8" s="62"/>
    </row>
    <row r="9" spans="1:23">
      <c r="A9" s="63"/>
      <c r="B9" s="67"/>
      <c r="C9" s="67"/>
      <c r="D9" s="67"/>
      <c r="E9" s="67"/>
      <c r="F9" s="67"/>
      <c r="G9" s="67"/>
      <c r="H9" s="67"/>
      <c r="I9" s="67"/>
      <c r="J9" s="67"/>
      <c r="K9" s="68"/>
      <c r="L9" s="68"/>
      <c r="M9" s="68"/>
      <c r="N9" s="68"/>
      <c r="O9" s="68"/>
      <c r="P9" s="67"/>
      <c r="Q9" s="62"/>
      <c r="R9" s="62"/>
      <c r="S9" s="62"/>
      <c r="T9" s="62"/>
      <c r="U9" s="62"/>
      <c r="V9" s="62"/>
      <c r="W9" s="62"/>
    </row>
    <row r="10" spans="1:23">
      <c r="A10" s="63"/>
      <c r="B10" s="67"/>
      <c r="C10" s="67"/>
      <c r="D10" s="67"/>
      <c r="E10" s="67"/>
      <c r="F10" s="67"/>
      <c r="G10" s="67"/>
      <c r="H10" s="67"/>
      <c r="I10" s="67"/>
      <c r="J10" s="67"/>
      <c r="K10" s="68"/>
      <c r="L10" s="68"/>
      <c r="M10" s="68"/>
      <c r="N10" s="68"/>
      <c r="O10" s="68"/>
      <c r="P10" s="67"/>
      <c r="Q10" s="62"/>
      <c r="R10" s="62"/>
      <c r="S10" s="62"/>
      <c r="T10" s="62"/>
      <c r="U10" s="62"/>
      <c r="V10" s="62"/>
      <c r="W10" s="62"/>
    </row>
    <row r="11" spans="1:23">
      <c r="A11" s="63"/>
      <c r="B11" s="67"/>
      <c r="C11" s="67"/>
      <c r="D11" s="67"/>
      <c r="E11" s="67"/>
      <c r="F11" s="67"/>
      <c r="G11" s="67"/>
      <c r="H11" s="67"/>
      <c r="I11" s="67"/>
      <c r="J11" s="67"/>
      <c r="K11" s="68"/>
      <c r="L11" s="68"/>
      <c r="M11" s="68"/>
      <c r="N11" s="68"/>
      <c r="O11" s="68"/>
      <c r="P11" s="67"/>
      <c r="Q11" s="62"/>
      <c r="R11" s="62"/>
      <c r="S11" s="62"/>
      <c r="T11" s="62"/>
      <c r="U11" s="62"/>
      <c r="V11" s="62"/>
      <c r="W11" s="62"/>
    </row>
    <row r="12" spans="1:23">
      <c r="A12" s="63"/>
      <c r="B12" s="67"/>
      <c r="C12" s="67"/>
      <c r="D12" s="67"/>
      <c r="E12" s="67"/>
      <c r="F12" s="67"/>
      <c r="G12" s="67"/>
      <c r="H12" s="67"/>
      <c r="I12" s="67"/>
      <c r="J12" s="67"/>
      <c r="K12" s="68"/>
      <c r="L12" s="68"/>
      <c r="M12" s="68"/>
      <c r="N12" s="68"/>
      <c r="O12" s="68"/>
      <c r="P12" s="67"/>
      <c r="Q12" s="67"/>
      <c r="R12" s="67"/>
      <c r="S12" s="62"/>
      <c r="T12" s="62"/>
      <c r="U12" s="62"/>
      <c r="V12" s="62"/>
      <c r="W12" s="62"/>
    </row>
    <row r="13" spans="1:23">
      <c r="A13" s="63"/>
      <c r="B13" s="67"/>
      <c r="C13" s="67"/>
      <c r="D13" s="67"/>
      <c r="E13" s="67"/>
      <c r="F13" s="67"/>
      <c r="G13" s="67"/>
      <c r="H13" s="67"/>
      <c r="I13" s="67"/>
      <c r="J13" s="67"/>
      <c r="K13" s="68"/>
      <c r="L13" s="68"/>
      <c r="M13" s="68"/>
      <c r="N13" s="68"/>
      <c r="O13" s="68"/>
      <c r="P13" s="67"/>
      <c r="Q13" s="67"/>
      <c r="R13" s="67"/>
      <c r="S13" s="62"/>
      <c r="T13" s="62"/>
      <c r="U13" s="62"/>
      <c r="V13" s="62"/>
      <c r="W13" s="62"/>
    </row>
    <row r="14" spans="1:23">
      <c r="A14" s="63"/>
      <c r="B14" s="67"/>
      <c r="C14" s="67"/>
      <c r="D14" s="67"/>
      <c r="E14" s="67"/>
      <c r="F14" s="67"/>
      <c r="G14" s="67"/>
      <c r="H14" s="67"/>
      <c r="I14" s="67"/>
      <c r="J14" s="67"/>
      <c r="K14" s="68"/>
      <c r="L14" s="68"/>
      <c r="M14" s="68"/>
      <c r="N14" s="68"/>
      <c r="O14" s="68"/>
      <c r="P14" s="67"/>
      <c r="Q14" s="67"/>
      <c r="R14" s="67"/>
      <c r="S14" s="62"/>
      <c r="T14" s="62"/>
      <c r="U14" s="62"/>
      <c r="V14" s="62"/>
      <c r="W14" s="62"/>
    </row>
    <row r="15" spans="1:23">
      <c r="A15" s="63"/>
      <c r="B15" s="67"/>
      <c r="C15" s="67"/>
      <c r="D15" s="67"/>
      <c r="E15" s="67"/>
      <c r="F15" s="67"/>
      <c r="G15" s="67"/>
      <c r="H15" s="67"/>
      <c r="I15" s="67"/>
      <c r="J15" s="67"/>
      <c r="K15" s="67"/>
      <c r="L15" s="68"/>
      <c r="M15" s="68"/>
      <c r="N15" s="68"/>
      <c r="O15" s="68"/>
      <c r="P15" s="67"/>
      <c r="Q15" s="67"/>
      <c r="R15" s="67"/>
      <c r="S15" s="62"/>
      <c r="T15" s="62"/>
      <c r="U15" s="62"/>
      <c r="V15" s="62"/>
      <c r="W15" s="62"/>
    </row>
    <row r="16" spans="1:23">
      <c r="A16" s="63"/>
      <c r="B16" s="67"/>
      <c r="C16" s="67"/>
      <c r="D16" s="67"/>
      <c r="E16" s="67"/>
      <c r="F16" s="67"/>
      <c r="G16" s="67"/>
      <c r="H16" s="67"/>
      <c r="I16" s="67"/>
      <c r="J16" s="67"/>
      <c r="K16" s="67"/>
      <c r="L16" s="68"/>
      <c r="M16" s="68"/>
      <c r="N16" s="68"/>
      <c r="O16" s="68"/>
      <c r="P16" s="67"/>
      <c r="Q16" s="67"/>
      <c r="R16" s="67"/>
      <c r="S16" s="62"/>
      <c r="T16" s="62"/>
      <c r="U16" s="62"/>
      <c r="V16" s="62"/>
      <c r="W16" s="62"/>
    </row>
    <row r="17" spans="1:23">
      <c r="A17" s="63"/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8"/>
      <c r="M17" s="68"/>
      <c r="N17" s="68"/>
      <c r="O17" s="68"/>
      <c r="P17" s="67"/>
      <c r="Q17" s="67"/>
      <c r="R17" s="67"/>
      <c r="S17" s="62"/>
      <c r="T17" s="62"/>
      <c r="U17" s="62"/>
      <c r="V17" s="62"/>
      <c r="W17" s="62"/>
    </row>
    <row r="18" spans="1:23">
      <c r="A18" s="63"/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8"/>
      <c r="M18" s="68"/>
      <c r="N18" s="68"/>
      <c r="O18" s="68"/>
      <c r="P18" s="67"/>
      <c r="Q18" s="67"/>
      <c r="R18" s="67"/>
      <c r="S18" s="62"/>
      <c r="T18" s="62"/>
      <c r="U18" s="62"/>
      <c r="V18" s="62"/>
      <c r="W18" s="62"/>
    </row>
    <row r="19" spans="1:23">
      <c r="A19" s="63" t="s">
        <v>3197</v>
      </c>
      <c r="B19" s="42" t="s">
        <v>3199</v>
      </c>
      <c r="C19" s="42" t="s">
        <v>88</v>
      </c>
      <c r="D19" s="42" t="s">
        <v>16</v>
      </c>
      <c r="E19" s="42" t="s">
        <v>3200</v>
      </c>
      <c r="F19" s="42">
        <v>451</v>
      </c>
      <c r="G19" s="42"/>
      <c r="H19" s="42">
        <v>20080</v>
      </c>
      <c r="I19" s="42">
        <v>334</v>
      </c>
      <c r="J19" s="42">
        <v>0.5</v>
      </c>
      <c r="K19" s="43">
        <f t="shared" ref="K19" si="0">I19*J19</f>
        <v>167</v>
      </c>
      <c r="L19" s="43">
        <f t="shared" ref="L19" si="1">H19-K19</f>
        <v>19913</v>
      </c>
      <c r="M19" s="43"/>
      <c r="N19" s="43">
        <f t="shared" ref="N19" si="2">L19-M19</f>
        <v>19913</v>
      </c>
      <c r="O19" s="43">
        <f t="shared" ref="O19" si="3">H19/1000*70</f>
        <v>1405.6</v>
      </c>
      <c r="P19" s="42">
        <v>11500</v>
      </c>
      <c r="Q19" s="42">
        <v>16.899999999999999</v>
      </c>
      <c r="R19" s="42">
        <f t="shared" ref="R19" si="4">L19*Q19</f>
        <v>336529.69999999995</v>
      </c>
      <c r="S19" s="62"/>
      <c r="T19" s="62"/>
      <c r="U19" s="62"/>
      <c r="V19" s="62"/>
      <c r="W19" s="62"/>
    </row>
    <row r="20" spans="1:23">
      <c r="A20" s="63"/>
      <c r="B20" s="67"/>
      <c r="C20" s="67"/>
      <c r="D20" s="67"/>
      <c r="E20" s="67"/>
      <c r="F20" s="67"/>
      <c r="G20" s="67"/>
      <c r="H20" s="67"/>
      <c r="I20" s="67"/>
      <c r="J20" s="67"/>
      <c r="K20" s="67"/>
      <c r="L20" s="68"/>
      <c r="M20" s="68"/>
      <c r="N20" s="68"/>
      <c r="O20" s="68"/>
      <c r="P20" s="67"/>
      <c r="Q20" s="67"/>
      <c r="R20" s="67"/>
      <c r="S20" s="62"/>
      <c r="T20" s="62"/>
      <c r="U20" s="62"/>
      <c r="V20" s="62"/>
      <c r="W20" s="62"/>
    </row>
    <row r="21" spans="1:23">
      <c r="A21" s="63" t="s">
        <v>3205</v>
      </c>
      <c r="B21" s="42" t="s">
        <v>3206</v>
      </c>
      <c r="C21" s="42" t="s">
        <v>88</v>
      </c>
      <c r="D21" s="42" t="s">
        <v>16</v>
      </c>
      <c r="E21" s="42" t="s">
        <v>3207</v>
      </c>
      <c r="F21" s="42">
        <v>451</v>
      </c>
      <c r="G21" s="42"/>
      <c r="H21" s="42">
        <v>16020</v>
      </c>
      <c r="I21" s="42">
        <v>267</v>
      </c>
      <c r="J21" s="42">
        <v>0.13</v>
      </c>
      <c r="K21" s="43">
        <f t="shared" ref="K21" si="5">I21*J21</f>
        <v>34.71</v>
      </c>
      <c r="L21" s="43">
        <f t="shared" ref="L21" si="6">H21-K21</f>
        <v>15985.29</v>
      </c>
      <c r="M21" s="43"/>
      <c r="N21" s="43">
        <f t="shared" ref="N21" si="7">L21-M21</f>
        <v>15985.29</v>
      </c>
      <c r="O21" s="43">
        <f t="shared" ref="O21" si="8">H21/1000*70</f>
        <v>1121.3999999999999</v>
      </c>
      <c r="P21" s="42">
        <v>12500</v>
      </c>
      <c r="Q21" s="42">
        <v>16.899999999999999</v>
      </c>
      <c r="R21" s="42">
        <f t="shared" ref="R21" si="9">L21*Q21</f>
        <v>270151.40100000001</v>
      </c>
      <c r="S21" s="42"/>
      <c r="T21" s="62"/>
      <c r="U21" s="62"/>
      <c r="V21" s="62"/>
      <c r="W21" s="62"/>
    </row>
    <row r="22" spans="1:23">
      <c r="A22" s="62"/>
      <c r="B22" s="67"/>
      <c r="C22" s="67"/>
      <c r="D22" s="67"/>
      <c r="E22" s="67"/>
      <c r="F22" s="67"/>
      <c r="G22" s="67"/>
      <c r="H22" s="67"/>
      <c r="I22" s="67"/>
      <c r="J22" s="67"/>
      <c r="K22" s="67"/>
      <c r="L22" s="68"/>
      <c r="M22" s="68"/>
      <c r="N22" s="68"/>
      <c r="O22" s="68"/>
      <c r="P22" s="67"/>
      <c r="Q22" s="67"/>
      <c r="R22" s="67"/>
      <c r="S22" s="62"/>
      <c r="T22" s="62"/>
      <c r="U22" s="62"/>
      <c r="V22" s="62"/>
      <c r="W22" s="62"/>
    </row>
    <row r="23" spans="1:23">
      <c r="A23" s="63"/>
      <c r="B23" s="142"/>
      <c r="C23" s="142"/>
      <c r="D23" s="67"/>
      <c r="E23" s="67"/>
      <c r="F23" s="67"/>
      <c r="G23" s="67"/>
      <c r="H23" s="67"/>
      <c r="I23" s="67"/>
      <c r="J23" s="67"/>
      <c r="K23" s="67"/>
      <c r="L23" s="68"/>
      <c r="M23" s="68"/>
      <c r="N23" s="68"/>
      <c r="O23" s="68"/>
      <c r="P23" s="67"/>
      <c r="Q23" s="67"/>
      <c r="R23" s="67"/>
      <c r="S23" s="62"/>
      <c r="T23" s="62"/>
      <c r="U23" s="62"/>
      <c r="V23" s="62"/>
      <c r="W23" s="62"/>
    </row>
    <row r="24" spans="1:23">
      <c r="A24" s="63"/>
      <c r="B24" s="42" t="s">
        <v>3276</v>
      </c>
      <c r="C24" s="42" t="s">
        <v>88</v>
      </c>
      <c r="D24" s="42" t="s">
        <v>16</v>
      </c>
      <c r="E24" s="47" t="s">
        <v>3277</v>
      </c>
      <c r="F24" s="47">
        <v>595</v>
      </c>
      <c r="G24" s="47"/>
      <c r="H24" s="47">
        <v>3460</v>
      </c>
      <c r="I24" s="47">
        <v>70</v>
      </c>
      <c r="J24" s="47"/>
      <c r="K24" s="43">
        <v>0</v>
      </c>
      <c r="L24" s="43">
        <v>3460</v>
      </c>
      <c r="M24" s="43"/>
      <c r="N24" s="43">
        <v>3460</v>
      </c>
      <c r="O24" s="43">
        <v>0</v>
      </c>
      <c r="P24" s="42">
        <v>0</v>
      </c>
      <c r="Q24" s="42">
        <v>17</v>
      </c>
      <c r="R24" s="42">
        <v>58820</v>
      </c>
      <c r="S24" s="62"/>
      <c r="T24" s="62"/>
      <c r="U24" s="62"/>
      <c r="V24" s="62"/>
      <c r="W24" s="62"/>
    </row>
    <row r="25" spans="1:23">
      <c r="A25" s="63"/>
      <c r="B25" s="42" t="s">
        <v>3276</v>
      </c>
      <c r="C25" s="42" t="s">
        <v>88</v>
      </c>
      <c r="D25" s="42" t="s">
        <v>16</v>
      </c>
      <c r="E25" s="47" t="s">
        <v>3187</v>
      </c>
      <c r="F25" s="47">
        <v>592</v>
      </c>
      <c r="G25" s="47"/>
      <c r="H25" s="47">
        <v>6110</v>
      </c>
      <c r="I25" s="47">
        <v>122</v>
      </c>
      <c r="J25" s="47"/>
      <c r="K25" s="43">
        <v>0</v>
      </c>
      <c r="L25" s="43">
        <v>6110</v>
      </c>
      <c r="M25" s="43"/>
      <c r="N25" s="43">
        <v>6110</v>
      </c>
      <c r="O25" s="43">
        <v>0</v>
      </c>
      <c r="P25" s="42">
        <v>0</v>
      </c>
      <c r="Q25" s="42">
        <v>17</v>
      </c>
      <c r="R25" s="42">
        <v>103870</v>
      </c>
      <c r="S25" s="62"/>
      <c r="T25" s="62"/>
      <c r="U25" s="62"/>
      <c r="V25" s="62"/>
      <c r="W25" s="62"/>
    </row>
    <row r="26" spans="1:23">
      <c r="A26" s="63"/>
      <c r="B26" s="42" t="s">
        <v>3276</v>
      </c>
      <c r="C26" s="42" t="s">
        <v>88</v>
      </c>
      <c r="D26" s="42" t="s">
        <v>16</v>
      </c>
      <c r="E26" s="47" t="s">
        <v>3281</v>
      </c>
      <c r="F26" s="47">
        <v>593</v>
      </c>
      <c r="G26" s="47"/>
      <c r="H26" s="47">
        <v>7330</v>
      </c>
      <c r="I26" s="47">
        <v>147</v>
      </c>
      <c r="J26" s="47"/>
      <c r="K26" s="43">
        <v>0</v>
      </c>
      <c r="L26" s="43">
        <v>7330</v>
      </c>
      <c r="M26" s="43"/>
      <c r="N26" s="43">
        <v>7330</v>
      </c>
      <c r="O26" s="43">
        <v>0</v>
      </c>
      <c r="P26" s="42">
        <v>0</v>
      </c>
      <c r="Q26" s="42">
        <v>17</v>
      </c>
      <c r="R26" s="42">
        <v>124610</v>
      </c>
      <c r="S26" s="62"/>
      <c r="T26" s="62"/>
      <c r="U26" s="62"/>
      <c r="V26" s="62"/>
      <c r="W26" s="62"/>
    </row>
    <row r="27" spans="1:23">
      <c r="A27" s="63"/>
      <c r="B27" s="142"/>
      <c r="C27" s="142"/>
      <c r="D27" s="67"/>
      <c r="E27" s="67"/>
      <c r="F27" s="67"/>
      <c r="G27" s="67"/>
      <c r="H27" s="67"/>
      <c r="I27" s="67"/>
      <c r="J27" s="67"/>
      <c r="K27" s="67"/>
      <c r="L27" s="68"/>
      <c r="M27" s="68"/>
      <c r="N27" s="68"/>
      <c r="O27" s="68"/>
      <c r="P27" s="67"/>
      <c r="Q27" s="67"/>
      <c r="R27" s="67"/>
      <c r="S27" s="62"/>
      <c r="T27" s="62"/>
      <c r="U27" s="62"/>
      <c r="V27" s="62"/>
      <c r="W27" s="62"/>
    </row>
    <row r="28" spans="1:23">
      <c r="A28" s="63"/>
      <c r="B28" s="142"/>
      <c r="C28" s="142"/>
      <c r="D28" s="67"/>
      <c r="E28" s="67"/>
      <c r="F28" s="67"/>
      <c r="G28" s="67"/>
      <c r="H28" s="67"/>
      <c r="I28" s="67"/>
      <c r="J28" s="67"/>
      <c r="K28" s="67"/>
      <c r="L28" s="68"/>
      <c r="M28" s="68"/>
      <c r="N28" s="68"/>
      <c r="O28" s="68"/>
      <c r="P28" s="67"/>
      <c r="Q28" s="67"/>
      <c r="R28" s="67"/>
      <c r="S28" s="62"/>
      <c r="T28" s="62"/>
      <c r="U28" s="62"/>
      <c r="V28" s="62"/>
      <c r="W28" s="62"/>
    </row>
    <row r="29" spans="1:23">
      <c r="A29" s="63"/>
      <c r="B29" s="142"/>
      <c r="C29" s="142"/>
      <c r="D29" s="67"/>
      <c r="E29" s="67"/>
      <c r="F29" s="67"/>
      <c r="G29" s="67"/>
      <c r="H29" s="67"/>
      <c r="I29" s="67"/>
      <c r="J29" s="67"/>
      <c r="K29" s="67"/>
      <c r="L29" s="68"/>
      <c r="M29" s="68"/>
      <c r="N29" s="68"/>
      <c r="O29" s="68"/>
      <c r="P29" s="67"/>
      <c r="Q29" s="67"/>
      <c r="R29" s="67"/>
      <c r="S29" s="62"/>
      <c r="T29" s="62"/>
      <c r="U29" s="62"/>
      <c r="V29" s="62"/>
      <c r="W29" s="62"/>
    </row>
    <row r="30" spans="1:23">
      <c r="A30" s="63"/>
      <c r="B30" s="142"/>
      <c r="C30" s="142"/>
      <c r="D30" s="67"/>
      <c r="E30" s="67"/>
      <c r="F30" s="67"/>
      <c r="G30" s="67"/>
      <c r="H30" s="67"/>
      <c r="I30" s="67"/>
      <c r="J30" s="67"/>
      <c r="K30" s="67"/>
      <c r="L30" s="68"/>
      <c r="M30" s="68"/>
      <c r="N30" s="68"/>
      <c r="O30" s="68"/>
      <c r="P30" s="67"/>
      <c r="Q30" s="67"/>
      <c r="R30" s="67"/>
      <c r="S30" s="62"/>
      <c r="T30" s="62"/>
      <c r="U30" s="62"/>
      <c r="V30" s="62"/>
      <c r="W30" s="62"/>
    </row>
    <row r="31" spans="1:23">
      <c r="A31" s="63"/>
      <c r="B31" s="142"/>
      <c r="C31" s="142"/>
      <c r="D31" s="67"/>
      <c r="E31" s="67"/>
      <c r="F31" s="67"/>
      <c r="G31" s="67"/>
      <c r="H31" s="67"/>
      <c r="I31" s="67"/>
      <c r="J31" s="67"/>
      <c r="K31" s="67"/>
      <c r="L31" s="68"/>
      <c r="M31" s="68"/>
      <c r="N31" s="68"/>
      <c r="O31" s="68"/>
      <c r="P31" s="67"/>
      <c r="Q31" s="67"/>
      <c r="R31" s="67"/>
      <c r="S31" s="62"/>
      <c r="T31" s="62"/>
      <c r="U31" s="62"/>
      <c r="V31" s="62"/>
      <c r="W31" s="62"/>
    </row>
    <row r="32" spans="1:23">
      <c r="A32" s="63"/>
      <c r="B32" s="142"/>
      <c r="C32" s="142"/>
      <c r="D32" s="67"/>
      <c r="E32" s="67"/>
      <c r="F32" s="67"/>
      <c r="G32" s="67"/>
      <c r="H32" s="67"/>
      <c r="I32" s="67"/>
      <c r="J32" s="67"/>
      <c r="K32" s="67"/>
      <c r="L32" s="68"/>
      <c r="M32" s="68"/>
      <c r="N32" s="68"/>
      <c r="O32" s="68"/>
      <c r="P32" s="67"/>
      <c r="Q32" s="67"/>
      <c r="R32" s="67"/>
      <c r="S32" s="62"/>
      <c r="T32" s="62"/>
      <c r="U32" s="62"/>
      <c r="V32" s="62"/>
      <c r="W32" s="62"/>
    </row>
    <row r="33" spans="1:23">
      <c r="A33" s="63"/>
      <c r="B33" s="142"/>
      <c r="C33" s="142"/>
      <c r="D33" s="67"/>
      <c r="E33" s="67"/>
      <c r="F33" s="67"/>
      <c r="G33" s="67"/>
      <c r="H33" s="67"/>
      <c r="I33" s="67"/>
      <c r="J33" s="67"/>
      <c r="K33" s="67"/>
      <c r="L33" s="68"/>
      <c r="M33" s="68"/>
      <c r="N33" s="68"/>
      <c r="O33" s="68"/>
      <c r="P33" s="67"/>
      <c r="Q33" s="67"/>
      <c r="R33" s="67"/>
      <c r="S33" s="62"/>
      <c r="T33" s="62"/>
      <c r="U33" s="62"/>
      <c r="V33" s="62"/>
      <c r="W33" s="62"/>
    </row>
    <row r="34" spans="1:23">
      <c r="A34" s="63"/>
      <c r="B34" s="142"/>
      <c r="C34" s="142"/>
      <c r="D34" s="67"/>
      <c r="E34" s="67"/>
      <c r="F34" s="67"/>
      <c r="G34" s="67"/>
      <c r="H34" s="67"/>
      <c r="I34" s="67"/>
      <c r="J34" s="67"/>
      <c r="K34" s="67"/>
      <c r="L34" s="68"/>
      <c r="M34" s="68"/>
      <c r="N34" s="68"/>
      <c r="O34" s="68"/>
      <c r="P34" s="67"/>
      <c r="Q34" s="67"/>
      <c r="R34" s="67"/>
      <c r="S34" s="62"/>
      <c r="T34" s="62"/>
      <c r="U34" s="62"/>
      <c r="V34" s="62"/>
      <c r="W34" s="62"/>
    </row>
    <row r="35" spans="1:23">
      <c r="A35" s="63"/>
      <c r="B35" s="142"/>
      <c r="C35" s="142"/>
      <c r="D35" s="67"/>
      <c r="E35" s="67"/>
      <c r="F35" s="67"/>
      <c r="G35" s="67"/>
      <c r="H35" s="67"/>
      <c r="I35" s="67"/>
      <c r="J35" s="67"/>
      <c r="K35" s="67"/>
      <c r="L35" s="68"/>
      <c r="M35" s="68"/>
      <c r="N35" s="68"/>
      <c r="O35" s="68"/>
      <c r="P35" s="67"/>
      <c r="Q35" s="67"/>
      <c r="R35" s="67"/>
      <c r="S35" s="62"/>
      <c r="T35" s="62"/>
      <c r="U35" s="62"/>
      <c r="V35" s="62"/>
      <c r="W35" s="62"/>
    </row>
    <row r="36" spans="1:23">
      <c r="A36" s="63"/>
      <c r="B36" s="142"/>
      <c r="C36" s="142"/>
      <c r="D36" s="67"/>
      <c r="E36" s="67"/>
      <c r="F36" s="67"/>
      <c r="G36" s="67"/>
      <c r="H36" s="67"/>
      <c r="I36" s="67"/>
      <c r="J36" s="67"/>
      <c r="K36" s="67"/>
      <c r="L36" s="68"/>
      <c r="M36" s="68"/>
      <c r="N36" s="68"/>
      <c r="O36" s="68"/>
      <c r="P36" s="67"/>
      <c r="Q36" s="67"/>
      <c r="R36" s="67"/>
      <c r="S36" s="62"/>
      <c r="T36" s="62"/>
      <c r="U36" s="62"/>
      <c r="V36" s="62"/>
      <c r="W36" s="62"/>
    </row>
    <row r="37" spans="1:23">
      <c r="A37" s="63"/>
      <c r="B37" s="142"/>
      <c r="C37" s="142"/>
      <c r="D37" s="67"/>
      <c r="E37" s="67"/>
      <c r="F37" s="67"/>
      <c r="G37" s="67"/>
      <c r="H37" s="67"/>
      <c r="I37" s="67"/>
      <c r="J37" s="67"/>
      <c r="K37" s="67"/>
      <c r="L37" s="68"/>
      <c r="M37" s="68"/>
      <c r="N37" s="68"/>
      <c r="O37" s="68"/>
      <c r="P37" s="67"/>
      <c r="Q37" s="67"/>
      <c r="R37" s="67"/>
      <c r="S37" s="62"/>
      <c r="T37" s="62"/>
      <c r="U37" s="62"/>
      <c r="V37" s="62"/>
      <c r="W37" s="62"/>
    </row>
    <row r="38" spans="1:23">
      <c r="A38" s="63"/>
      <c r="B38" s="142"/>
      <c r="C38" s="142"/>
      <c r="D38" s="67"/>
      <c r="E38" s="67"/>
      <c r="F38" s="67"/>
      <c r="G38" s="67"/>
      <c r="H38" s="67"/>
      <c r="I38" s="67"/>
      <c r="J38" s="67"/>
      <c r="K38" s="67"/>
      <c r="L38" s="68"/>
      <c r="M38" s="68"/>
      <c r="N38" s="68"/>
      <c r="O38" s="68"/>
      <c r="P38" s="67"/>
      <c r="Q38" s="67"/>
      <c r="R38" s="67"/>
      <c r="S38" s="62"/>
      <c r="T38" s="62"/>
      <c r="U38" s="62"/>
      <c r="V38" s="62"/>
      <c r="W38" s="62"/>
    </row>
    <row r="39" spans="1:23">
      <c r="A39" s="63"/>
      <c r="B39" s="142"/>
      <c r="C39" s="142"/>
      <c r="D39" s="67"/>
      <c r="E39" s="67"/>
      <c r="F39" s="67"/>
      <c r="G39" s="67"/>
      <c r="H39" s="67"/>
      <c r="I39" s="67"/>
      <c r="J39" s="67"/>
      <c r="K39" s="67"/>
      <c r="L39" s="68"/>
      <c r="M39" s="68"/>
      <c r="N39" s="68"/>
      <c r="O39" s="68"/>
      <c r="P39" s="67"/>
      <c r="Q39" s="67"/>
      <c r="R39" s="67"/>
      <c r="S39" s="62"/>
      <c r="T39" s="62"/>
      <c r="U39" s="62"/>
      <c r="V39" s="62"/>
      <c r="W39" s="62"/>
    </row>
    <row r="40" spans="1:23">
      <c r="A40" s="63"/>
      <c r="B40" s="142"/>
      <c r="C40" s="142"/>
      <c r="D40" s="67"/>
      <c r="E40" s="67"/>
      <c r="F40" s="67"/>
      <c r="G40" s="67"/>
      <c r="H40" s="67"/>
      <c r="I40" s="67"/>
      <c r="J40" s="67"/>
      <c r="K40" s="67"/>
      <c r="L40" s="68"/>
      <c r="M40" s="68"/>
      <c r="N40" s="68"/>
      <c r="O40" s="68"/>
      <c r="P40" s="67"/>
      <c r="Q40" s="67"/>
      <c r="R40" s="67"/>
      <c r="S40" s="62"/>
      <c r="T40" s="62"/>
      <c r="U40" s="62"/>
      <c r="V40" s="62"/>
      <c r="W40" s="62"/>
    </row>
    <row r="41" spans="1:23">
      <c r="A41" s="63"/>
      <c r="B41" s="142"/>
      <c r="C41" s="142"/>
      <c r="D41" s="67"/>
      <c r="E41" s="67"/>
      <c r="F41" s="67"/>
      <c r="G41" s="67"/>
      <c r="H41" s="67"/>
      <c r="I41" s="67"/>
      <c r="J41" s="67"/>
      <c r="K41" s="67"/>
      <c r="L41" s="68"/>
      <c r="M41" s="68"/>
      <c r="N41" s="68"/>
      <c r="O41" s="68"/>
      <c r="P41" s="67"/>
      <c r="Q41" s="67"/>
      <c r="R41" s="67"/>
      <c r="S41" s="62"/>
      <c r="T41" s="62"/>
      <c r="U41" s="62"/>
      <c r="V41" s="62"/>
      <c r="W41" s="62"/>
    </row>
    <row r="42" spans="1:23">
      <c r="A42" s="63"/>
      <c r="B42" s="142"/>
      <c r="C42" s="142"/>
      <c r="D42" s="67"/>
      <c r="E42" s="67"/>
      <c r="F42" s="67"/>
      <c r="G42" s="67"/>
      <c r="H42" s="67"/>
      <c r="I42" s="67"/>
      <c r="J42" s="67"/>
      <c r="K42" s="67"/>
      <c r="L42" s="68"/>
      <c r="M42" s="68"/>
      <c r="N42" s="68"/>
      <c r="O42" s="68"/>
      <c r="P42" s="67"/>
      <c r="Q42" s="67"/>
      <c r="R42" s="67"/>
      <c r="S42" s="62"/>
      <c r="T42" s="62"/>
      <c r="U42" s="62"/>
      <c r="V42" s="62"/>
      <c r="W42" s="62"/>
    </row>
    <row r="43" spans="1:23">
      <c r="A43" s="63"/>
      <c r="B43" s="142"/>
      <c r="C43" s="142"/>
      <c r="D43" s="67"/>
      <c r="E43" s="67"/>
      <c r="F43" s="67"/>
      <c r="G43" s="67"/>
      <c r="H43" s="67"/>
      <c r="I43" s="67"/>
      <c r="J43" s="67"/>
      <c r="K43" s="67"/>
      <c r="L43" s="68"/>
      <c r="M43" s="68"/>
      <c r="N43" s="68"/>
      <c r="O43" s="68"/>
      <c r="P43" s="67"/>
      <c r="Q43" s="67"/>
      <c r="R43" s="67"/>
      <c r="S43" s="62"/>
      <c r="T43" s="62"/>
      <c r="U43" s="62"/>
      <c r="V43" s="62"/>
      <c r="W43" s="62"/>
    </row>
    <row r="44" spans="1:23">
      <c r="A44" s="63"/>
      <c r="B44" s="142"/>
      <c r="C44" s="142"/>
      <c r="D44" s="67"/>
      <c r="E44" s="67"/>
      <c r="F44" s="67"/>
      <c r="G44" s="67"/>
      <c r="H44" s="67"/>
      <c r="I44" s="67"/>
      <c r="J44" s="67"/>
      <c r="K44" s="67"/>
      <c r="L44" s="68"/>
      <c r="M44" s="68"/>
      <c r="N44" s="68"/>
      <c r="O44" s="68"/>
      <c r="P44" s="67"/>
      <c r="Q44" s="67"/>
      <c r="R44" s="67"/>
      <c r="S44" s="62"/>
      <c r="T44" s="62"/>
      <c r="U44" s="62"/>
      <c r="V44" s="62"/>
      <c r="W44" s="62"/>
    </row>
    <row r="45" spans="1:23">
      <c r="A45" s="63"/>
      <c r="B45" s="142"/>
      <c r="C45" s="142"/>
      <c r="D45" s="67"/>
      <c r="E45" s="67"/>
      <c r="F45" s="67"/>
      <c r="G45" s="67"/>
      <c r="H45" s="67"/>
      <c r="I45" s="67"/>
      <c r="J45" s="67"/>
      <c r="K45" s="67"/>
      <c r="L45" s="68"/>
      <c r="M45" s="68"/>
      <c r="N45" s="68"/>
      <c r="O45" s="68"/>
      <c r="P45" s="67"/>
      <c r="Q45" s="67"/>
      <c r="R45" s="67"/>
      <c r="S45" s="62"/>
      <c r="T45" s="62"/>
      <c r="U45" s="62"/>
      <c r="V45" s="62"/>
      <c r="W45" s="62"/>
    </row>
    <row r="46" spans="1:23">
      <c r="A46" s="63"/>
      <c r="B46" s="142"/>
      <c r="C46" s="142"/>
      <c r="D46" s="67"/>
      <c r="E46" s="67"/>
      <c r="F46" s="67"/>
      <c r="G46" s="67"/>
      <c r="H46" s="67"/>
      <c r="I46" s="67"/>
      <c r="J46" s="67"/>
      <c r="K46" s="67"/>
      <c r="L46" s="68"/>
      <c r="M46" s="68"/>
      <c r="N46" s="68"/>
      <c r="O46" s="68"/>
      <c r="P46" s="67"/>
      <c r="Q46" s="67"/>
      <c r="R46" s="67"/>
      <c r="S46" s="62"/>
      <c r="T46" s="62"/>
      <c r="U46" s="62"/>
      <c r="V46" s="62"/>
      <c r="W46" s="62"/>
    </row>
    <row r="47" spans="1:23">
      <c r="A47" s="63"/>
      <c r="B47" s="142"/>
      <c r="C47" s="142"/>
      <c r="D47" s="67"/>
      <c r="E47" s="67"/>
      <c r="F47" s="67"/>
      <c r="G47" s="67"/>
      <c r="H47" s="67"/>
      <c r="I47" s="67"/>
      <c r="J47" s="67"/>
      <c r="K47" s="67"/>
      <c r="L47" s="68"/>
      <c r="M47" s="68"/>
      <c r="N47" s="68"/>
      <c r="O47" s="68"/>
      <c r="P47" s="67"/>
      <c r="Q47" s="67"/>
      <c r="R47" s="67"/>
      <c r="S47" s="62"/>
      <c r="T47" s="62"/>
      <c r="U47" s="62"/>
      <c r="V47" s="62"/>
      <c r="W47" s="62"/>
    </row>
    <row r="48" spans="1:23">
      <c r="A48" s="63"/>
      <c r="B48" s="142"/>
      <c r="C48" s="142"/>
      <c r="D48" s="67"/>
      <c r="E48" s="67"/>
      <c r="F48" s="67"/>
      <c r="G48" s="67"/>
      <c r="H48" s="67"/>
      <c r="I48" s="67"/>
      <c r="J48" s="67"/>
      <c r="K48" s="67"/>
      <c r="L48" s="68"/>
      <c r="M48" s="68"/>
      <c r="N48" s="68"/>
      <c r="O48" s="68"/>
      <c r="P48" s="67"/>
      <c r="Q48" s="67"/>
      <c r="R48" s="67"/>
      <c r="S48" s="62"/>
      <c r="T48" s="62"/>
      <c r="U48" s="62"/>
      <c r="V48" s="62"/>
      <c r="W48" s="62"/>
    </row>
    <row r="49" spans="1:23">
      <c r="A49" s="62"/>
      <c r="B49" s="142"/>
      <c r="C49" s="142"/>
      <c r="D49" s="67"/>
      <c r="E49" s="67"/>
      <c r="F49" s="67"/>
      <c r="G49" s="67"/>
      <c r="H49" s="67"/>
      <c r="I49" s="67"/>
      <c r="J49" s="67"/>
      <c r="K49" s="67"/>
      <c r="L49" s="68"/>
      <c r="M49" s="68"/>
      <c r="N49" s="68"/>
      <c r="O49" s="68"/>
      <c r="P49" s="67"/>
      <c r="Q49" s="67"/>
      <c r="R49" s="67"/>
      <c r="S49" s="62"/>
      <c r="T49" s="62"/>
      <c r="U49" s="62"/>
      <c r="V49" s="62"/>
      <c r="W49" s="62"/>
    </row>
    <row r="50" spans="1:23">
      <c r="A50" s="62"/>
      <c r="B50" s="62"/>
      <c r="C50" s="62"/>
      <c r="D50" s="62"/>
      <c r="E50" s="62"/>
      <c r="F50" s="62"/>
      <c r="G50" s="62"/>
      <c r="H50" s="62"/>
      <c r="I50" s="62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</row>
    <row r="51" spans="1:23">
      <c r="A51" s="62"/>
      <c r="B51" s="62"/>
      <c r="C51" s="62"/>
      <c r="D51" s="62"/>
      <c r="E51" s="62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</row>
    <row r="52" spans="1:23">
      <c r="A52" s="62"/>
      <c r="B52" s="62"/>
      <c r="C52" s="62"/>
      <c r="D52" s="62"/>
      <c r="E52" s="62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</row>
    <row r="53" spans="1:23">
      <c r="A53" s="62"/>
      <c r="B53" s="62"/>
      <c r="C53" s="62"/>
      <c r="D53" s="62"/>
      <c r="E53" s="62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</row>
    <row r="54" spans="1:23">
      <c r="A54" s="62"/>
      <c r="B54" s="62"/>
      <c r="C54" s="62"/>
      <c r="D54" s="62"/>
      <c r="E54" s="62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</row>
    <row r="76" spans="12:12">
      <c r="L76" s="16">
        <f>SUM(L7:L75)</f>
        <v>52798.29</v>
      </c>
    </row>
  </sheetData>
  <pageMargins left="0.7" right="0.7" top="0.75" bottom="0.75" header="0.3" footer="0.3"/>
  <pageSetup paperSize="9" orientation="landscape" verticalDpi="0" r:id="rId1"/>
</worksheet>
</file>

<file path=xl/worksheets/sheet36.xml><?xml version="1.0" encoding="utf-8"?>
<worksheet xmlns="http://schemas.openxmlformats.org/spreadsheetml/2006/main" xmlns:r="http://schemas.openxmlformats.org/officeDocument/2006/relationships">
  <dimension ref="A5:W72"/>
  <sheetViews>
    <sheetView topLeftCell="A16" workbookViewId="0">
      <selection activeCell="A32" sqref="A32"/>
    </sheetView>
  </sheetViews>
  <sheetFormatPr defaultRowHeight="14.4"/>
  <cols>
    <col min="1" max="1" width="7.88671875" style="1" customWidth="1"/>
    <col min="2" max="2" width="22" style="1" customWidth="1"/>
    <col min="3" max="3" width="7.77734375" style="1" customWidth="1"/>
    <col min="4" max="4" width="4.77734375" style="1" customWidth="1"/>
    <col min="5" max="5" width="9.88671875" style="1" customWidth="1"/>
    <col min="6" max="6" width="7.6640625" style="1" customWidth="1"/>
    <col min="7" max="7" width="6.6640625" style="1" customWidth="1"/>
    <col min="8" max="8" width="7.44140625" style="1" customWidth="1"/>
    <col min="9" max="9" width="5.88671875" style="1" customWidth="1"/>
    <col min="10" max="10" width="6" style="1" customWidth="1"/>
    <col min="11" max="11" width="8.44140625" style="1" customWidth="1"/>
    <col min="12" max="12" width="8.21875" style="1" customWidth="1"/>
    <col min="13" max="13" width="7.33203125" style="1" customWidth="1"/>
    <col min="14" max="18" width="8.88671875" style="1"/>
    <col min="19" max="19" width="9" style="1" customWidth="1"/>
    <col min="20" max="16384" width="8.88671875" style="1"/>
  </cols>
  <sheetData>
    <row r="5" spans="1:23" ht="23.4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3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676</v>
      </c>
      <c r="M5" s="95" t="s">
        <v>677</v>
      </c>
      <c r="N5" s="3" t="s">
        <v>11</v>
      </c>
      <c r="O5" s="3" t="s">
        <v>36</v>
      </c>
      <c r="P5" s="3" t="s">
        <v>12</v>
      </c>
      <c r="Q5" s="3" t="s">
        <v>256</v>
      </c>
      <c r="R5" s="3" t="s">
        <v>257</v>
      </c>
      <c r="S5" s="3" t="s">
        <v>2</v>
      </c>
      <c r="T5" s="14" t="s">
        <v>80</v>
      </c>
      <c r="U5" s="14" t="s">
        <v>125</v>
      </c>
    </row>
    <row r="6" spans="1:23">
      <c r="A6" s="63"/>
      <c r="B6" s="301"/>
      <c r="C6" s="301"/>
      <c r="D6" s="301"/>
      <c r="E6" s="301"/>
      <c r="F6" s="301"/>
      <c r="G6" s="301"/>
      <c r="H6" s="301"/>
      <c r="I6" s="301"/>
      <c r="J6" s="301"/>
      <c r="K6" s="301"/>
      <c r="L6" s="61"/>
      <c r="M6" s="61"/>
      <c r="N6" s="301"/>
      <c r="O6" s="62"/>
      <c r="P6" s="62"/>
      <c r="Q6" s="62"/>
      <c r="R6" s="62"/>
      <c r="S6" s="62"/>
      <c r="U6" s="17"/>
    </row>
    <row r="7" spans="1:23">
      <c r="A7" s="63"/>
      <c r="B7" s="67"/>
      <c r="C7" s="67"/>
      <c r="D7" s="67"/>
      <c r="E7" s="67"/>
      <c r="F7" s="67"/>
      <c r="G7" s="67"/>
      <c r="H7" s="67"/>
      <c r="I7" s="67"/>
      <c r="J7" s="67"/>
      <c r="K7" s="68"/>
      <c r="L7" s="68"/>
      <c r="M7" s="68"/>
      <c r="N7" s="68"/>
      <c r="O7" s="68"/>
      <c r="P7" s="67"/>
      <c r="Q7" s="62"/>
      <c r="R7" s="62"/>
      <c r="S7" s="62"/>
      <c r="T7" s="62"/>
      <c r="U7" s="62"/>
      <c r="V7" s="62"/>
      <c r="W7" s="62"/>
    </row>
    <row r="8" spans="1:23">
      <c r="A8" s="63"/>
      <c r="B8" s="67"/>
      <c r="C8" s="67"/>
      <c r="D8" s="67"/>
      <c r="E8" s="67"/>
      <c r="F8" s="67"/>
      <c r="G8" s="67"/>
      <c r="H8" s="67"/>
      <c r="I8" s="67"/>
      <c r="J8" s="67"/>
      <c r="K8" s="67"/>
      <c r="L8" s="68"/>
      <c r="M8" s="68"/>
      <c r="N8" s="68"/>
      <c r="O8" s="68"/>
      <c r="P8" s="67"/>
      <c r="Q8" s="62"/>
      <c r="R8" s="62"/>
      <c r="S8" s="62"/>
      <c r="T8" s="62"/>
      <c r="U8" s="62"/>
      <c r="V8" s="62"/>
      <c r="W8" s="62"/>
    </row>
    <row r="9" spans="1:23">
      <c r="A9" s="63"/>
      <c r="B9" s="67"/>
      <c r="C9" s="67"/>
      <c r="D9" s="67"/>
      <c r="E9" s="67"/>
      <c r="F9" s="67"/>
      <c r="G9" s="67"/>
      <c r="H9" s="67"/>
      <c r="I9" s="67"/>
      <c r="J9" s="67"/>
      <c r="K9" s="68"/>
      <c r="L9" s="68"/>
      <c r="M9" s="68"/>
      <c r="N9" s="68"/>
      <c r="O9" s="68"/>
      <c r="P9" s="67"/>
      <c r="Q9" s="62"/>
      <c r="R9" s="62"/>
      <c r="S9" s="62"/>
      <c r="T9" s="62"/>
      <c r="U9" s="62"/>
      <c r="V9" s="62"/>
      <c r="W9" s="62"/>
    </row>
    <row r="10" spans="1:23">
      <c r="A10" s="63"/>
      <c r="B10" s="67"/>
      <c r="C10" s="67"/>
      <c r="D10" s="67"/>
      <c r="E10" s="67"/>
      <c r="F10" s="67"/>
      <c r="G10" s="67"/>
      <c r="H10" s="67"/>
      <c r="I10" s="67"/>
      <c r="J10" s="67"/>
      <c r="K10" s="68"/>
      <c r="L10" s="68"/>
      <c r="M10" s="68"/>
      <c r="N10" s="68"/>
      <c r="O10" s="68"/>
      <c r="P10" s="67"/>
      <c r="Q10" s="62"/>
      <c r="R10" s="62"/>
      <c r="S10" s="62"/>
      <c r="T10" s="62"/>
      <c r="U10" s="62"/>
      <c r="V10" s="62"/>
      <c r="W10" s="62"/>
    </row>
    <row r="11" spans="1:23">
      <c r="A11" s="63"/>
      <c r="B11" s="67"/>
      <c r="C11" s="67"/>
      <c r="D11" s="67"/>
      <c r="E11" s="67"/>
      <c r="F11" s="67"/>
      <c r="G11" s="67"/>
      <c r="H11" s="67"/>
      <c r="I11" s="67"/>
      <c r="J11" s="67"/>
      <c r="K11" s="68"/>
      <c r="L11" s="68"/>
      <c r="M11" s="68"/>
      <c r="N11" s="68"/>
      <c r="O11" s="68"/>
      <c r="P11" s="67"/>
      <c r="Q11" s="62"/>
      <c r="R11" s="62"/>
      <c r="S11" s="62"/>
      <c r="T11" s="62"/>
      <c r="U11" s="62"/>
      <c r="V11" s="62"/>
      <c r="W11" s="62"/>
    </row>
    <row r="12" spans="1:23">
      <c r="A12" s="63"/>
      <c r="B12" s="67"/>
      <c r="C12" s="67"/>
      <c r="D12" s="67"/>
      <c r="E12" s="67"/>
      <c r="F12" s="67"/>
      <c r="G12" s="67"/>
      <c r="H12" s="67"/>
      <c r="I12" s="67"/>
      <c r="J12" s="67"/>
      <c r="K12" s="68"/>
      <c r="L12" s="68"/>
      <c r="M12" s="68"/>
      <c r="N12" s="68"/>
      <c r="O12" s="68"/>
      <c r="P12" s="67"/>
      <c r="Q12" s="67"/>
      <c r="R12" s="67"/>
      <c r="S12" s="62"/>
      <c r="T12" s="62"/>
      <c r="U12" s="62"/>
      <c r="V12" s="62"/>
      <c r="W12" s="62"/>
    </row>
    <row r="13" spans="1:23">
      <c r="A13" s="63"/>
      <c r="B13" s="67"/>
      <c r="C13" s="67"/>
      <c r="D13" s="67"/>
      <c r="E13" s="67"/>
      <c r="F13" s="67"/>
      <c r="G13" s="67"/>
      <c r="H13" s="67"/>
      <c r="I13" s="67"/>
      <c r="J13" s="67"/>
      <c r="K13" s="68"/>
      <c r="L13" s="68"/>
      <c r="M13" s="68"/>
      <c r="N13" s="68"/>
      <c r="O13" s="68"/>
      <c r="P13" s="67"/>
      <c r="Q13" s="67"/>
      <c r="R13" s="67"/>
      <c r="S13" s="62"/>
      <c r="T13" s="62"/>
      <c r="U13" s="62"/>
      <c r="V13" s="62"/>
      <c r="W13" s="62"/>
    </row>
    <row r="14" spans="1:23">
      <c r="A14" s="63"/>
      <c r="B14" s="67"/>
      <c r="C14" s="67"/>
      <c r="D14" s="67"/>
      <c r="E14" s="67"/>
      <c r="F14" s="67"/>
      <c r="G14" s="67"/>
      <c r="H14" s="67"/>
      <c r="I14" s="67"/>
      <c r="J14" s="67"/>
      <c r="K14" s="68"/>
      <c r="L14" s="68"/>
      <c r="M14" s="68"/>
      <c r="N14" s="68"/>
      <c r="O14" s="68"/>
      <c r="P14" s="67"/>
      <c r="Q14" s="67"/>
      <c r="R14" s="67"/>
      <c r="S14" s="62"/>
      <c r="T14" s="62"/>
      <c r="U14" s="62"/>
      <c r="V14" s="62"/>
      <c r="W14" s="62"/>
    </row>
    <row r="15" spans="1:23">
      <c r="A15" s="63"/>
      <c r="B15" s="67"/>
      <c r="C15" s="67"/>
      <c r="D15" s="67"/>
      <c r="E15" s="67"/>
      <c r="F15" s="67"/>
      <c r="G15" s="67"/>
      <c r="H15" s="67"/>
      <c r="I15" s="67"/>
      <c r="J15" s="67"/>
      <c r="K15" s="67"/>
      <c r="L15" s="68"/>
      <c r="M15" s="68"/>
      <c r="N15" s="68"/>
      <c r="O15" s="68"/>
      <c r="P15" s="67"/>
      <c r="Q15" s="67"/>
      <c r="R15" s="67"/>
      <c r="S15" s="62"/>
      <c r="T15" s="62"/>
      <c r="U15" s="62"/>
      <c r="V15" s="62"/>
      <c r="W15" s="62"/>
    </row>
    <row r="16" spans="1:23">
      <c r="A16" s="63"/>
      <c r="B16" s="67"/>
      <c r="C16" s="67"/>
      <c r="D16" s="67"/>
      <c r="E16" s="67"/>
      <c r="F16" s="67"/>
      <c r="G16" s="67"/>
      <c r="H16" s="67"/>
      <c r="I16" s="67"/>
      <c r="J16" s="67"/>
      <c r="K16" s="67"/>
      <c r="L16" s="68"/>
      <c r="M16" s="68"/>
      <c r="N16" s="68"/>
      <c r="O16" s="68"/>
      <c r="P16" s="67"/>
      <c r="Q16" s="67"/>
      <c r="R16" s="67"/>
      <c r="S16" s="62"/>
      <c r="T16" s="62"/>
      <c r="U16" s="62"/>
      <c r="V16" s="62"/>
      <c r="W16" s="62"/>
    </row>
    <row r="17" spans="1:23">
      <c r="A17" s="63"/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8"/>
      <c r="M17" s="68"/>
      <c r="N17" s="68"/>
      <c r="O17" s="68"/>
      <c r="P17" s="67"/>
      <c r="Q17" s="67"/>
      <c r="R17" s="67"/>
      <c r="S17" s="62"/>
      <c r="T17" s="62"/>
      <c r="U17" s="62"/>
      <c r="V17" s="62"/>
      <c r="W17" s="62"/>
    </row>
    <row r="18" spans="1:23">
      <c r="A18" s="63"/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8"/>
      <c r="M18" s="68"/>
      <c r="N18" s="68"/>
      <c r="O18" s="68"/>
      <c r="P18" s="67"/>
      <c r="Q18" s="67"/>
      <c r="R18" s="67"/>
      <c r="S18" s="62"/>
      <c r="T18" s="62"/>
      <c r="U18" s="62"/>
      <c r="V18" s="62"/>
      <c r="W18" s="62"/>
    </row>
    <row r="19" spans="1:23">
      <c r="A19" s="62"/>
      <c r="B19" s="67"/>
      <c r="C19" s="67"/>
      <c r="D19" s="67"/>
      <c r="E19" s="67"/>
      <c r="F19" s="67"/>
      <c r="G19" s="67"/>
      <c r="H19" s="67"/>
      <c r="I19" s="67"/>
      <c r="J19" s="67"/>
      <c r="K19" s="67"/>
      <c r="L19" s="68"/>
      <c r="M19" s="68"/>
      <c r="N19" s="68"/>
      <c r="O19" s="68"/>
      <c r="P19" s="67"/>
      <c r="Q19" s="67"/>
      <c r="R19" s="67"/>
      <c r="S19" s="62"/>
      <c r="T19" s="62"/>
      <c r="U19" s="62"/>
      <c r="V19" s="62"/>
      <c r="W19" s="62"/>
    </row>
    <row r="20" spans="1:23">
      <c r="A20" s="63"/>
      <c r="B20" s="142"/>
      <c r="C20" s="142"/>
      <c r="D20" s="67"/>
      <c r="E20" s="67"/>
      <c r="F20" s="67"/>
      <c r="G20" s="67"/>
      <c r="H20" s="67"/>
      <c r="I20" s="67"/>
      <c r="J20" s="67"/>
      <c r="K20" s="67"/>
      <c r="L20" s="68"/>
      <c r="M20" s="68"/>
      <c r="N20" s="68"/>
      <c r="O20" s="68"/>
      <c r="P20" s="67"/>
      <c r="Q20" s="67"/>
      <c r="R20" s="67"/>
      <c r="S20" s="62"/>
      <c r="T20" s="62"/>
      <c r="U20" s="62"/>
      <c r="V20" s="62"/>
      <c r="W20" s="62"/>
    </row>
    <row r="21" spans="1:23">
      <c r="A21" s="374" t="s">
        <v>3275</v>
      </c>
      <c r="B21" s="42" t="s">
        <v>3276</v>
      </c>
      <c r="C21" s="42" t="s">
        <v>88</v>
      </c>
      <c r="D21" s="42" t="s">
        <v>16</v>
      </c>
      <c r="E21" s="47" t="s">
        <v>3277</v>
      </c>
      <c r="F21" s="47">
        <v>595</v>
      </c>
      <c r="G21" s="47"/>
      <c r="H21" s="47">
        <v>3460</v>
      </c>
      <c r="I21" s="47">
        <v>70</v>
      </c>
      <c r="J21" s="47"/>
      <c r="K21" s="43">
        <v>0</v>
      </c>
      <c r="L21" s="43">
        <v>3460</v>
      </c>
      <c r="M21" s="43"/>
      <c r="N21" s="43">
        <v>3460</v>
      </c>
      <c r="O21" s="43">
        <v>0</v>
      </c>
      <c r="P21" s="42">
        <v>0</v>
      </c>
      <c r="Q21" s="42">
        <v>17</v>
      </c>
      <c r="R21" s="42">
        <v>58820</v>
      </c>
      <c r="S21" s="62"/>
      <c r="T21" s="62"/>
      <c r="U21" s="62"/>
      <c r="V21" s="62"/>
      <c r="W21" s="62"/>
    </row>
    <row r="22" spans="1:23">
      <c r="A22" s="374"/>
      <c r="B22" s="42" t="s">
        <v>3276</v>
      </c>
      <c r="C22" s="42" t="s">
        <v>88</v>
      </c>
      <c r="D22" s="42" t="s">
        <v>16</v>
      </c>
      <c r="E22" s="47" t="s">
        <v>3187</v>
      </c>
      <c r="F22" s="47">
        <v>592</v>
      </c>
      <c r="G22" s="47"/>
      <c r="H22" s="47">
        <v>6110</v>
      </c>
      <c r="I22" s="47">
        <v>122</v>
      </c>
      <c r="J22" s="47"/>
      <c r="K22" s="43">
        <v>0</v>
      </c>
      <c r="L22" s="43">
        <v>6110</v>
      </c>
      <c r="M22" s="43"/>
      <c r="N22" s="43">
        <v>6110</v>
      </c>
      <c r="O22" s="43">
        <v>0</v>
      </c>
      <c r="P22" s="42">
        <v>0</v>
      </c>
      <c r="Q22" s="42">
        <v>17</v>
      </c>
      <c r="R22" s="42">
        <v>103870</v>
      </c>
      <c r="S22" s="62"/>
      <c r="T22" s="62"/>
      <c r="U22" s="62"/>
      <c r="V22" s="62"/>
      <c r="W22" s="62"/>
    </row>
    <row r="23" spans="1:23">
      <c r="A23" s="53" t="s">
        <v>3280</v>
      </c>
      <c r="B23" s="42" t="s">
        <v>3276</v>
      </c>
      <c r="C23" s="42" t="s">
        <v>88</v>
      </c>
      <c r="D23" s="42" t="s">
        <v>16</v>
      </c>
      <c r="E23" s="47" t="s">
        <v>3281</v>
      </c>
      <c r="F23" s="47">
        <v>593</v>
      </c>
      <c r="G23" s="47"/>
      <c r="H23" s="47">
        <v>7330</v>
      </c>
      <c r="I23" s="47">
        <v>147</v>
      </c>
      <c r="J23" s="47"/>
      <c r="K23" s="43">
        <v>0</v>
      </c>
      <c r="L23" s="43">
        <v>7330</v>
      </c>
      <c r="M23" s="43"/>
      <c r="N23" s="43">
        <v>7330</v>
      </c>
      <c r="O23" s="43">
        <v>0</v>
      </c>
      <c r="P23" s="42">
        <v>0</v>
      </c>
      <c r="Q23" s="42">
        <v>17</v>
      </c>
      <c r="R23" s="42">
        <v>124610</v>
      </c>
      <c r="S23" s="62"/>
      <c r="T23" s="62"/>
      <c r="U23" s="62"/>
      <c r="V23" s="62"/>
      <c r="W23" s="62"/>
    </row>
    <row r="24" spans="1:23">
      <c r="A24" s="63"/>
      <c r="B24" s="142"/>
      <c r="C24" s="142"/>
      <c r="D24" s="67"/>
      <c r="E24" s="67"/>
      <c r="F24" s="67"/>
      <c r="G24" s="67"/>
      <c r="H24" s="67"/>
      <c r="I24" s="67"/>
      <c r="J24" s="67"/>
      <c r="K24" s="67"/>
      <c r="L24" s="68"/>
      <c r="M24" s="68"/>
      <c r="N24" s="68"/>
      <c r="O24" s="68"/>
      <c r="P24" s="67"/>
      <c r="Q24" s="67"/>
      <c r="R24" s="67"/>
      <c r="S24" s="62"/>
      <c r="T24" s="62"/>
      <c r="U24" s="62"/>
      <c r="V24" s="62"/>
      <c r="W24" s="62"/>
    </row>
    <row r="25" spans="1:23">
      <c r="A25" s="63" t="s">
        <v>3414</v>
      </c>
      <c r="B25" s="42" t="s">
        <v>3276</v>
      </c>
      <c r="C25" s="42" t="s">
        <v>88</v>
      </c>
      <c r="D25" s="42" t="s">
        <v>16</v>
      </c>
      <c r="E25" s="47" t="s">
        <v>1169</v>
      </c>
      <c r="F25" s="47">
        <v>901</v>
      </c>
      <c r="G25" s="47"/>
      <c r="H25" s="47">
        <f>5500+5490</f>
        <v>10990</v>
      </c>
      <c r="I25" s="47">
        <f>H25/50</f>
        <v>219.8</v>
      </c>
      <c r="J25" s="47"/>
      <c r="K25" s="43">
        <f t="shared" ref="K25" si="0">I25*J25</f>
        <v>0</v>
      </c>
      <c r="L25" s="43">
        <f t="shared" ref="L25" si="1">H25-K25</f>
        <v>10990</v>
      </c>
      <c r="M25" s="43"/>
      <c r="N25" s="43">
        <f t="shared" ref="N25" si="2">L25-M25</f>
        <v>10990</v>
      </c>
      <c r="O25" s="43">
        <f t="shared" ref="O25" si="3">H25/1000*70</f>
        <v>769.30000000000007</v>
      </c>
      <c r="P25" s="42">
        <v>0</v>
      </c>
      <c r="Q25" s="42">
        <v>17.5</v>
      </c>
      <c r="R25" s="42">
        <f t="shared" ref="R25" si="4">L25*Q25</f>
        <v>192325</v>
      </c>
      <c r="S25" s="62"/>
      <c r="T25" s="62"/>
      <c r="U25" s="62"/>
      <c r="V25" s="62"/>
      <c r="W25" s="62"/>
    </row>
    <row r="26" spans="1:23">
      <c r="A26" s="63"/>
      <c r="B26" s="142"/>
      <c r="C26" s="142"/>
      <c r="D26" s="67"/>
      <c r="E26" s="67"/>
      <c r="F26" s="67"/>
      <c r="G26" s="67"/>
      <c r="H26" s="67"/>
      <c r="I26" s="67"/>
      <c r="J26" s="67"/>
      <c r="K26" s="67"/>
      <c r="L26" s="68"/>
      <c r="M26" s="68"/>
      <c r="N26" s="68"/>
      <c r="O26" s="68"/>
      <c r="P26" s="67"/>
      <c r="Q26" s="67"/>
      <c r="R26" s="67"/>
      <c r="S26" s="62"/>
      <c r="T26" s="62"/>
      <c r="U26" s="62"/>
      <c r="V26" s="62"/>
      <c r="W26" s="62"/>
    </row>
    <row r="27" spans="1:23">
      <c r="A27" s="63" t="s">
        <v>3425</v>
      </c>
      <c r="B27" s="42" t="s">
        <v>3276</v>
      </c>
      <c r="C27" s="42" t="s">
        <v>88</v>
      </c>
      <c r="D27" s="42" t="s">
        <v>16</v>
      </c>
      <c r="E27" s="47" t="s">
        <v>3426</v>
      </c>
      <c r="F27" s="47">
        <v>902</v>
      </c>
      <c r="G27" s="47"/>
      <c r="H27" s="47">
        <v>4700</v>
      </c>
      <c r="I27" s="47">
        <f>H27/50</f>
        <v>94</v>
      </c>
      <c r="J27" s="47"/>
      <c r="K27" s="43">
        <f t="shared" ref="K27" si="5">I27*J27</f>
        <v>0</v>
      </c>
      <c r="L27" s="43">
        <f t="shared" ref="L27" si="6">H27-K27</f>
        <v>4700</v>
      </c>
      <c r="M27" s="43"/>
      <c r="N27" s="43">
        <f t="shared" ref="N27" si="7">L27-M27</f>
        <v>4700</v>
      </c>
      <c r="O27" s="43">
        <v>0</v>
      </c>
      <c r="P27" s="42">
        <v>0</v>
      </c>
      <c r="Q27" s="42">
        <v>18</v>
      </c>
      <c r="R27" s="42">
        <f t="shared" ref="R27" si="8">L27*Q27</f>
        <v>84600</v>
      </c>
      <c r="S27" s="62"/>
      <c r="T27" s="62"/>
      <c r="U27" s="62"/>
      <c r="V27" s="62"/>
      <c r="W27" s="62"/>
    </row>
    <row r="28" spans="1:23">
      <c r="A28" s="63"/>
      <c r="B28" s="142"/>
      <c r="C28" s="142"/>
      <c r="D28" s="67"/>
      <c r="E28" s="67"/>
      <c r="F28" s="67"/>
      <c r="G28" s="67"/>
      <c r="H28" s="67"/>
      <c r="I28" s="67"/>
      <c r="J28" s="67"/>
      <c r="K28" s="67"/>
      <c r="L28" s="68"/>
      <c r="M28" s="68"/>
      <c r="N28" s="68"/>
      <c r="O28" s="68"/>
      <c r="P28" s="67"/>
      <c r="Q28" s="67"/>
      <c r="R28" s="67"/>
      <c r="S28" s="62"/>
      <c r="T28" s="62"/>
      <c r="U28" s="62"/>
      <c r="V28" s="62"/>
      <c r="W28" s="62"/>
    </row>
    <row r="29" spans="1:23">
      <c r="A29" s="63" t="s">
        <v>3435</v>
      </c>
      <c r="B29" s="42" t="s">
        <v>3276</v>
      </c>
      <c r="C29" s="42" t="s">
        <v>88</v>
      </c>
      <c r="D29" s="42" t="s">
        <v>16</v>
      </c>
      <c r="E29" s="47" t="s">
        <v>2955</v>
      </c>
      <c r="F29" s="47">
        <v>903</v>
      </c>
      <c r="G29" s="47"/>
      <c r="H29" s="47">
        <v>9990</v>
      </c>
      <c r="I29" s="47">
        <v>200</v>
      </c>
      <c r="J29" s="47"/>
      <c r="K29" s="43">
        <f t="shared" ref="K29" si="9">I29*J29</f>
        <v>0</v>
      </c>
      <c r="L29" s="43">
        <f t="shared" ref="L29" si="10">H29-K29</f>
        <v>9990</v>
      </c>
      <c r="M29" s="43"/>
      <c r="N29" s="43">
        <f t="shared" ref="N29" si="11">L29-M29</f>
        <v>9990</v>
      </c>
      <c r="O29" s="43">
        <v>0</v>
      </c>
      <c r="P29" s="42">
        <v>0</v>
      </c>
      <c r="Q29" s="42">
        <v>19</v>
      </c>
      <c r="R29" s="42">
        <f t="shared" ref="R29" si="12">L29*Q29</f>
        <v>189810</v>
      </c>
      <c r="S29" s="62"/>
      <c r="T29" s="62"/>
      <c r="U29" s="62"/>
      <c r="V29" s="62"/>
      <c r="W29" s="62"/>
    </row>
    <row r="30" spans="1:23">
      <c r="A30" s="63"/>
      <c r="B30" s="142"/>
      <c r="C30" s="142"/>
      <c r="D30" s="67"/>
      <c r="E30" s="67"/>
      <c r="F30" s="67"/>
      <c r="G30" s="67"/>
      <c r="H30" s="67"/>
      <c r="I30" s="67"/>
      <c r="J30" s="67"/>
      <c r="K30" s="67"/>
      <c r="L30" s="68"/>
      <c r="M30" s="68"/>
      <c r="N30" s="68"/>
      <c r="O30" s="68"/>
      <c r="P30" s="67"/>
      <c r="Q30" s="67"/>
      <c r="R30" s="67"/>
      <c r="S30" s="62"/>
      <c r="T30" s="62"/>
      <c r="U30" s="62"/>
      <c r="V30" s="62"/>
      <c r="W30" s="62"/>
    </row>
    <row r="31" spans="1:23">
      <c r="A31" s="63" t="s">
        <v>3444</v>
      </c>
      <c r="B31" s="42" t="s">
        <v>3276</v>
      </c>
      <c r="C31" s="42" t="s">
        <v>88</v>
      </c>
      <c r="D31" s="42" t="s">
        <v>16</v>
      </c>
      <c r="E31" s="47" t="s">
        <v>1169</v>
      </c>
      <c r="F31" s="47">
        <v>904</v>
      </c>
      <c r="G31" s="47"/>
      <c r="H31" s="47">
        <v>5000</v>
      </c>
      <c r="I31" s="47">
        <v>100</v>
      </c>
      <c r="J31" s="47"/>
      <c r="K31" s="43">
        <f t="shared" ref="K31" si="13">I31*J31</f>
        <v>0</v>
      </c>
      <c r="L31" s="43">
        <f t="shared" ref="L31" si="14">H31-K31</f>
        <v>5000</v>
      </c>
      <c r="M31" s="43"/>
      <c r="N31" s="43">
        <f t="shared" ref="N31" si="15">L31-M31</f>
        <v>5000</v>
      </c>
      <c r="O31" s="43">
        <v>0</v>
      </c>
      <c r="P31" s="42">
        <v>0</v>
      </c>
      <c r="Q31" s="42">
        <v>19</v>
      </c>
      <c r="R31" s="42">
        <f t="shared" ref="R31" si="16">L31*Q31</f>
        <v>95000</v>
      </c>
      <c r="S31" s="62"/>
      <c r="T31" s="62"/>
      <c r="U31" s="62"/>
      <c r="V31" s="62"/>
      <c r="W31" s="62"/>
    </row>
    <row r="32" spans="1:23">
      <c r="A32" s="63"/>
      <c r="B32" s="142"/>
      <c r="C32" s="142"/>
      <c r="D32" s="67"/>
      <c r="E32" s="67"/>
      <c r="F32" s="67"/>
      <c r="G32" s="67"/>
      <c r="H32" s="67"/>
      <c r="I32" s="67"/>
      <c r="J32" s="67"/>
      <c r="K32" s="67"/>
      <c r="L32" s="68"/>
      <c r="M32" s="68"/>
      <c r="N32" s="68"/>
      <c r="O32" s="68"/>
      <c r="P32" s="67"/>
      <c r="Q32" s="67"/>
      <c r="R32" s="67"/>
      <c r="S32" s="62"/>
      <c r="T32" s="62"/>
      <c r="U32" s="62"/>
      <c r="V32" s="62"/>
      <c r="W32" s="62"/>
    </row>
    <row r="33" spans="1:23">
      <c r="A33" s="63"/>
      <c r="B33" s="142"/>
      <c r="C33" s="142"/>
      <c r="D33" s="67"/>
      <c r="E33" s="67"/>
      <c r="F33" s="67"/>
      <c r="G33" s="67"/>
      <c r="H33" s="67"/>
      <c r="I33" s="67"/>
      <c r="J33" s="67"/>
      <c r="K33" s="67"/>
      <c r="L33" s="68"/>
      <c r="M33" s="68"/>
      <c r="N33" s="68"/>
      <c r="O33" s="68"/>
      <c r="P33" s="67"/>
      <c r="Q33" s="67"/>
      <c r="R33" s="67"/>
      <c r="S33" s="62"/>
      <c r="T33" s="62"/>
      <c r="U33" s="62"/>
      <c r="V33" s="62"/>
      <c r="W33" s="62"/>
    </row>
    <row r="34" spans="1:23">
      <c r="A34" s="63"/>
      <c r="B34" s="142"/>
      <c r="C34" s="142"/>
      <c r="D34" s="67"/>
      <c r="E34" s="67"/>
      <c r="F34" s="67"/>
      <c r="G34" s="67"/>
      <c r="H34" s="67"/>
      <c r="I34" s="67"/>
      <c r="J34" s="67"/>
      <c r="K34" s="67"/>
      <c r="L34" s="68"/>
      <c r="M34" s="68"/>
      <c r="N34" s="68"/>
      <c r="O34" s="68"/>
      <c r="P34" s="67"/>
      <c r="Q34" s="67"/>
      <c r="R34" s="67"/>
      <c r="S34" s="62"/>
      <c r="T34" s="62"/>
      <c r="U34" s="62"/>
      <c r="V34" s="62"/>
      <c r="W34" s="62"/>
    </row>
    <row r="35" spans="1:23">
      <c r="A35" s="63"/>
      <c r="B35" s="142"/>
      <c r="C35" s="142"/>
      <c r="D35" s="67"/>
      <c r="E35" s="67"/>
      <c r="F35" s="67"/>
      <c r="G35" s="67"/>
      <c r="H35" s="67"/>
      <c r="I35" s="67"/>
      <c r="J35" s="67"/>
      <c r="K35" s="67"/>
      <c r="L35" s="68"/>
      <c r="M35" s="68"/>
      <c r="N35" s="68"/>
      <c r="O35" s="68"/>
      <c r="P35" s="67"/>
      <c r="Q35" s="67"/>
      <c r="R35" s="67"/>
      <c r="S35" s="62"/>
      <c r="T35" s="62"/>
      <c r="U35" s="62"/>
      <c r="V35" s="62"/>
      <c r="W35" s="62"/>
    </row>
    <row r="36" spans="1:23">
      <c r="A36" s="63"/>
      <c r="B36" s="142"/>
      <c r="C36" s="142"/>
      <c r="D36" s="67"/>
      <c r="E36" s="67"/>
      <c r="F36" s="67"/>
      <c r="G36" s="67"/>
      <c r="H36" s="67"/>
      <c r="I36" s="67"/>
      <c r="J36" s="67"/>
      <c r="K36" s="67"/>
      <c r="L36" s="68"/>
      <c r="M36" s="68"/>
      <c r="N36" s="68"/>
      <c r="O36" s="68"/>
      <c r="P36" s="67"/>
      <c r="Q36" s="67"/>
      <c r="R36" s="67"/>
      <c r="S36" s="62"/>
      <c r="T36" s="62"/>
      <c r="U36" s="62"/>
      <c r="V36" s="62"/>
      <c r="W36" s="62"/>
    </row>
    <row r="37" spans="1:23">
      <c r="A37" s="63"/>
      <c r="B37" s="142"/>
      <c r="C37" s="142"/>
      <c r="D37" s="67"/>
      <c r="E37" s="67"/>
      <c r="F37" s="67"/>
      <c r="G37" s="67"/>
      <c r="H37" s="67"/>
      <c r="I37" s="67"/>
      <c r="J37" s="67"/>
      <c r="K37" s="67"/>
      <c r="L37" s="68"/>
      <c r="M37" s="68"/>
      <c r="N37" s="68"/>
      <c r="O37" s="68"/>
      <c r="P37" s="67"/>
      <c r="Q37" s="67"/>
      <c r="R37" s="67"/>
      <c r="S37" s="62"/>
      <c r="T37" s="62"/>
      <c r="U37" s="62"/>
      <c r="V37" s="62"/>
      <c r="W37" s="62"/>
    </row>
    <row r="38" spans="1:23">
      <c r="A38" s="63"/>
      <c r="B38" s="142"/>
      <c r="C38" s="142"/>
      <c r="D38" s="67"/>
      <c r="E38" s="67"/>
      <c r="F38" s="67"/>
      <c r="G38" s="67"/>
      <c r="H38" s="67"/>
      <c r="I38" s="67"/>
      <c r="J38" s="67"/>
      <c r="K38" s="67"/>
      <c r="L38" s="68"/>
      <c r="M38" s="68"/>
      <c r="N38" s="68"/>
      <c r="O38" s="68"/>
      <c r="P38" s="67"/>
      <c r="Q38" s="67"/>
      <c r="R38" s="67"/>
      <c r="S38" s="62"/>
      <c r="T38" s="62"/>
      <c r="U38" s="62"/>
      <c r="V38" s="62"/>
      <c r="W38" s="62"/>
    </row>
    <row r="39" spans="1:23">
      <c r="A39" s="63"/>
      <c r="B39" s="142"/>
      <c r="C39" s="142"/>
      <c r="D39" s="67"/>
      <c r="E39" s="67"/>
      <c r="F39" s="67"/>
      <c r="G39" s="67"/>
      <c r="H39" s="67"/>
      <c r="I39" s="67"/>
      <c r="J39" s="67"/>
      <c r="K39" s="67"/>
      <c r="L39" s="68"/>
      <c r="M39" s="68"/>
      <c r="N39" s="68"/>
      <c r="O39" s="68"/>
      <c r="P39" s="67"/>
      <c r="Q39" s="67"/>
      <c r="R39" s="67"/>
      <c r="S39" s="62"/>
      <c r="T39" s="62"/>
      <c r="U39" s="62"/>
      <c r="V39" s="62"/>
      <c r="W39" s="62"/>
    </row>
    <row r="40" spans="1:23">
      <c r="A40" s="63"/>
      <c r="B40" s="142"/>
      <c r="C40" s="142"/>
      <c r="D40" s="67"/>
      <c r="E40" s="67"/>
      <c r="F40" s="67"/>
      <c r="G40" s="67"/>
      <c r="H40" s="67"/>
      <c r="I40" s="67"/>
      <c r="J40" s="67"/>
      <c r="K40" s="67"/>
      <c r="L40" s="68"/>
      <c r="M40" s="68"/>
      <c r="N40" s="68"/>
      <c r="O40" s="68"/>
      <c r="P40" s="67"/>
      <c r="Q40" s="67"/>
      <c r="R40" s="67"/>
      <c r="S40" s="62"/>
      <c r="T40" s="62"/>
      <c r="U40" s="62"/>
      <c r="V40" s="62"/>
      <c r="W40" s="62"/>
    </row>
    <row r="41" spans="1:23">
      <c r="A41" s="63"/>
      <c r="B41" s="142"/>
      <c r="C41" s="142"/>
      <c r="D41" s="67"/>
      <c r="E41" s="67"/>
      <c r="F41" s="67"/>
      <c r="G41" s="67"/>
      <c r="H41" s="67"/>
      <c r="I41" s="67"/>
      <c r="J41" s="67"/>
      <c r="K41" s="67"/>
      <c r="L41" s="68"/>
      <c r="M41" s="68"/>
      <c r="N41" s="68"/>
      <c r="O41" s="68"/>
      <c r="P41" s="67"/>
      <c r="Q41" s="67"/>
      <c r="R41" s="67"/>
      <c r="S41" s="62"/>
      <c r="T41" s="62"/>
      <c r="U41" s="62"/>
      <c r="V41" s="62"/>
      <c r="W41" s="62"/>
    </row>
    <row r="42" spans="1:23">
      <c r="A42" s="63"/>
      <c r="B42" s="142"/>
      <c r="C42" s="142"/>
      <c r="D42" s="67"/>
      <c r="E42" s="67"/>
      <c r="F42" s="67"/>
      <c r="G42" s="67"/>
      <c r="H42" s="67"/>
      <c r="I42" s="67"/>
      <c r="J42" s="67"/>
      <c r="K42" s="67"/>
      <c r="L42" s="68"/>
      <c r="M42" s="68"/>
      <c r="N42" s="68"/>
      <c r="O42" s="68"/>
      <c r="P42" s="67"/>
      <c r="Q42" s="67"/>
      <c r="R42" s="67"/>
      <c r="S42" s="62"/>
      <c r="T42" s="62"/>
      <c r="U42" s="62"/>
      <c r="V42" s="62"/>
      <c r="W42" s="62"/>
    </row>
    <row r="43" spans="1:23">
      <c r="A43" s="63"/>
      <c r="B43" s="142"/>
      <c r="C43" s="142"/>
      <c r="D43" s="67"/>
      <c r="E43" s="67"/>
      <c r="F43" s="67"/>
      <c r="G43" s="67"/>
      <c r="H43" s="67"/>
      <c r="I43" s="67"/>
      <c r="J43" s="67"/>
      <c r="K43" s="67"/>
      <c r="L43" s="68"/>
      <c r="M43" s="68"/>
      <c r="N43" s="68"/>
      <c r="O43" s="68"/>
      <c r="P43" s="67"/>
      <c r="Q43" s="67"/>
      <c r="R43" s="67"/>
      <c r="S43" s="62"/>
      <c r="T43" s="62"/>
      <c r="U43" s="62"/>
      <c r="V43" s="62"/>
      <c r="W43" s="62"/>
    </row>
    <row r="44" spans="1:23">
      <c r="A44" s="63"/>
      <c r="B44" s="142"/>
      <c r="C44" s="142"/>
      <c r="D44" s="67"/>
      <c r="E44" s="67"/>
      <c r="F44" s="67"/>
      <c r="G44" s="67"/>
      <c r="H44" s="67"/>
      <c r="I44" s="67"/>
      <c r="J44" s="67"/>
      <c r="K44" s="67"/>
      <c r="L44" s="68"/>
      <c r="M44" s="68"/>
      <c r="N44" s="68"/>
      <c r="O44" s="68"/>
      <c r="P44" s="67"/>
      <c r="Q44" s="67"/>
      <c r="R44" s="67"/>
      <c r="S44" s="62"/>
      <c r="T44" s="62"/>
      <c r="U44" s="62"/>
      <c r="V44" s="62"/>
      <c r="W44" s="62"/>
    </row>
    <row r="45" spans="1:23">
      <c r="A45" s="62"/>
      <c r="B45" s="142"/>
      <c r="C45" s="142"/>
      <c r="D45" s="67"/>
      <c r="E45" s="67"/>
      <c r="F45" s="67"/>
      <c r="G45" s="67"/>
      <c r="H45" s="67"/>
      <c r="I45" s="67"/>
      <c r="J45" s="67"/>
      <c r="K45" s="67"/>
      <c r="L45" s="68"/>
      <c r="M45" s="68"/>
      <c r="N45" s="68"/>
      <c r="O45" s="68"/>
      <c r="P45" s="67"/>
      <c r="Q45" s="67"/>
      <c r="R45" s="67"/>
      <c r="S45" s="62"/>
      <c r="T45" s="62"/>
      <c r="U45" s="62"/>
      <c r="V45" s="62"/>
      <c r="W45" s="62"/>
    </row>
    <row r="46" spans="1:23">
      <c r="A46" s="62"/>
      <c r="B46" s="62"/>
      <c r="C46" s="62"/>
      <c r="D46" s="62"/>
      <c r="E46" s="62"/>
      <c r="F46" s="62"/>
      <c r="G46" s="62"/>
      <c r="H46" s="62"/>
      <c r="I46" s="62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</row>
    <row r="47" spans="1:23">
      <c r="A47" s="62"/>
      <c r="B47" s="62"/>
      <c r="C47" s="62"/>
      <c r="D47" s="62"/>
      <c r="E47" s="62"/>
      <c r="F47" s="62"/>
      <c r="G47" s="62"/>
      <c r="H47" s="62"/>
      <c r="I47" s="62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</row>
    <row r="48" spans="1:23">
      <c r="A48" s="62"/>
      <c r="B48" s="62"/>
      <c r="C48" s="62"/>
      <c r="D48" s="62"/>
      <c r="E48" s="62"/>
      <c r="F48" s="62"/>
      <c r="G48" s="62"/>
      <c r="H48" s="62"/>
      <c r="I48" s="62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</row>
    <row r="49" spans="1:23">
      <c r="A49" s="62"/>
      <c r="B49" s="62"/>
      <c r="C49" s="62"/>
      <c r="D49" s="62"/>
      <c r="E49" s="62"/>
      <c r="F49" s="62"/>
      <c r="G49" s="62"/>
      <c r="H49" s="62"/>
      <c r="I49" s="62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</row>
    <row r="50" spans="1:23">
      <c r="A50" s="62"/>
      <c r="B50" s="62"/>
      <c r="C50" s="62"/>
      <c r="D50" s="62"/>
      <c r="E50" s="62"/>
      <c r="F50" s="62"/>
      <c r="G50" s="62"/>
      <c r="H50" s="62"/>
      <c r="I50" s="62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</row>
    <row r="72" spans="12:12">
      <c r="L72" s="16">
        <f>SUM(L7:L71)</f>
        <v>47580</v>
      </c>
    </row>
  </sheetData>
  <mergeCells count="1">
    <mergeCell ref="A21:A22"/>
  </mergeCells>
  <pageMargins left="0.7" right="0.7" top="0.75" bottom="0.75" header="0.3" footer="0.3"/>
  <pageSetup paperSize="9" orientation="landscape" verticalDpi="0" r:id="rId1"/>
</worksheet>
</file>

<file path=xl/worksheets/sheet37.xml><?xml version="1.0" encoding="utf-8"?>
<worksheet xmlns="http://schemas.openxmlformats.org/spreadsheetml/2006/main" xmlns:r="http://schemas.openxmlformats.org/officeDocument/2006/relationships">
  <dimension ref="A5:W68"/>
  <sheetViews>
    <sheetView topLeftCell="A10" workbookViewId="0">
      <selection activeCell="B32" sqref="B32"/>
    </sheetView>
  </sheetViews>
  <sheetFormatPr defaultRowHeight="14.4"/>
  <cols>
    <col min="1" max="1" width="7.88671875" style="1" customWidth="1"/>
    <col min="2" max="2" width="22" style="1" customWidth="1"/>
    <col min="3" max="3" width="7.77734375" style="1" customWidth="1"/>
    <col min="4" max="4" width="4.77734375" style="1" customWidth="1"/>
    <col min="5" max="5" width="9.88671875" style="1" customWidth="1"/>
    <col min="6" max="6" width="7.6640625" style="1" customWidth="1"/>
    <col min="7" max="7" width="6.6640625" style="1" customWidth="1"/>
    <col min="8" max="8" width="7.44140625" style="1" customWidth="1"/>
    <col min="9" max="9" width="5.88671875" style="1" customWidth="1"/>
    <col min="10" max="10" width="6" style="1" customWidth="1"/>
    <col min="11" max="11" width="8.44140625" style="1" customWidth="1"/>
    <col min="12" max="12" width="8.21875" style="1" customWidth="1"/>
    <col min="13" max="13" width="7.33203125" style="1" customWidth="1"/>
    <col min="14" max="18" width="8.88671875" style="1"/>
    <col min="19" max="19" width="9" style="1" customWidth="1"/>
    <col min="20" max="16384" width="8.88671875" style="1"/>
  </cols>
  <sheetData>
    <row r="5" spans="1:23" ht="23.4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3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676</v>
      </c>
      <c r="M5" s="95" t="s">
        <v>677</v>
      </c>
      <c r="N5" s="3" t="s">
        <v>11</v>
      </c>
      <c r="O5" s="3" t="s">
        <v>36</v>
      </c>
      <c r="P5" s="3" t="s">
        <v>12</v>
      </c>
      <c r="Q5" s="3" t="s">
        <v>256</v>
      </c>
      <c r="R5" s="3" t="s">
        <v>257</v>
      </c>
      <c r="S5" s="3" t="s">
        <v>2</v>
      </c>
      <c r="T5" s="14" t="s">
        <v>80</v>
      </c>
      <c r="U5" s="14" t="s">
        <v>125</v>
      </c>
    </row>
    <row r="6" spans="1:23">
      <c r="A6" s="63"/>
      <c r="B6" s="301"/>
      <c r="C6" s="301"/>
      <c r="D6" s="301"/>
      <c r="E6" s="301"/>
      <c r="F6" s="301"/>
      <c r="G6" s="301"/>
      <c r="H6" s="301"/>
      <c r="I6" s="301"/>
      <c r="J6" s="301"/>
      <c r="K6" s="301"/>
      <c r="L6" s="61"/>
      <c r="M6" s="61"/>
      <c r="N6" s="301"/>
      <c r="O6" s="62"/>
      <c r="P6" s="62"/>
      <c r="Q6" s="62"/>
      <c r="R6" s="62"/>
      <c r="S6" s="62"/>
      <c r="U6" s="17"/>
    </row>
    <row r="7" spans="1:23">
      <c r="A7" s="63"/>
      <c r="B7" s="67"/>
      <c r="C7" s="67"/>
      <c r="D7" s="67"/>
      <c r="E7" s="67"/>
      <c r="F7" s="67"/>
      <c r="G7" s="67"/>
      <c r="H7" s="67"/>
      <c r="I7" s="67"/>
      <c r="J7" s="67"/>
      <c r="K7" s="68"/>
      <c r="L7" s="68"/>
      <c r="M7" s="68"/>
      <c r="N7" s="68"/>
      <c r="O7" s="68"/>
      <c r="P7" s="67"/>
      <c r="Q7" s="62"/>
      <c r="R7" s="62"/>
      <c r="S7" s="62"/>
      <c r="T7" s="62"/>
      <c r="U7" s="62"/>
      <c r="V7" s="62"/>
      <c r="W7" s="62"/>
    </row>
    <row r="8" spans="1:23">
      <c r="A8" s="63"/>
      <c r="B8" s="67"/>
      <c r="C8" s="67"/>
      <c r="D8" s="67"/>
      <c r="E8" s="67"/>
      <c r="F8" s="67"/>
      <c r="G8" s="67"/>
      <c r="H8" s="67"/>
      <c r="I8" s="67"/>
      <c r="J8" s="67"/>
      <c r="K8" s="67"/>
      <c r="L8" s="68"/>
      <c r="M8" s="68"/>
      <c r="N8" s="68"/>
      <c r="O8" s="68"/>
      <c r="P8" s="67"/>
      <c r="Q8" s="62"/>
      <c r="R8" s="62"/>
      <c r="S8" s="62"/>
      <c r="T8" s="62"/>
      <c r="U8" s="62"/>
      <c r="V8" s="62"/>
      <c r="W8" s="62"/>
    </row>
    <row r="9" spans="1:23">
      <c r="A9" s="63"/>
      <c r="B9" s="67"/>
      <c r="C9" s="67"/>
      <c r="D9" s="67"/>
      <c r="E9" s="67"/>
      <c r="F9" s="67"/>
      <c r="G9" s="67"/>
      <c r="H9" s="67"/>
      <c r="I9" s="67"/>
      <c r="J9" s="67"/>
      <c r="K9" s="68"/>
      <c r="L9" s="68"/>
      <c r="M9" s="68"/>
      <c r="N9" s="68"/>
      <c r="O9" s="68"/>
      <c r="P9" s="67"/>
      <c r="Q9" s="62"/>
      <c r="R9" s="62"/>
      <c r="S9" s="62"/>
      <c r="T9" s="62"/>
      <c r="U9" s="62"/>
      <c r="V9" s="62"/>
      <c r="W9" s="62"/>
    </row>
    <row r="10" spans="1:23">
      <c r="A10" s="63"/>
      <c r="B10" s="67"/>
      <c r="C10" s="67"/>
      <c r="D10" s="67"/>
      <c r="E10" s="67"/>
      <c r="F10" s="67"/>
      <c r="G10" s="67"/>
      <c r="H10" s="67"/>
      <c r="I10" s="67"/>
      <c r="J10" s="67"/>
      <c r="K10" s="68"/>
      <c r="L10" s="68"/>
      <c r="M10" s="68"/>
      <c r="N10" s="68"/>
      <c r="O10" s="68"/>
      <c r="P10" s="67"/>
      <c r="Q10" s="62"/>
      <c r="R10" s="62"/>
      <c r="S10" s="62"/>
      <c r="T10" s="62"/>
      <c r="U10" s="62"/>
      <c r="V10" s="62"/>
      <c r="W10" s="62"/>
    </row>
    <row r="11" spans="1:23">
      <c r="A11" s="63"/>
      <c r="B11" s="67"/>
      <c r="C11" s="67"/>
      <c r="D11" s="67"/>
      <c r="E11" s="67"/>
      <c r="F11" s="67"/>
      <c r="G11" s="67"/>
      <c r="H11" s="67"/>
      <c r="I11" s="67"/>
      <c r="J11" s="67"/>
      <c r="K11" s="68"/>
      <c r="L11" s="68"/>
      <c r="M11" s="68"/>
      <c r="N11" s="68"/>
      <c r="O11" s="68"/>
      <c r="P11" s="67"/>
      <c r="Q11" s="62"/>
      <c r="R11" s="62"/>
      <c r="S11" s="62"/>
      <c r="T11" s="62"/>
      <c r="U11" s="62"/>
      <c r="V11" s="62"/>
      <c r="W11" s="62"/>
    </row>
    <row r="12" spans="1:23">
      <c r="A12" s="63"/>
      <c r="B12" s="67"/>
      <c r="C12" s="67"/>
      <c r="D12" s="67"/>
      <c r="E12" s="67"/>
      <c r="F12" s="67"/>
      <c r="G12" s="67"/>
      <c r="H12" s="67"/>
      <c r="I12" s="67"/>
      <c r="J12" s="67"/>
      <c r="K12" s="68"/>
      <c r="L12" s="68"/>
      <c r="M12" s="68"/>
      <c r="N12" s="68"/>
      <c r="O12" s="68"/>
      <c r="P12" s="67"/>
      <c r="Q12" s="67"/>
      <c r="R12" s="67"/>
      <c r="S12" s="62"/>
      <c r="T12" s="62"/>
      <c r="U12" s="62"/>
      <c r="V12" s="62"/>
      <c r="W12" s="62"/>
    </row>
    <row r="13" spans="1:23">
      <c r="A13" s="63"/>
      <c r="B13" s="67"/>
      <c r="C13" s="67"/>
      <c r="D13" s="67"/>
      <c r="E13" s="67"/>
      <c r="F13" s="67"/>
      <c r="G13" s="67"/>
      <c r="H13" s="67"/>
      <c r="I13" s="67"/>
      <c r="J13" s="67"/>
      <c r="K13" s="68"/>
      <c r="L13" s="68"/>
      <c r="M13" s="68"/>
      <c r="N13" s="68"/>
      <c r="O13" s="68"/>
      <c r="P13" s="67"/>
      <c r="Q13" s="67"/>
      <c r="R13" s="67"/>
      <c r="S13" s="62"/>
      <c r="T13" s="62"/>
      <c r="U13" s="62"/>
      <c r="V13" s="62"/>
      <c r="W13" s="62"/>
    </row>
    <row r="14" spans="1:23">
      <c r="A14" s="63"/>
      <c r="B14" s="67"/>
      <c r="C14" s="67"/>
      <c r="D14" s="67"/>
      <c r="E14" s="67"/>
      <c r="F14" s="67"/>
      <c r="G14" s="67"/>
      <c r="H14" s="67"/>
      <c r="I14" s="67"/>
      <c r="J14" s="67"/>
      <c r="K14" s="68"/>
      <c r="L14" s="68"/>
      <c r="M14" s="68"/>
      <c r="N14" s="68"/>
      <c r="O14" s="68"/>
      <c r="P14" s="67"/>
      <c r="Q14" s="67"/>
      <c r="R14" s="67"/>
      <c r="S14" s="62"/>
      <c r="T14" s="62"/>
      <c r="U14" s="62"/>
      <c r="V14" s="62"/>
      <c r="W14" s="62"/>
    </row>
    <row r="15" spans="1:23">
      <c r="A15" s="63"/>
      <c r="B15" s="67"/>
      <c r="C15" s="67"/>
      <c r="D15" s="67"/>
      <c r="E15" s="67"/>
      <c r="F15" s="67"/>
      <c r="G15" s="67"/>
      <c r="H15" s="67"/>
      <c r="I15" s="67"/>
      <c r="J15" s="67"/>
      <c r="K15" s="67"/>
      <c r="L15" s="68"/>
      <c r="M15" s="68"/>
      <c r="N15" s="68"/>
      <c r="O15" s="68"/>
      <c r="P15" s="67"/>
      <c r="Q15" s="67"/>
      <c r="R15" s="67"/>
      <c r="S15" s="62"/>
      <c r="T15" s="62"/>
      <c r="U15" s="62"/>
      <c r="V15" s="62"/>
      <c r="W15" s="62"/>
    </row>
    <row r="16" spans="1:23">
      <c r="A16" s="63"/>
      <c r="B16" s="67"/>
      <c r="C16" s="67"/>
      <c r="D16" s="67"/>
      <c r="E16" s="67"/>
      <c r="F16" s="67"/>
      <c r="G16" s="67"/>
      <c r="H16" s="67"/>
      <c r="I16" s="67"/>
      <c r="J16" s="67"/>
      <c r="K16" s="67"/>
      <c r="L16" s="68"/>
      <c r="M16" s="68"/>
      <c r="N16" s="68"/>
      <c r="O16" s="68"/>
      <c r="P16" s="67"/>
      <c r="Q16" s="67"/>
      <c r="R16" s="67"/>
      <c r="S16" s="62"/>
      <c r="T16" s="62"/>
      <c r="U16" s="62"/>
      <c r="V16" s="62"/>
      <c r="W16" s="62"/>
    </row>
    <row r="17" spans="1:23">
      <c r="A17" s="63"/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8"/>
      <c r="M17" s="68"/>
      <c r="N17" s="68"/>
      <c r="O17" s="68"/>
      <c r="P17" s="67"/>
      <c r="Q17" s="67"/>
      <c r="R17" s="67"/>
      <c r="S17" s="62"/>
      <c r="T17" s="62"/>
      <c r="U17" s="62"/>
      <c r="V17" s="62"/>
      <c r="W17" s="62"/>
    </row>
    <row r="18" spans="1:23">
      <c r="A18" s="63"/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8"/>
      <c r="M18" s="68"/>
      <c r="N18" s="68"/>
      <c r="O18" s="68"/>
      <c r="P18" s="67"/>
      <c r="Q18" s="67"/>
      <c r="R18" s="67"/>
      <c r="S18" s="62"/>
      <c r="T18" s="62"/>
      <c r="U18" s="62"/>
      <c r="V18" s="62"/>
      <c r="W18" s="62"/>
    </row>
    <row r="19" spans="1:23">
      <c r="A19" s="62"/>
      <c r="B19" s="67"/>
      <c r="C19" s="67"/>
      <c r="D19" s="67"/>
      <c r="E19" s="67"/>
      <c r="F19" s="67"/>
      <c r="G19" s="67"/>
      <c r="H19" s="67"/>
      <c r="I19" s="67"/>
      <c r="J19" s="67"/>
      <c r="K19" s="67"/>
      <c r="L19" s="68"/>
      <c r="M19" s="68"/>
      <c r="N19" s="68"/>
      <c r="O19" s="68"/>
      <c r="P19" s="67"/>
      <c r="Q19" s="67"/>
      <c r="R19" s="67"/>
      <c r="S19" s="62"/>
      <c r="T19" s="62"/>
      <c r="U19" s="62"/>
      <c r="V19" s="62"/>
      <c r="W19" s="62"/>
    </row>
    <row r="20" spans="1:23">
      <c r="A20" s="63"/>
      <c r="B20" s="142"/>
      <c r="C20" s="142"/>
      <c r="D20" s="67"/>
      <c r="E20" s="67"/>
      <c r="F20" s="67"/>
      <c r="G20" s="67"/>
      <c r="H20" s="67"/>
      <c r="I20" s="67"/>
      <c r="J20" s="67"/>
      <c r="K20" s="67"/>
      <c r="L20" s="68"/>
      <c r="M20" s="68"/>
      <c r="N20" s="68"/>
      <c r="O20" s="68"/>
      <c r="P20" s="67"/>
      <c r="Q20" s="67"/>
      <c r="R20" s="67"/>
      <c r="S20" s="62"/>
      <c r="T20" s="62"/>
      <c r="U20" s="62"/>
      <c r="V20" s="62"/>
      <c r="W20" s="62"/>
    </row>
    <row r="21" spans="1:23">
      <c r="A21" s="63"/>
      <c r="B21" s="142"/>
      <c r="C21" s="142"/>
      <c r="D21" s="67"/>
      <c r="E21" s="67"/>
      <c r="F21" s="67"/>
      <c r="G21" s="67"/>
      <c r="H21" s="67"/>
      <c r="I21" s="67"/>
      <c r="J21" s="67"/>
      <c r="K21" s="67"/>
      <c r="L21" s="68"/>
      <c r="M21" s="68"/>
      <c r="N21" s="68"/>
      <c r="O21" s="68"/>
      <c r="P21" s="67"/>
      <c r="Q21" s="67"/>
      <c r="R21" s="67"/>
      <c r="S21" s="62"/>
      <c r="T21" s="62"/>
      <c r="U21" s="62"/>
      <c r="V21" s="62"/>
      <c r="W21" s="62"/>
    </row>
    <row r="22" spans="1:23">
      <c r="A22" s="63" t="s">
        <v>3292</v>
      </c>
      <c r="B22" s="42" t="s">
        <v>3293</v>
      </c>
      <c r="C22" s="42" t="s">
        <v>88</v>
      </c>
      <c r="D22" s="42" t="s">
        <v>16</v>
      </c>
      <c r="E22" s="47" t="s">
        <v>3294</v>
      </c>
      <c r="F22" s="47">
        <v>51</v>
      </c>
      <c r="G22" s="47"/>
      <c r="H22" s="47">
        <v>20000</v>
      </c>
      <c r="I22" s="47">
        <v>320</v>
      </c>
      <c r="J22" s="47">
        <v>0.16900000000000001</v>
      </c>
      <c r="K22" s="43">
        <f t="shared" ref="K22" si="0">I22*J22</f>
        <v>54.080000000000005</v>
      </c>
      <c r="L22" s="43">
        <f t="shared" ref="L22" si="1">H22-K22</f>
        <v>19945.919999999998</v>
      </c>
      <c r="M22" s="43"/>
      <c r="N22" s="43">
        <f t="shared" ref="N22" si="2">L22-M22</f>
        <v>19945.919999999998</v>
      </c>
      <c r="O22" s="43">
        <f t="shared" ref="O22" si="3">H22/1000*70</f>
        <v>1400</v>
      </c>
      <c r="P22" s="42">
        <v>12000</v>
      </c>
      <c r="Q22" s="42">
        <v>17.2</v>
      </c>
      <c r="R22" s="42">
        <f t="shared" ref="R22" si="4">L22*Q22</f>
        <v>343069.82399999996</v>
      </c>
      <c r="S22" s="62"/>
      <c r="T22" s="62"/>
      <c r="U22" s="62"/>
      <c r="V22" s="62"/>
      <c r="W22" s="62"/>
    </row>
    <row r="23" spans="1:23">
      <c r="A23" s="63"/>
      <c r="B23" s="142"/>
      <c r="C23" s="142"/>
      <c r="D23" s="67"/>
      <c r="E23" s="67"/>
      <c r="F23" s="67"/>
      <c r="G23" s="67"/>
      <c r="H23" s="67"/>
      <c r="I23" s="67"/>
      <c r="J23" s="67"/>
      <c r="K23" s="67"/>
      <c r="L23" s="68"/>
      <c r="M23" s="68"/>
      <c r="N23" s="68"/>
      <c r="O23" s="68"/>
      <c r="P23" s="67"/>
      <c r="Q23" s="67"/>
      <c r="R23" s="67"/>
      <c r="S23" s="62"/>
      <c r="T23" s="62"/>
      <c r="U23" s="62"/>
      <c r="V23" s="62"/>
      <c r="W23" s="62"/>
    </row>
    <row r="24" spans="1:23">
      <c r="A24" s="63" t="s">
        <v>3297</v>
      </c>
      <c r="B24" s="42" t="s">
        <v>3298</v>
      </c>
      <c r="C24" s="42" t="s">
        <v>88</v>
      </c>
      <c r="D24" s="42" t="s">
        <v>16</v>
      </c>
      <c r="E24" s="47" t="s">
        <v>3299</v>
      </c>
      <c r="F24" s="47">
        <v>903</v>
      </c>
      <c r="G24" s="47"/>
      <c r="H24" s="47">
        <v>16720</v>
      </c>
      <c r="I24" s="47">
        <v>267</v>
      </c>
      <c r="J24" s="47">
        <v>0.5</v>
      </c>
      <c r="K24" s="43">
        <f t="shared" ref="K24" si="5">I24*J24</f>
        <v>133.5</v>
      </c>
      <c r="L24" s="43">
        <f t="shared" ref="L24" si="6">H24-K24</f>
        <v>16586.5</v>
      </c>
      <c r="M24" s="43"/>
      <c r="N24" s="43">
        <f t="shared" ref="N24" si="7">L24-M24</f>
        <v>16586.5</v>
      </c>
      <c r="O24" s="43">
        <f t="shared" ref="O24" si="8">H24/1000*70</f>
        <v>1170.3999999999999</v>
      </c>
      <c r="P24" s="42">
        <v>28500</v>
      </c>
      <c r="Q24" s="42">
        <v>17.2</v>
      </c>
      <c r="R24" s="42">
        <f t="shared" ref="R24" si="9">L24*Q24</f>
        <v>285287.8</v>
      </c>
      <c r="S24" s="62"/>
      <c r="T24" s="62"/>
      <c r="U24" s="62"/>
      <c r="V24" s="62"/>
      <c r="W24" s="62"/>
    </row>
    <row r="25" spans="1:23">
      <c r="A25" s="63"/>
      <c r="B25" s="142"/>
      <c r="C25" s="142"/>
      <c r="D25" s="67"/>
      <c r="E25" s="67"/>
      <c r="F25" s="67"/>
      <c r="G25" s="67"/>
      <c r="H25" s="67"/>
      <c r="I25" s="67"/>
      <c r="J25" s="67"/>
      <c r="K25" s="67"/>
      <c r="L25" s="68"/>
      <c r="M25" s="68"/>
      <c r="N25" s="68"/>
      <c r="O25" s="68"/>
      <c r="P25" s="67"/>
      <c r="Q25" s="67"/>
      <c r="R25" s="67"/>
      <c r="S25" s="62"/>
      <c r="T25" s="62"/>
      <c r="U25" s="62"/>
      <c r="V25" s="62"/>
      <c r="W25" s="62"/>
    </row>
    <row r="26" spans="1:23">
      <c r="A26" s="374" t="s">
        <v>3308</v>
      </c>
      <c r="B26" s="42" t="s">
        <v>3298</v>
      </c>
      <c r="C26" s="42" t="s">
        <v>88</v>
      </c>
      <c r="D26" s="42" t="s">
        <v>16</v>
      </c>
      <c r="E26" s="47" t="s">
        <v>3309</v>
      </c>
      <c r="F26" s="47">
        <v>103</v>
      </c>
      <c r="G26" s="47"/>
      <c r="H26" s="47">
        <v>15780</v>
      </c>
      <c r="I26" s="47">
        <v>280</v>
      </c>
      <c r="J26" s="47">
        <v>0.5</v>
      </c>
      <c r="K26" s="43">
        <v>140</v>
      </c>
      <c r="L26" s="43">
        <v>15640</v>
      </c>
      <c r="M26" s="43"/>
      <c r="N26" s="43">
        <v>15640</v>
      </c>
      <c r="O26" s="43">
        <v>1104.5999999999999</v>
      </c>
      <c r="P26" s="42">
        <v>10000</v>
      </c>
      <c r="Q26" s="42">
        <v>17.2</v>
      </c>
      <c r="R26" s="42">
        <v>269008</v>
      </c>
      <c r="S26" s="62"/>
      <c r="T26" s="62"/>
      <c r="U26" s="62"/>
      <c r="V26" s="62"/>
      <c r="W26" s="62"/>
    </row>
    <row r="27" spans="1:23">
      <c r="A27" s="374"/>
      <c r="B27" s="42" t="s">
        <v>3298</v>
      </c>
      <c r="C27" s="42" t="s">
        <v>88</v>
      </c>
      <c r="D27" s="42" t="s">
        <v>16</v>
      </c>
      <c r="E27" s="47" t="s">
        <v>3310</v>
      </c>
      <c r="F27" s="47">
        <v>116</v>
      </c>
      <c r="G27" s="47"/>
      <c r="H27" s="47">
        <v>20950</v>
      </c>
      <c r="I27" s="47">
        <v>350</v>
      </c>
      <c r="J27" s="47">
        <v>0.13</v>
      </c>
      <c r="K27" s="43">
        <v>45.5</v>
      </c>
      <c r="L27" s="43">
        <v>20904.5</v>
      </c>
      <c r="M27" s="43"/>
      <c r="N27" s="43">
        <v>20904.5</v>
      </c>
      <c r="O27" s="43">
        <v>1466.5</v>
      </c>
      <c r="P27" s="42">
        <v>0</v>
      </c>
      <c r="Q27" s="42">
        <v>17.2</v>
      </c>
      <c r="R27" s="42">
        <v>359557.39999999997</v>
      </c>
      <c r="S27" s="62"/>
      <c r="T27" s="62"/>
      <c r="U27" s="62"/>
      <c r="V27" s="62"/>
      <c r="W27" s="62"/>
    </row>
    <row r="28" spans="1:23">
      <c r="A28" s="63" t="s">
        <v>3313</v>
      </c>
      <c r="B28" s="42" t="s">
        <v>3298</v>
      </c>
      <c r="C28" s="42" t="s">
        <v>88</v>
      </c>
      <c r="D28" s="42" t="s">
        <v>16</v>
      </c>
      <c r="E28" s="47" t="s">
        <v>3294</v>
      </c>
      <c r="F28" s="47">
        <v>799</v>
      </c>
      <c r="G28" s="47"/>
      <c r="H28" s="47">
        <v>22240</v>
      </c>
      <c r="I28" s="47">
        <v>370</v>
      </c>
      <c r="J28" s="47">
        <v>0.5</v>
      </c>
      <c r="K28" s="43">
        <v>185</v>
      </c>
      <c r="L28" s="43">
        <v>22055</v>
      </c>
      <c r="M28" s="43"/>
      <c r="N28" s="43">
        <v>22055</v>
      </c>
      <c r="O28" s="43">
        <v>1556.8</v>
      </c>
      <c r="P28" s="42">
        <v>14800</v>
      </c>
      <c r="Q28" s="42">
        <v>17.2</v>
      </c>
      <c r="R28" s="42">
        <v>379346</v>
      </c>
      <c r="S28" s="62"/>
      <c r="T28" s="62"/>
      <c r="U28" s="62"/>
      <c r="V28" s="62"/>
      <c r="W28" s="62"/>
    </row>
    <row r="29" spans="1:23">
      <c r="A29" s="63"/>
      <c r="B29" s="142"/>
      <c r="C29" s="142"/>
      <c r="D29" s="67"/>
      <c r="E29" s="67"/>
      <c r="F29" s="67"/>
      <c r="G29" s="67"/>
      <c r="H29" s="67"/>
      <c r="I29" s="67"/>
      <c r="J29" s="67"/>
      <c r="K29" s="67"/>
      <c r="L29" s="68"/>
      <c r="M29" s="68"/>
      <c r="N29" s="68"/>
      <c r="O29" s="68"/>
      <c r="P29" s="67"/>
      <c r="Q29" s="67"/>
      <c r="R29" s="67"/>
      <c r="S29" s="62"/>
      <c r="T29" s="62"/>
      <c r="U29" s="62"/>
      <c r="V29" s="62"/>
      <c r="W29" s="62"/>
    </row>
    <row r="30" spans="1:23">
      <c r="A30" s="63"/>
      <c r="B30" s="142"/>
      <c r="C30" s="142"/>
      <c r="D30" s="67"/>
      <c r="E30" s="67"/>
      <c r="F30" s="67"/>
      <c r="G30" s="67"/>
      <c r="H30" s="67"/>
      <c r="I30" s="67"/>
      <c r="J30" s="67"/>
      <c r="K30" s="67"/>
      <c r="L30" s="68"/>
      <c r="M30" s="68"/>
      <c r="N30" s="68"/>
      <c r="O30" s="68"/>
      <c r="P30" s="67"/>
      <c r="Q30" s="67"/>
      <c r="R30" s="67"/>
      <c r="S30" s="62"/>
      <c r="T30" s="62"/>
      <c r="U30" s="62"/>
      <c r="V30" s="62"/>
      <c r="W30" s="62"/>
    </row>
    <row r="31" spans="1:23">
      <c r="A31" s="63"/>
      <c r="B31" s="142"/>
      <c r="C31" s="142"/>
      <c r="D31" s="67"/>
      <c r="E31" s="67"/>
      <c r="F31" s="67"/>
      <c r="G31" s="67"/>
      <c r="H31" s="67"/>
      <c r="I31" s="67"/>
      <c r="J31" s="67"/>
      <c r="K31" s="67"/>
      <c r="L31" s="68"/>
      <c r="M31" s="68"/>
      <c r="N31" s="68"/>
      <c r="O31" s="68"/>
      <c r="P31" s="67"/>
      <c r="Q31" s="67"/>
      <c r="R31" s="67"/>
      <c r="S31" s="62"/>
      <c r="T31" s="62"/>
      <c r="U31" s="62"/>
      <c r="V31" s="62"/>
      <c r="W31" s="62"/>
    </row>
    <row r="32" spans="1:23">
      <c r="A32" s="63"/>
      <c r="B32" s="142"/>
      <c r="C32" s="142"/>
      <c r="D32" s="67"/>
      <c r="E32" s="67"/>
      <c r="F32" s="67"/>
      <c r="G32" s="67"/>
      <c r="H32" s="67"/>
      <c r="I32" s="67"/>
      <c r="J32" s="67"/>
      <c r="K32" s="67"/>
      <c r="L32" s="68"/>
      <c r="M32" s="68"/>
      <c r="N32" s="68"/>
      <c r="O32" s="68"/>
      <c r="P32" s="67"/>
      <c r="Q32" s="67"/>
      <c r="R32" s="67"/>
      <c r="S32" s="62"/>
      <c r="T32" s="62"/>
      <c r="U32" s="62"/>
      <c r="V32" s="62"/>
      <c r="W32" s="62"/>
    </row>
    <row r="33" spans="1:23">
      <c r="A33" s="63"/>
      <c r="B33" s="142"/>
      <c r="C33" s="142"/>
      <c r="D33" s="67"/>
      <c r="E33" s="67"/>
      <c r="F33" s="67"/>
      <c r="G33" s="67"/>
      <c r="H33" s="67"/>
      <c r="I33" s="67"/>
      <c r="J33" s="67"/>
      <c r="K33" s="67"/>
      <c r="L33" s="68"/>
      <c r="M33" s="68"/>
      <c r="N33" s="68"/>
      <c r="O33" s="68"/>
      <c r="P33" s="67"/>
      <c r="Q33" s="67"/>
      <c r="R33" s="67"/>
      <c r="S33" s="62"/>
      <c r="T33" s="62"/>
      <c r="U33" s="62"/>
      <c r="V33" s="62"/>
      <c r="W33" s="62"/>
    </row>
    <row r="34" spans="1:23">
      <c r="A34" s="63"/>
      <c r="B34" s="142"/>
      <c r="C34" s="142"/>
      <c r="D34" s="67"/>
      <c r="E34" s="67"/>
      <c r="F34" s="67"/>
      <c r="G34" s="67"/>
      <c r="H34" s="67"/>
      <c r="I34" s="67"/>
      <c r="J34" s="67"/>
      <c r="K34" s="67"/>
      <c r="L34" s="68"/>
      <c r="M34" s="68"/>
      <c r="N34" s="68"/>
      <c r="O34" s="68"/>
      <c r="P34" s="67"/>
      <c r="Q34" s="67"/>
      <c r="R34" s="67"/>
      <c r="S34" s="62"/>
      <c r="T34" s="62"/>
      <c r="U34" s="62"/>
      <c r="V34" s="62"/>
      <c r="W34" s="62"/>
    </row>
    <row r="35" spans="1:23">
      <c r="A35" s="63"/>
      <c r="B35" s="142"/>
      <c r="C35" s="142"/>
      <c r="D35" s="67"/>
      <c r="E35" s="67"/>
      <c r="F35" s="67"/>
      <c r="G35" s="67"/>
      <c r="H35" s="67"/>
      <c r="I35" s="67"/>
      <c r="J35" s="67"/>
      <c r="K35" s="67"/>
      <c r="L35" s="68"/>
      <c r="M35" s="68"/>
      <c r="N35" s="68"/>
      <c r="O35" s="68"/>
      <c r="P35" s="67"/>
      <c r="Q35" s="67"/>
      <c r="R35" s="67"/>
      <c r="S35" s="62"/>
      <c r="T35" s="62"/>
      <c r="U35" s="62"/>
      <c r="V35" s="62"/>
      <c r="W35" s="62"/>
    </row>
    <row r="36" spans="1:23">
      <c r="A36" s="63"/>
      <c r="B36" s="142"/>
      <c r="C36" s="142"/>
      <c r="D36" s="67"/>
      <c r="E36" s="67"/>
      <c r="F36" s="67"/>
      <c r="G36" s="67"/>
      <c r="H36" s="67"/>
      <c r="I36" s="67"/>
      <c r="J36" s="67"/>
      <c r="K36" s="67"/>
      <c r="L36" s="68"/>
      <c r="M36" s="68"/>
      <c r="N36" s="68"/>
      <c r="O36" s="68"/>
      <c r="P36" s="67"/>
      <c r="Q36" s="67"/>
      <c r="R36" s="67"/>
      <c r="S36" s="62"/>
      <c r="T36" s="62"/>
      <c r="U36" s="62"/>
      <c r="V36" s="62"/>
      <c r="W36" s="62"/>
    </row>
    <row r="37" spans="1:23">
      <c r="A37" s="63"/>
      <c r="B37" s="142"/>
      <c r="C37" s="142"/>
      <c r="D37" s="67"/>
      <c r="E37" s="67"/>
      <c r="F37" s="67"/>
      <c r="G37" s="67"/>
      <c r="H37" s="67"/>
      <c r="I37" s="67"/>
      <c r="J37" s="67"/>
      <c r="K37" s="67"/>
      <c r="L37" s="68"/>
      <c r="M37" s="68"/>
      <c r="N37" s="68"/>
      <c r="O37" s="68"/>
      <c r="P37" s="67"/>
      <c r="Q37" s="67"/>
      <c r="R37" s="67"/>
      <c r="S37" s="62"/>
      <c r="T37" s="62"/>
      <c r="U37" s="62"/>
      <c r="V37" s="62"/>
      <c r="W37" s="62"/>
    </row>
    <row r="38" spans="1:23">
      <c r="A38" s="63"/>
      <c r="B38" s="142"/>
      <c r="C38" s="142"/>
      <c r="D38" s="67"/>
      <c r="E38" s="67"/>
      <c r="F38" s="67"/>
      <c r="G38" s="67"/>
      <c r="H38" s="67"/>
      <c r="I38" s="67"/>
      <c r="J38" s="67"/>
      <c r="K38" s="67"/>
      <c r="L38" s="68"/>
      <c r="M38" s="68"/>
      <c r="N38" s="68"/>
      <c r="O38" s="68"/>
      <c r="P38" s="67"/>
      <c r="Q38" s="67"/>
      <c r="R38" s="67"/>
      <c r="S38" s="62"/>
      <c r="T38" s="62"/>
      <c r="U38" s="62"/>
      <c r="V38" s="62"/>
      <c r="W38" s="62"/>
    </row>
    <row r="39" spans="1:23">
      <c r="A39" s="63"/>
      <c r="B39" s="142"/>
      <c r="C39" s="142"/>
      <c r="D39" s="67"/>
      <c r="E39" s="67"/>
      <c r="F39" s="67"/>
      <c r="G39" s="67"/>
      <c r="H39" s="67"/>
      <c r="I39" s="67"/>
      <c r="J39" s="67"/>
      <c r="K39" s="67"/>
      <c r="L39" s="68"/>
      <c r="M39" s="68"/>
      <c r="N39" s="68"/>
      <c r="O39" s="68"/>
      <c r="P39" s="67"/>
      <c r="Q39" s="67"/>
      <c r="R39" s="67"/>
      <c r="S39" s="62"/>
      <c r="T39" s="62"/>
      <c r="U39" s="62"/>
      <c r="V39" s="62"/>
      <c r="W39" s="62"/>
    </row>
    <row r="40" spans="1:23">
      <c r="A40" s="63"/>
      <c r="B40" s="142"/>
      <c r="C40" s="142"/>
      <c r="D40" s="67"/>
      <c r="E40" s="67"/>
      <c r="F40" s="67"/>
      <c r="G40" s="67"/>
      <c r="H40" s="67"/>
      <c r="I40" s="67"/>
      <c r="J40" s="67"/>
      <c r="K40" s="67"/>
      <c r="L40" s="68"/>
      <c r="M40" s="68"/>
      <c r="N40" s="68"/>
      <c r="O40" s="68"/>
      <c r="P40" s="67"/>
      <c r="Q40" s="67"/>
      <c r="R40" s="67"/>
      <c r="S40" s="62"/>
      <c r="T40" s="62"/>
      <c r="U40" s="62"/>
      <c r="V40" s="62"/>
      <c r="W40" s="62"/>
    </row>
    <row r="41" spans="1:23">
      <c r="A41" s="62"/>
      <c r="B41" s="142"/>
      <c r="C41" s="142"/>
      <c r="D41" s="67"/>
      <c r="E41" s="67"/>
      <c r="F41" s="67"/>
      <c r="G41" s="67"/>
      <c r="H41" s="67"/>
      <c r="I41" s="67"/>
      <c r="J41" s="67"/>
      <c r="K41" s="67"/>
      <c r="L41" s="68"/>
      <c r="M41" s="68"/>
      <c r="N41" s="68"/>
      <c r="O41" s="68"/>
      <c r="P41" s="67"/>
      <c r="Q41" s="67"/>
      <c r="R41" s="67"/>
      <c r="S41" s="62"/>
      <c r="T41" s="62"/>
      <c r="U41" s="62"/>
      <c r="V41" s="62"/>
      <c r="W41" s="62"/>
    </row>
    <row r="42" spans="1:23">
      <c r="A42" s="62"/>
      <c r="B42" s="62"/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</row>
    <row r="43" spans="1:23">
      <c r="A43" s="62"/>
      <c r="B43" s="62"/>
      <c r="C43" s="62"/>
      <c r="D43" s="62"/>
      <c r="E43" s="62"/>
      <c r="F43" s="62"/>
      <c r="G43" s="62"/>
      <c r="H43" s="62"/>
      <c r="I43" s="62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</row>
    <row r="44" spans="1:23">
      <c r="A44" s="62"/>
      <c r="B44" s="62"/>
      <c r="C44" s="62"/>
      <c r="D44" s="62"/>
      <c r="E44" s="62"/>
      <c r="F44" s="62"/>
      <c r="G44" s="62"/>
      <c r="H44" s="62"/>
      <c r="I44" s="62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</row>
    <row r="45" spans="1:23">
      <c r="A45" s="62"/>
      <c r="B45" s="62"/>
      <c r="C45" s="62"/>
      <c r="D45" s="62"/>
      <c r="E45" s="62"/>
      <c r="F45" s="62"/>
      <c r="G45" s="62"/>
      <c r="H45" s="62"/>
      <c r="I45" s="62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</row>
    <row r="46" spans="1:23">
      <c r="A46" s="62"/>
      <c r="B46" s="62"/>
      <c r="C46" s="62"/>
      <c r="D46" s="62"/>
      <c r="E46" s="62"/>
      <c r="F46" s="62"/>
      <c r="G46" s="62"/>
      <c r="H46" s="62"/>
      <c r="I46" s="62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</row>
    <row r="68" spans="12:12">
      <c r="L68" s="16">
        <f>SUM(L7:L67)</f>
        <v>95131.92</v>
      </c>
    </row>
  </sheetData>
  <mergeCells count="1">
    <mergeCell ref="A26:A27"/>
  </mergeCells>
  <pageMargins left="0.7" right="0.7" top="0.75" bottom="0.75" header="0.3" footer="0.3"/>
  <pageSetup paperSize="9" orientation="landscape" verticalDpi="0" r:id="rId1"/>
</worksheet>
</file>

<file path=xl/worksheets/sheet38.xml><?xml version="1.0" encoding="utf-8"?>
<worksheet xmlns="http://schemas.openxmlformats.org/spreadsheetml/2006/main" xmlns:r="http://schemas.openxmlformats.org/officeDocument/2006/relationships">
  <dimension ref="A5:W60"/>
  <sheetViews>
    <sheetView topLeftCell="A10" workbookViewId="0">
      <selection activeCell="B25" sqref="B25:R25"/>
    </sheetView>
  </sheetViews>
  <sheetFormatPr defaultRowHeight="14.4"/>
  <cols>
    <col min="1" max="1" width="7.88671875" style="1" customWidth="1"/>
    <col min="2" max="2" width="22" style="1" customWidth="1"/>
    <col min="3" max="3" width="7.77734375" style="1" customWidth="1"/>
    <col min="4" max="4" width="4.77734375" style="1" customWidth="1"/>
    <col min="5" max="5" width="9.88671875" style="1" customWidth="1"/>
    <col min="6" max="6" width="7.6640625" style="1" customWidth="1"/>
    <col min="7" max="7" width="6.6640625" style="1" customWidth="1"/>
    <col min="8" max="8" width="7.44140625" style="1" customWidth="1"/>
    <col min="9" max="9" width="5.88671875" style="1" customWidth="1"/>
    <col min="10" max="10" width="6" style="1" customWidth="1"/>
    <col min="11" max="11" width="8.44140625" style="1" customWidth="1"/>
    <col min="12" max="12" width="8.21875" style="1" customWidth="1"/>
    <col min="13" max="13" width="7.33203125" style="1" customWidth="1"/>
    <col min="14" max="18" width="8.88671875" style="1"/>
    <col min="19" max="19" width="9" style="1" customWidth="1"/>
    <col min="20" max="16384" width="8.88671875" style="1"/>
  </cols>
  <sheetData>
    <row r="5" spans="1:23" ht="23.4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3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676</v>
      </c>
      <c r="M5" s="95" t="s">
        <v>677</v>
      </c>
      <c r="N5" s="3" t="s">
        <v>11</v>
      </c>
      <c r="O5" s="3" t="s">
        <v>36</v>
      </c>
      <c r="P5" s="3" t="s">
        <v>12</v>
      </c>
      <c r="Q5" s="3" t="s">
        <v>256</v>
      </c>
      <c r="R5" s="3" t="s">
        <v>257</v>
      </c>
      <c r="S5" s="3" t="s">
        <v>2</v>
      </c>
      <c r="T5" s="14" t="s">
        <v>80</v>
      </c>
      <c r="U5" s="14" t="s">
        <v>125</v>
      </c>
    </row>
    <row r="6" spans="1:23">
      <c r="A6" s="63"/>
      <c r="B6" s="301"/>
      <c r="C6" s="301"/>
      <c r="D6" s="301"/>
      <c r="E6" s="301"/>
      <c r="F6" s="301"/>
      <c r="G6" s="301"/>
      <c r="H6" s="301"/>
      <c r="I6" s="301"/>
      <c r="J6" s="301"/>
      <c r="K6" s="301"/>
      <c r="L6" s="61"/>
      <c r="M6" s="61"/>
      <c r="N6" s="301"/>
      <c r="O6" s="62"/>
      <c r="P6" s="62"/>
      <c r="Q6" s="62"/>
      <c r="R6" s="62"/>
      <c r="S6" s="62"/>
      <c r="U6" s="17"/>
    </row>
    <row r="7" spans="1:23">
      <c r="A7" s="63"/>
      <c r="B7" s="67"/>
      <c r="C7" s="67"/>
      <c r="D7" s="67"/>
      <c r="E7" s="67"/>
      <c r="F7" s="67"/>
      <c r="G7" s="67"/>
      <c r="H7" s="67"/>
      <c r="I7" s="67"/>
      <c r="J7" s="67"/>
      <c r="K7" s="68"/>
      <c r="L7" s="68"/>
      <c r="M7" s="68"/>
      <c r="N7" s="68"/>
      <c r="O7" s="68"/>
      <c r="P7" s="67"/>
      <c r="Q7" s="62"/>
      <c r="R7" s="62"/>
      <c r="S7" s="62"/>
      <c r="T7" s="62"/>
      <c r="U7" s="62"/>
      <c r="V7" s="62"/>
      <c r="W7" s="62"/>
    </row>
    <row r="8" spans="1:23">
      <c r="A8" s="63"/>
      <c r="B8" s="67"/>
      <c r="C8" s="67"/>
      <c r="D8" s="67"/>
      <c r="E8" s="67"/>
      <c r="F8" s="67"/>
      <c r="G8" s="67"/>
      <c r="H8" s="67"/>
      <c r="I8" s="67"/>
      <c r="J8" s="67"/>
      <c r="K8" s="67"/>
      <c r="L8" s="68"/>
      <c r="M8" s="68"/>
      <c r="N8" s="68"/>
      <c r="O8" s="68"/>
      <c r="P8" s="67"/>
      <c r="Q8" s="62"/>
      <c r="R8" s="62"/>
      <c r="S8" s="62"/>
      <c r="T8" s="62"/>
      <c r="U8" s="62"/>
      <c r="V8" s="62"/>
      <c r="W8" s="62"/>
    </row>
    <row r="9" spans="1:23">
      <c r="A9" s="63"/>
      <c r="B9" s="67"/>
      <c r="C9" s="67"/>
      <c r="D9" s="67"/>
      <c r="E9" s="67"/>
      <c r="F9" s="67"/>
      <c r="G9" s="67"/>
      <c r="H9" s="67"/>
      <c r="I9" s="67"/>
      <c r="J9" s="67"/>
      <c r="K9" s="68"/>
      <c r="L9" s="68"/>
      <c r="M9" s="68"/>
      <c r="N9" s="68"/>
      <c r="O9" s="68"/>
      <c r="P9" s="67"/>
      <c r="Q9" s="62"/>
      <c r="R9" s="62"/>
      <c r="S9" s="62"/>
      <c r="T9" s="62"/>
      <c r="U9" s="62"/>
      <c r="V9" s="62"/>
      <c r="W9" s="62"/>
    </row>
    <row r="10" spans="1:23">
      <c r="A10" s="63"/>
      <c r="B10" s="67"/>
      <c r="C10" s="67"/>
      <c r="D10" s="67"/>
      <c r="E10" s="67"/>
      <c r="F10" s="67"/>
      <c r="G10" s="67"/>
      <c r="H10" s="67"/>
      <c r="I10" s="67"/>
      <c r="J10" s="67"/>
      <c r="K10" s="68"/>
      <c r="L10" s="68"/>
      <c r="M10" s="68"/>
      <c r="N10" s="68"/>
      <c r="O10" s="68"/>
      <c r="P10" s="67"/>
      <c r="Q10" s="62"/>
      <c r="R10" s="62"/>
      <c r="S10" s="62"/>
      <c r="T10" s="62"/>
      <c r="U10" s="62"/>
      <c r="V10" s="62"/>
      <c r="W10" s="62"/>
    </row>
    <row r="11" spans="1:23">
      <c r="A11" s="63"/>
      <c r="B11" s="67"/>
      <c r="C11" s="67"/>
      <c r="D11" s="67"/>
      <c r="E11" s="67"/>
      <c r="F11" s="67"/>
      <c r="G11" s="67"/>
      <c r="H11" s="67"/>
      <c r="I11" s="67"/>
      <c r="J11" s="67"/>
      <c r="K11" s="68"/>
      <c r="L11" s="68"/>
      <c r="M11" s="68"/>
      <c r="N11" s="68"/>
      <c r="O11" s="68"/>
      <c r="P11" s="67"/>
      <c r="Q11" s="62"/>
      <c r="R11" s="62"/>
      <c r="S11" s="62"/>
      <c r="T11" s="62"/>
      <c r="U11" s="62"/>
      <c r="V11" s="62"/>
      <c r="W11" s="62"/>
    </row>
    <row r="12" spans="1:23">
      <c r="A12" s="63"/>
      <c r="B12" s="67"/>
      <c r="C12" s="67"/>
      <c r="D12" s="67"/>
      <c r="E12" s="67"/>
      <c r="F12" s="67"/>
      <c r="G12" s="67"/>
      <c r="H12" s="67"/>
      <c r="I12" s="67"/>
      <c r="J12" s="67"/>
      <c r="K12" s="68"/>
      <c r="L12" s="68"/>
      <c r="M12" s="68"/>
      <c r="N12" s="68"/>
      <c r="O12" s="68"/>
      <c r="P12" s="67"/>
      <c r="Q12" s="67"/>
      <c r="R12" s="67"/>
      <c r="S12" s="62"/>
      <c r="T12" s="62"/>
      <c r="U12" s="62"/>
      <c r="V12" s="62"/>
      <c r="W12" s="62"/>
    </row>
    <row r="13" spans="1:23">
      <c r="A13" s="63"/>
      <c r="B13" s="67"/>
      <c r="C13" s="67"/>
      <c r="D13" s="67"/>
      <c r="E13" s="67"/>
      <c r="F13" s="67"/>
      <c r="G13" s="67"/>
      <c r="H13" s="67"/>
      <c r="I13" s="67"/>
      <c r="J13" s="67"/>
      <c r="K13" s="68"/>
      <c r="L13" s="68"/>
      <c r="M13" s="68"/>
      <c r="N13" s="68"/>
      <c r="O13" s="68"/>
      <c r="P13" s="67"/>
      <c r="Q13" s="67"/>
      <c r="R13" s="67"/>
      <c r="S13" s="62"/>
      <c r="T13" s="62"/>
      <c r="U13" s="62"/>
      <c r="V13" s="62"/>
      <c r="W13" s="62"/>
    </row>
    <row r="14" spans="1:23">
      <c r="A14" s="63"/>
      <c r="B14" s="67"/>
      <c r="C14" s="67"/>
      <c r="D14" s="67"/>
      <c r="E14" s="67"/>
      <c r="F14" s="67"/>
      <c r="G14" s="67"/>
      <c r="H14" s="67"/>
      <c r="I14" s="67"/>
      <c r="J14" s="67"/>
      <c r="K14" s="68"/>
      <c r="L14" s="68"/>
      <c r="M14" s="68"/>
      <c r="N14" s="68"/>
      <c r="O14" s="68"/>
      <c r="P14" s="67"/>
      <c r="Q14" s="67"/>
      <c r="R14" s="67"/>
      <c r="S14" s="62"/>
      <c r="T14" s="62"/>
      <c r="U14" s="62"/>
      <c r="V14" s="62"/>
      <c r="W14" s="62"/>
    </row>
    <row r="15" spans="1:23">
      <c r="A15" s="63"/>
      <c r="B15" s="67"/>
      <c r="C15" s="67"/>
      <c r="D15" s="67"/>
      <c r="E15" s="67"/>
      <c r="F15" s="67"/>
      <c r="G15" s="67"/>
      <c r="H15" s="67"/>
      <c r="I15" s="67"/>
      <c r="J15" s="67"/>
      <c r="K15" s="67"/>
      <c r="L15" s="68"/>
      <c r="M15" s="68"/>
      <c r="N15" s="68"/>
      <c r="O15" s="68"/>
      <c r="P15" s="67"/>
      <c r="Q15" s="67"/>
      <c r="R15" s="67"/>
      <c r="S15" s="62"/>
      <c r="T15" s="62"/>
      <c r="U15" s="62"/>
      <c r="V15" s="62"/>
      <c r="W15" s="62"/>
    </row>
    <row r="16" spans="1:23">
      <c r="A16" s="63"/>
      <c r="B16" s="67"/>
      <c r="C16" s="67"/>
      <c r="D16" s="67"/>
      <c r="E16" s="67"/>
      <c r="F16" s="67"/>
      <c r="G16" s="67"/>
      <c r="H16" s="67"/>
      <c r="I16" s="67"/>
      <c r="J16" s="67"/>
      <c r="K16" s="67"/>
      <c r="L16" s="68"/>
      <c r="M16" s="68"/>
      <c r="N16" s="68"/>
      <c r="O16" s="68"/>
      <c r="P16" s="67"/>
      <c r="Q16" s="67"/>
      <c r="R16" s="67"/>
      <c r="S16" s="62"/>
      <c r="T16" s="62"/>
      <c r="U16" s="62"/>
      <c r="V16" s="62"/>
      <c r="W16" s="62"/>
    </row>
    <row r="17" spans="1:23">
      <c r="A17" s="63"/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8"/>
      <c r="M17" s="68"/>
      <c r="N17" s="68"/>
      <c r="O17" s="68"/>
      <c r="P17" s="67"/>
      <c r="Q17" s="67"/>
      <c r="R17" s="67"/>
      <c r="S17" s="62"/>
      <c r="T17" s="62"/>
      <c r="U17" s="62"/>
      <c r="V17" s="62"/>
      <c r="W17" s="62"/>
    </row>
    <row r="18" spans="1:23">
      <c r="A18" s="63"/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8"/>
      <c r="M18" s="68"/>
      <c r="N18" s="68"/>
      <c r="O18" s="68"/>
      <c r="P18" s="67"/>
      <c r="Q18" s="67"/>
      <c r="R18" s="67"/>
      <c r="S18" s="62"/>
      <c r="T18" s="62"/>
      <c r="U18" s="62"/>
      <c r="V18" s="62"/>
      <c r="W18" s="62"/>
    </row>
    <row r="19" spans="1:23">
      <c r="A19" s="62"/>
      <c r="B19" s="67"/>
      <c r="C19" s="67"/>
      <c r="D19" s="67"/>
      <c r="E19" s="67"/>
      <c r="F19" s="67"/>
      <c r="G19" s="67"/>
      <c r="H19" s="67"/>
      <c r="I19" s="67"/>
      <c r="J19" s="67"/>
      <c r="K19" s="67"/>
      <c r="L19" s="68"/>
      <c r="M19" s="68"/>
      <c r="N19" s="68"/>
      <c r="O19" s="68"/>
      <c r="P19" s="67"/>
      <c r="Q19" s="67"/>
      <c r="R19" s="67"/>
      <c r="S19" s="62"/>
      <c r="T19" s="62"/>
      <c r="U19" s="62"/>
      <c r="V19" s="62"/>
      <c r="W19" s="62"/>
    </row>
    <row r="20" spans="1:23">
      <c r="A20" s="63"/>
      <c r="B20" s="142"/>
      <c r="C20" s="142"/>
      <c r="D20" s="67"/>
      <c r="E20" s="67"/>
      <c r="F20" s="67"/>
      <c r="G20" s="67"/>
      <c r="H20" s="67"/>
      <c r="I20" s="67"/>
      <c r="J20" s="67"/>
      <c r="K20" s="67"/>
      <c r="L20" s="68"/>
      <c r="M20" s="68"/>
      <c r="N20" s="68"/>
      <c r="O20" s="68"/>
      <c r="P20" s="67"/>
      <c r="Q20" s="67"/>
      <c r="R20" s="67"/>
      <c r="S20" s="62"/>
      <c r="T20" s="62"/>
      <c r="U20" s="62"/>
      <c r="V20" s="62"/>
      <c r="W20" s="62"/>
    </row>
    <row r="21" spans="1:23">
      <c r="A21" s="63"/>
      <c r="B21" s="142"/>
      <c r="C21" s="142"/>
      <c r="D21" s="67"/>
      <c r="E21" s="67"/>
      <c r="F21" s="67"/>
      <c r="G21" s="67"/>
      <c r="H21" s="67"/>
      <c r="I21" s="67"/>
      <c r="J21" s="67"/>
      <c r="K21" s="67"/>
      <c r="L21" s="68"/>
      <c r="M21" s="68"/>
      <c r="N21" s="68"/>
      <c r="O21" s="68"/>
      <c r="P21" s="67"/>
      <c r="Q21" s="67"/>
      <c r="R21" s="67"/>
      <c r="S21" s="62"/>
      <c r="T21" s="62"/>
      <c r="U21" s="62"/>
      <c r="V21" s="62"/>
      <c r="W21" s="62"/>
    </row>
    <row r="22" spans="1:23">
      <c r="A22" s="63" t="s">
        <v>3461</v>
      </c>
      <c r="B22" s="42" t="s">
        <v>3464</v>
      </c>
      <c r="C22" s="42" t="s">
        <v>88</v>
      </c>
      <c r="D22" s="42" t="s">
        <v>16</v>
      </c>
      <c r="E22" s="47" t="s">
        <v>3465</v>
      </c>
      <c r="F22" s="47"/>
      <c r="G22" s="47"/>
      <c r="H22" s="47">
        <v>14670</v>
      </c>
      <c r="I22" s="47">
        <v>244</v>
      </c>
      <c r="J22" s="47">
        <v>0.5</v>
      </c>
      <c r="K22" s="43">
        <f t="shared" ref="K22" si="0">I22*J22</f>
        <v>122</v>
      </c>
      <c r="L22" s="43">
        <f t="shared" ref="L22" si="1">H22-K22</f>
        <v>14548</v>
      </c>
      <c r="M22" s="43">
        <f>L22*1%</f>
        <v>145.47999999999999</v>
      </c>
      <c r="N22" s="43">
        <f t="shared" ref="N22" si="2">L22-M22</f>
        <v>14402.52</v>
      </c>
      <c r="O22" s="43">
        <f t="shared" ref="O22" si="3">H22/1000*70</f>
        <v>1026.9000000000001</v>
      </c>
      <c r="P22" s="42">
        <v>20000</v>
      </c>
      <c r="Q22" s="42"/>
      <c r="R22" s="42">
        <f t="shared" ref="R22" si="4">L22*Q22</f>
        <v>0</v>
      </c>
      <c r="S22" s="62"/>
      <c r="T22" s="62"/>
      <c r="U22" s="62"/>
      <c r="V22" s="62"/>
      <c r="W22" s="62"/>
    </row>
    <row r="23" spans="1:23">
      <c r="A23" s="63"/>
      <c r="B23" s="142"/>
      <c r="C23" s="142"/>
      <c r="D23" s="67"/>
      <c r="E23" s="67"/>
      <c r="F23" s="67"/>
      <c r="G23" s="67"/>
      <c r="H23" s="67"/>
      <c r="I23" s="67"/>
      <c r="J23" s="67"/>
      <c r="K23" s="67"/>
      <c r="L23" s="68"/>
      <c r="M23" s="68"/>
      <c r="N23" s="68"/>
      <c r="O23" s="68"/>
      <c r="P23" s="67"/>
      <c r="Q23" s="67"/>
      <c r="R23" s="67"/>
      <c r="S23" s="62"/>
      <c r="T23" s="62"/>
      <c r="U23" s="62"/>
      <c r="V23" s="62"/>
      <c r="W23" s="62"/>
    </row>
    <row r="24" spans="1:23">
      <c r="A24" s="63"/>
      <c r="B24" s="142"/>
      <c r="C24" s="142"/>
      <c r="D24" s="67"/>
      <c r="E24" s="67"/>
      <c r="F24" s="67"/>
      <c r="G24" s="67"/>
      <c r="H24" s="67"/>
      <c r="I24" s="67"/>
      <c r="J24" s="67"/>
      <c r="K24" s="67"/>
      <c r="L24" s="68"/>
      <c r="M24" s="68"/>
      <c r="N24" s="68"/>
      <c r="O24" s="68"/>
      <c r="P24" s="67"/>
      <c r="Q24" s="67"/>
      <c r="R24" s="67"/>
      <c r="S24" s="62"/>
      <c r="T24" s="62"/>
      <c r="U24" s="62"/>
      <c r="V24" s="62"/>
      <c r="W24" s="62"/>
    </row>
    <row r="25" spans="1:23">
      <c r="A25" s="63"/>
      <c r="B25" s="42" t="s">
        <v>696</v>
      </c>
      <c r="C25" s="42" t="s">
        <v>88</v>
      </c>
      <c r="D25" s="42" t="s">
        <v>16</v>
      </c>
      <c r="E25" s="47" t="s">
        <v>3563</v>
      </c>
      <c r="F25" s="47">
        <v>0</v>
      </c>
      <c r="G25" s="47"/>
      <c r="H25" s="47">
        <v>15210</v>
      </c>
      <c r="I25" s="47">
        <v>232</v>
      </c>
      <c r="J25" s="47">
        <v>0.5</v>
      </c>
      <c r="K25" s="43">
        <f t="shared" ref="K25" si="5">I25*J25</f>
        <v>116</v>
      </c>
      <c r="L25" s="43">
        <f t="shared" ref="L25" si="6">H25-K25</f>
        <v>15094</v>
      </c>
      <c r="M25" s="43"/>
      <c r="N25" s="43">
        <f t="shared" ref="N25" si="7">L25-M25</f>
        <v>15094</v>
      </c>
      <c r="O25" s="43">
        <f t="shared" ref="O25" si="8">H25/1000*70</f>
        <v>1064.7</v>
      </c>
      <c r="P25" s="42">
        <v>19000</v>
      </c>
      <c r="Q25" s="42"/>
      <c r="R25" s="42">
        <f t="shared" ref="R25" si="9">L25*Q25</f>
        <v>0</v>
      </c>
      <c r="S25" s="62"/>
      <c r="T25" s="62"/>
      <c r="U25" s="62"/>
      <c r="V25" s="62"/>
      <c r="W25" s="62"/>
    </row>
    <row r="26" spans="1:23">
      <c r="A26" s="63"/>
      <c r="B26" s="142"/>
      <c r="C26" s="142"/>
      <c r="D26" s="67"/>
      <c r="E26" s="67"/>
      <c r="F26" s="67"/>
      <c r="G26" s="67"/>
      <c r="H26" s="67"/>
      <c r="I26" s="67"/>
      <c r="J26" s="67"/>
      <c r="K26" s="67"/>
      <c r="L26" s="68"/>
      <c r="M26" s="68"/>
      <c r="N26" s="68"/>
      <c r="O26" s="68"/>
      <c r="P26" s="67"/>
      <c r="Q26" s="67"/>
      <c r="R26" s="67"/>
      <c r="S26" s="62"/>
      <c r="T26" s="62"/>
      <c r="U26" s="62"/>
      <c r="V26" s="62"/>
      <c r="W26" s="62"/>
    </row>
    <row r="27" spans="1:23">
      <c r="A27" s="63"/>
      <c r="B27" s="142"/>
      <c r="C27" s="142"/>
      <c r="D27" s="67"/>
      <c r="E27" s="67"/>
      <c r="F27" s="67"/>
      <c r="G27" s="67"/>
      <c r="H27" s="67"/>
      <c r="I27" s="67"/>
      <c r="J27" s="67"/>
      <c r="K27" s="67"/>
      <c r="L27" s="68"/>
      <c r="M27" s="68"/>
      <c r="N27" s="68"/>
      <c r="O27" s="68"/>
      <c r="P27" s="67"/>
      <c r="Q27" s="67"/>
      <c r="R27" s="67"/>
      <c r="S27" s="62"/>
      <c r="T27" s="62"/>
      <c r="U27" s="62"/>
      <c r="V27" s="62"/>
      <c r="W27" s="62"/>
    </row>
    <row r="28" spans="1:23">
      <c r="A28" s="63"/>
      <c r="B28" s="142"/>
      <c r="C28" s="142"/>
      <c r="D28" s="67"/>
      <c r="E28" s="67"/>
      <c r="F28" s="67"/>
      <c r="G28" s="67"/>
      <c r="H28" s="67"/>
      <c r="I28" s="67"/>
      <c r="J28" s="67"/>
      <c r="K28" s="67"/>
      <c r="L28" s="68"/>
      <c r="M28" s="68"/>
      <c r="N28" s="68"/>
      <c r="O28" s="68"/>
      <c r="P28" s="67"/>
      <c r="Q28" s="67"/>
      <c r="R28" s="67"/>
      <c r="S28" s="62"/>
      <c r="T28" s="62"/>
      <c r="U28" s="62"/>
      <c r="V28" s="62"/>
      <c r="W28" s="62"/>
    </row>
    <row r="29" spans="1:23">
      <c r="A29" s="63"/>
      <c r="B29" s="142"/>
      <c r="C29" s="142"/>
      <c r="D29" s="67"/>
      <c r="E29" s="67"/>
      <c r="F29" s="67"/>
      <c r="G29" s="67"/>
      <c r="H29" s="67"/>
      <c r="I29" s="67"/>
      <c r="J29" s="67"/>
      <c r="K29" s="67"/>
      <c r="L29" s="68"/>
      <c r="M29" s="68"/>
      <c r="N29" s="68"/>
      <c r="O29" s="68"/>
      <c r="P29" s="67"/>
      <c r="Q29" s="67"/>
      <c r="R29" s="67"/>
      <c r="S29" s="62"/>
      <c r="T29" s="62"/>
      <c r="U29" s="62"/>
      <c r="V29" s="62"/>
      <c r="W29" s="62"/>
    </row>
    <row r="30" spans="1:23">
      <c r="A30" s="63"/>
      <c r="B30" s="142"/>
      <c r="C30" s="142"/>
      <c r="D30" s="67"/>
      <c r="E30" s="67"/>
      <c r="F30" s="67"/>
      <c r="G30" s="67"/>
      <c r="H30" s="67"/>
      <c r="I30" s="67"/>
      <c r="J30" s="67"/>
      <c r="K30" s="67"/>
      <c r="L30" s="68"/>
      <c r="M30" s="68"/>
      <c r="N30" s="68"/>
      <c r="O30" s="68"/>
      <c r="P30" s="67"/>
      <c r="Q30" s="67"/>
      <c r="R30" s="67"/>
      <c r="S30" s="62"/>
      <c r="T30" s="62"/>
      <c r="U30" s="62"/>
      <c r="V30" s="62"/>
      <c r="W30" s="62"/>
    </row>
    <row r="31" spans="1:23">
      <c r="A31" s="63"/>
      <c r="B31" s="142"/>
      <c r="C31" s="142"/>
      <c r="D31" s="67"/>
      <c r="E31" s="67"/>
      <c r="F31" s="67"/>
      <c r="G31" s="67"/>
      <c r="H31" s="67"/>
      <c r="I31" s="67"/>
      <c r="J31" s="67"/>
      <c r="K31" s="67"/>
      <c r="L31" s="68"/>
      <c r="M31" s="68"/>
      <c r="N31" s="68"/>
      <c r="O31" s="68"/>
      <c r="P31" s="67"/>
      <c r="Q31" s="67"/>
      <c r="R31" s="67"/>
      <c r="S31" s="62"/>
      <c r="T31" s="62"/>
      <c r="U31" s="62"/>
      <c r="V31" s="62"/>
      <c r="W31" s="62"/>
    </row>
    <row r="32" spans="1:23">
      <c r="A32" s="63"/>
      <c r="B32" s="142"/>
      <c r="C32" s="142"/>
      <c r="D32" s="67"/>
      <c r="E32" s="67"/>
      <c r="F32" s="67"/>
      <c r="G32" s="67"/>
      <c r="H32" s="67"/>
      <c r="I32" s="67"/>
      <c r="J32" s="67"/>
      <c r="K32" s="67"/>
      <c r="L32" s="68"/>
      <c r="M32" s="68"/>
      <c r="N32" s="68"/>
      <c r="O32" s="68"/>
      <c r="P32" s="67"/>
      <c r="Q32" s="67"/>
      <c r="R32" s="67"/>
      <c r="S32" s="62"/>
      <c r="T32" s="62"/>
      <c r="U32" s="62"/>
      <c r="V32" s="62"/>
      <c r="W32" s="62"/>
    </row>
    <row r="33" spans="1:23">
      <c r="A33" s="62"/>
      <c r="B33" s="142"/>
      <c r="C33" s="142"/>
      <c r="D33" s="67"/>
      <c r="E33" s="67"/>
      <c r="F33" s="67"/>
      <c r="G33" s="67"/>
      <c r="H33" s="67"/>
      <c r="I33" s="67"/>
      <c r="J33" s="67"/>
      <c r="K33" s="67"/>
      <c r="L33" s="68"/>
      <c r="M33" s="68"/>
      <c r="N33" s="68"/>
      <c r="O33" s="68"/>
      <c r="P33" s="67"/>
      <c r="Q33" s="67"/>
      <c r="R33" s="67"/>
      <c r="S33" s="62"/>
      <c r="T33" s="62"/>
      <c r="U33" s="62"/>
      <c r="V33" s="62"/>
      <c r="W33" s="62"/>
    </row>
    <row r="34" spans="1:23">
      <c r="A34" s="62"/>
      <c r="B34" s="62"/>
      <c r="C34" s="62"/>
      <c r="D34" s="62"/>
      <c r="E34" s="62"/>
      <c r="F34" s="62"/>
      <c r="G34" s="62"/>
      <c r="H34" s="62"/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</row>
    <row r="35" spans="1:23">
      <c r="A35" s="62"/>
      <c r="B35" s="62"/>
      <c r="C35" s="62"/>
      <c r="D35" s="62"/>
      <c r="E35" s="62"/>
      <c r="F35" s="62"/>
      <c r="G35" s="62"/>
      <c r="H35" s="62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</row>
    <row r="36" spans="1:23">
      <c r="A36" s="62"/>
      <c r="B36" s="62"/>
      <c r="C36" s="62"/>
      <c r="D36" s="62"/>
      <c r="E36" s="62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</row>
    <row r="37" spans="1:23">
      <c r="A37" s="62"/>
      <c r="B37" s="62"/>
      <c r="C37" s="62"/>
      <c r="D37" s="62"/>
      <c r="E37" s="62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</row>
    <row r="38" spans="1:23">
      <c r="A38" s="62"/>
      <c r="B38" s="62"/>
      <c r="C38" s="62"/>
      <c r="D38" s="62"/>
      <c r="E38" s="62"/>
      <c r="F38" s="62"/>
      <c r="G38" s="62"/>
      <c r="H38" s="62"/>
      <c r="I38" s="62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</row>
    <row r="60" spans="12:12">
      <c r="L60" s="16">
        <f>SUM(L7:L59)</f>
        <v>29642</v>
      </c>
    </row>
  </sheetData>
  <pageMargins left="0.7" right="0.7" top="0.75" bottom="0.75" header="0.3" footer="0.3"/>
  <pageSetup paperSize="9" orientation="landscape" verticalDpi="0" r:id="rId1"/>
</worksheet>
</file>

<file path=xl/worksheets/sheet39.xml><?xml version="1.0" encoding="utf-8"?>
<worksheet xmlns="http://schemas.openxmlformats.org/spreadsheetml/2006/main" xmlns:r="http://schemas.openxmlformats.org/officeDocument/2006/relationships">
  <dimension ref="A5:W59"/>
  <sheetViews>
    <sheetView topLeftCell="A22" workbookViewId="0">
      <selection activeCell="A36" sqref="A36"/>
    </sheetView>
  </sheetViews>
  <sheetFormatPr defaultRowHeight="14.4"/>
  <cols>
    <col min="1" max="1" width="7.88671875" style="1" customWidth="1"/>
    <col min="2" max="2" width="22" style="1" customWidth="1"/>
    <col min="3" max="3" width="7.77734375" style="1" customWidth="1"/>
    <col min="4" max="4" width="4.77734375" style="1" customWidth="1"/>
    <col min="5" max="5" width="9.88671875" style="1" customWidth="1"/>
    <col min="6" max="6" width="7.6640625" style="1" customWidth="1"/>
    <col min="7" max="7" width="6.6640625" style="1" customWidth="1"/>
    <col min="8" max="8" width="7.44140625" style="1" customWidth="1"/>
    <col min="9" max="9" width="5.88671875" style="1" customWidth="1"/>
    <col min="10" max="10" width="6" style="1" customWidth="1"/>
    <col min="11" max="11" width="8.44140625" style="1" customWidth="1"/>
    <col min="12" max="12" width="8.21875" style="1" customWidth="1"/>
    <col min="13" max="13" width="7.33203125" style="1" customWidth="1"/>
    <col min="14" max="18" width="8.88671875" style="1"/>
    <col min="19" max="19" width="9" style="1" customWidth="1"/>
    <col min="20" max="16384" width="8.88671875" style="1"/>
  </cols>
  <sheetData>
    <row r="5" spans="1:23" ht="23.4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3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676</v>
      </c>
      <c r="M5" s="95" t="s">
        <v>677</v>
      </c>
      <c r="N5" s="3" t="s">
        <v>11</v>
      </c>
      <c r="O5" s="3" t="s">
        <v>36</v>
      </c>
      <c r="P5" s="3" t="s">
        <v>12</v>
      </c>
      <c r="Q5" s="3" t="s">
        <v>256</v>
      </c>
      <c r="R5" s="3" t="s">
        <v>257</v>
      </c>
      <c r="S5" s="3" t="s">
        <v>2</v>
      </c>
      <c r="T5" s="14" t="s">
        <v>80</v>
      </c>
      <c r="U5" s="14" t="s">
        <v>125</v>
      </c>
    </row>
    <row r="6" spans="1:23">
      <c r="A6" s="63"/>
      <c r="B6" s="301"/>
      <c r="C6" s="301"/>
      <c r="D6" s="301"/>
      <c r="E6" s="301"/>
      <c r="F6" s="301"/>
      <c r="G6" s="301"/>
      <c r="H6" s="301"/>
      <c r="I6" s="301"/>
      <c r="J6" s="301"/>
      <c r="K6" s="301"/>
      <c r="L6" s="61"/>
      <c r="M6" s="61"/>
      <c r="N6" s="301"/>
      <c r="O6" s="62"/>
      <c r="P6" s="62"/>
      <c r="Q6" s="62"/>
      <c r="R6" s="62"/>
      <c r="S6" s="62"/>
      <c r="U6" s="17"/>
    </row>
    <row r="7" spans="1:23">
      <c r="A7" s="63"/>
      <c r="B7" s="67"/>
      <c r="C7" s="67"/>
      <c r="D7" s="67"/>
      <c r="E7" s="67"/>
      <c r="F7" s="67"/>
      <c r="G7" s="67"/>
      <c r="H7" s="67"/>
      <c r="I7" s="67"/>
      <c r="J7" s="67"/>
      <c r="K7" s="68"/>
      <c r="L7" s="68"/>
      <c r="M7" s="68"/>
      <c r="N7" s="68"/>
      <c r="O7" s="68"/>
      <c r="P7" s="67"/>
      <c r="Q7" s="62"/>
      <c r="R7" s="62"/>
      <c r="S7" s="62"/>
      <c r="T7" s="62"/>
      <c r="U7" s="62"/>
      <c r="V7" s="62"/>
      <c r="W7" s="62"/>
    </row>
    <row r="8" spans="1:23">
      <c r="A8" s="63"/>
      <c r="B8" s="67"/>
      <c r="C8" s="67"/>
      <c r="D8" s="67"/>
      <c r="E8" s="67"/>
      <c r="F8" s="67"/>
      <c r="G8" s="67"/>
      <c r="H8" s="67"/>
      <c r="I8" s="67"/>
      <c r="J8" s="67"/>
      <c r="K8" s="67"/>
      <c r="L8" s="68"/>
      <c r="M8" s="68"/>
      <c r="N8" s="68"/>
      <c r="O8" s="68"/>
      <c r="P8" s="67"/>
      <c r="Q8" s="62"/>
      <c r="R8" s="62"/>
      <c r="S8" s="62"/>
      <c r="T8" s="62"/>
      <c r="U8" s="62"/>
      <c r="V8" s="62"/>
      <c r="W8" s="62"/>
    </row>
    <row r="9" spans="1:23">
      <c r="A9" s="63"/>
      <c r="B9" s="67"/>
      <c r="C9" s="67"/>
      <c r="D9" s="67"/>
      <c r="E9" s="67"/>
      <c r="F9" s="67"/>
      <c r="G9" s="67"/>
      <c r="H9" s="67"/>
      <c r="I9" s="67"/>
      <c r="J9" s="67"/>
      <c r="K9" s="68"/>
      <c r="L9" s="68"/>
      <c r="M9" s="68"/>
      <c r="N9" s="68"/>
      <c r="O9" s="68"/>
      <c r="P9" s="67"/>
      <c r="Q9" s="62"/>
      <c r="R9" s="62"/>
      <c r="S9" s="62"/>
      <c r="T9" s="62"/>
      <c r="U9" s="62"/>
      <c r="V9" s="62"/>
      <c r="W9" s="62"/>
    </row>
    <row r="10" spans="1:23">
      <c r="A10" s="63"/>
      <c r="B10" s="67"/>
      <c r="C10" s="67"/>
      <c r="D10" s="67"/>
      <c r="E10" s="67"/>
      <c r="F10" s="67"/>
      <c r="G10" s="67"/>
      <c r="H10" s="67"/>
      <c r="I10" s="67"/>
      <c r="J10" s="67"/>
      <c r="K10" s="68"/>
      <c r="L10" s="68"/>
      <c r="M10" s="68"/>
      <c r="N10" s="68"/>
      <c r="O10" s="68"/>
      <c r="P10" s="67"/>
      <c r="Q10" s="62"/>
      <c r="R10" s="62"/>
      <c r="S10" s="62"/>
      <c r="T10" s="62"/>
      <c r="U10" s="62"/>
      <c r="V10" s="62"/>
      <c r="W10" s="62"/>
    </row>
    <row r="11" spans="1:23">
      <c r="A11" s="63"/>
      <c r="B11" s="67"/>
      <c r="C11" s="67"/>
      <c r="D11" s="67"/>
      <c r="E11" s="67"/>
      <c r="F11" s="67"/>
      <c r="G11" s="67"/>
      <c r="H11" s="67"/>
      <c r="I11" s="67"/>
      <c r="J11" s="67"/>
      <c r="K11" s="68"/>
      <c r="L11" s="68"/>
      <c r="M11" s="68"/>
      <c r="N11" s="68"/>
      <c r="O11" s="68"/>
      <c r="P11" s="67"/>
      <c r="Q11" s="62"/>
      <c r="R11" s="62"/>
      <c r="S11" s="62"/>
      <c r="T11" s="62"/>
      <c r="U11" s="62"/>
      <c r="V11" s="62"/>
      <c r="W11" s="62"/>
    </row>
    <row r="12" spans="1:23">
      <c r="A12" s="63"/>
      <c r="B12" s="67"/>
      <c r="C12" s="67"/>
      <c r="D12" s="67"/>
      <c r="E12" s="67"/>
      <c r="F12" s="67"/>
      <c r="G12" s="67"/>
      <c r="H12" s="67"/>
      <c r="I12" s="67"/>
      <c r="J12" s="67"/>
      <c r="K12" s="68"/>
      <c r="L12" s="68"/>
      <c r="M12" s="68"/>
      <c r="N12" s="68"/>
      <c r="O12" s="68"/>
      <c r="P12" s="67"/>
      <c r="Q12" s="67"/>
      <c r="R12" s="67"/>
      <c r="S12" s="62"/>
      <c r="T12" s="62"/>
      <c r="U12" s="62"/>
      <c r="V12" s="62"/>
      <c r="W12" s="62"/>
    </row>
    <row r="13" spans="1:23">
      <c r="A13" s="63"/>
      <c r="B13" s="67"/>
      <c r="C13" s="67"/>
      <c r="D13" s="67"/>
      <c r="E13" s="67"/>
      <c r="F13" s="67"/>
      <c r="G13" s="67"/>
      <c r="H13" s="67"/>
      <c r="I13" s="67"/>
      <c r="J13" s="67"/>
      <c r="K13" s="68"/>
      <c r="L13" s="68"/>
      <c r="M13" s="68"/>
      <c r="N13" s="68"/>
      <c r="O13" s="68"/>
      <c r="P13" s="67"/>
      <c r="Q13" s="67"/>
      <c r="R13" s="67"/>
      <c r="S13" s="62"/>
      <c r="T13" s="62"/>
      <c r="U13" s="62"/>
      <c r="V13" s="62"/>
      <c r="W13" s="62"/>
    </row>
    <row r="14" spans="1:23">
      <c r="A14" s="63"/>
      <c r="B14" s="67"/>
      <c r="C14" s="67"/>
      <c r="D14" s="67"/>
      <c r="E14" s="67"/>
      <c r="F14" s="67"/>
      <c r="G14" s="67"/>
      <c r="H14" s="67"/>
      <c r="I14" s="67"/>
      <c r="J14" s="67"/>
      <c r="K14" s="68"/>
      <c r="L14" s="68"/>
      <c r="M14" s="68"/>
      <c r="N14" s="68"/>
      <c r="O14" s="68"/>
      <c r="P14" s="67"/>
      <c r="Q14" s="67"/>
      <c r="R14" s="67"/>
      <c r="S14" s="62"/>
      <c r="T14" s="62"/>
      <c r="U14" s="62"/>
      <c r="V14" s="62"/>
      <c r="W14" s="62"/>
    </row>
    <row r="15" spans="1:23">
      <c r="A15" s="63"/>
      <c r="B15" s="67"/>
      <c r="C15" s="67"/>
      <c r="D15" s="67"/>
      <c r="E15" s="67"/>
      <c r="F15" s="67"/>
      <c r="G15" s="67"/>
      <c r="H15" s="67"/>
      <c r="I15" s="67"/>
      <c r="J15" s="67"/>
      <c r="K15" s="67"/>
      <c r="L15" s="68"/>
      <c r="M15" s="68"/>
      <c r="N15" s="68"/>
      <c r="O15" s="68"/>
      <c r="P15" s="67"/>
      <c r="Q15" s="67"/>
      <c r="R15" s="67"/>
      <c r="S15" s="62"/>
      <c r="T15" s="62"/>
      <c r="U15" s="62"/>
      <c r="V15" s="62"/>
      <c r="W15" s="62"/>
    </row>
    <row r="16" spans="1:23">
      <c r="A16" s="63"/>
      <c r="B16" s="67"/>
      <c r="C16" s="67"/>
      <c r="D16" s="67"/>
      <c r="E16" s="67"/>
      <c r="F16" s="67"/>
      <c r="G16" s="67"/>
      <c r="H16" s="67"/>
      <c r="I16" s="67"/>
      <c r="J16" s="67"/>
      <c r="K16" s="67"/>
      <c r="L16" s="68"/>
      <c r="M16" s="68"/>
      <c r="N16" s="68"/>
      <c r="O16" s="68"/>
      <c r="P16" s="67"/>
      <c r="Q16" s="67"/>
      <c r="R16" s="67"/>
      <c r="S16" s="62"/>
      <c r="T16" s="62"/>
      <c r="U16" s="62"/>
      <c r="V16" s="62"/>
      <c r="W16" s="62"/>
    </row>
    <row r="17" spans="1:23">
      <c r="A17" s="63"/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8"/>
      <c r="M17" s="68"/>
      <c r="N17" s="68"/>
      <c r="O17" s="68"/>
      <c r="P17" s="67"/>
      <c r="Q17" s="67"/>
      <c r="R17" s="67"/>
      <c r="S17" s="62"/>
      <c r="T17" s="62"/>
      <c r="U17" s="62"/>
      <c r="V17" s="62"/>
      <c r="W17" s="62"/>
    </row>
    <row r="18" spans="1:23">
      <c r="A18" s="63"/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8"/>
      <c r="M18" s="68"/>
      <c r="N18" s="68"/>
      <c r="O18" s="68"/>
      <c r="P18" s="67"/>
      <c r="Q18" s="67"/>
      <c r="R18" s="67"/>
      <c r="S18" s="62"/>
      <c r="T18" s="62"/>
      <c r="U18" s="62"/>
      <c r="V18" s="62"/>
      <c r="W18" s="62"/>
    </row>
    <row r="19" spans="1:23">
      <c r="A19" s="62"/>
      <c r="B19" s="67"/>
      <c r="C19" s="67"/>
      <c r="D19" s="67"/>
      <c r="E19" s="67"/>
      <c r="F19" s="67"/>
      <c r="G19" s="67"/>
      <c r="H19" s="67"/>
      <c r="I19" s="67"/>
      <c r="J19" s="67"/>
      <c r="K19" s="67"/>
      <c r="L19" s="68"/>
      <c r="M19" s="68"/>
      <c r="N19" s="68"/>
      <c r="O19" s="68"/>
      <c r="P19" s="67"/>
      <c r="Q19" s="67"/>
      <c r="R19" s="67"/>
      <c r="S19" s="62"/>
      <c r="T19" s="62"/>
      <c r="U19" s="62"/>
      <c r="V19" s="62"/>
      <c r="W19" s="62"/>
    </row>
    <row r="20" spans="1:23">
      <c r="A20" s="63"/>
      <c r="B20" s="142"/>
      <c r="C20" s="142"/>
      <c r="D20" s="67"/>
      <c r="E20" s="67"/>
      <c r="F20" s="67"/>
      <c r="G20" s="67"/>
      <c r="H20" s="67"/>
      <c r="I20" s="67"/>
      <c r="J20" s="67"/>
      <c r="K20" s="67"/>
      <c r="L20" s="68"/>
      <c r="M20" s="68"/>
      <c r="N20" s="68"/>
      <c r="O20" s="68"/>
      <c r="P20" s="67"/>
      <c r="Q20" s="67"/>
      <c r="R20" s="67"/>
      <c r="S20" s="62"/>
      <c r="T20" s="62"/>
      <c r="U20" s="62"/>
      <c r="V20" s="62"/>
      <c r="W20" s="62"/>
    </row>
    <row r="21" spans="1:23">
      <c r="A21" s="63"/>
      <c r="B21" s="142"/>
      <c r="C21" s="142"/>
      <c r="D21" s="67"/>
      <c r="E21" s="67"/>
      <c r="F21" s="67"/>
      <c r="G21" s="67"/>
      <c r="H21" s="67"/>
      <c r="I21" s="67"/>
      <c r="J21" s="67"/>
      <c r="K21" s="67"/>
      <c r="L21" s="68"/>
      <c r="M21" s="68"/>
      <c r="N21" s="68"/>
      <c r="O21" s="68"/>
      <c r="P21" s="67"/>
      <c r="Q21" s="67"/>
      <c r="R21" s="67"/>
      <c r="S21" s="62"/>
      <c r="T21" s="62"/>
      <c r="U21" s="62"/>
      <c r="V21" s="62"/>
      <c r="W21" s="62"/>
    </row>
    <row r="22" spans="1:23">
      <c r="A22" s="63"/>
      <c r="B22" s="142"/>
      <c r="C22" s="142"/>
      <c r="D22" s="67"/>
      <c r="E22" s="67"/>
      <c r="F22" s="67"/>
      <c r="G22" s="67"/>
      <c r="H22" s="67"/>
      <c r="I22" s="67"/>
      <c r="J22" s="67"/>
      <c r="K22" s="67"/>
      <c r="L22" s="68"/>
      <c r="M22" s="68"/>
      <c r="N22" s="68"/>
      <c r="O22" s="68"/>
      <c r="P22" s="67"/>
      <c r="Q22" s="67"/>
      <c r="R22" s="67"/>
      <c r="S22" s="62"/>
      <c r="T22" s="62"/>
      <c r="U22" s="62"/>
      <c r="V22" s="62"/>
      <c r="W22" s="62"/>
    </row>
    <row r="23" spans="1:23">
      <c r="A23" s="63"/>
      <c r="B23" s="142"/>
      <c r="C23" s="142"/>
      <c r="D23" s="67"/>
      <c r="E23" s="67"/>
      <c r="F23" s="67"/>
      <c r="G23" s="67"/>
      <c r="H23" s="67"/>
      <c r="I23" s="67"/>
      <c r="J23" s="67"/>
      <c r="K23" s="67"/>
      <c r="L23" s="68"/>
      <c r="M23" s="68"/>
      <c r="N23" s="68"/>
      <c r="O23" s="68"/>
      <c r="P23" s="67"/>
      <c r="Q23" s="67"/>
      <c r="R23" s="67"/>
      <c r="S23" s="62"/>
      <c r="T23" s="62"/>
      <c r="U23" s="62"/>
      <c r="V23" s="62"/>
      <c r="W23" s="62"/>
    </row>
    <row r="24" spans="1:23">
      <c r="A24" s="63" t="s">
        <v>3562</v>
      </c>
      <c r="B24" s="42" t="s">
        <v>696</v>
      </c>
      <c r="C24" s="42" t="s">
        <v>88</v>
      </c>
      <c r="D24" s="42" t="s">
        <v>16</v>
      </c>
      <c r="E24" s="47" t="s">
        <v>3563</v>
      </c>
      <c r="F24" s="47">
        <v>0</v>
      </c>
      <c r="G24" s="47"/>
      <c r="H24" s="47">
        <v>15210</v>
      </c>
      <c r="I24" s="47">
        <v>232</v>
      </c>
      <c r="J24" s="47">
        <v>0.5</v>
      </c>
      <c r="K24" s="43">
        <f t="shared" ref="K24" si="0">I24*J24</f>
        <v>116</v>
      </c>
      <c r="L24" s="43">
        <f t="shared" ref="L24" si="1">H24-K24</f>
        <v>15094</v>
      </c>
      <c r="M24" s="43"/>
      <c r="N24" s="43">
        <f t="shared" ref="N24" si="2">L24-M24</f>
        <v>15094</v>
      </c>
      <c r="O24" s="43">
        <f t="shared" ref="O24" si="3">H24/1000*70</f>
        <v>1064.7</v>
      </c>
      <c r="P24" s="42">
        <v>19000</v>
      </c>
      <c r="Q24" s="42"/>
      <c r="R24" s="42">
        <f t="shared" ref="R24" si="4">L24*Q24</f>
        <v>0</v>
      </c>
      <c r="S24" s="62"/>
      <c r="T24" s="62"/>
      <c r="U24" s="62"/>
      <c r="V24" s="62"/>
      <c r="W24" s="62"/>
    </row>
    <row r="25" spans="1:23">
      <c r="A25" s="63"/>
      <c r="B25" s="142"/>
      <c r="C25" s="142"/>
      <c r="D25" s="67"/>
      <c r="E25" s="67"/>
      <c r="F25" s="67"/>
      <c r="G25" s="67"/>
      <c r="H25" s="67"/>
      <c r="I25" s="67"/>
      <c r="J25" s="67"/>
      <c r="K25" s="67"/>
      <c r="L25" s="68"/>
      <c r="M25" s="68"/>
      <c r="N25" s="68"/>
      <c r="O25" s="68"/>
      <c r="P25" s="67"/>
      <c r="Q25" s="67"/>
      <c r="R25" s="67"/>
      <c r="S25" s="62"/>
      <c r="T25" s="62"/>
      <c r="U25" s="62"/>
      <c r="V25" s="62"/>
      <c r="W25" s="62"/>
    </row>
    <row r="26" spans="1:23">
      <c r="A26" s="63" t="s">
        <v>3574</v>
      </c>
      <c r="B26" s="42" t="s">
        <v>696</v>
      </c>
      <c r="C26" s="42" t="s">
        <v>88</v>
      </c>
      <c r="D26" s="42" t="s">
        <v>16</v>
      </c>
      <c r="E26" s="47" t="s">
        <v>3576</v>
      </c>
      <c r="F26" s="47">
        <v>0</v>
      </c>
      <c r="G26" s="47"/>
      <c r="H26" s="47">
        <v>15200</v>
      </c>
      <c r="I26" s="47">
        <v>262</v>
      </c>
      <c r="J26" s="47">
        <v>0.5</v>
      </c>
      <c r="K26" s="43">
        <f t="shared" ref="K26" si="5">I26*J26</f>
        <v>131</v>
      </c>
      <c r="L26" s="43">
        <f t="shared" ref="L26" si="6">H26-K26</f>
        <v>15069</v>
      </c>
      <c r="M26" s="43"/>
      <c r="N26" s="43">
        <f t="shared" ref="N26" si="7">L26-M26</f>
        <v>15069</v>
      </c>
      <c r="O26" s="43">
        <f t="shared" ref="O26" si="8">H26/1000*70</f>
        <v>1064</v>
      </c>
      <c r="P26" s="42">
        <v>18030</v>
      </c>
      <c r="Q26" s="42">
        <v>20.75</v>
      </c>
      <c r="R26" s="42">
        <f t="shared" ref="R26" si="9">L26*Q26</f>
        <v>312681.75</v>
      </c>
      <c r="S26" s="62"/>
      <c r="T26" s="62"/>
      <c r="U26" s="62"/>
      <c r="V26" s="62"/>
      <c r="W26" s="62"/>
    </row>
    <row r="27" spans="1:23">
      <c r="A27" s="63"/>
      <c r="B27" s="142"/>
      <c r="C27" s="142"/>
      <c r="D27" s="67"/>
      <c r="E27" s="67"/>
      <c r="F27" s="67"/>
      <c r="G27" s="67"/>
      <c r="H27" s="67"/>
      <c r="I27" s="67"/>
      <c r="J27" s="67"/>
      <c r="K27" s="67"/>
      <c r="L27" s="68"/>
      <c r="M27" s="68"/>
      <c r="N27" s="68"/>
      <c r="O27" s="68"/>
      <c r="P27" s="67"/>
      <c r="Q27" s="67"/>
      <c r="R27" s="67"/>
      <c r="S27" s="62"/>
      <c r="T27" s="62"/>
      <c r="U27" s="62"/>
      <c r="V27" s="62"/>
      <c r="W27" s="62"/>
    </row>
    <row r="28" spans="1:23">
      <c r="A28" s="63" t="s">
        <v>3603</v>
      </c>
      <c r="B28" s="42" t="s">
        <v>696</v>
      </c>
      <c r="C28" s="42" t="s">
        <v>88</v>
      </c>
      <c r="D28" s="42" t="s">
        <v>16</v>
      </c>
      <c r="E28" s="47" t="s">
        <v>3576</v>
      </c>
      <c r="F28" s="47">
        <v>0</v>
      </c>
      <c r="G28" s="47"/>
      <c r="H28" s="47">
        <v>14920</v>
      </c>
      <c r="I28" s="47">
        <v>242</v>
      </c>
      <c r="J28" s="47">
        <v>0.5</v>
      </c>
      <c r="K28" s="43">
        <f t="shared" ref="K28" si="10">I28*J28</f>
        <v>121</v>
      </c>
      <c r="L28" s="43">
        <f t="shared" ref="L28" si="11">H28-K28</f>
        <v>14799</v>
      </c>
      <c r="M28" s="43"/>
      <c r="N28" s="43">
        <f t="shared" ref="N28" si="12">L28-M28</f>
        <v>14799</v>
      </c>
      <c r="O28" s="43">
        <f t="shared" ref="O28" si="13">H28/1000*70</f>
        <v>1044.4000000000001</v>
      </c>
      <c r="P28" s="42">
        <v>18340</v>
      </c>
      <c r="Q28" s="42">
        <v>20.75</v>
      </c>
      <c r="R28" s="42">
        <f t="shared" ref="R28" si="14">L28*Q28</f>
        <v>307079.25</v>
      </c>
      <c r="S28" s="62"/>
      <c r="T28" s="62"/>
      <c r="U28" s="62"/>
      <c r="V28" s="62"/>
      <c r="W28" s="62"/>
    </row>
    <row r="29" spans="1:23">
      <c r="A29" s="63"/>
      <c r="B29" s="142"/>
      <c r="C29" s="142"/>
      <c r="D29" s="67"/>
      <c r="E29" s="67"/>
      <c r="F29" s="67"/>
      <c r="G29" s="67"/>
      <c r="H29" s="67"/>
      <c r="I29" s="67"/>
      <c r="J29" s="67"/>
      <c r="K29" s="67"/>
      <c r="L29" s="68"/>
      <c r="M29" s="68"/>
      <c r="N29" s="68"/>
      <c r="O29" s="68"/>
      <c r="P29" s="67"/>
      <c r="Q29" s="67"/>
      <c r="R29" s="67"/>
      <c r="S29" s="62"/>
      <c r="T29" s="62"/>
      <c r="U29" s="62"/>
      <c r="V29" s="62"/>
      <c r="W29" s="62"/>
    </row>
    <row r="30" spans="1:23">
      <c r="A30" s="63" t="s">
        <v>3892</v>
      </c>
      <c r="B30" s="324" t="s">
        <v>696</v>
      </c>
      <c r="C30" s="324" t="s">
        <v>88</v>
      </c>
      <c r="D30" s="42" t="s">
        <v>16</v>
      </c>
      <c r="E30" s="324" t="s">
        <v>3895</v>
      </c>
      <c r="F30" s="324">
        <v>0</v>
      </c>
      <c r="G30" s="324"/>
      <c r="H30" s="324">
        <v>15030</v>
      </c>
      <c r="I30" s="324">
        <v>262</v>
      </c>
      <c r="J30" s="324">
        <v>0.5</v>
      </c>
      <c r="K30" s="43">
        <f t="shared" ref="K30" si="15">I30*J30</f>
        <v>131</v>
      </c>
      <c r="L30" s="43">
        <f t="shared" ref="L30" si="16">H30-K30</f>
        <v>14899</v>
      </c>
      <c r="M30" s="43"/>
      <c r="N30" s="43">
        <f t="shared" ref="N30" si="17">L30-M30</f>
        <v>14899</v>
      </c>
      <c r="O30" s="43">
        <f t="shared" ref="O30" si="18">H30/1000*70</f>
        <v>1052.0999999999999</v>
      </c>
      <c r="P30" s="42">
        <v>11000</v>
      </c>
      <c r="Q30" s="42"/>
      <c r="R30" s="42">
        <f t="shared" ref="R30" si="19">L30*Q30</f>
        <v>0</v>
      </c>
      <c r="S30" s="62"/>
      <c r="T30" s="62"/>
      <c r="U30" s="62"/>
      <c r="V30" s="62"/>
      <c r="W30" s="62"/>
    </row>
    <row r="31" spans="1:23">
      <c r="A31" s="63"/>
      <c r="B31" s="42"/>
      <c r="C31" s="42"/>
      <c r="D31" s="42"/>
      <c r="E31" s="47"/>
      <c r="F31" s="47"/>
      <c r="G31" s="47"/>
      <c r="H31" s="47"/>
      <c r="I31" s="47"/>
      <c r="J31" s="47"/>
      <c r="K31" s="43"/>
      <c r="L31" s="43"/>
      <c r="M31" s="43"/>
      <c r="N31" s="43"/>
      <c r="O31" s="43"/>
      <c r="P31" s="42"/>
      <c r="Q31" s="42"/>
      <c r="R31" s="42"/>
      <c r="S31" s="62"/>
      <c r="T31" s="62"/>
      <c r="U31" s="62"/>
      <c r="V31" s="62"/>
      <c r="W31" s="62"/>
    </row>
    <row r="32" spans="1:23">
      <c r="A32" s="62" t="s">
        <v>3896</v>
      </c>
      <c r="B32" s="327" t="s">
        <v>696</v>
      </c>
      <c r="C32" s="327" t="s">
        <v>88</v>
      </c>
      <c r="D32" s="42" t="s">
        <v>16</v>
      </c>
      <c r="E32" s="327" t="s">
        <v>3899</v>
      </c>
      <c r="F32" s="327">
        <v>27</v>
      </c>
      <c r="G32" s="327"/>
      <c r="H32" s="327">
        <v>16230</v>
      </c>
      <c r="I32" s="327">
        <v>270</v>
      </c>
      <c r="J32" s="327">
        <v>0.5</v>
      </c>
      <c r="K32" s="43">
        <f t="shared" ref="K32" si="20">I32*J32</f>
        <v>135</v>
      </c>
      <c r="L32" s="43">
        <f t="shared" ref="L32" si="21">H32-K32</f>
        <v>16095</v>
      </c>
      <c r="M32" s="43"/>
      <c r="N32" s="43">
        <f t="shared" ref="N32" si="22">L32-M32</f>
        <v>16095</v>
      </c>
      <c r="O32" s="43">
        <f t="shared" ref="O32" si="23">H32/1000*70</f>
        <v>1136.1000000000001</v>
      </c>
      <c r="P32" s="42">
        <v>17100</v>
      </c>
      <c r="Q32" s="42">
        <v>22</v>
      </c>
      <c r="R32" s="42">
        <f t="shared" ref="R32" si="24">L32*Q32</f>
        <v>354090</v>
      </c>
      <c r="S32" s="62"/>
      <c r="T32" s="62"/>
      <c r="U32" s="62"/>
      <c r="V32" s="62"/>
      <c r="W32" s="62"/>
    </row>
    <row r="33" spans="1:23">
      <c r="A33" s="62"/>
      <c r="B33" s="42"/>
      <c r="C33" s="42"/>
      <c r="D33" s="42"/>
      <c r="E33" s="47"/>
      <c r="F33" s="47"/>
      <c r="G33" s="47"/>
      <c r="H33" s="47"/>
      <c r="I33" s="47"/>
      <c r="J33" s="47"/>
      <c r="K33" s="43"/>
      <c r="L33" s="43"/>
      <c r="M33" s="43"/>
      <c r="N33" s="43"/>
      <c r="O33" s="43"/>
      <c r="P33" s="42"/>
      <c r="Q33" s="42"/>
      <c r="R33" s="42"/>
      <c r="S33" s="62"/>
      <c r="T33" s="62"/>
      <c r="U33" s="62"/>
      <c r="V33" s="62"/>
      <c r="W33" s="62"/>
    </row>
    <row r="34" spans="1:23">
      <c r="A34" s="62"/>
      <c r="B34" s="62"/>
      <c r="C34" s="62"/>
      <c r="D34" s="62"/>
      <c r="E34" s="62"/>
      <c r="F34" s="62"/>
      <c r="G34" s="62"/>
      <c r="H34" s="62"/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</row>
    <row r="35" spans="1:23">
      <c r="A35" s="62" t="s">
        <v>3945</v>
      </c>
      <c r="B35" s="334" t="s">
        <v>696</v>
      </c>
      <c r="C35" s="334" t="s">
        <v>88</v>
      </c>
      <c r="D35" s="42" t="s">
        <v>16</v>
      </c>
      <c r="E35" s="334" t="s">
        <v>3949</v>
      </c>
      <c r="F35" s="334">
        <v>28</v>
      </c>
      <c r="G35" s="334"/>
      <c r="H35" s="334">
        <v>17340</v>
      </c>
      <c r="I35" s="334">
        <v>290</v>
      </c>
      <c r="J35" s="334">
        <v>0.5</v>
      </c>
      <c r="K35" s="43">
        <f t="shared" ref="K35" si="25">I35*J35</f>
        <v>145</v>
      </c>
      <c r="L35" s="43">
        <f t="shared" ref="L35" si="26">H35-K35</f>
        <v>17195</v>
      </c>
      <c r="M35" s="43"/>
      <c r="N35" s="43">
        <f t="shared" ref="N35" si="27">L35-M35</f>
        <v>17195</v>
      </c>
      <c r="O35" s="43">
        <f t="shared" ref="O35" si="28">H35/1000*70</f>
        <v>1213.8</v>
      </c>
      <c r="P35" s="42">
        <v>18400</v>
      </c>
      <c r="Q35" s="42"/>
      <c r="R35" s="42">
        <f t="shared" ref="R35" si="29">L35*Q35</f>
        <v>0</v>
      </c>
      <c r="S35" s="62"/>
      <c r="T35" s="62"/>
      <c r="U35" s="62"/>
      <c r="V35" s="62"/>
      <c r="W35" s="62"/>
    </row>
    <row r="36" spans="1:23">
      <c r="A36" s="62"/>
      <c r="B36" s="62"/>
      <c r="C36" s="62"/>
      <c r="D36" s="62"/>
      <c r="E36" s="62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</row>
    <row r="37" spans="1:23">
      <c r="A37" s="62"/>
      <c r="B37" s="62"/>
      <c r="C37" s="62"/>
      <c r="D37" s="62"/>
      <c r="E37" s="62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</row>
    <row r="59" spans="12:12">
      <c r="L59" s="16">
        <f>SUM(L7:L58)</f>
        <v>93151</v>
      </c>
    </row>
  </sheetData>
  <pageMargins left="0.7" right="0.7" top="0.75" bottom="0.75" header="0.3" footer="0.3"/>
  <pageSetup paperSize="9" orientation="landscape" verticalDpi="0" r:id="rId1"/>
</worksheet>
</file>

<file path=xl/worksheets/sheet40.xml><?xml version="1.0" encoding="utf-8"?>
<worksheet xmlns="http://schemas.openxmlformats.org/spreadsheetml/2006/main" xmlns:r="http://schemas.openxmlformats.org/officeDocument/2006/relationships">
  <dimension ref="A5:W53"/>
  <sheetViews>
    <sheetView topLeftCell="A22" workbookViewId="0">
      <selection activeCell="A37" sqref="A37"/>
    </sheetView>
  </sheetViews>
  <sheetFormatPr defaultRowHeight="14.4"/>
  <cols>
    <col min="1" max="1" width="7.88671875" style="1" customWidth="1"/>
    <col min="2" max="2" width="22" style="1" customWidth="1"/>
    <col min="3" max="3" width="7.77734375" style="1" customWidth="1"/>
    <col min="4" max="4" width="4.77734375" style="1" customWidth="1"/>
    <col min="5" max="5" width="9.88671875" style="1" customWidth="1"/>
    <col min="6" max="6" width="7.6640625" style="1" customWidth="1"/>
    <col min="7" max="7" width="6.6640625" style="1" customWidth="1"/>
    <col min="8" max="8" width="7.44140625" style="1" customWidth="1"/>
    <col min="9" max="9" width="5.88671875" style="1" customWidth="1"/>
    <col min="10" max="10" width="6" style="1" customWidth="1"/>
    <col min="11" max="11" width="8.44140625" style="1" customWidth="1"/>
    <col min="12" max="12" width="8.21875" style="1" customWidth="1"/>
    <col min="13" max="13" width="7.33203125" style="1" customWidth="1"/>
    <col min="14" max="18" width="8.88671875" style="1"/>
    <col min="19" max="19" width="9" style="1" customWidth="1"/>
    <col min="20" max="16384" width="8.88671875" style="1"/>
  </cols>
  <sheetData>
    <row r="5" spans="1:23" ht="23.4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3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676</v>
      </c>
      <c r="M5" s="95" t="s">
        <v>677</v>
      </c>
      <c r="N5" s="3" t="s">
        <v>11</v>
      </c>
      <c r="O5" s="3" t="s">
        <v>36</v>
      </c>
      <c r="P5" s="3" t="s">
        <v>12</v>
      </c>
      <c r="Q5" s="3" t="s">
        <v>256</v>
      </c>
      <c r="R5" s="3" t="s">
        <v>257</v>
      </c>
      <c r="S5" s="3" t="s">
        <v>2</v>
      </c>
      <c r="T5" s="14" t="s">
        <v>80</v>
      </c>
      <c r="U5" s="14" t="s">
        <v>125</v>
      </c>
    </row>
    <row r="6" spans="1:23">
      <c r="A6" s="63"/>
      <c r="B6" s="301"/>
      <c r="C6" s="301"/>
      <c r="D6" s="301"/>
      <c r="E6" s="301"/>
      <c r="F6" s="301"/>
      <c r="G6" s="301"/>
      <c r="H6" s="301"/>
      <c r="I6" s="301"/>
      <c r="J6" s="301"/>
      <c r="K6" s="301"/>
      <c r="L6" s="61"/>
      <c r="M6" s="61"/>
      <c r="N6" s="301"/>
      <c r="O6" s="62"/>
      <c r="P6" s="62"/>
      <c r="Q6" s="62"/>
      <c r="R6" s="62"/>
      <c r="S6" s="62"/>
      <c r="U6" s="17"/>
    </row>
    <row r="7" spans="1:23">
      <c r="A7" s="63"/>
      <c r="B7" s="67"/>
      <c r="C7" s="67"/>
      <c r="D7" s="67"/>
      <c r="E7" s="67"/>
      <c r="F7" s="67"/>
      <c r="G7" s="67"/>
      <c r="H7" s="67"/>
      <c r="I7" s="67"/>
      <c r="J7" s="67"/>
      <c r="K7" s="68"/>
      <c r="L7" s="68"/>
      <c r="M7" s="68"/>
      <c r="N7" s="68"/>
      <c r="O7" s="68"/>
      <c r="P7" s="67"/>
      <c r="Q7" s="62"/>
      <c r="R7" s="62"/>
      <c r="S7" s="62"/>
      <c r="T7" s="62"/>
      <c r="U7" s="62"/>
      <c r="V7" s="62"/>
      <c r="W7" s="62"/>
    </row>
    <row r="8" spans="1:23">
      <c r="A8" s="63"/>
      <c r="B8" s="67"/>
      <c r="C8" s="67"/>
      <c r="D8" s="67"/>
      <c r="E8" s="67"/>
      <c r="F8" s="67"/>
      <c r="G8" s="67"/>
      <c r="H8" s="67"/>
      <c r="I8" s="67"/>
      <c r="J8" s="67"/>
      <c r="K8" s="67"/>
      <c r="L8" s="68"/>
      <c r="M8" s="68"/>
      <c r="N8" s="68"/>
      <c r="O8" s="68"/>
      <c r="P8" s="67"/>
      <c r="Q8" s="62"/>
      <c r="R8" s="62"/>
      <c r="S8" s="62"/>
      <c r="T8" s="62"/>
      <c r="U8" s="62"/>
      <c r="V8" s="62"/>
      <c r="W8" s="62"/>
    </row>
    <row r="9" spans="1:23">
      <c r="A9" s="63"/>
      <c r="B9" s="67"/>
      <c r="C9" s="67"/>
      <c r="D9" s="67"/>
      <c r="E9" s="67"/>
      <c r="F9" s="67"/>
      <c r="G9" s="67"/>
      <c r="H9" s="67"/>
      <c r="I9" s="67"/>
      <c r="J9" s="67"/>
      <c r="K9" s="68"/>
      <c r="L9" s="68"/>
      <c r="M9" s="68"/>
      <c r="N9" s="68"/>
      <c r="O9" s="68"/>
      <c r="P9" s="67"/>
      <c r="Q9" s="62"/>
      <c r="R9" s="62"/>
      <c r="S9" s="62"/>
      <c r="T9" s="62"/>
      <c r="U9" s="62"/>
      <c r="V9" s="62"/>
      <c r="W9" s="62"/>
    </row>
    <row r="10" spans="1:23">
      <c r="A10" s="63"/>
      <c r="B10" s="67"/>
      <c r="C10" s="67"/>
      <c r="D10" s="67"/>
      <c r="E10" s="67"/>
      <c r="F10" s="67"/>
      <c r="G10" s="67"/>
      <c r="H10" s="67"/>
      <c r="I10" s="67"/>
      <c r="J10" s="67"/>
      <c r="K10" s="68"/>
      <c r="L10" s="68"/>
      <c r="M10" s="68"/>
      <c r="N10" s="68"/>
      <c r="O10" s="68"/>
      <c r="P10" s="67"/>
      <c r="Q10" s="62"/>
      <c r="R10" s="62"/>
      <c r="S10" s="62"/>
      <c r="T10" s="62"/>
      <c r="U10" s="62"/>
      <c r="V10" s="62"/>
      <c r="W10" s="62"/>
    </row>
    <row r="11" spans="1:23">
      <c r="A11" s="63"/>
      <c r="B11" s="67"/>
      <c r="C11" s="67"/>
      <c r="D11" s="67"/>
      <c r="E11" s="67"/>
      <c r="F11" s="67"/>
      <c r="G11" s="67"/>
      <c r="H11" s="67"/>
      <c r="I11" s="67"/>
      <c r="J11" s="67"/>
      <c r="K11" s="68"/>
      <c r="L11" s="68"/>
      <c r="M11" s="68"/>
      <c r="N11" s="68"/>
      <c r="O11" s="68"/>
      <c r="P11" s="67"/>
      <c r="Q11" s="62"/>
      <c r="R11" s="62"/>
      <c r="S11" s="62"/>
      <c r="T11" s="62"/>
      <c r="U11" s="62"/>
      <c r="V11" s="62"/>
      <c r="W11" s="62"/>
    </row>
    <row r="12" spans="1:23">
      <c r="A12" s="63"/>
      <c r="B12" s="67"/>
      <c r="C12" s="67"/>
      <c r="D12" s="67"/>
      <c r="E12" s="67"/>
      <c r="F12" s="67"/>
      <c r="G12" s="67"/>
      <c r="H12" s="67"/>
      <c r="I12" s="67"/>
      <c r="J12" s="67"/>
      <c r="K12" s="68"/>
      <c r="L12" s="68"/>
      <c r="M12" s="68"/>
      <c r="N12" s="68"/>
      <c r="O12" s="68"/>
      <c r="P12" s="67"/>
      <c r="Q12" s="67"/>
      <c r="R12" s="67"/>
      <c r="S12" s="62"/>
      <c r="T12" s="62"/>
      <c r="U12" s="62"/>
      <c r="V12" s="62"/>
      <c r="W12" s="62"/>
    </row>
    <row r="13" spans="1:23">
      <c r="A13" s="63"/>
      <c r="B13" s="67"/>
      <c r="C13" s="67"/>
      <c r="D13" s="67"/>
      <c r="E13" s="67"/>
      <c r="F13" s="67"/>
      <c r="G13" s="67"/>
      <c r="H13" s="67"/>
      <c r="I13" s="67"/>
      <c r="J13" s="67"/>
      <c r="K13" s="68"/>
      <c r="L13" s="68"/>
      <c r="M13" s="68"/>
      <c r="N13" s="68"/>
      <c r="O13" s="68"/>
      <c r="P13" s="67"/>
      <c r="Q13" s="67"/>
      <c r="R13" s="67"/>
      <c r="S13" s="62"/>
      <c r="T13" s="62"/>
      <c r="U13" s="62"/>
      <c r="V13" s="62"/>
      <c r="W13" s="62"/>
    </row>
    <row r="14" spans="1:23">
      <c r="A14" s="63"/>
      <c r="B14" s="67"/>
      <c r="C14" s="67"/>
      <c r="D14" s="67"/>
      <c r="E14" s="67"/>
      <c r="F14" s="67"/>
      <c r="G14" s="67"/>
      <c r="H14" s="67"/>
      <c r="I14" s="67"/>
      <c r="J14" s="67"/>
      <c r="K14" s="68"/>
      <c r="L14" s="68"/>
      <c r="M14" s="68"/>
      <c r="N14" s="68"/>
      <c r="O14" s="68"/>
      <c r="P14" s="67"/>
      <c r="Q14" s="67"/>
      <c r="R14" s="67"/>
      <c r="S14" s="62"/>
      <c r="T14" s="62"/>
      <c r="U14" s="62"/>
      <c r="V14" s="62"/>
      <c r="W14" s="62"/>
    </row>
    <row r="15" spans="1:23">
      <c r="A15" s="63"/>
      <c r="B15" s="67"/>
      <c r="C15" s="67"/>
      <c r="D15" s="67"/>
      <c r="E15" s="67"/>
      <c r="F15" s="67"/>
      <c r="G15" s="67"/>
      <c r="H15" s="67"/>
      <c r="I15" s="67"/>
      <c r="J15" s="67"/>
      <c r="K15" s="67"/>
      <c r="L15" s="68"/>
      <c r="M15" s="68"/>
      <c r="N15" s="68"/>
      <c r="O15" s="68"/>
      <c r="P15" s="67"/>
      <c r="Q15" s="67"/>
      <c r="R15" s="67"/>
      <c r="S15" s="62"/>
      <c r="T15" s="62"/>
      <c r="U15" s="62"/>
      <c r="V15" s="62"/>
      <c r="W15" s="62"/>
    </row>
    <row r="16" spans="1:23">
      <c r="A16" s="63"/>
      <c r="B16" s="67"/>
      <c r="C16" s="67"/>
      <c r="D16" s="67"/>
      <c r="E16" s="67"/>
      <c r="F16" s="67"/>
      <c r="G16" s="67"/>
      <c r="H16" s="67"/>
      <c r="I16" s="67"/>
      <c r="J16" s="67"/>
      <c r="K16" s="67"/>
      <c r="L16" s="68"/>
      <c r="M16" s="68"/>
      <c r="N16" s="68"/>
      <c r="O16" s="68"/>
      <c r="P16" s="67"/>
      <c r="Q16" s="67"/>
      <c r="R16" s="67"/>
      <c r="S16" s="62"/>
      <c r="T16" s="62"/>
      <c r="U16" s="62"/>
      <c r="V16" s="62"/>
      <c r="W16" s="62"/>
    </row>
    <row r="17" spans="1:23">
      <c r="A17" s="63"/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8"/>
      <c r="M17" s="68"/>
      <c r="N17" s="68"/>
      <c r="O17" s="68"/>
      <c r="P17" s="67"/>
      <c r="Q17" s="67"/>
      <c r="R17" s="67"/>
      <c r="S17" s="62"/>
      <c r="T17" s="62"/>
      <c r="U17" s="62"/>
      <c r="V17" s="62"/>
      <c r="W17" s="62"/>
    </row>
    <row r="18" spans="1:23">
      <c r="A18" s="63"/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8"/>
      <c r="M18" s="68"/>
      <c r="N18" s="68"/>
      <c r="O18" s="68"/>
      <c r="P18" s="67"/>
      <c r="Q18" s="67"/>
      <c r="R18" s="67"/>
      <c r="S18" s="62"/>
      <c r="T18" s="62"/>
      <c r="U18" s="62"/>
      <c r="V18" s="62"/>
      <c r="W18" s="62"/>
    </row>
    <row r="19" spans="1:23">
      <c r="A19" s="62"/>
      <c r="B19" s="67"/>
      <c r="C19" s="67"/>
      <c r="D19" s="67"/>
      <c r="E19" s="67"/>
      <c r="F19" s="67"/>
      <c r="G19" s="67"/>
      <c r="H19" s="67"/>
      <c r="I19" s="67"/>
      <c r="J19" s="67"/>
      <c r="K19" s="67"/>
      <c r="L19" s="68"/>
      <c r="M19" s="68"/>
      <c r="N19" s="68"/>
      <c r="O19" s="68"/>
      <c r="P19" s="67"/>
      <c r="Q19" s="67"/>
      <c r="R19" s="67"/>
      <c r="S19" s="62"/>
      <c r="T19" s="62"/>
      <c r="U19" s="62"/>
      <c r="V19" s="62"/>
      <c r="W19" s="62"/>
    </row>
    <row r="20" spans="1:23">
      <c r="A20" s="63"/>
      <c r="B20" s="142"/>
      <c r="C20" s="142"/>
      <c r="D20" s="67"/>
      <c r="E20" s="67"/>
      <c r="F20" s="67"/>
      <c r="G20" s="67"/>
      <c r="H20" s="67"/>
      <c r="I20" s="67"/>
      <c r="J20" s="67"/>
      <c r="K20" s="67"/>
      <c r="L20" s="68"/>
      <c r="M20" s="68"/>
      <c r="N20" s="68"/>
      <c r="O20" s="68"/>
      <c r="P20" s="67"/>
      <c r="Q20" s="67"/>
      <c r="R20" s="67"/>
      <c r="S20" s="62"/>
      <c r="T20" s="62"/>
      <c r="U20" s="62"/>
      <c r="V20" s="62"/>
      <c r="W20" s="62"/>
    </row>
    <row r="21" spans="1:23">
      <c r="A21" s="63"/>
      <c r="B21" s="142"/>
      <c r="C21" s="142"/>
      <c r="D21" s="67"/>
      <c r="E21" s="67"/>
      <c r="F21" s="67"/>
      <c r="G21" s="67"/>
      <c r="H21" s="67"/>
      <c r="I21" s="67"/>
      <c r="J21" s="67"/>
      <c r="K21" s="67"/>
      <c r="L21" s="68"/>
      <c r="M21" s="68"/>
      <c r="N21" s="68"/>
      <c r="O21" s="68"/>
      <c r="P21" s="67"/>
      <c r="Q21" s="67"/>
      <c r="R21" s="67"/>
      <c r="S21" s="62"/>
      <c r="T21" s="62"/>
      <c r="U21" s="62"/>
      <c r="V21" s="62"/>
      <c r="W21" s="62"/>
    </row>
    <row r="22" spans="1:23">
      <c r="A22" s="63"/>
      <c r="B22" s="142"/>
      <c r="C22" s="142"/>
      <c r="D22" s="67"/>
      <c r="E22" s="67"/>
      <c r="F22" s="67"/>
      <c r="G22" s="67"/>
      <c r="H22" s="67"/>
      <c r="I22" s="67"/>
      <c r="J22" s="67"/>
      <c r="K22" s="67"/>
      <c r="L22" s="68"/>
      <c r="M22" s="68"/>
      <c r="N22" s="68"/>
      <c r="O22" s="68"/>
      <c r="P22" s="67"/>
      <c r="Q22" s="67"/>
      <c r="R22" s="67"/>
      <c r="S22" s="62"/>
      <c r="T22" s="62"/>
      <c r="U22" s="62"/>
      <c r="V22" s="62"/>
      <c r="W22" s="62"/>
    </row>
    <row r="23" spans="1:23">
      <c r="A23" s="63"/>
      <c r="B23" s="142"/>
      <c r="C23" s="142"/>
      <c r="D23" s="67"/>
      <c r="E23" s="67"/>
      <c r="F23" s="67"/>
      <c r="G23" s="67"/>
      <c r="H23" s="67"/>
      <c r="I23" s="67"/>
      <c r="J23" s="67"/>
      <c r="K23" s="67"/>
      <c r="L23" s="68"/>
      <c r="M23" s="68"/>
      <c r="N23" s="68"/>
      <c r="O23" s="68"/>
      <c r="P23" s="67"/>
      <c r="Q23" s="67"/>
      <c r="R23" s="67"/>
      <c r="S23" s="62"/>
      <c r="T23" s="62"/>
      <c r="U23" s="62"/>
      <c r="V23" s="62"/>
      <c r="W23" s="62"/>
    </row>
    <row r="24" spans="1:23">
      <c r="A24" s="63"/>
      <c r="B24" s="142"/>
      <c r="C24" s="142"/>
      <c r="D24" s="67"/>
      <c r="E24" s="67"/>
      <c r="F24" s="67"/>
      <c r="G24" s="67"/>
      <c r="H24" s="67"/>
      <c r="I24" s="67"/>
      <c r="J24" s="67"/>
      <c r="K24" s="67"/>
      <c r="L24" s="68"/>
      <c r="M24" s="68"/>
      <c r="N24" s="68"/>
      <c r="O24" s="68"/>
      <c r="P24" s="67"/>
      <c r="Q24" s="67"/>
      <c r="R24" s="67"/>
      <c r="S24" s="62"/>
      <c r="T24" s="62"/>
      <c r="U24" s="62"/>
      <c r="V24" s="62"/>
      <c r="W24" s="62"/>
    </row>
    <row r="25" spans="1:23">
      <c r="A25" s="374" t="s">
        <v>3705</v>
      </c>
      <c r="B25" s="42" t="s">
        <v>3706</v>
      </c>
      <c r="C25" s="42" t="s">
        <v>88</v>
      </c>
      <c r="D25" s="42" t="s">
        <v>16</v>
      </c>
      <c r="E25" s="47" t="s">
        <v>3707</v>
      </c>
      <c r="F25" s="47">
        <v>0</v>
      </c>
      <c r="G25" s="47"/>
      <c r="H25" s="47">
        <v>16050</v>
      </c>
      <c r="I25" s="47">
        <v>320</v>
      </c>
      <c r="J25" s="47">
        <v>0.5</v>
      </c>
      <c r="K25" s="43">
        <f t="shared" ref="K25:K27" si="0">I25*J25</f>
        <v>160</v>
      </c>
      <c r="L25" s="43">
        <f t="shared" ref="L25:L27" si="1">H25-K25</f>
        <v>15890</v>
      </c>
      <c r="M25" s="43"/>
      <c r="N25" s="43">
        <f t="shared" ref="N25:N27" si="2">L25-M25</f>
        <v>15890</v>
      </c>
      <c r="O25" s="43">
        <f t="shared" ref="O25:O27" si="3">H25/1000*70</f>
        <v>1123.5</v>
      </c>
      <c r="P25" s="42">
        <v>18000</v>
      </c>
      <c r="Q25" s="42">
        <v>20.3</v>
      </c>
      <c r="R25" s="42">
        <f t="shared" ref="R25:R27" si="4">L25*Q25</f>
        <v>322567</v>
      </c>
      <c r="S25" s="62"/>
      <c r="T25" s="62"/>
      <c r="U25" s="62"/>
      <c r="V25" s="62"/>
      <c r="W25" s="62"/>
    </row>
    <row r="26" spans="1:23">
      <c r="A26" s="374"/>
      <c r="B26" s="42" t="s">
        <v>3706</v>
      </c>
      <c r="C26" s="42" t="s">
        <v>88</v>
      </c>
      <c r="D26" s="42" t="s">
        <v>16</v>
      </c>
      <c r="E26" s="47" t="s">
        <v>3708</v>
      </c>
      <c r="F26" s="47">
        <v>0</v>
      </c>
      <c r="G26" s="47"/>
      <c r="H26" s="47">
        <v>16295</v>
      </c>
      <c r="I26" s="47">
        <v>326</v>
      </c>
      <c r="J26" s="47">
        <v>0.5</v>
      </c>
      <c r="K26" s="43">
        <f t="shared" si="0"/>
        <v>163</v>
      </c>
      <c r="L26" s="43">
        <f t="shared" si="1"/>
        <v>16132</v>
      </c>
      <c r="M26" s="43"/>
      <c r="N26" s="43">
        <f t="shared" si="2"/>
        <v>16132</v>
      </c>
      <c r="O26" s="43">
        <f t="shared" si="3"/>
        <v>1140.6500000000001</v>
      </c>
      <c r="P26" s="42">
        <v>18400</v>
      </c>
      <c r="Q26" s="42">
        <v>20.3</v>
      </c>
      <c r="R26" s="42">
        <f t="shared" si="4"/>
        <v>327479.60000000003</v>
      </c>
      <c r="S26" s="62"/>
      <c r="T26" s="62"/>
      <c r="U26" s="62"/>
      <c r="V26" s="62"/>
      <c r="W26" s="62"/>
    </row>
    <row r="27" spans="1:23">
      <c r="A27" s="374"/>
      <c r="B27" s="42" t="s">
        <v>3706</v>
      </c>
      <c r="C27" s="42" t="s">
        <v>88</v>
      </c>
      <c r="D27" s="42" t="s">
        <v>16</v>
      </c>
      <c r="E27" s="47" t="s">
        <v>3709</v>
      </c>
      <c r="F27" s="47">
        <v>0</v>
      </c>
      <c r="G27" s="47"/>
      <c r="H27" s="47">
        <v>15200</v>
      </c>
      <c r="I27" s="47">
        <v>254</v>
      </c>
      <c r="J27" s="47">
        <v>0.5</v>
      </c>
      <c r="K27" s="43">
        <f t="shared" si="0"/>
        <v>127</v>
      </c>
      <c r="L27" s="43">
        <f t="shared" si="1"/>
        <v>15073</v>
      </c>
      <c r="M27" s="43"/>
      <c r="N27" s="43">
        <f t="shared" si="2"/>
        <v>15073</v>
      </c>
      <c r="O27" s="43">
        <f t="shared" si="3"/>
        <v>1064</v>
      </c>
      <c r="P27" s="42">
        <v>19000</v>
      </c>
      <c r="Q27" s="42">
        <v>20.3</v>
      </c>
      <c r="R27" s="42">
        <f t="shared" si="4"/>
        <v>305981.90000000002</v>
      </c>
      <c r="S27" s="62"/>
      <c r="T27" s="62"/>
      <c r="U27" s="62"/>
      <c r="V27" s="62"/>
      <c r="W27" s="62"/>
    </row>
    <row r="28" spans="1:23">
      <c r="A28" s="62"/>
      <c r="B28" s="62"/>
      <c r="C28" s="62"/>
      <c r="D28" s="62"/>
      <c r="E28" s="62"/>
      <c r="F28" s="62"/>
      <c r="G28" s="62"/>
      <c r="H28" s="62"/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</row>
    <row r="29" spans="1:23">
      <c r="A29" s="62"/>
      <c r="B29" s="62"/>
      <c r="C29" s="62"/>
      <c r="D29" s="62"/>
      <c r="E29" s="62"/>
      <c r="F29" s="62"/>
      <c r="G29" s="62"/>
      <c r="H29" s="62"/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</row>
    <row r="30" spans="1:23">
      <c r="A30" s="62"/>
      <c r="B30" s="42" t="s">
        <v>3827</v>
      </c>
      <c r="C30" s="42" t="s">
        <v>88</v>
      </c>
      <c r="D30" s="42" t="s">
        <v>16</v>
      </c>
      <c r="E30" s="47" t="s">
        <v>3828</v>
      </c>
      <c r="F30" s="47">
        <v>996</v>
      </c>
      <c r="G30" s="47"/>
      <c r="H30" s="47">
        <v>23240</v>
      </c>
      <c r="I30" s="47">
        <v>420</v>
      </c>
      <c r="J30" s="47">
        <v>0.13</v>
      </c>
      <c r="K30" s="43">
        <f t="shared" ref="K30" si="5">I30*J30</f>
        <v>54.6</v>
      </c>
      <c r="L30" s="43">
        <f t="shared" ref="L30" si="6">H30-K30</f>
        <v>23185.4</v>
      </c>
      <c r="M30" s="43"/>
      <c r="N30" s="43">
        <f t="shared" ref="N30" si="7">L30-M30</f>
        <v>23185.4</v>
      </c>
      <c r="O30" s="43">
        <f t="shared" ref="O30" si="8">H30/1000*70</f>
        <v>1626.8</v>
      </c>
      <c r="P30" s="42">
        <v>12300</v>
      </c>
      <c r="Q30" s="42">
        <v>21.35</v>
      </c>
      <c r="R30" s="42">
        <f t="shared" ref="R30" si="9">L30*Q30</f>
        <v>495008.29000000004</v>
      </c>
      <c r="S30" s="62"/>
      <c r="T30" s="62"/>
      <c r="U30" s="62"/>
      <c r="V30" s="62"/>
      <c r="W30" s="62"/>
    </row>
    <row r="31" spans="1:23">
      <c r="A31" s="62"/>
      <c r="B31" s="62"/>
      <c r="C31" s="62"/>
      <c r="D31" s="62"/>
      <c r="E31" s="62"/>
      <c r="F31" s="62"/>
      <c r="G31" s="62"/>
      <c r="H31" s="62"/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</row>
    <row r="32" spans="1:23">
      <c r="A32" s="1" t="s">
        <v>4009</v>
      </c>
      <c r="B32" s="348" t="s">
        <v>3706</v>
      </c>
      <c r="C32" s="348" t="s">
        <v>88</v>
      </c>
      <c r="D32" s="42" t="s">
        <v>16</v>
      </c>
      <c r="E32" s="348" t="s">
        <v>4011</v>
      </c>
      <c r="F32" s="348">
        <v>0</v>
      </c>
      <c r="G32" s="348"/>
      <c r="H32" s="348">
        <v>15950</v>
      </c>
      <c r="I32" s="348">
        <v>292</v>
      </c>
      <c r="J32" s="348">
        <v>0.5</v>
      </c>
      <c r="K32" s="43">
        <f t="shared" ref="K32" si="10">I32*J32</f>
        <v>146</v>
      </c>
      <c r="L32" s="43">
        <f t="shared" ref="L32" si="11">H32-K32</f>
        <v>15804</v>
      </c>
      <c r="M32" s="43"/>
      <c r="N32" s="43">
        <f t="shared" ref="N32" si="12">L32-M32</f>
        <v>15804</v>
      </c>
      <c r="O32" s="43">
        <f t="shared" ref="O32" si="13">H32/1000*70</f>
        <v>1116.5</v>
      </c>
      <c r="P32" s="42">
        <v>17000</v>
      </c>
      <c r="Q32" s="42"/>
      <c r="R32" s="42">
        <f t="shared" ref="R32" si="14">L32*Q32</f>
        <v>0</v>
      </c>
    </row>
    <row r="34" spans="1:19">
      <c r="A34" s="1" t="s">
        <v>4017</v>
      </c>
      <c r="B34" s="350" t="s">
        <v>3706</v>
      </c>
      <c r="C34" s="350" t="s">
        <v>88</v>
      </c>
      <c r="D34" s="42" t="s">
        <v>16</v>
      </c>
      <c r="E34" s="350" t="s">
        <v>4018</v>
      </c>
      <c r="F34" s="350">
        <v>0</v>
      </c>
      <c r="G34" s="350"/>
      <c r="H34" s="350">
        <v>15940</v>
      </c>
      <c r="I34" s="350">
        <v>270</v>
      </c>
      <c r="J34" s="350">
        <v>0.5</v>
      </c>
      <c r="K34" s="43">
        <f t="shared" ref="K34" si="15">I34*J34</f>
        <v>135</v>
      </c>
      <c r="L34" s="43">
        <f t="shared" ref="L34" si="16">H34-K34</f>
        <v>15805</v>
      </c>
      <c r="M34" s="43"/>
      <c r="N34" s="43">
        <f t="shared" ref="N34" si="17">L34-M34</f>
        <v>15805</v>
      </c>
      <c r="O34" s="43">
        <f t="shared" ref="O34" si="18">H34/1000*70</f>
        <v>1115.8</v>
      </c>
      <c r="P34" s="42">
        <v>17000</v>
      </c>
      <c r="Q34" s="42">
        <v>22</v>
      </c>
      <c r="R34" s="42">
        <f t="shared" ref="R34" si="19">L34*Q34</f>
        <v>347710</v>
      </c>
    </row>
    <row r="36" spans="1:19">
      <c r="A36" s="1" t="s">
        <v>4026</v>
      </c>
      <c r="B36" s="352" t="s">
        <v>3706</v>
      </c>
      <c r="C36" s="352" t="s">
        <v>88</v>
      </c>
      <c r="D36" s="42" t="s">
        <v>16</v>
      </c>
      <c r="E36" s="352" t="s">
        <v>4029</v>
      </c>
      <c r="F36" s="352">
        <v>0</v>
      </c>
      <c r="G36" s="352"/>
      <c r="H36" s="352">
        <v>15530</v>
      </c>
      <c r="I36" s="352">
        <v>260</v>
      </c>
      <c r="J36" s="352">
        <v>0.13</v>
      </c>
      <c r="K36" s="43">
        <f t="shared" ref="K36" si="20">I36*J36</f>
        <v>33.800000000000004</v>
      </c>
      <c r="L36" s="43">
        <f t="shared" ref="L36" si="21">H36-K36</f>
        <v>15496.2</v>
      </c>
      <c r="M36" s="43"/>
      <c r="N36" s="43">
        <f t="shared" ref="N36" si="22">L36-M36</f>
        <v>15496.2</v>
      </c>
      <c r="O36" s="43">
        <f t="shared" ref="O36" si="23">H36/1000*70</f>
        <v>1087.0999999999999</v>
      </c>
      <c r="P36" s="42">
        <v>14000</v>
      </c>
      <c r="Q36" s="42"/>
      <c r="R36" s="42">
        <f t="shared" ref="R36" si="24">L36*Q36</f>
        <v>0</v>
      </c>
      <c r="S36" s="85"/>
    </row>
    <row r="53" spans="12:12">
      <c r="L53" s="16">
        <f>SUM(L7:L52)</f>
        <v>117385.59999999999</v>
      </c>
    </row>
  </sheetData>
  <mergeCells count="1">
    <mergeCell ref="A25:A27"/>
  </mergeCells>
  <pageMargins left="0.7" right="0.7" top="0.75" bottom="0.75" header="0.3" footer="0.3"/>
  <pageSetup paperSize="9" orientation="landscape" verticalDpi="0" r:id="rId1"/>
</worksheet>
</file>

<file path=xl/worksheets/sheet41.xml><?xml version="1.0" encoding="utf-8"?>
<worksheet xmlns="http://schemas.openxmlformats.org/spreadsheetml/2006/main" xmlns:r="http://schemas.openxmlformats.org/officeDocument/2006/relationships">
  <dimension ref="A5:W47"/>
  <sheetViews>
    <sheetView topLeftCell="A22" workbookViewId="0">
      <selection activeCell="E30" sqref="E30"/>
    </sheetView>
  </sheetViews>
  <sheetFormatPr defaultRowHeight="14.4"/>
  <cols>
    <col min="1" max="1" width="7.88671875" style="1" customWidth="1"/>
    <col min="2" max="2" width="22" style="1" customWidth="1"/>
    <col min="3" max="3" width="7.77734375" style="1" customWidth="1"/>
    <col min="4" max="4" width="4.77734375" style="1" customWidth="1"/>
    <col min="5" max="5" width="9.88671875" style="1" customWidth="1"/>
    <col min="6" max="6" width="7.6640625" style="1" customWidth="1"/>
    <col min="7" max="7" width="6.6640625" style="1" customWidth="1"/>
    <col min="8" max="8" width="7.44140625" style="1" customWidth="1"/>
    <col min="9" max="9" width="5.88671875" style="1" customWidth="1"/>
    <col min="10" max="10" width="6" style="1" customWidth="1"/>
    <col min="11" max="11" width="8.44140625" style="1" customWidth="1"/>
    <col min="12" max="12" width="8.21875" style="1" customWidth="1"/>
    <col min="13" max="13" width="7.33203125" style="1" customWidth="1"/>
    <col min="14" max="18" width="8.88671875" style="1"/>
    <col min="19" max="19" width="9" style="1" customWidth="1"/>
    <col min="20" max="16384" width="8.88671875" style="1"/>
  </cols>
  <sheetData>
    <row r="5" spans="1:23" ht="23.4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3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676</v>
      </c>
      <c r="M5" s="95" t="s">
        <v>677</v>
      </c>
      <c r="N5" s="3" t="s">
        <v>11</v>
      </c>
      <c r="O5" s="3" t="s">
        <v>36</v>
      </c>
      <c r="P5" s="3" t="s">
        <v>12</v>
      </c>
      <c r="Q5" s="3" t="s">
        <v>256</v>
      </c>
      <c r="R5" s="3" t="s">
        <v>257</v>
      </c>
      <c r="S5" s="3" t="s">
        <v>2</v>
      </c>
      <c r="T5" s="14" t="s">
        <v>80</v>
      </c>
      <c r="U5" s="14" t="s">
        <v>125</v>
      </c>
    </row>
    <row r="6" spans="1:23">
      <c r="A6" s="63"/>
      <c r="B6" s="301"/>
      <c r="C6" s="301"/>
      <c r="D6" s="301"/>
      <c r="E6" s="301"/>
      <c r="F6" s="301"/>
      <c r="G6" s="301"/>
      <c r="H6" s="301"/>
      <c r="I6" s="301"/>
      <c r="J6" s="301"/>
      <c r="K6" s="301"/>
      <c r="L6" s="61"/>
      <c r="M6" s="61"/>
      <c r="N6" s="301"/>
      <c r="O6" s="62"/>
      <c r="P6" s="62"/>
      <c r="Q6" s="62"/>
      <c r="R6" s="62"/>
      <c r="S6" s="62"/>
      <c r="U6" s="17"/>
    </row>
    <row r="7" spans="1:23">
      <c r="A7" s="63"/>
      <c r="B7" s="67"/>
      <c r="C7" s="67"/>
      <c r="D7" s="67"/>
      <c r="E7" s="67"/>
      <c r="F7" s="67"/>
      <c r="G7" s="67"/>
      <c r="H7" s="67"/>
      <c r="I7" s="67"/>
      <c r="J7" s="67"/>
      <c r="K7" s="68"/>
      <c r="L7" s="68"/>
      <c r="M7" s="68"/>
      <c r="N7" s="68"/>
      <c r="O7" s="68"/>
      <c r="P7" s="67"/>
      <c r="Q7" s="62"/>
      <c r="R7" s="62"/>
      <c r="S7" s="62"/>
      <c r="T7" s="62"/>
      <c r="U7" s="62"/>
      <c r="V7" s="62"/>
      <c r="W7" s="62"/>
    </row>
    <row r="8" spans="1:23">
      <c r="A8" s="63"/>
      <c r="B8" s="67"/>
      <c r="C8" s="67"/>
      <c r="D8" s="67"/>
      <c r="E8" s="67"/>
      <c r="F8" s="67"/>
      <c r="G8" s="67"/>
      <c r="H8" s="67"/>
      <c r="I8" s="67"/>
      <c r="J8" s="67"/>
      <c r="K8" s="67"/>
      <c r="L8" s="68"/>
      <c r="M8" s="68"/>
      <c r="N8" s="68"/>
      <c r="O8" s="68"/>
      <c r="P8" s="67"/>
      <c r="Q8" s="62"/>
      <c r="R8" s="62"/>
      <c r="S8" s="62"/>
      <c r="T8" s="62"/>
      <c r="U8" s="62"/>
      <c r="V8" s="62"/>
      <c r="W8" s="62"/>
    </row>
    <row r="9" spans="1:23">
      <c r="A9" s="63"/>
      <c r="B9" s="67"/>
      <c r="C9" s="67"/>
      <c r="D9" s="67"/>
      <c r="E9" s="67"/>
      <c r="F9" s="67"/>
      <c r="G9" s="67"/>
      <c r="H9" s="67"/>
      <c r="I9" s="67"/>
      <c r="J9" s="67"/>
      <c r="K9" s="68"/>
      <c r="L9" s="68"/>
      <c r="M9" s="68"/>
      <c r="N9" s="68"/>
      <c r="O9" s="68"/>
      <c r="P9" s="67"/>
      <c r="Q9" s="62"/>
      <c r="R9" s="62"/>
      <c r="S9" s="62"/>
      <c r="T9" s="62"/>
      <c r="U9" s="62"/>
      <c r="V9" s="62"/>
      <c r="W9" s="62"/>
    </row>
    <row r="10" spans="1:23">
      <c r="A10" s="63"/>
      <c r="B10" s="67"/>
      <c r="C10" s="67"/>
      <c r="D10" s="67"/>
      <c r="E10" s="67"/>
      <c r="F10" s="67"/>
      <c r="G10" s="67"/>
      <c r="H10" s="67"/>
      <c r="I10" s="67"/>
      <c r="J10" s="67"/>
      <c r="K10" s="68"/>
      <c r="L10" s="68"/>
      <c r="M10" s="68"/>
      <c r="N10" s="68"/>
      <c r="O10" s="68"/>
      <c r="P10" s="67"/>
      <c r="Q10" s="62"/>
      <c r="R10" s="62"/>
      <c r="S10" s="62"/>
      <c r="T10" s="62"/>
      <c r="U10" s="62"/>
      <c r="V10" s="62"/>
      <c r="W10" s="62"/>
    </row>
    <row r="11" spans="1:23">
      <c r="A11" s="63"/>
      <c r="B11" s="67"/>
      <c r="C11" s="67"/>
      <c r="D11" s="67"/>
      <c r="E11" s="67"/>
      <c r="F11" s="67"/>
      <c r="G11" s="67"/>
      <c r="H11" s="67"/>
      <c r="I11" s="67"/>
      <c r="J11" s="67"/>
      <c r="K11" s="68"/>
      <c r="L11" s="68"/>
      <c r="M11" s="68"/>
      <c r="N11" s="68"/>
      <c r="O11" s="68"/>
      <c r="P11" s="67"/>
      <c r="Q11" s="62"/>
      <c r="R11" s="62"/>
      <c r="S11" s="62"/>
      <c r="T11" s="62"/>
      <c r="U11" s="62"/>
      <c r="V11" s="62"/>
      <c r="W11" s="62"/>
    </row>
    <row r="12" spans="1:23">
      <c r="A12" s="63"/>
      <c r="B12" s="67"/>
      <c r="C12" s="67"/>
      <c r="D12" s="67"/>
      <c r="E12" s="67"/>
      <c r="F12" s="67"/>
      <c r="G12" s="67"/>
      <c r="H12" s="67"/>
      <c r="I12" s="67"/>
      <c r="J12" s="67"/>
      <c r="K12" s="68"/>
      <c r="L12" s="68"/>
      <c r="M12" s="68"/>
      <c r="N12" s="68"/>
      <c r="O12" s="68"/>
      <c r="P12" s="67"/>
      <c r="Q12" s="67"/>
      <c r="R12" s="67"/>
      <c r="S12" s="62"/>
      <c r="T12" s="62"/>
      <c r="U12" s="62"/>
      <c r="V12" s="62"/>
      <c r="W12" s="62"/>
    </row>
    <row r="13" spans="1:23">
      <c r="A13" s="63"/>
      <c r="B13" s="67"/>
      <c r="C13" s="67"/>
      <c r="D13" s="67"/>
      <c r="E13" s="67"/>
      <c r="F13" s="67"/>
      <c r="G13" s="67"/>
      <c r="H13" s="67"/>
      <c r="I13" s="67"/>
      <c r="J13" s="67"/>
      <c r="K13" s="68"/>
      <c r="L13" s="68"/>
      <c r="M13" s="68"/>
      <c r="N13" s="68"/>
      <c r="O13" s="68"/>
      <c r="P13" s="67"/>
      <c r="Q13" s="67"/>
      <c r="R13" s="67"/>
      <c r="S13" s="62"/>
      <c r="T13" s="62"/>
      <c r="U13" s="62"/>
      <c r="V13" s="62"/>
      <c r="W13" s="62"/>
    </row>
    <row r="14" spans="1:23">
      <c r="A14" s="63"/>
      <c r="B14" s="67"/>
      <c r="C14" s="67"/>
      <c r="D14" s="67"/>
      <c r="E14" s="67"/>
      <c r="F14" s="67"/>
      <c r="G14" s="67"/>
      <c r="H14" s="67"/>
      <c r="I14" s="67"/>
      <c r="J14" s="67"/>
      <c r="K14" s="68"/>
      <c r="L14" s="68"/>
      <c r="M14" s="68"/>
      <c r="N14" s="68"/>
      <c r="O14" s="68"/>
      <c r="P14" s="67"/>
      <c r="Q14" s="67"/>
      <c r="R14" s="67"/>
      <c r="S14" s="62"/>
      <c r="T14" s="62"/>
      <c r="U14" s="62"/>
      <c r="V14" s="62"/>
      <c r="W14" s="62"/>
    </row>
    <row r="15" spans="1:23">
      <c r="A15" s="63"/>
      <c r="B15" s="67"/>
      <c r="C15" s="67"/>
      <c r="D15" s="67"/>
      <c r="E15" s="67"/>
      <c r="F15" s="67"/>
      <c r="G15" s="67"/>
      <c r="H15" s="67"/>
      <c r="I15" s="67"/>
      <c r="J15" s="67"/>
      <c r="K15" s="67"/>
      <c r="L15" s="68"/>
      <c r="M15" s="68"/>
      <c r="N15" s="68"/>
      <c r="O15" s="68"/>
      <c r="P15" s="67"/>
      <c r="Q15" s="67"/>
      <c r="R15" s="67"/>
      <c r="S15" s="62"/>
      <c r="T15" s="62"/>
      <c r="U15" s="62"/>
      <c r="V15" s="62"/>
      <c r="W15" s="62"/>
    </row>
    <row r="16" spans="1:23">
      <c r="A16" s="63"/>
      <c r="B16" s="67"/>
      <c r="C16" s="67"/>
      <c r="D16" s="67"/>
      <c r="E16" s="67"/>
      <c r="F16" s="67"/>
      <c r="G16" s="67"/>
      <c r="H16" s="67"/>
      <c r="I16" s="67"/>
      <c r="J16" s="67"/>
      <c r="K16" s="67"/>
      <c r="L16" s="68"/>
      <c r="M16" s="68"/>
      <c r="N16" s="68"/>
      <c r="O16" s="68"/>
      <c r="P16" s="67"/>
      <c r="Q16" s="67"/>
      <c r="R16" s="67"/>
      <c r="S16" s="62"/>
      <c r="T16" s="62"/>
      <c r="U16" s="62"/>
      <c r="V16" s="62"/>
      <c r="W16" s="62"/>
    </row>
    <row r="17" spans="1:23">
      <c r="A17" s="63"/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8"/>
      <c r="M17" s="68"/>
      <c r="N17" s="68"/>
      <c r="O17" s="68"/>
      <c r="P17" s="67"/>
      <c r="Q17" s="67"/>
      <c r="R17" s="67"/>
      <c r="S17" s="62"/>
      <c r="T17" s="62"/>
      <c r="U17" s="62"/>
      <c r="V17" s="62"/>
      <c r="W17" s="62"/>
    </row>
    <row r="18" spans="1:23">
      <c r="A18" s="63"/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8"/>
      <c r="M18" s="68"/>
      <c r="N18" s="68"/>
      <c r="O18" s="68"/>
      <c r="P18" s="67"/>
      <c r="Q18" s="67"/>
      <c r="R18" s="67"/>
      <c r="S18" s="62"/>
      <c r="T18" s="62"/>
      <c r="U18" s="62"/>
      <c r="V18" s="62"/>
      <c r="W18" s="62"/>
    </row>
    <row r="19" spans="1:23">
      <c r="A19" s="62"/>
      <c r="B19" s="67"/>
      <c r="C19" s="67"/>
      <c r="D19" s="67"/>
      <c r="E19" s="67"/>
      <c r="F19" s="67"/>
      <c r="G19" s="67"/>
      <c r="H19" s="67"/>
      <c r="I19" s="67"/>
      <c r="J19" s="67"/>
      <c r="K19" s="67"/>
      <c r="L19" s="68"/>
      <c r="M19" s="68"/>
      <c r="N19" s="68"/>
      <c r="O19" s="68"/>
      <c r="P19" s="67"/>
      <c r="Q19" s="67"/>
      <c r="R19" s="67"/>
      <c r="S19" s="62"/>
      <c r="T19" s="62"/>
      <c r="U19" s="62"/>
      <c r="V19" s="62"/>
      <c r="W19" s="62"/>
    </row>
    <row r="20" spans="1:23">
      <c r="A20" s="63"/>
      <c r="B20" s="142"/>
      <c r="C20" s="142"/>
      <c r="D20" s="67"/>
      <c r="E20" s="67"/>
      <c r="F20" s="67"/>
      <c r="G20" s="67"/>
      <c r="H20" s="67"/>
      <c r="I20" s="67"/>
      <c r="J20" s="67"/>
      <c r="K20" s="67"/>
      <c r="L20" s="68"/>
      <c r="M20" s="68"/>
      <c r="N20" s="68"/>
      <c r="O20" s="68"/>
      <c r="P20" s="67"/>
      <c r="Q20" s="67"/>
      <c r="R20" s="67"/>
      <c r="S20" s="62"/>
      <c r="T20" s="62"/>
      <c r="U20" s="62"/>
      <c r="V20" s="62"/>
      <c r="W20" s="62"/>
    </row>
    <row r="21" spans="1:23">
      <c r="A21" s="63"/>
      <c r="B21" s="142"/>
      <c r="C21" s="142"/>
      <c r="D21" s="67"/>
      <c r="E21" s="67"/>
      <c r="F21" s="67"/>
      <c r="G21" s="67"/>
      <c r="H21" s="67"/>
      <c r="I21" s="67"/>
      <c r="J21" s="67"/>
      <c r="K21" s="67"/>
      <c r="L21" s="68"/>
      <c r="M21" s="68"/>
      <c r="N21" s="68"/>
      <c r="O21" s="68"/>
      <c r="P21" s="67"/>
      <c r="Q21" s="67"/>
      <c r="R21" s="67"/>
      <c r="S21" s="62"/>
      <c r="T21" s="62"/>
      <c r="U21" s="62"/>
      <c r="V21" s="62"/>
      <c r="W21" s="62"/>
    </row>
    <row r="22" spans="1:23">
      <c r="A22" s="63"/>
      <c r="B22" s="142"/>
      <c r="C22" s="142"/>
      <c r="D22" s="67"/>
      <c r="E22" s="67"/>
      <c r="F22" s="67"/>
      <c r="G22" s="67"/>
      <c r="H22" s="67"/>
      <c r="I22" s="67"/>
      <c r="J22" s="67"/>
      <c r="K22" s="67"/>
      <c r="L22" s="68"/>
      <c r="M22" s="68"/>
      <c r="N22" s="68"/>
      <c r="O22" s="68"/>
      <c r="P22" s="67"/>
      <c r="Q22" s="67"/>
      <c r="R22" s="67"/>
      <c r="S22" s="62"/>
      <c r="T22" s="62"/>
      <c r="U22" s="62"/>
      <c r="V22" s="62"/>
      <c r="W22" s="62"/>
    </row>
    <row r="23" spans="1:23">
      <c r="A23" s="63"/>
      <c r="B23" s="142"/>
      <c r="C23" s="142"/>
      <c r="D23" s="67"/>
      <c r="E23" s="67"/>
      <c r="F23" s="67"/>
      <c r="G23" s="67"/>
      <c r="H23" s="67"/>
      <c r="I23" s="67"/>
      <c r="J23" s="67"/>
      <c r="K23" s="67"/>
      <c r="L23" s="68"/>
      <c r="M23" s="68"/>
      <c r="N23" s="68"/>
      <c r="O23" s="68"/>
      <c r="P23" s="67"/>
      <c r="Q23" s="67"/>
      <c r="R23" s="67"/>
      <c r="S23" s="62"/>
      <c r="T23" s="62"/>
      <c r="U23" s="62"/>
      <c r="V23" s="62"/>
      <c r="W23" s="62"/>
    </row>
    <row r="24" spans="1:23">
      <c r="A24" s="62"/>
      <c r="B24" s="62"/>
      <c r="C24" s="62"/>
      <c r="D24" s="62"/>
      <c r="E24" s="6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</row>
    <row r="25" spans="1:23">
      <c r="A25" s="62" t="s">
        <v>3825</v>
      </c>
      <c r="B25" s="42" t="s">
        <v>3827</v>
      </c>
      <c r="C25" s="42" t="s">
        <v>88</v>
      </c>
      <c r="D25" s="42" t="s">
        <v>16</v>
      </c>
      <c r="E25" s="47" t="s">
        <v>3828</v>
      </c>
      <c r="F25" s="47">
        <v>996</v>
      </c>
      <c r="G25" s="47"/>
      <c r="H25" s="47">
        <v>23240</v>
      </c>
      <c r="I25" s="47">
        <v>420</v>
      </c>
      <c r="J25" s="47">
        <v>0.13</v>
      </c>
      <c r="K25" s="43">
        <f t="shared" ref="K25" si="0">I25*J25</f>
        <v>54.6</v>
      </c>
      <c r="L25" s="43">
        <f t="shared" ref="L25" si="1">H25-K25</f>
        <v>23185.4</v>
      </c>
      <c r="M25" s="43"/>
      <c r="N25" s="43">
        <f t="shared" ref="N25" si="2">L25-M25</f>
        <v>23185.4</v>
      </c>
      <c r="O25" s="43">
        <f t="shared" ref="O25" si="3">H25/1000*70</f>
        <v>1626.8</v>
      </c>
      <c r="P25" s="42">
        <v>12300</v>
      </c>
      <c r="Q25" s="42">
        <v>21.35</v>
      </c>
      <c r="R25" s="42">
        <f t="shared" ref="R25" si="4">L25*Q25</f>
        <v>495008.29000000004</v>
      </c>
      <c r="S25" s="62"/>
      <c r="T25" s="62"/>
      <c r="U25" s="62"/>
      <c r="V25" s="62"/>
      <c r="W25" s="62"/>
    </row>
    <row r="26" spans="1:23">
      <c r="A26" s="62"/>
      <c r="B26" s="62"/>
      <c r="C26" s="62"/>
      <c r="D26" s="62"/>
      <c r="E26" s="62"/>
      <c r="F26" s="62"/>
      <c r="G26" s="62"/>
      <c r="H26" s="62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</row>
    <row r="27" spans="1:23">
      <c r="A27" s="1" t="s">
        <v>3831</v>
      </c>
      <c r="B27" s="42" t="s">
        <v>3827</v>
      </c>
      <c r="C27" s="42" t="s">
        <v>88</v>
      </c>
      <c r="D27" s="42" t="s">
        <v>16</v>
      </c>
      <c r="E27" s="47" t="s">
        <v>3832</v>
      </c>
      <c r="F27" s="47">
        <v>1005</v>
      </c>
      <c r="G27" s="47"/>
      <c r="H27" s="47">
        <v>19400</v>
      </c>
      <c r="I27" s="47">
        <v>335</v>
      </c>
      <c r="J27" s="47">
        <v>0.13</v>
      </c>
      <c r="K27" s="43">
        <f t="shared" ref="K27" si="5">I27*J27</f>
        <v>43.550000000000004</v>
      </c>
      <c r="L27" s="43">
        <f t="shared" ref="L27" si="6">H27-K27</f>
        <v>19356.45</v>
      </c>
      <c r="M27" s="43"/>
      <c r="N27" s="43">
        <f t="shared" ref="N27" si="7">L27-M27</f>
        <v>19356.45</v>
      </c>
      <c r="O27" s="43">
        <f t="shared" ref="O27" si="8">H27/1000*70</f>
        <v>1358</v>
      </c>
      <c r="P27" s="42">
        <v>10500</v>
      </c>
      <c r="Q27" s="42">
        <v>21.35</v>
      </c>
      <c r="R27" s="42">
        <f t="shared" ref="R27" si="9">L27*Q27</f>
        <v>413260.20750000002</v>
      </c>
    </row>
    <row r="47" spans="12:12">
      <c r="L47" s="16">
        <f>SUM(L7:L46)</f>
        <v>42541.850000000006</v>
      </c>
    </row>
  </sheetData>
  <pageMargins left="0.7" right="0.7" top="0.75" bottom="0.75" header="0.3" footer="0.3"/>
  <pageSetup paperSize="9" orientation="landscape" verticalDpi="0" r:id="rId1"/>
</worksheet>
</file>

<file path=xl/worksheets/sheet42.xml><?xml version="1.0" encoding="utf-8"?>
<worksheet xmlns="http://schemas.openxmlformats.org/spreadsheetml/2006/main" xmlns:r="http://schemas.openxmlformats.org/officeDocument/2006/relationships">
  <dimension ref="A5:W44"/>
  <sheetViews>
    <sheetView topLeftCell="A22" workbookViewId="0">
      <selection activeCell="H41" sqref="H41"/>
    </sheetView>
  </sheetViews>
  <sheetFormatPr defaultRowHeight="14.4"/>
  <cols>
    <col min="1" max="1" width="7.88671875" style="1" customWidth="1"/>
    <col min="2" max="2" width="22" style="1" customWidth="1"/>
    <col min="3" max="3" width="7.77734375" style="1" customWidth="1"/>
    <col min="4" max="4" width="4.77734375" style="1" customWidth="1"/>
    <col min="5" max="5" width="9.88671875" style="1" customWidth="1"/>
    <col min="6" max="6" width="7.6640625" style="1" customWidth="1"/>
    <col min="7" max="7" width="6.6640625" style="1" customWidth="1"/>
    <col min="8" max="8" width="7.44140625" style="1" customWidth="1"/>
    <col min="9" max="9" width="5.88671875" style="1" customWidth="1"/>
    <col min="10" max="10" width="6" style="1" customWidth="1"/>
    <col min="11" max="11" width="8.44140625" style="1" customWidth="1"/>
    <col min="12" max="12" width="8.21875" style="1" customWidth="1"/>
    <col min="13" max="13" width="7.33203125" style="1" customWidth="1"/>
    <col min="14" max="18" width="8.88671875" style="1"/>
    <col min="19" max="19" width="9" style="1" customWidth="1"/>
    <col min="20" max="16384" width="8.88671875" style="1"/>
  </cols>
  <sheetData>
    <row r="5" spans="1:23" ht="23.4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3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676</v>
      </c>
      <c r="M5" s="95" t="s">
        <v>677</v>
      </c>
      <c r="N5" s="3" t="s">
        <v>11</v>
      </c>
      <c r="O5" s="3" t="s">
        <v>36</v>
      </c>
      <c r="P5" s="3" t="s">
        <v>12</v>
      </c>
      <c r="Q5" s="3" t="s">
        <v>256</v>
      </c>
      <c r="R5" s="3" t="s">
        <v>257</v>
      </c>
      <c r="S5" s="3" t="s">
        <v>2</v>
      </c>
      <c r="T5" s="14" t="s">
        <v>80</v>
      </c>
      <c r="U5" s="14" t="s">
        <v>125</v>
      </c>
    </row>
    <row r="6" spans="1:23">
      <c r="A6" s="63"/>
      <c r="B6" s="301"/>
      <c r="C6" s="301"/>
      <c r="D6" s="301"/>
      <c r="E6" s="301"/>
      <c r="F6" s="301"/>
      <c r="G6" s="301"/>
      <c r="H6" s="301"/>
      <c r="I6" s="301"/>
      <c r="J6" s="301"/>
      <c r="K6" s="301"/>
      <c r="L6" s="61"/>
      <c r="M6" s="61"/>
      <c r="N6" s="301"/>
      <c r="O6" s="62"/>
      <c r="P6" s="62"/>
      <c r="Q6" s="62"/>
      <c r="R6" s="62"/>
      <c r="S6" s="62"/>
      <c r="U6" s="17"/>
    </row>
    <row r="7" spans="1:23">
      <c r="A7" s="63"/>
      <c r="B7" s="67"/>
      <c r="C7" s="67"/>
      <c r="D7" s="67"/>
      <c r="E7" s="67"/>
      <c r="F7" s="67"/>
      <c r="G7" s="67"/>
      <c r="H7" s="67"/>
      <c r="I7" s="67"/>
      <c r="J7" s="67"/>
      <c r="K7" s="68"/>
      <c r="L7" s="68"/>
      <c r="M7" s="68"/>
      <c r="N7" s="68"/>
      <c r="O7" s="68"/>
      <c r="P7" s="67"/>
      <c r="Q7" s="62"/>
      <c r="R7" s="62"/>
      <c r="S7" s="62"/>
      <c r="T7" s="62"/>
      <c r="U7" s="62"/>
      <c r="V7" s="62"/>
      <c r="W7" s="62"/>
    </row>
    <row r="8" spans="1:23">
      <c r="A8" s="63"/>
      <c r="B8" s="67"/>
      <c r="C8" s="67"/>
      <c r="D8" s="67"/>
      <c r="E8" s="67"/>
      <c r="F8" s="67"/>
      <c r="G8" s="67"/>
      <c r="H8" s="67"/>
      <c r="I8" s="67"/>
      <c r="J8" s="67"/>
      <c r="K8" s="67"/>
      <c r="L8" s="68"/>
      <c r="M8" s="68"/>
      <c r="N8" s="68"/>
      <c r="O8" s="68"/>
      <c r="P8" s="67"/>
      <c r="Q8" s="62"/>
      <c r="R8" s="62"/>
      <c r="S8" s="62"/>
      <c r="T8" s="62"/>
      <c r="U8" s="62"/>
      <c r="V8" s="62"/>
      <c r="W8" s="62"/>
    </row>
    <row r="9" spans="1:23">
      <c r="A9" s="63"/>
      <c r="B9" s="67"/>
      <c r="C9" s="67"/>
      <c r="D9" s="67"/>
      <c r="E9" s="67"/>
      <c r="F9" s="67"/>
      <c r="G9" s="67"/>
      <c r="H9" s="67"/>
      <c r="I9" s="67"/>
      <c r="J9" s="67"/>
      <c r="K9" s="68"/>
      <c r="L9" s="68"/>
      <c r="M9" s="68"/>
      <c r="N9" s="68"/>
      <c r="O9" s="68"/>
      <c r="P9" s="67"/>
      <c r="Q9" s="62"/>
      <c r="R9" s="62"/>
      <c r="S9" s="62"/>
      <c r="T9" s="62"/>
      <c r="U9" s="62"/>
      <c r="V9" s="62"/>
      <c r="W9" s="62"/>
    </row>
    <row r="10" spans="1:23">
      <c r="A10" s="63"/>
      <c r="B10" s="67"/>
      <c r="C10" s="67"/>
      <c r="D10" s="67"/>
      <c r="E10" s="67"/>
      <c r="F10" s="67"/>
      <c r="G10" s="67"/>
      <c r="H10" s="67"/>
      <c r="I10" s="67"/>
      <c r="J10" s="67"/>
      <c r="K10" s="68"/>
      <c r="L10" s="68"/>
      <c r="M10" s="68"/>
      <c r="N10" s="68"/>
      <c r="O10" s="68"/>
      <c r="P10" s="67"/>
      <c r="Q10" s="62"/>
      <c r="R10" s="62"/>
      <c r="S10" s="62"/>
      <c r="T10" s="62"/>
      <c r="U10" s="62"/>
      <c r="V10" s="62"/>
      <c r="W10" s="62"/>
    </row>
    <row r="11" spans="1:23">
      <c r="A11" s="63"/>
      <c r="B11" s="67"/>
      <c r="C11" s="67"/>
      <c r="D11" s="67"/>
      <c r="E11" s="67"/>
      <c r="F11" s="67"/>
      <c r="G11" s="67"/>
      <c r="H11" s="67"/>
      <c r="I11" s="67"/>
      <c r="J11" s="67"/>
      <c r="K11" s="68"/>
      <c r="L11" s="68"/>
      <c r="M11" s="68"/>
      <c r="N11" s="68"/>
      <c r="O11" s="68"/>
      <c r="P11" s="67"/>
      <c r="Q11" s="62"/>
      <c r="R11" s="62"/>
      <c r="S11" s="62"/>
      <c r="T11" s="62"/>
      <c r="U11" s="62"/>
      <c r="V11" s="62"/>
      <c r="W11" s="62"/>
    </row>
    <row r="12" spans="1:23">
      <c r="A12" s="63"/>
      <c r="B12" s="67"/>
      <c r="C12" s="67"/>
      <c r="D12" s="67"/>
      <c r="E12" s="67"/>
      <c r="F12" s="67"/>
      <c r="G12" s="67"/>
      <c r="H12" s="67"/>
      <c r="I12" s="67"/>
      <c r="J12" s="67"/>
      <c r="K12" s="68"/>
      <c r="L12" s="68"/>
      <c r="M12" s="68"/>
      <c r="N12" s="68"/>
      <c r="O12" s="68"/>
      <c r="P12" s="67"/>
      <c r="Q12" s="67"/>
      <c r="R12" s="67"/>
      <c r="S12" s="62"/>
      <c r="T12" s="62"/>
      <c r="U12" s="62"/>
      <c r="V12" s="62"/>
      <c r="W12" s="62"/>
    </row>
    <row r="13" spans="1:23">
      <c r="A13" s="63"/>
      <c r="B13" s="67"/>
      <c r="C13" s="67"/>
      <c r="D13" s="67"/>
      <c r="E13" s="67"/>
      <c r="F13" s="67"/>
      <c r="G13" s="67"/>
      <c r="H13" s="67"/>
      <c r="I13" s="67"/>
      <c r="J13" s="67"/>
      <c r="K13" s="68"/>
      <c r="L13" s="68"/>
      <c r="M13" s="68"/>
      <c r="N13" s="68"/>
      <c r="O13" s="68"/>
      <c r="P13" s="67"/>
      <c r="Q13" s="67"/>
      <c r="R13" s="67"/>
      <c r="S13" s="62"/>
      <c r="T13" s="62"/>
      <c r="U13" s="62"/>
      <c r="V13" s="62"/>
      <c r="W13" s="62"/>
    </row>
    <row r="14" spans="1:23">
      <c r="A14" s="63"/>
      <c r="B14" s="67"/>
      <c r="C14" s="67"/>
      <c r="D14" s="67"/>
      <c r="E14" s="67"/>
      <c r="F14" s="67"/>
      <c r="G14" s="67"/>
      <c r="H14" s="67"/>
      <c r="I14" s="67"/>
      <c r="J14" s="67"/>
      <c r="K14" s="68"/>
      <c r="L14" s="68"/>
      <c r="M14" s="68"/>
      <c r="N14" s="68"/>
      <c r="O14" s="68"/>
      <c r="P14" s="67"/>
      <c r="Q14" s="67"/>
      <c r="R14" s="67"/>
      <c r="S14" s="62"/>
      <c r="T14" s="62"/>
      <c r="U14" s="62"/>
      <c r="V14" s="62"/>
      <c r="W14" s="62"/>
    </row>
    <row r="15" spans="1:23">
      <c r="A15" s="63"/>
      <c r="B15" s="67"/>
      <c r="C15" s="67"/>
      <c r="D15" s="67"/>
      <c r="E15" s="67"/>
      <c r="F15" s="67"/>
      <c r="G15" s="67"/>
      <c r="H15" s="67"/>
      <c r="I15" s="67"/>
      <c r="J15" s="67"/>
      <c r="K15" s="67"/>
      <c r="L15" s="68"/>
      <c r="M15" s="68"/>
      <c r="N15" s="68"/>
      <c r="O15" s="68"/>
      <c r="P15" s="67"/>
      <c r="Q15" s="67"/>
      <c r="R15" s="67"/>
      <c r="S15" s="62"/>
      <c r="T15" s="62"/>
      <c r="U15" s="62"/>
      <c r="V15" s="62"/>
      <c r="W15" s="62"/>
    </row>
    <row r="16" spans="1:23">
      <c r="A16" s="63"/>
      <c r="B16" s="67"/>
      <c r="C16" s="67"/>
      <c r="D16" s="67"/>
      <c r="E16" s="67"/>
      <c r="F16" s="67"/>
      <c r="G16" s="67"/>
      <c r="H16" s="67"/>
      <c r="I16" s="67"/>
      <c r="J16" s="67"/>
      <c r="K16" s="67"/>
      <c r="L16" s="68"/>
      <c r="M16" s="68"/>
      <c r="N16" s="68"/>
      <c r="O16" s="68"/>
      <c r="P16" s="67"/>
      <c r="Q16" s="67"/>
      <c r="R16" s="67"/>
      <c r="S16" s="62"/>
      <c r="T16" s="62"/>
      <c r="U16" s="62"/>
      <c r="V16" s="62"/>
      <c r="W16" s="62"/>
    </row>
    <row r="17" spans="1:23">
      <c r="A17" s="63"/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8"/>
      <c r="M17" s="68"/>
      <c r="N17" s="68"/>
      <c r="O17" s="68"/>
      <c r="P17" s="67"/>
      <c r="Q17" s="67"/>
      <c r="R17" s="67"/>
      <c r="S17" s="62"/>
      <c r="T17" s="62"/>
      <c r="U17" s="62"/>
      <c r="V17" s="62"/>
      <c r="W17" s="62"/>
    </row>
    <row r="18" spans="1:23">
      <c r="A18" s="63"/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8"/>
      <c r="M18" s="68"/>
      <c r="N18" s="68"/>
      <c r="O18" s="68"/>
      <c r="P18" s="67"/>
      <c r="Q18" s="67"/>
      <c r="R18" s="67"/>
      <c r="S18" s="62"/>
      <c r="T18" s="62"/>
      <c r="U18" s="62"/>
      <c r="V18" s="62"/>
      <c r="W18" s="62"/>
    </row>
    <row r="19" spans="1:23">
      <c r="A19" s="62"/>
      <c r="B19" s="67"/>
      <c r="C19" s="67"/>
      <c r="D19" s="67"/>
      <c r="E19" s="67"/>
      <c r="F19" s="67"/>
      <c r="G19" s="67"/>
      <c r="H19" s="67"/>
      <c r="I19" s="67"/>
      <c r="J19" s="67"/>
      <c r="K19" s="67"/>
      <c r="L19" s="68"/>
      <c r="M19" s="68"/>
      <c r="N19" s="68"/>
      <c r="O19" s="68"/>
      <c r="P19" s="67"/>
      <c r="Q19" s="67"/>
      <c r="R19" s="67"/>
      <c r="S19" s="62"/>
      <c r="T19" s="62"/>
      <c r="U19" s="62"/>
      <c r="V19" s="62"/>
      <c r="W19" s="62"/>
    </row>
    <row r="20" spans="1:23">
      <c r="A20" s="63"/>
      <c r="B20" s="142"/>
      <c r="C20" s="142"/>
      <c r="D20" s="67"/>
      <c r="E20" s="67"/>
      <c r="F20" s="67"/>
      <c r="G20" s="67"/>
      <c r="H20" s="67"/>
      <c r="I20" s="67"/>
      <c r="J20" s="67"/>
      <c r="K20" s="67"/>
      <c r="L20" s="68"/>
      <c r="M20" s="68"/>
      <c r="N20" s="68"/>
      <c r="O20" s="68"/>
      <c r="P20" s="67"/>
      <c r="Q20" s="67"/>
      <c r="R20" s="67"/>
      <c r="S20" s="62"/>
      <c r="T20" s="62"/>
      <c r="U20" s="62"/>
      <c r="V20" s="62"/>
      <c r="W20" s="62"/>
    </row>
    <row r="21" spans="1:23">
      <c r="A21" s="63"/>
      <c r="B21" s="142"/>
      <c r="C21" s="142"/>
      <c r="D21" s="67"/>
      <c r="E21" s="67"/>
      <c r="F21" s="67"/>
      <c r="G21" s="67"/>
      <c r="H21" s="67"/>
      <c r="I21" s="67"/>
      <c r="J21" s="67"/>
      <c r="K21" s="67"/>
      <c r="L21" s="68"/>
      <c r="M21" s="68"/>
      <c r="N21" s="68"/>
      <c r="O21" s="68"/>
      <c r="P21" s="67"/>
      <c r="Q21" s="67"/>
      <c r="R21" s="67"/>
      <c r="S21" s="62"/>
      <c r="T21" s="62"/>
      <c r="U21" s="62"/>
      <c r="V21" s="62"/>
      <c r="W21" s="62"/>
    </row>
    <row r="22" spans="1:23">
      <c r="A22" s="63"/>
      <c r="B22" s="142"/>
      <c r="C22" s="142"/>
      <c r="D22" s="67"/>
      <c r="E22" s="67"/>
      <c r="F22" s="67"/>
      <c r="G22" s="67"/>
      <c r="H22" s="67"/>
      <c r="I22" s="67"/>
      <c r="J22" s="67"/>
      <c r="K22" s="67"/>
      <c r="L22" s="68"/>
      <c r="M22" s="68"/>
      <c r="N22" s="68"/>
      <c r="O22" s="68"/>
      <c r="P22" s="67"/>
      <c r="Q22" s="67"/>
      <c r="R22" s="67"/>
      <c r="S22" s="62"/>
      <c r="T22" s="62"/>
      <c r="U22" s="62"/>
      <c r="V22" s="62"/>
      <c r="W22" s="62"/>
    </row>
    <row r="23" spans="1:23">
      <c r="A23" s="63"/>
      <c r="B23" s="142"/>
      <c r="C23" s="142"/>
      <c r="D23" s="67"/>
      <c r="E23" s="67"/>
      <c r="F23" s="67"/>
      <c r="G23" s="67"/>
      <c r="H23" s="67"/>
      <c r="I23" s="67"/>
      <c r="J23" s="67"/>
      <c r="K23" s="67"/>
      <c r="L23" s="68"/>
      <c r="M23" s="68"/>
      <c r="N23" s="68"/>
      <c r="O23" s="68"/>
      <c r="P23" s="67"/>
      <c r="Q23" s="67"/>
      <c r="R23" s="67"/>
      <c r="S23" s="62"/>
      <c r="T23" s="62"/>
      <c r="U23" s="62"/>
      <c r="V23" s="62"/>
      <c r="W23" s="62"/>
    </row>
    <row r="24" spans="1:23">
      <c r="A24" s="62"/>
      <c r="B24" s="62"/>
      <c r="C24" s="62"/>
      <c r="D24" s="62"/>
      <c r="E24" s="6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</row>
    <row r="26" spans="1:23">
      <c r="A26" s="1" t="s">
        <v>3849</v>
      </c>
      <c r="B26" s="42" t="s">
        <v>3856</v>
      </c>
      <c r="C26" s="42" t="s">
        <v>88</v>
      </c>
      <c r="D26" s="42" t="s">
        <v>16</v>
      </c>
      <c r="E26" s="47" t="s">
        <v>3857</v>
      </c>
      <c r="F26" s="47">
        <v>1477</v>
      </c>
      <c r="G26" s="47"/>
      <c r="H26" s="47">
        <v>19920</v>
      </c>
      <c r="I26" s="47">
        <v>360</v>
      </c>
      <c r="J26" s="47">
        <v>0.13</v>
      </c>
      <c r="K26" s="43">
        <f t="shared" ref="K26" si="0">I26*J26</f>
        <v>46.800000000000004</v>
      </c>
      <c r="L26" s="43">
        <f t="shared" ref="L26" si="1">H26-K26</f>
        <v>19873.2</v>
      </c>
      <c r="M26" s="43"/>
      <c r="N26" s="43">
        <f t="shared" ref="N26" si="2">L26-M26</f>
        <v>19873.2</v>
      </c>
      <c r="O26" s="43">
        <f t="shared" ref="O26" si="3">H26/1000*70</f>
        <v>1394.4</v>
      </c>
      <c r="P26" s="42">
        <v>0</v>
      </c>
      <c r="Q26" s="42"/>
      <c r="R26" s="42">
        <f t="shared" ref="R26" si="4">L26*Q26</f>
        <v>0</v>
      </c>
    </row>
    <row r="44" spans="12:12">
      <c r="L44" s="16">
        <f>SUM(L7:L43)</f>
        <v>19873.2</v>
      </c>
    </row>
  </sheetData>
  <pageMargins left="0.7" right="0.7" top="0.75" bottom="0.75" header="0.3" footer="0.3"/>
  <pageSetup paperSize="9" orientation="landscape" verticalDpi="0" r:id="rId1"/>
</worksheet>
</file>

<file path=xl/worksheets/sheet43.xml><?xml version="1.0" encoding="utf-8"?>
<worksheet xmlns="http://schemas.openxmlformats.org/spreadsheetml/2006/main" xmlns:r="http://schemas.openxmlformats.org/officeDocument/2006/relationships">
  <dimension ref="A5:W44"/>
  <sheetViews>
    <sheetView topLeftCell="A22" workbookViewId="0">
      <selection activeCell="A29" sqref="A29"/>
    </sheetView>
  </sheetViews>
  <sheetFormatPr defaultRowHeight="14.4"/>
  <cols>
    <col min="1" max="1" width="7.88671875" style="1" customWidth="1"/>
    <col min="2" max="2" width="22" style="1" customWidth="1"/>
    <col min="3" max="3" width="7.77734375" style="1" customWidth="1"/>
    <col min="4" max="4" width="4.77734375" style="1" customWidth="1"/>
    <col min="5" max="5" width="9.88671875" style="1" customWidth="1"/>
    <col min="6" max="6" width="7.6640625" style="1" customWidth="1"/>
    <col min="7" max="7" width="6.6640625" style="1" customWidth="1"/>
    <col min="8" max="8" width="7.44140625" style="1" customWidth="1"/>
    <col min="9" max="9" width="5.88671875" style="1" customWidth="1"/>
    <col min="10" max="10" width="6" style="1" customWidth="1"/>
    <col min="11" max="11" width="8.44140625" style="1" customWidth="1"/>
    <col min="12" max="12" width="8.21875" style="1" customWidth="1"/>
    <col min="13" max="13" width="7.33203125" style="1" customWidth="1"/>
    <col min="14" max="18" width="8.88671875" style="1"/>
    <col min="19" max="19" width="9" style="1" customWidth="1"/>
    <col min="20" max="16384" width="8.88671875" style="1"/>
  </cols>
  <sheetData>
    <row r="5" spans="1:23" ht="23.4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3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676</v>
      </c>
      <c r="M5" s="95" t="s">
        <v>677</v>
      </c>
      <c r="N5" s="3" t="s">
        <v>11</v>
      </c>
      <c r="O5" s="3" t="s">
        <v>36</v>
      </c>
      <c r="P5" s="3" t="s">
        <v>12</v>
      </c>
      <c r="Q5" s="3" t="s">
        <v>256</v>
      </c>
      <c r="R5" s="3" t="s">
        <v>257</v>
      </c>
      <c r="S5" s="3" t="s">
        <v>2</v>
      </c>
      <c r="T5" s="14" t="s">
        <v>80</v>
      </c>
      <c r="U5" s="14" t="s">
        <v>125</v>
      </c>
    </row>
    <row r="6" spans="1:23">
      <c r="A6" s="63"/>
      <c r="B6" s="301"/>
      <c r="C6" s="301"/>
      <c r="D6" s="301"/>
      <c r="E6" s="301"/>
      <c r="F6" s="301"/>
      <c r="G6" s="301"/>
      <c r="H6" s="301"/>
      <c r="I6" s="301"/>
      <c r="J6" s="301"/>
      <c r="K6" s="301"/>
      <c r="L6" s="61"/>
      <c r="M6" s="61"/>
      <c r="N6" s="301"/>
      <c r="O6" s="62"/>
      <c r="P6" s="62"/>
      <c r="Q6" s="62"/>
      <c r="R6" s="62"/>
      <c r="S6" s="62"/>
      <c r="U6" s="17"/>
    </row>
    <row r="7" spans="1:23">
      <c r="A7" s="63"/>
      <c r="B7" s="67"/>
      <c r="C7" s="67"/>
      <c r="D7" s="67"/>
      <c r="E7" s="67"/>
      <c r="F7" s="67"/>
      <c r="G7" s="67"/>
      <c r="H7" s="67"/>
      <c r="I7" s="67"/>
      <c r="J7" s="67"/>
      <c r="K7" s="68"/>
      <c r="L7" s="68"/>
      <c r="M7" s="68"/>
      <c r="N7" s="68"/>
      <c r="O7" s="68"/>
      <c r="P7" s="67"/>
      <c r="Q7" s="62"/>
      <c r="R7" s="62"/>
      <c r="S7" s="62"/>
      <c r="T7" s="62"/>
      <c r="U7" s="62"/>
      <c r="V7" s="62"/>
      <c r="W7" s="62"/>
    </row>
    <row r="8" spans="1:23">
      <c r="A8" s="63"/>
      <c r="B8" s="67"/>
      <c r="C8" s="67"/>
      <c r="D8" s="67"/>
      <c r="E8" s="67"/>
      <c r="F8" s="67"/>
      <c r="G8" s="67"/>
      <c r="H8" s="67"/>
      <c r="I8" s="67"/>
      <c r="J8" s="67"/>
      <c r="K8" s="67"/>
      <c r="L8" s="68"/>
      <c r="M8" s="68"/>
      <c r="N8" s="68"/>
      <c r="O8" s="68"/>
      <c r="P8" s="67"/>
      <c r="Q8" s="62"/>
      <c r="R8" s="62"/>
      <c r="S8" s="62"/>
      <c r="T8" s="62"/>
      <c r="U8" s="62"/>
      <c r="V8" s="62"/>
      <c r="W8" s="62"/>
    </row>
    <row r="9" spans="1:23">
      <c r="A9" s="63"/>
      <c r="B9" s="67"/>
      <c r="C9" s="67"/>
      <c r="D9" s="67"/>
      <c r="E9" s="67"/>
      <c r="F9" s="67"/>
      <c r="G9" s="67"/>
      <c r="H9" s="67"/>
      <c r="I9" s="67"/>
      <c r="J9" s="67"/>
      <c r="K9" s="68"/>
      <c r="L9" s="68"/>
      <c r="M9" s="68"/>
      <c r="N9" s="68"/>
      <c r="O9" s="68"/>
      <c r="P9" s="67"/>
      <c r="Q9" s="62"/>
      <c r="R9" s="62"/>
      <c r="S9" s="62"/>
      <c r="T9" s="62"/>
      <c r="U9" s="62"/>
      <c r="V9" s="62"/>
      <c r="W9" s="62"/>
    </row>
    <row r="10" spans="1:23">
      <c r="A10" s="63"/>
      <c r="B10" s="67"/>
      <c r="C10" s="67"/>
      <c r="D10" s="67"/>
      <c r="E10" s="67"/>
      <c r="F10" s="67"/>
      <c r="G10" s="67"/>
      <c r="H10" s="67"/>
      <c r="I10" s="67"/>
      <c r="J10" s="67"/>
      <c r="K10" s="68"/>
      <c r="L10" s="68"/>
      <c r="M10" s="68"/>
      <c r="N10" s="68"/>
      <c r="O10" s="68"/>
      <c r="P10" s="67"/>
      <c r="Q10" s="62"/>
      <c r="R10" s="62"/>
      <c r="S10" s="62"/>
      <c r="T10" s="62"/>
      <c r="U10" s="62"/>
      <c r="V10" s="62"/>
      <c r="W10" s="62"/>
    </row>
    <row r="11" spans="1:23">
      <c r="A11" s="63"/>
      <c r="B11" s="67"/>
      <c r="C11" s="67"/>
      <c r="D11" s="67"/>
      <c r="E11" s="67"/>
      <c r="F11" s="67"/>
      <c r="G11" s="67"/>
      <c r="H11" s="67"/>
      <c r="I11" s="67"/>
      <c r="J11" s="67"/>
      <c r="K11" s="68"/>
      <c r="L11" s="68"/>
      <c r="M11" s="68"/>
      <c r="N11" s="68"/>
      <c r="O11" s="68"/>
      <c r="P11" s="67"/>
      <c r="Q11" s="62"/>
      <c r="R11" s="62"/>
      <c r="S11" s="62"/>
      <c r="T11" s="62"/>
      <c r="U11" s="62"/>
      <c r="V11" s="62"/>
      <c r="W11" s="62"/>
    </row>
    <row r="12" spans="1:23">
      <c r="A12" s="63"/>
      <c r="B12" s="67"/>
      <c r="C12" s="67"/>
      <c r="D12" s="67"/>
      <c r="E12" s="67"/>
      <c r="F12" s="67"/>
      <c r="G12" s="67"/>
      <c r="H12" s="67"/>
      <c r="I12" s="67"/>
      <c r="J12" s="67"/>
      <c r="K12" s="68"/>
      <c r="L12" s="68"/>
      <c r="M12" s="68"/>
      <c r="N12" s="68"/>
      <c r="O12" s="68"/>
      <c r="P12" s="67"/>
      <c r="Q12" s="67"/>
      <c r="R12" s="67"/>
      <c r="S12" s="62"/>
      <c r="T12" s="62"/>
      <c r="U12" s="62"/>
      <c r="V12" s="62"/>
      <c r="W12" s="62"/>
    </row>
    <row r="13" spans="1:23">
      <c r="A13" s="63"/>
      <c r="B13" s="67"/>
      <c r="C13" s="67"/>
      <c r="D13" s="67"/>
      <c r="E13" s="67"/>
      <c r="F13" s="67"/>
      <c r="G13" s="67"/>
      <c r="H13" s="67"/>
      <c r="I13" s="67"/>
      <c r="J13" s="67"/>
      <c r="K13" s="68"/>
      <c r="L13" s="68"/>
      <c r="M13" s="68"/>
      <c r="N13" s="68"/>
      <c r="O13" s="68"/>
      <c r="P13" s="67"/>
      <c r="Q13" s="67"/>
      <c r="R13" s="67"/>
      <c r="S13" s="62"/>
      <c r="T13" s="62"/>
      <c r="U13" s="62"/>
      <c r="V13" s="62"/>
      <c r="W13" s="62"/>
    </row>
    <row r="14" spans="1:23">
      <c r="A14" s="63"/>
      <c r="B14" s="67"/>
      <c r="C14" s="67"/>
      <c r="D14" s="67"/>
      <c r="E14" s="67"/>
      <c r="F14" s="67"/>
      <c r="G14" s="67"/>
      <c r="H14" s="67"/>
      <c r="I14" s="67"/>
      <c r="J14" s="67"/>
      <c r="K14" s="68"/>
      <c r="L14" s="68"/>
      <c r="M14" s="68"/>
      <c r="N14" s="68"/>
      <c r="O14" s="68"/>
      <c r="P14" s="67"/>
      <c r="Q14" s="67"/>
      <c r="R14" s="67"/>
      <c r="S14" s="62"/>
      <c r="T14" s="62"/>
      <c r="U14" s="62"/>
      <c r="V14" s="62"/>
      <c r="W14" s="62"/>
    </row>
    <row r="15" spans="1:23">
      <c r="A15" s="63"/>
      <c r="B15" s="67"/>
      <c r="C15" s="67"/>
      <c r="D15" s="67"/>
      <c r="E15" s="67"/>
      <c r="F15" s="67"/>
      <c r="G15" s="67"/>
      <c r="H15" s="67"/>
      <c r="I15" s="67"/>
      <c r="J15" s="67"/>
      <c r="K15" s="67"/>
      <c r="L15" s="68"/>
      <c r="M15" s="68"/>
      <c r="N15" s="68"/>
      <c r="O15" s="68"/>
      <c r="P15" s="67"/>
      <c r="Q15" s="67"/>
      <c r="R15" s="67"/>
      <c r="S15" s="62"/>
      <c r="T15" s="62"/>
      <c r="U15" s="62"/>
      <c r="V15" s="62"/>
      <c r="W15" s="62"/>
    </row>
    <row r="16" spans="1:23">
      <c r="A16" s="63"/>
      <c r="B16" s="67"/>
      <c r="C16" s="67"/>
      <c r="D16" s="67"/>
      <c r="E16" s="67"/>
      <c r="F16" s="67"/>
      <c r="G16" s="67"/>
      <c r="H16" s="67"/>
      <c r="I16" s="67"/>
      <c r="J16" s="67"/>
      <c r="K16" s="67"/>
      <c r="L16" s="68"/>
      <c r="M16" s="68"/>
      <c r="N16" s="68"/>
      <c r="O16" s="68"/>
      <c r="P16" s="67"/>
      <c r="Q16" s="67"/>
      <c r="R16" s="67"/>
      <c r="S16" s="62"/>
      <c r="T16" s="62"/>
      <c r="U16" s="62"/>
      <c r="V16" s="62"/>
      <c r="W16" s="62"/>
    </row>
    <row r="17" spans="1:23">
      <c r="A17" s="63"/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8"/>
      <c r="M17" s="68"/>
      <c r="N17" s="68"/>
      <c r="O17" s="68"/>
      <c r="P17" s="67"/>
      <c r="Q17" s="67"/>
      <c r="R17" s="67"/>
      <c r="S17" s="62"/>
      <c r="T17" s="62"/>
      <c r="U17" s="62"/>
      <c r="V17" s="62"/>
      <c r="W17" s="62"/>
    </row>
    <row r="18" spans="1:23">
      <c r="A18" s="63"/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8"/>
      <c r="M18" s="68"/>
      <c r="N18" s="68"/>
      <c r="O18" s="68"/>
      <c r="P18" s="67"/>
      <c r="Q18" s="67"/>
      <c r="R18" s="67"/>
      <c r="S18" s="62"/>
      <c r="T18" s="62"/>
      <c r="U18" s="62"/>
      <c r="V18" s="62"/>
      <c r="W18" s="62"/>
    </row>
    <row r="19" spans="1:23">
      <c r="A19" s="62"/>
      <c r="B19" s="67"/>
      <c r="C19" s="67"/>
      <c r="D19" s="67"/>
      <c r="E19" s="67"/>
      <c r="F19" s="67"/>
      <c r="G19" s="67"/>
      <c r="H19" s="67"/>
      <c r="I19" s="67"/>
      <c r="J19" s="67"/>
      <c r="K19" s="67"/>
      <c r="L19" s="68"/>
      <c r="M19" s="68"/>
      <c r="N19" s="68"/>
      <c r="O19" s="68"/>
      <c r="P19" s="67"/>
      <c r="Q19" s="67"/>
      <c r="R19" s="67"/>
      <c r="S19" s="62"/>
      <c r="T19" s="62"/>
      <c r="U19" s="62"/>
      <c r="V19" s="62"/>
      <c r="W19" s="62"/>
    </row>
    <row r="20" spans="1:23">
      <c r="A20" s="63"/>
      <c r="B20" s="142"/>
      <c r="C20" s="142"/>
      <c r="D20" s="67"/>
      <c r="E20" s="67"/>
      <c r="F20" s="67"/>
      <c r="G20" s="67"/>
      <c r="H20" s="67"/>
      <c r="I20" s="67"/>
      <c r="J20" s="67"/>
      <c r="K20" s="67"/>
      <c r="L20" s="68"/>
      <c r="M20" s="68"/>
      <c r="N20" s="68"/>
      <c r="O20" s="68"/>
      <c r="P20" s="67"/>
      <c r="Q20" s="67"/>
      <c r="R20" s="67"/>
      <c r="S20" s="62"/>
      <c r="T20" s="62"/>
      <c r="U20" s="62"/>
      <c r="V20" s="62"/>
      <c r="W20" s="62"/>
    </row>
    <row r="21" spans="1:23">
      <c r="A21" s="63"/>
      <c r="B21" s="142"/>
      <c r="C21" s="142"/>
      <c r="D21" s="67"/>
      <c r="E21" s="67"/>
      <c r="F21" s="67"/>
      <c r="G21" s="67"/>
      <c r="H21" s="67"/>
      <c r="I21" s="67"/>
      <c r="J21" s="67"/>
      <c r="K21" s="67"/>
      <c r="L21" s="68"/>
      <c r="M21" s="68"/>
      <c r="N21" s="68"/>
      <c r="O21" s="68"/>
      <c r="P21" s="67"/>
      <c r="Q21" s="67"/>
      <c r="R21" s="67"/>
      <c r="S21" s="62"/>
      <c r="T21" s="62"/>
      <c r="U21" s="62"/>
      <c r="V21" s="62"/>
      <c r="W21" s="62"/>
    </row>
    <row r="22" spans="1:23">
      <c r="A22" s="63"/>
      <c r="B22" s="142"/>
      <c r="C22" s="142"/>
      <c r="D22" s="67"/>
      <c r="E22" s="67"/>
      <c r="F22" s="67"/>
      <c r="G22" s="67"/>
      <c r="H22" s="67"/>
      <c r="I22" s="67"/>
      <c r="J22" s="67"/>
      <c r="K22" s="67"/>
      <c r="L22" s="68"/>
      <c r="M22" s="68"/>
      <c r="N22" s="68"/>
      <c r="O22" s="68"/>
      <c r="P22" s="67"/>
      <c r="Q22" s="67"/>
      <c r="R22" s="67"/>
      <c r="S22" s="62"/>
      <c r="T22" s="62"/>
      <c r="U22" s="62"/>
      <c r="V22" s="62"/>
      <c r="W22" s="62"/>
    </row>
    <row r="23" spans="1:23">
      <c r="A23" s="63"/>
      <c r="B23" s="142"/>
      <c r="C23" s="142"/>
      <c r="D23" s="67"/>
      <c r="E23" s="67"/>
      <c r="F23" s="67"/>
      <c r="G23" s="67"/>
      <c r="H23" s="67"/>
      <c r="I23" s="67"/>
      <c r="J23" s="67"/>
      <c r="K23" s="67"/>
      <c r="L23" s="68"/>
      <c r="M23" s="68"/>
      <c r="N23" s="68"/>
      <c r="O23" s="68"/>
      <c r="P23" s="67"/>
      <c r="Q23" s="67"/>
      <c r="R23" s="67"/>
      <c r="S23" s="62"/>
      <c r="T23" s="62"/>
      <c r="U23" s="62"/>
      <c r="V23" s="62"/>
      <c r="W23" s="62"/>
    </row>
    <row r="24" spans="1:23">
      <c r="A24" s="62"/>
      <c r="B24" s="62"/>
      <c r="C24" s="62"/>
      <c r="D24" s="62"/>
      <c r="E24" s="6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</row>
    <row r="26" spans="1:23">
      <c r="A26" s="374" t="s">
        <v>4076</v>
      </c>
      <c r="B26" s="366" t="s">
        <v>1500</v>
      </c>
      <c r="C26" s="366" t="s">
        <v>88</v>
      </c>
      <c r="D26" s="42" t="s">
        <v>16</v>
      </c>
      <c r="E26" s="366" t="s">
        <v>4085</v>
      </c>
      <c r="F26" s="366">
        <v>2988</v>
      </c>
      <c r="G26" s="366"/>
      <c r="H26" s="366">
        <v>19960</v>
      </c>
      <c r="I26" s="366">
        <v>400</v>
      </c>
      <c r="J26" s="366">
        <v>0.13</v>
      </c>
      <c r="K26" s="366">
        <f t="shared" ref="K26:K28" si="0">I26*J26</f>
        <v>52</v>
      </c>
      <c r="L26" s="364">
        <f t="shared" ref="L26:L28" si="1">H26-K26</f>
        <v>19908</v>
      </c>
      <c r="M26" s="364"/>
      <c r="N26" s="364">
        <f t="shared" ref="N26:N28" si="2">L26-M26</f>
        <v>19908</v>
      </c>
      <c r="O26" s="43">
        <f t="shared" ref="O26:O28" si="3">H26/1000*70</f>
        <v>1397.2</v>
      </c>
      <c r="P26" s="366">
        <v>12300</v>
      </c>
      <c r="Q26" s="190">
        <v>21.3</v>
      </c>
      <c r="R26" s="366">
        <f t="shared" ref="R26:R28" si="4">L26*Q26</f>
        <v>424040.4</v>
      </c>
    </row>
    <row r="27" spans="1:23">
      <c r="A27" s="374"/>
      <c r="B27" s="366" t="s">
        <v>1500</v>
      </c>
      <c r="C27" s="366" t="s">
        <v>88</v>
      </c>
      <c r="D27" s="42" t="s">
        <v>16</v>
      </c>
      <c r="E27" s="366" t="s">
        <v>4086</v>
      </c>
      <c r="F27" s="366">
        <v>2987</v>
      </c>
      <c r="G27" s="366"/>
      <c r="H27" s="366">
        <v>20030</v>
      </c>
      <c r="I27" s="366">
        <v>400</v>
      </c>
      <c r="J27" s="366">
        <v>0.13</v>
      </c>
      <c r="K27" s="366">
        <f t="shared" si="0"/>
        <v>52</v>
      </c>
      <c r="L27" s="364">
        <f t="shared" si="1"/>
        <v>19978</v>
      </c>
      <c r="M27" s="364"/>
      <c r="N27" s="364">
        <f t="shared" si="2"/>
        <v>19978</v>
      </c>
      <c r="O27" s="43">
        <f t="shared" si="3"/>
        <v>1402.1000000000001</v>
      </c>
      <c r="P27" s="366">
        <v>13500</v>
      </c>
      <c r="Q27" s="190">
        <v>21.3</v>
      </c>
      <c r="R27" s="366">
        <f t="shared" si="4"/>
        <v>425531.4</v>
      </c>
    </row>
    <row r="28" spans="1:23">
      <c r="A28" s="374"/>
      <c r="B28" s="366" t="s">
        <v>1500</v>
      </c>
      <c r="C28" s="366" t="s">
        <v>88</v>
      </c>
      <c r="D28" s="42" t="s">
        <v>16</v>
      </c>
      <c r="E28" s="366" t="s">
        <v>4087</v>
      </c>
      <c r="F28" s="366">
        <v>2986</v>
      </c>
      <c r="G28" s="366"/>
      <c r="H28" s="366">
        <v>19990</v>
      </c>
      <c r="I28" s="366">
        <v>400</v>
      </c>
      <c r="J28" s="366">
        <v>0.13</v>
      </c>
      <c r="K28" s="366">
        <f t="shared" si="0"/>
        <v>52</v>
      </c>
      <c r="L28" s="364">
        <f t="shared" si="1"/>
        <v>19938</v>
      </c>
      <c r="M28" s="364"/>
      <c r="N28" s="364">
        <f t="shared" si="2"/>
        <v>19938</v>
      </c>
      <c r="O28" s="43">
        <f t="shared" si="3"/>
        <v>1399.3</v>
      </c>
      <c r="P28" s="366">
        <v>13500</v>
      </c>
      <c r="Q28" s="190">
        <v>21.3</v>
      </c>
      <c r="R28" s="366">
        <f t="shared" si="4"/>
        <v>424679.4</v>
      </c>
    </row>
    <row r="44" spans="12:12">
      <c r="L44" s="16">
        <f>SUM(L7:L43)</f>
        <v>59824</v>
      </c>
    </row>
  </sheetData>
  <mergeCells count="1">
    <mergeCell ref="A26:A28"/>
  </mergeCells>
  <pageMargins left="0.7" right="0.7" top="0.75" bottom="0.75" header="0.3" footer="0.3"/>
  <pageSetup paperSize="9" orientation="landscape" verticalDpi="0" r:id="rId1"/>
</worksheet>
</file>

<file path=xl/worksheets/sheet44.xml><?xml version="1.0" encoding="utf-8"?>
<worksheet xmlns="http://schemas.openxmlformats.org/spreadsheetml/2006/main" xmlns:r="http://schemas.openxmlformats.org/officeDocument/2006/relationships">
  <dimension ref="A5:W84"/>
  <sheetViews>
    <sheetView topLeftCell="A28" workbookViewId="0">
      <selection activeCell="A50" sqref="A50"/>
    </sheetView>
  </sheetViews>
  <sheetFormatPr defaultRowHeight="14.4"/>
  <cols>
    <col min="1" max="1" width="7.88671875" style="1" customWidth="1"/>
    <col min="2" max="2" width="22" style="1" customWidth="1"/>
    <col min="3" max="3" width="7.77734375" style="1" customWidth="1"/>
    <col min="4" max="4" width="4.77734375" style="1" customWidth="1"/>
    <col min="5" max="5" width="9.88671875" style="1" customWidth="1"/>
    <col min="6" max="6" width="7.6640625" style="1" customWidth="1"/>
    <col min="7" max="7" width="6.6640625" style="1" customWidth="1"/>
    <col min="8" max="8" width="7.44140625" style="1" customWidth="1"/>
    <col min="9" max="9" width="5.88671875" style="1" customWidth="1"/>
    <col min="10" max="10" width="6" style="1" customWidth="1"/>
    <col min="11" max="11" width="8.44140625" style="1" customWidth="1"/>
    <col min="12" max="12" width="8.21875" style="1" customWidth="1"/>
    <col min="13" max="13" width="7.33203125" style="1" customWidth="1"/>
    <col min="14" max="18" width="8.88671875" style="1"/>
    <col min="19" max="19" width="9" style="1" customWidth="1"/>
    <col min="20" max="16384" width="8.88671875" style="1"/>
  </cols>
  <sheetData>
    <row r="5" spans="1:23" ht="23.4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3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676</v>
      </c>
      <c r="M5" s="95" t="s">
        <v>677</v>
      </c>
      <c r="N5" s="3" t="s">
        <v>11</v>
      </c>
      <c r="O5" s="3" t="s">
        <v>36</v>
      </c>
      <c r="P5" s="3" t="s">
        <v>12</v>
      </c>
      <c r="Q5" s="3" t="s">
        <v>256</v>
      </c>
      <c r="R5" s="3" t="s">
        <v>257</v>
      </c>
      <c r="S5" s="3" t="s">
        <v>2</v>
      </c>
      <c r="T5" s="14" t="s">
        <v>80</v>
      </c>
      <c r="U5" s="14" t="s">
        <v>125</v>
      </c>
    </row>
    <row r="6" spans="1:23">
      <c r="A6" s="63"/>
      <c r="B6" s="301"/>
      <c r="C6" s="301"/>
      <c r="D6" s="301"/>
      <c r="E6" s="301"/>
      <c r="F6" s="301"/>
      <c r="G6" s="301"/>
      <c r="H6" s="301"/>
      <c r="I6" s="301"/>
      <c r="J6" s="301"/>
      <c r="K6" s="301"/>
      <c r="L6" s="61"/>
      <c r="M6" s="61"/>
      <c r="N6" s="301"/>
      <c r="O6" s="62"/>
      <c r="P6" s="62"/>
      <c r="Q6" s="62"/>
      <c r="R6" s="62"/>
      <c r="S6" s="62"/>
      <c r="U6" s="17"/>
    </row>
    <row r="7" spans="1:23">
      <c r="A7" s="63"/>
      <c r="B7" s="67"/>
      <c r="C7" s="67"/>
      <c r="D7" s="67"/>
      <c r="E7" s="67"/>
      <c r="F7" s="67"/>
      <c r="G7" s="67"/>
      <c r="H7" s="67"/>
      <c r="I7" s="67"/>
      <c r="J7" s="67"/>
      <c r="K7" s="68"/>
      <c r="L7" s="68"/>
      <c r="M7" s="68"/>
      <c r="N7" s="68"/>
      <c r="O7" s="68"/>
      <c r="P7" s="67"/>
      <c r="Q7" s="62"/>
      <c r="R7" s="62"/>
      <c r="S7" s="62"/>
      <c r="T7" s="62"/>
      <c r="U7" s="62"/>
      <c r="V7" s="62"/>
      <c r="W7" s="62"/>
    </row>
    <row r="8" spans="1:23">
      <c r="A8" s="63"/>
      <c r="B8" s="67"/>
      <c r="C8" s="67"/>
      <c r="D8" s="67"/>
      <c r="E8" s="67"/>
      <c r="F8" s="67"/>
      <c r="G8" s="67"/>
      <c r="H8" s="67"/>
      <c r="I8" s="67"/>
      <c r="J8" s="67"/>
      <c r="K8" s="67"/>
      <c r="L8" s="68"/>
      <c r="M8" s="68"/>
      <c r="N8" s="68"/>
      <c r="O8" s="68"/>
      <c r="P8" s="67"/>
      <c r="Q8" s="62"/>
      <c r="R8" s="62"/>
      <c r="S8" s="62"/>
      <c r="T8" s="62"/>
      <c r="U8" s="62"/>
      <c r="V8" s="62"/>
      <c r="W8" s="62"/>
    </row>
    <row r="9" spans="1:23">
      <c r="A9" s="63"/>
      <c r="B9" s="67"/>
      <c r="C9" s="67"/>
      <c r="D9" s="67"/>
      <c r="E9" s="67"/>
      <c r="F9" s="67"/>
      <c r="G9" s="67"/>
      <c r="H9" s="67"/>
      <c r="I9" s="67"/>
      <c r="J9" s="67"/>
      <c r="K9" s="68"/>
      <c r="L9" s="68"/>
      <c r="M9" s="68"/>
      <c r="N9" s="68"/>
      <c r="O9" s="68"/>
      <c r="P9" s="67"/>
      <c r="Q9" s="62"/>
      <c r="R9" s="62"/>
      <c r="S9" s="62"/>
      <c r="T9" s="62"/>
      <c r="U9" s="62"/>
      <c r="V9" s="62"/>
      <c r="W9" s="62"/>
    </row>
    <row r="10" spans="1:23">
      <c r="A10" s="63"/>
      <c r="B10" s="67"/>
      <c r="C10" s="67"/>
      <c r="D10" s="67"/>
      <c r="E10" s="67"/>
      <c r="F10" s="67"/>
      <c r="G10" s="67"/>
      <c r="H10" s="67"/>
      <c r="I10" s="67"/>
      <c r="J10" s="67"/>
      <c r="K10" s="68"/>
      <c r="L10" s="68"/>
      <c r="M10" s="68"/>
      <c r="N10" s="68"/>
      <c r="O10" s="68"/>
      <c r="P10" s="67"/>
      <c r="Q10" s="62"/>
      <c r="R10" s="62"/>
      <c r="S10" s="62"/>
      <c r="T10" s="62"/>
      <c r="U10" s="62"/>
      <c r="V10" s="62"/>
      <c r="W10" s="62"/>
    </row>
    <row r="11" spans="1:23">
      <c r="A11" s="63"/>
      <c r="B11" s="67"/>
      <c r="C11" s="67"/>
      <c r="D11" s="67"/>
      <c r="E11" s="67"/>
      <c r="F11" s="67"/>
      <c r="G11" s="67"/>
      <c r="H11" s="67"/>
      <c r="I11" s="67"/>
      <c r="J11" s="67"/>
      <c r="K11" s="68"/>
      <c r="L11" s="68"/>
      <c r="M11" s="68"/>
      <c r="N11" s="68"/>
      <c r="O11" s="68"/>
      <c r="P11" s="67"/>
      <c r="Q11" s="62"/>
      <c r="R11" s="62"/>
      <c r="S11" s="62"/>
      <c r="T11" s="62"/>
      <c r="U11" s="62"/>
      <c r="V11" s="62"/>
      <c r="W11" s="62"/>
    </row>
    <row r="12" spans="1:23">
      <c r="A12" s="63"/>
      <c r="B12" s="67"/>
      <c r="C12" s="67"/>
      <c r="D12" s="67"/>
      <c r="E12" s="67"/>
      <c r="F12" s="67"/>
      <c r="G12" s="67"/>
      <c r="H12" s="67"/>
      <c r="I12" s="67"/>
      <c r="J12" s="67"/>
      <c r="K12" s="68"/>
      <c r="L12" s="68"/>
      <c r="M12" s="68"/>
      <c r="N12" s="68"/>
      <c r="O12" s="68"/>
      <c r="P12" s="67"/>
      <c r="Q12" s="67"/>
      <c r="R12" s="67"/>
      <c r="S12" s="62"/>
      <c r="T12" s="62"/>
      <c r="U12" s="62"/>
      <c r="V12" s="62"/>
      <c r="W12" s="62"/>
    </row>
    <row r="13" spans="1:23">
      <c r="A13" s="63"/>
      <c r="B13" s="67"/>
      <c r="C13" s="67"/>
      <c r="D13" s="67"/>
      <c r="E13" s="67"/>
      <c r="F13" s="67"/>
      <c r="G13" s="67"/>
      <c r="H13" s="67"/>
      <c r="I13" s="67"/>
      <c r="J13" s="67"/>
      <c r="K13" s="68"/>
      <c r="L13" s="68"/>
      <c r="M13" s="68"/>
      <c r="N13" s="68"/>
      <c r="O13" s="68"/>
      <c r="P13" s="67"/>
      <c r="Q13" s="67"/>
      <c r="R13" s="67"/>
      <c r="S13" s="62"/>
      <c r="T13" s="62"/>
      <c r="U13" s="62"/>
      <c r="V13" s="62"/>
      <c r="W13" s="62"/>
    </row>
    <row r="14" spans="1:23">
      <c r="A14" s="63"/>
      <c r="B14" s="67"/>
      <c r="C14" s="67"/>
      <c r="D14" s="67"/>
      <c r="E14" s="67"/>
      <c r="F14" s="67"/>
      <c r="G14" s="67"/>
      <c r="H14" s="67"/>
      <c r="I14" s="67"/>
      <c r="J14" s="67"/>
      <c r="K14" s="68"/>
      <c r="L14" s="68"/>
      <c r="M14" s="68"/>
      <c r="N14" s="68"/>
      <c r="O14" s="68"/>
      <c r="P14" s="67"/>
      <c r="Q14" s="67"/>
      <c r="R14" s="67"/>
      <c r="S14" s="62"/>
      <c r="T14" s="62"/>
      <c r="U14" s="62"/>
      <c r="V14" s="62"/>
      <c r="W14" s="62"/>
    </row>
    <row r="15" spans="1:23">
      <c r="A15" s="63"/>
      <c r="B15" s="67"/>
      <c r="C15" s="67"/>
      <c r="D15" s="67"/>
      <c r="E15" s="67"/>
      <c r="F15" s="67"/>
      <c r="G15" s="67"/>
      <c r="H15" s="67"/>
      <c r="I15" s="67"/>
      <c r="J15" s="67"/>
      <c r="K15" s="67"/>
      <c r="L15" s="68"/>
      <c r="M15" s="68"/>
      <c r="N15" s="68"/>
      <c r="O15" s="68"/>
      <c r="P15" s="67"/>
      <c r="Q15" s="67"/>
      <c r="R15" s="67"/>
      <c r="S15" s="62"/>
      <c r="T15" s="62"/>
      <c r="U15" s="62"/>
      <c r="V15" s="62"/>
      <c r="W15" s="62"/>
    </row>
    <row r="16" spans="1:23">
      <c r="A16" s="63" t="s">
        <v>3012</v>
      </c>
      <c r="B16" s="42" t="s">
        <v>3013</v>
      </c>
      <c r="C16" s="42" t="s">
        <v>88</v>
      </c>
      <c r="D16" s="42" t="s">
        <v>16</v>
      </c>
      <c r="E16" s="42" t="s">
        <v>3014</v>
      </c>
      <c r="F16" s="42">
        <v>667</v>
      </c>
      <c r="G16" s="42"/>
      <c r="H16" s="42">
        <v>22400</v>
      </c>
      <c r="I16" s="42">
        <v>371</v>
      </c>
      <c r="J16" s="42">
        <v>0.13</v>
      </c>
      <c r="K16" s="43">
        <f t="shared" ref="K16" si="0">I16*J16</f>
        <v>48.230000000000004</v>
      </c>
      <c r="L16" s="43">
        <f t="shared" ref="L16" si="1">H16-K16</f>
        <v>22351.77</v>
      </c>
      <c r="M16" s="43"/>
      <c r="N16" s="43">
        <f t="shared" ref="N16" si="2">L16-M16</f>
        <v>22351.77</v>
      </c>
      <c r="O16" s="43">
        <f t="shared" ref="O16" si="3">H16/1000*70</f>
        <v>1568</v>
      </c>
      <c r="P16" s="42">
        <v>14000</v>
      </c>
      <c r="Q16" s="42"/>
      <c r="R16" s="42">
        <f t="shared" ref="R16" si="4">L16*Q16</f>
        <v>0</v>
      </c>
      <c r="S16" s="62"/>
      <c r="T16" s="62"/>
      <c r="U16" s="62"/>
      <c r="V16" s="62"/>
      <c r="W16" s="62"/>
    </row>
    <row r="17" spans="1:23">
      <c r="A17" s="63"/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8"/>
      <c r="M17" s="68"/>
      <c r="N17" s="68"/>
      <c r="O17" s="68"/>
      <c r="P17" s="67"/>
      <c r="Q17" s="67"/>
      <c r="R17" s="67"/>
      <c r="S17" s="62"/>
      <c r="T17" s="62"/>
      <c r="U17" s="62"/>
      <c r="V17" s="62"/>
      <c r="W17" s="62"/>
    </row>
    <row r="18" spans="1:23">
      <c r="A18" s="63" t="s">
        <v>3020</v>
      </c>
      <c r="B18" s="42" t="s">
        <v>3013</v>
      </c>
      <c r="C18" s="42" t="s">
        <v>88</v>
      </c>
      <c r="D18" s="42" t="s">
        <v>16</v>
      </c>
      <c r="E18" s="42" t="s">
        <v>1543</v>
      </c>
      <c r="F18" s="42">
        <v>675</v>
      </c>
      <c r="G18" s="42"/>
      <c r="H18" s="42">
        <v>21780</v>
      </c>
      <c r="I18" s="42">
        <v>361</v>
      </c>
      <c r="J18" s="42">
        <v>0.13</v>
      </c>
      <c r="K18" s="43">
        <f t="shared" ref="K18" si="5">I18*J18</f>
        <v>46.93</v>
      </c>
      <c r="L18" s="43">
        <f t="shared" ref="L18" si="6">H18-K18</f>
        <v>21733.07</v>
      </c>
      <c r="M18" s="43"/>
      <c r="N18" s="43">
        <f t="shared" ref="N18" si="7">L18-M18</f>
        <v>21733.07</v>
      </c>
      <c r="O18" s="43">
        <f t="shared" ref="O18" si="8">H18/1000*70</f>
        <v>1524.6000000000001</v>
      </c>
      <c r="P18" s="42">
        <v>16500</v>
      </c>
      <c r="Q18" s="42">
        <v>17.5</v>
      </c>
      <c r="R18" s="42">
        <f t="shared" ref="R18" si="9">L18*Q18</f>
        <v>380328.72499999998</v>
      </c>
      <c r="S18" s="62"/>
      <c r="T18" s="62"/>
      <c r="U18" s="62"/>
      <c r="V18" s="62"/>
      <c r="W18" s="62"/>
    </row>
    <row r="19" spans="1:23">
      <c r="A19" s="62"/>
      <c r="B19" s="67"/>
      <c r="C19" s="67"/>
      <c r="D19" s="67"/>
      <c r="E19" s="67"/>
      <c r="F19" s="67"/>
      <c r="G19" s="67"/>
      <c r="H19" s="67"/>
      <c r="I19" s="67"/>
      <c r="J19" s="67"/>
      <c r="K19" s="67"/>
      <c r="L19" s="68"/>
      <c r="M19" s="68"/>
      <c r="N19" s="68"/>
      <c r="O19" s="68"/>
      <c r="P19" s="67"/>
      <c r="Q19" s="67"/>
      <c r="R19" s="67"/>
      <c r="S19" s="62"/>
      <c r="T19" s="62"/>
      <c r="U19" s="62"/>
      <c r="V19" s="62"/>
      <c r="W19" s="62"/>
    </row>
    <row r="20" spans="1:23">
      <c r="A20" s="63" t="s">
        <v>3026</v>
      </c>
      <c r="B20" s="42" t="s">
        <v>3013</v>
      </c>
      <c r="C20" s="42" t="s">
        <v>88</v>
      </c>
      <c r="D20" s="42" t="s">
        <v>16</v>
      </c>
      <c r="E20" s="42" t="s">
        <v>3027</v>
      </c>
      <c r="F20" s="42">
        <v>680</v>
      </c>
      <c r="G20" s="42"/>
      <c r="H20" s="42">
        <v>20400</v>
      </c>
      <c r="I20" s="42">
        <v>345</v>
      </c>
      <c r="J20" s="42">
        <v>0.13</v>
      </c>
      <c r="K20" s="43">
        <f t="shared" ref="K20" si="10">I20*J20</f>
        <v>44.85</v>
      </c>
      <c r="L20" s="43">
        <f t="shared" ref="L20" si="11">H20-K20</f>
        <v>20355.150000000001</v>
      </c>
      <c r="M20" s="43"/>
      <c r="N20" s="43">
        <f t="shared" ref="N20" si="12">L20-M20</f>
        <v>20355.150000000001</v>
      </c>
      <c r="O20" s="43">
        <f t="shared" ref="O20" si="13">H20/1000*70</f>
        <v>1428</v>
      </c>
      <c r="P20" s="42">
        <v>14000</v>
      </c>
      <c r="Q20" s="42">
        <v>17.5</v>
      </c>
      <c r="R20" s="42">
        <f t="shared" ref="R20" si="14">L20*Q20</f>
        <v>356215.125</v>
      </c>
      <c r="S20" s="62"/>
      <c r="T20" s="62"/>
      <c r="U20" s="62"/>
      <c r="V20" s="62"/>
      <c r="W20" s="62"/>
    </row>
    <row r="21" spans="1:23">
      <c r="A21" s="63"/>
      <c r="B21" s="67"/>
      <c r="C21" s="67"/>
      <c r="D21" s="67"/>
      <c r="E21" s="67"/>
      <c r="F21" s="67"/>
      <c r="G21" s="67"/>
      <c r="H21" s="67"/>
      <c r="I21" s="67"/>
      <c r="J21" s="67"/>
      <c r="K21" s="67"/>
      <c r="L21" s="68"/>
      <c r="M21" s="68"/>
      <c r="N21" s="68"/>
      <c r="O21" s="68"/>
      <c r="P21" s="67"/>
      <c r="Q21" s="67"/>
      <c r="R21" s="67"/>
      <c r="S21" s="62"/>
      <c r="T21" s="62"/>
      <c r="U21" s="62"/>
      <c r="V21" s="62"/>
      <c r="W21" s="62"/>
    </row>
    <row r="22" spans="1:23">
      <c r="A22" s="374" t="s">
        <v>3040</v>
      </c>
      <c r="B22" s="42" t="s">
        <v>3013</v>
      </c>
      <c r="C22" s="42" t="s">
        <v>88</v>
      </c>
      <c r="D22" s="42" t="s">
        <v>16</v>
      </c>
      <c r="E22" s="42" t="s">
        <v>3027</v>
      </c>
      <c r="F22" s="42">
        <v>696</v>
      </c>
      <c r="G22" s="42"/>
      <c r="H22" s="42">
        <v>20350</v>
      </c>
      <c r="I22" s="42">
        <v>338</v>
      </c>
      <c r="J22" s="42">
        <v>0.13</v>
      </c>
      <c r="K22" s="43">
        <f t="shared" ref="K22:K23" si="15">I22*J22</f>
        <v>43.940000000000005</v>
      </c>
      <c r="L22" s="43">
        <f t="shared" ref="L22:L23" si="16">H22-K22</f>
        <v>20306.060000000001</v>
      </c>
      <c r="M22" s="43"/>
      <c r="N22" s="43">
        <f t="shared" ref="N22:N23" si="17">L22-M22</f>
        <v>20306.060000000001</v>
      </c>
      <c r="O22" s="43">
        <f t="shared" ref="O22:O23" si="18">H22/1000*70</f>
        <v>1424.5</v>
      </c>
      <c r="P22" s="42">
        <v>14500</v>
      </c>
      <c r="Q22" s="42">
        <v>17.2</v>
      </c>
      <c r="R22" s="42">
        <f t="shared" ref="R22:R23" si="19">L22*Q22</f>
        <v>349264.23200000002</v>
      </c>
      <c r="S22" s="62"/>
      <c r="T22" s="62"/>
      <c r="U22" s="62"/>
      <c r="V22" s="62"/>
      <c r="W22" s="62"/>
    </row>
    <row r="23" spans="1:23">
      <c r="A23" s="374"/>
      <c r="B23" s="42" t="s">
        <v>3013</v>
      </c>
      <c r="C23" s="42" t="s">
        <v>88</v>
      </c>
      <c r="D23" s="42" t="s">
        <v>16</v>
      </c>
      <c r="E23" s="42" t="s">
        <v>3014</v>
      </c>
      <c r="F23" s="42">
        <v>695</v>
      </c>
      <c r="G23" s="42"/>
      <c r="H23" s="42">
        <v>21490</v>
      </c>
      <c r="I23" s="42">
        <v>360</v>
      </c>
      <c r="J23" s="42">
        <v>0.13</v>
      </c>
      <c r="K23" s="43">
        <f t="shared" si="15"/>
        <v>46.800000000000004</v>
      </c>
      <c r="L23" s="43">
        <f t="shared" si="16"/>
        <v>21443.200000000001</v>
      </c>
      <c r="M23" s="43"/>
      <c r="N23" s="43">
        <f t="shared" si="17"/>
        <v>21443.200000000001</v>
      </c>
      <c r="O23" s="43">
        <f t="shared" si="18"/>
        <v>1504.3</v>
      </c>
      <c r="P23" s="42">
        <v>20000</v>
      </c>
      <c r="Q23" s="42">
        <v>17.2</v>
      </c>
      <c r="R23" s="42">
        <f t="shared" si="19"/>
        <v>368823.03999999998</v>
      </c>
      <c r="S23" s="62"/>
      <c r="T23" s="62"/>
      <c r="U23" s="62"/>
      <c r="V23" s="62"/>
      <c r="W23" s="62"/>
    </row>
    <row r="24" spans="1:23">
      <c r="A24" s="63"/>
      <c r="B24" s="67"/>
      <c r="C24" s="67"/>
      <c r="D24" s="67"/>
      <c r="E24" s="67"/>
      <c r="F24" s="67"/>
      <c r="G24" s="67"/>
      <c r="H24" s="67"/>
      <c r="I24" s="67"/>
      <c r="J24" s="67"/>
      <c r="K24" s="67"/>
      <c r="L24" s="68"/>
      <c r="M24" s="68"/>
      <c r="N24" s="68"/>
      <c r="O24" s="68"/>
      <c r="P24" s="67"/>
      <c r="Q24" s="67"/>
      <c r="R24" s="67"/>
      <c r="S24" s="62"/>
      <c r="T24" s="62"/>
      <c r="U24" s="62"/>
      <c r="V24" s="62"/>
      <c r="W24" s="62"/>
    </row>
    <row r="25" spans="1:23">
      <c r="A25" s="374" t="s">
        <v>3097</v>
      </c>
      <c r="B25" s="42" t="s">
        <v>3013</v>
      </c>
      <c r="C25" s="42" t="s">
        <v>88</v>
      </c>
      <c r="D25" s="42" t="s">
        <v>16</v>
      </c>
      <c r="E25" s="42" t="s">
        <v>3098</v>
      </c>
      <c r="F25" s="42">
        <v>764</v>
      </c>
      <c r="G25" s="42"/>
      <c r="H25" s="42">
        <v>21270</v>
      </c>
      <c r="I25" s="42">
        <v>354</v>
      </c>
      <c r="J25" s="42">
        <v>0.13</v>
      </c>
      <c r="K25" s="43">
        <f t="shared" ref="K25:K30" si="20">I25*J25</f>
        <v>46.02</v>
      </c>
      <c r="L25" s="43">
        <f t="shared" ref="L25:L30" si="21">H25-K25</f>
        <v>21223.98</v>
      </c>
      <c r="M25" s="43"/>
      <c r="N25" s="43">
        <f t="shared" ref="N25:N30" si="22">L25-M25</f>
        <v>21223.98</v>
      </c>
      <c r="O25" s="43">
        <f t="shared" ref="O25:O30" si="23">H25/1000*70</f>
        <v>1488.8999999999999</v>
      </c>
      <c r="P25" s="42">
        <v>20000</v>
      </c>
      <c r="Q25" s="42">
        <v>17.2</v>
      </c>
      <c r="R25" s="42">
        <f t="shared" ref="R25:R30" si="24">L25*Q25</f>
        <v>365052.45600000001</v>
      </c>
      <c r="S25" s="62"/>
      <c r="T25" s="62"/>
      <c r="U25" s="62"/>
      <c r="V25" s="62"/>
      <c r="W25" s="62"/>
    </row>
    <row r="26" spans="1:23">
      <c r="A26" s="374"/>
      <c r="B26" s="42" t="s">
        <v>3013</v>
      </c>
      <c r="C26" s="42" t="s">
        <v>88</v>
      </c>
      <c r="D26" s="42" t="s">
        <v>16</v>
      </c>
      <c r="E26" s="42" t="s">
        <v>3014</v>
      </c>
      <c r="F26" s="42">
        <v>763</v>
      </c>
      <c r="G26" s="42"/>
      <c r="H26" s="42">
        <v>22300</v>
      </c>
      <c r="I26" s="42">
        <v>374</v>
      </c>
      <c r="J26" s="42">
        <v>0.13</v>
      </c>
      <c r="K26" s="43">
        <f t="shared" si="20"/>
        <v>48.620000000000005</v>
      </c>
      <c r="L26" s="43">
        <f t="shared" si="21"/>
        <v>22251.38</v>
      </c>
      <c r="M26" s="43"/>
      <c r="N26" s="43">
        <f t="shared" si="22"/>
        <v>22251.38</v>
      </c>
      <c r="O26" s="43">
        <f t="shared" si="23"/>
        <v>1561</v>
      </c>
      <c r="P26" s="42">
        <v>20000</v>
      </c>
      <c r="Q26" s="42">
        <v>17.2</v>
      </c>
      <c r="R26" s="42">
        <f t="shared" si="24"/>
        <v>382723.73599999998</v>
      </c>
      <c r="S26" s="62"/>
      <c r="T26" s="62"/>
      <c r="U26" s="62"/>
      <c r="V26" s="62"/>
      <c r="W26" s="62"/>
    </row>
    <row r="27" spans="1:23">
      <c r="A27" s="309"/>
      <c r="B27" s="42"/>
      <c r="C27" s="42"/>
      <c r="D27" s="42"/>
      <c r="E27" s="42"/>
      <c r="F27" s="42"/>
      <c r="G27" s="42"/>
      <c r="H27" s="42"/>
      <c r="I27" s="42"/>
      <c r="J27" s="42"/>
      <c r="K27" s="43"/>
      <c r="L27" s="43"/>
      <c r="M27" s="43"/>
      <c r="N27" s="43"/>
      <c r="O27" s="43"/>
      <c r="P27" s="42"/>
      <c r="Q27" s="42"/>
      <c r="R27" s="42"/>
      <c r="S27" s="62"/>
      <c r="T27" s="62"/>
      <c r="U27" s="62"/>
      <c r="V27" s="62"/>
      <c r="W27" s="62"/>
    </row>
    <row r="28" spans="1:23">
      <c r="A28" s="63" t="s">
        <v>3128</v>
      </c>
      <c r="B28" s="42" t="s">
        <v>3129</v>
      </c>
      <c r="C28" s="42" t="s">
        <v>88</v>
      </c>
      <c r="D28" s="42" t="s">
        <v>16</v>
      </c>
      <c r="E28" s="42" t="s">
        <v>3130</v>
      </c>
      <c r="F28" s="42">
        <v>798</v>
      </c>
      <c r="G28" s="42"/>
      <c r="H28" s="42">
        <v>12120</v>
      </c>
      <c r="I28" s="42">
        <v>205</v>
      </c>
      <c r="J28" s="42">
        <v>0.13</v>
      </c>
      <c r="K28" s="43">
        <f t="shared" si="20"/>
        <v>26.650000000000002</v>
      </c>
      <c r="L28" s="43">
        <f t="shared" si="21"/>
        <v>12093.35</v>
      </c>
      <c r="M28" s="43"/>
      <c r="N28" s="43">
        <f t="shared" si="22"/>
        <v>12093.35</v>
      </c>
      <c r="O28" s="43">
        <f t="shared" si="23"/>
        <v>848.4</v>
      </c>
      <c r="P28" s="42">
        <v>18000</v>
      </c>
      <c r="Q28" s="42">
        <v>17.2</v>
      </c>
      <c r="R28" s="42">
        <f t="shared" si="24"/>
        <v>208005.62</v>
      </c>
      <c r="S28" s="62"/>
      <c r="T28" s="62"/>
      <c r="U28" s="62"/>
      <c r="V28" s="62"/>
      <c r="W28" s="62"/>
    </row>
    <row r="29" spans="1:23">
      <c r="A29" s="63" t="s">
        <v>3235</v>
      </c>
      <c r="B29" s="42" t="s">
        <v>3129</v>
      </c>
      <c r="C29" s="42" t="s">
        <v>88</v>
      </c>
      <c r="D29" s="42" t="s">
        <v>16</v>
      </c>
      <c r="E29" s="42" t="s">
        <v>3027</v>
      </c>
      <c r="F29" s="42">
        <v>998</v>
      </c>
      <c r="G29" s="42"/>
      <c r="H29" s="42">
        <v>21640</v>
      </c>
      <c r="I29" s="42">
        <v>361</v>
      </c>
      <c r="J29" s="42">
        <v>0.13</v>
      </c>
      <c r="K29" s="43">
        <f t="shared" si="20"/>
        <v>46.93</v>
      </c>
      <c r="L29" s="43">
        <f t="shared" si="21"/>
        <v>21593.07</v>
      </c>
      <c r="M29" s="43"/>
      <c r="N29" s="43">
        <f t="shared" si="22"/>
        <v>21593.07</v>
      </c>
      <c r="O29" s="43">
        <f t="shared" si="23"/>
        <v>1514.8</v>
      </c>
      <c r="P29" s="42">
        <v>14000</v>
      </c>
      <c r="Q29" s="42">
        <v>16.600000000000001</v>
      </c>
      <c r="R29" s="42">
        <f t="shared" si="24"/>
        <v>358444.962</v>
      </c>
      <c r="S29" s="62"/>
      <c r="T29" s="62"/>
      <c r="U29" s="62"/>
      <c r="V29" s="62"/>
      <c r="W29" s="62"/>
    </row>
    <row r="30" spans="1:23">
      <c r="A30" s="62" t="s">
        <v>3355</v>
      </c>
      <c r="B30" s="42" t="s">
        <v>3129</v>
      </c>
      <c r="C30" s="42" t="s">
        <v>88</v>
      </c>
      <c r="D30" s="42" t="s">
        <v>16</v>
      </c>
      <c r="E30" s="47" t="s">
        <v>3027</v>
      </c>
      <c r="F30" s="47">
        <v>1037</v>
      </c>
      <c r="G30" s="47"/>
      <c r="H30" s="47">
        <v>22670</v>
      </c>
      <c r="I30" s="47">
        <v>380</v>
      </c>
      <c r="J30" s="47">
        <v>0.13</v>
      </c>
      <c r="K30" s="43">
        <f t="shared" si="20"/>
        <v>49.4</v>
      </c>
      <c r="L30" s="43">
        <f t="shared" si="21"/>
        <v>22620.6</v>
      </c>
      <c r="M30" s="43"/>
      <c r="N30" s="43">
        <f t="shared" si="22"/>
        <v>22620.6</v>
      </c>
      <c r="O30" s="43">
        <f t="shared" si="23"/>
        <v>1586.9</v>
      </c>
      <c r="P30" s="42">
        <v>17000</v>
      </c>
      <c r="Q30" s="42"/>
      <c r="R30" s="42">
        <f t="shared" si="24"/>
        <v>0</v>
      </c>
      <c r="S30" s="62"/>
      <c r="T30" s="62"/>
      <c r="U30" s="62"/>
      <c r="V30" s="62"/>
      <c r="W30" s="62"/>
    </row>
    <row r="31" spans="1:23">
      <c r="A31" s="63"/>
      <c r="B31" s="142"/>
      <c r="C31" s="142"/>
      <c r="D31" s="67"/>
      <c r="E31" s="67"/>
      <c r="F31" s="67"/>
      <c r="G31" s="67"/>
      <c r="H31" s="67"/>
      <c r="I31" s="67"/>
      <c r="J31" s="67"/>
      <c r="K31" s="67"/>
      <c r="L31" s="68"/>
      <c r="M31" s="68"/>
      <c r="N31" s="68"/>
      <c r="O31" s="68"/>
      <c r="P31" s="67"/>
      <c r="Q31" s="67"/>
      <c r="R31" s="67"/>
      <c r="S31" s="62"/>
      <c r="T31" s="62"/>
      <c r="U31" s="62"/>
      <c r="V31" s="62"/>
      <c r="W31" s="62"/>
    </row>
    <row r="32" spans="1:23">
      <c r="A32" s="150" t="s">
        <v>3444</v>
      </c>
      <c r="B32" s="42" t="s">
        <v>3129</v>
      </c>
      <c r="C32" s="42" t="s">
        <v>88</v>
      </c>
      <c r="D32" s="42" t="s">
        <v>16</v>
      </c>
      <c r="E32" s="47" t="s">
        <v>3027</v>
      </c>
      <c r="F32" s="47">
        <v>200</v>
      </c>
      <c r="G32" s="47"/>
      <c r="H32" s="47">
        <v>18130</v>
      </c>
      <c r="I32" s="47">
        <v>300</v>
      </c>
      <c r="J32" s="47">
        <v>0.13</v>
      </c>
      <c r="K32" s="43">
        <f t="shared" ref="K32" si="25">I32*J32</f>
        <v>39</v>
      </c>
      <c r="L32" s="43">
        <f t="shared" ref="L32" si="26">H32-K32</f>
        <v>18091</v>
      </c>
      <c r="M32" s="43"/>
      <c r="N32" s="43">
        <f t="shared" ref="N32" si="27">L32-M32</f>
        <v>18091</v>
      </c>
      <c r="O32" s="43">
        <f t="shared" ref="O32" si="28">H32/1000*70</f>
        <v>1269.0999999999999</v>
      </c>
      <c r="P32" s="42">
        <v>10000</v>
      </c>
      <c r="Q32" s="42"/>
      <c r="R32" s="42">
        <f t="shared" ref="R32" si="29">L32*Q32</f>
        <v>0</v>
      </c>
      <c r="S32" s="62"/>
      <c r="T32" s="62"/>
      <c r="U32" s="62"/>
      <c r="V32" s="62"/>
      <c r="W32" s="62"/>
    </row>
    <row r="33" spans="1:23">
      <c r="A33" s="63"/>
      <c r="B33" s="142"/>
      <c r="C33" s="142"/>
      <c r="D33" s="67"/>
      <c r="E33" s="67"/>
      <c r="F33" s="67"/>
      <c r="G33" s="67"/>
      <c r="H33" s="67"/>
      <c r="I33" s="67"/>
      <c r="J33" s="67"/>
      <c r="K33" s="67"/>
      <c r="L33" s="68"/>
      <c r="M33" s="68"/>
      <c r="N33" s="68"/>
      <c r="O33" s="68"/>
      <c r="P33" s="67"/>
      <c r="Q33" s="67"/>
      <c r="R33" s="67"/>
      <c r="S33" s="62"/>
      <c r="T33" s="62"/>
      <c r="U33" s="62"/>
      <c r="V33" s="62"/>
      <c r="W33" s="62"/>
    </row>
    <row r="34" spans="1:23">
      <c r="A34" s="150" t="s">
        <v>3475</v>
      </c>
      <c r="B34" s="42" t="s">
        <v>3129</v>
      </c>
      <c r="C34" s="42" t="s">
        <v>88</v>
      </c>
      <c r="D34" s="42" t="s">
        <v>16</v>
      </c>
      <c r="E34" s="47" t="s">
        <v>3027</v>
      </c>
      <c r="F34" s="47">
        <v>199</v>
      </c>
      <c r="G34" s="47"/>
      <c r="H34" s="47">
        <v>15440</v>
      </c>
      <c r="I34" s="47">
        <v>345</v>
      </c>
      <c r="J34" s="47">
        <v>0.13</v>
      </c>
      <c r="K34" s="43">
        <f t="shared" ref="K34" si="30">I34*J34</f>
        <v>44.85</v>
      </c>
      <c r="L34" s="43">
        <f t="shared" ref="L34" si="31">H34-K34</f>
        <v>15395.15</v>
      </c>
      <c r="M34" s="43"/>
      <c r="N34" s="43">
        <f t="shared" ref="N34" si="32">L34-M34</f>
        <v>15395.15</v>
      </c>
      <c r="O34" s="43">
        <f t="shared" ref="O34" si="33">H34/1000*70</f>
        <v>1080.8</v>
      </c>
      <c r="P34" s="42">
        <v>0</v>
      </c>
      <c r="Q34" s="42"/>
      <c r="R34" s="42">
        <f t="shared" ref="R34" si="34">L34*Q34</f>
        <v>0</v>
      </c>
      <c r="S34" s="62"/>
      <c r="T34" s="62"/>
      <c r="U34" s="62"/>
      <c r="V34" s="62"/>
      <c r="W34" s="62"/>
    </row>
    <row r="35" spans="1:23">
      <c r="A35" s="63"/>
      <c r="B35" s="142"/>
      <c r="C35" s="142"/>
      <c r="D35" s="67"/>
      <c r="E35" s="67"/>
      <c r="F35" s="67"/>
      <c r="G35" s="67"/>
      <c r="H35" s="67"/>
      <c r="I35" s="67"/>
      <c r="J35" s="67"/>
      <c r="K35" s="67"/>
      <c r="L35" s="68"/>
      <c r="M35" s="68"/>
      <c r="N35" s="68"/>
      <c r="O35" s="68"/>
      <c r="P35" s="67"/>
      <c r="Q35" s="67"/>
      <c r="R35" s="67"/>
      <c r="S35" s="62"/>
      <c r="T35" s="62"/>
      <c r="U35" s="62"/>
      <c r="V35" s="62"/>
      <c r="W35" s="62"/>
    </row>
    <row r="36" spans="1:23">
      <c r="A36" s="63" t="s">
        <v>3477</v>
      </c>
      <c r="B36" s="42" t="s">
        <v>3129</v>
      </c>
      <c r="C36" s="42" t="s">
        <v>88</v>
      </c>
      <c r="D36" s="42" t="s">
        <v>16</v>
      </c>
      <c r="E36" s="47" t="s">
        <v>3479</v>
      </c>
      <c r="F36" s="47">
        <v>400</v>
      </c>
      <c r="G36" s="47"/>
      <c r="H36" s="47">
        <v>18930</v>
      </c>
      <c r="I36" s="47">
        <v>400</v>
      </c>
      <c r="J36" s="47">
        <v>0.13</v>
      </c>
      <c r="K36" s="43">
        <f t="shared" ref="K36" si="35">I36*J36</f>
        <v>52</v>
      </c>
      <c r="L36" s="43">
        <f t="shared" ref="L36" si="36">H36-K36</f>
        <v>18878</v>
      </c>
      <c r="M36" s="43"/>
      <c r="N36" s="43">
        <f t="shared" ref="N36" si="37">L36-M36</f>
        <v>18878</v>
      </c>
      <c r="O36" s="43">
        <f t="shared" ref="O36" si="38">H36/1000*70</f>
        <v>1325.1</v>
      </c>
      <c r="P36" s="42">
        <v>5000</v>
      </c>
      <c r="Q36" s="42"/>
      <c r="R36" s="42">
        <f t="shared" ref="R36" si="39">L36*Q36</f>
        <v>0</v>
      </c>
      <c r="S36" s="62"/>
      <c r="T36" s="62"/>
      <c r="U36" s="62"/>
      <c r="V36" s="62"/>
      <c r="W36" s="62"/>
    </row>
    <row r="37" spans="1:23">
      <c r="A37" s="63"/>
      <c r="B37" s="142"/>
      <c r="C37" s="142"/>
      <c r="D37" s="67"/>
      <c r="E37" s="67"/>
      <c r="F37" s="67"/>
      <c r="G37" s="67"/>
      <c r="H37" s="67"/>
      <c r="I37" s="67"/>
      <c r="J37" s="67"/>
      <c r="K37" s="67"/>
      <c r="L37" s="68"/>
      <c r="M37" s="68"/>
      <c r="N37" s="68"/>
      <c r="O37" s="68"/>
      <c r="P37" s="67"/>
      <c r="Q37" s="67"/>
      <c r="R37" s="67"/>
      <c r="S37" s="62"/>
      <c r="T37" s="62"/>
      <c r="U37" s="62"/>
      <c r="V37" s="62"/>
      <c r="W37" s="62"/>
    </row>
    <row r="38" spans="1:23">
      <c r="A38" s="63" t="s">
        <v>3510</v>
      </c>
      <c r="B38" s="42" t="s">
        <v>3129</v>
      </c>
      <c r="C38" s="42" t="s">
        <v>88</v>
      </c>
      <c r="D38" s="42" t="s">
        <v>16</v>
      </c>
      <c r="E38" s="47" t="s">
        <v>3027</v>
      </c>
      <c r="F38" s="47">
        <v>195</v>
      </c>
      <c r="G38" s="47"/>
      <c r="H38" s="47">
        <v>19340</v>
      </c>
      <c r="I38" s="47">
        <v>326</v>
      </c>
      <c r="J38" s="47">
        <v>0.13</v>
      </c>
      <c r="K38" s="43">
        <f t="shared" ref="K38" si="40">I38*J38</f>
        <v>42.38</v>
      </c>
      <c r="L38" s="43">
        <f t="shared" ref="L38" si="41">H38-K38</f>
        <v>19297.62</v>
      </c>
      <c r="M38" s="43"/>
      <c r="N38" s="43">
        <f t="shared" ref="N38" si="42">L38-M38</f>
        <v>19297.62</v>
      </c>
      <c r="O38" s="43">
        <f t="shared" ref="O38" si="43">H38/1000*70</f>
        <v>1353.8</v>
      </c>
      <c r="P38" s="42">
        <v>10000</v>
      </c>
      <c r="Q38" s="42">
        <v>19.7</v>
      </c>
      <c r="R38" s="42">
        <f t="shared" ref="R38" si="44">L38*Q38</f>
        <v>380163.11399999994</v>
      </c>
      <c r="S38" s="62"/>
      <c r="T38" s="62"/>
      <c r="U38" s="62"/>
      <c r="V38" s="62"/>
      <c r="W38" s="62"/>
    </row>
    <row r="39" spans="1:23">
      <c r="A39" s="63"/>
      <c r="B39" s="142"/>
      <c r="C39" s="142"/>
      <c r="D39" s="67"/>
      <c r="E39" s="67"/>
      <c r="F39" s="67"/>
      <c r="G39" s="67"/>
      <c r="H39" s="67"/>
      <c r="I39" s="67"/>
      <c r="J39" s="67"/>
      <c r="K39" s="67"/>
      <c r="L39" s="68"/>
      <c r="M39" s="68"/>
      <c r="N39" s="68"/>
      <c r="O39" s="68"/>
      <c r="P39" s="67"/>
      <c r="Q39" s="67"/>
      <c r="R39" s="67"/>
      <c r="S39" s="62"/>
      <c r="T39" s="62"/>
      <c r="U39" s="62"/>
      <c r="V39" s="62"/>
      <c r="W39" s="62"/>
    </row>
    <row r="40" spans="1:23">
      <c r="A40" s="63" t="s">
        <v>3562</v>
      </c>
      <c r="B40" s="42" t="s">
        <v>3129</v>
      </c>
      <c r="C40" s="42" t="s">
        <v>88</v>
      </c>
      <c r="D40" s="42" t="s">
        <v>16</v>
      </c>
      <c r="E40" s="47" t="s">
        <v>3027</v>
      </c>
      <c r="F40" s="47">
        <v>2644</v>
      </c>
      <c r="G40" s="47"/>
      <c r="H40" s="47">
        <v>18830</v>
      </c>
      <c r="I40" s="47">
        <v>663</v>
      </c>
      <c r="J40" s="47">
        <v>0.13</v>
      </c>
      <c r="K40" s="43">
        <f t="shared" ref="K40:K41" si="45">I40*J40</f>
        <v>86.19</v>
      </c>
      <c r="L40" s="43">
        <f t="shared" ref="L40:L41" si="46">H40-K40</f>
        <v>18743.810000000001</v>
      </c>
      <c r="M40" s="43"/>
      <c r="N40" s="43">
        <f t="shared" ref="N40:N41" si="47">L40-M40</f>
        <v>18743.810000000001</v>
      </c>
      <c r="O40" s="43">
        <f t="shared" ref="O40:O41" si="48">H40/1000*70</f>
        <v>1318.1</v>
      </c>
      <c r="P40" s="42">
        <v>10000</v>
      </c>
      <c r="Q40" s="42"/>
      <c r="R40" s="42">
        <f t="shared" ref="R40:R41" si="49">L40*Q40</f>
        <v>0</v>
      </c>
      <c r="S40" s="62"/>
      <c r="T40" s="62"/>
      <c r="U40" s="62"/>
      <c r="V40" s="62"/>
      <c r="W40" s="62"/>
    </row>
    <row r="41" spans="1:23">
      <c r="A41" s="150" t="s">
        <v>3595</v>
      </c>
      <c r="B41" s="42" t="s">
        <v>3129</v>
      </c>
      <c r="C41" s="42" t="s">
        <v>88</v>
      </c>
      <c r="D41" s="42" t="s">
        <v>16</v>
      </c>
      <c r="E41" s="47" t="s">
        <v>3027</v>
      </c>
      <c r="F41" s="47">
        <v>2656</v>
      </c>
      <c r="G41" s="47"/>
      <c r="H41" s="47">
        <v>20340</v>
      </c>
      <c r="I41" s="47">
        <v>339</v>
      </c>
      <c r="J41" s="47">
        <v>0.24</v>
      </c>
      <c r="K41" s="43">
        <f t="shared" si="45"/>
        <v>81.36</v>
      </c>
      <c r="L41" s="43">
        <f t="shared" si="46"/>
        <v>20258.64</v>
      </c>
      <c r="M41" s="43"/>
      <c r="N41" s="43">
        <f t="shared" si="47"/>
        <v>20258.64</v>
      </c>
      <c r="O41" s="43">
        <f t="shared" si="48"/>
        <v>1423.8</v>
      </c>
      <c r="P41" s="42">
        <v>10000</v>
      </c>
      <c r="Q41" s="42">
        <v>19</v>
      </c>
      <c r="R41" s="42">
        <f t="shared" si="49"/>
        <v>384914.16</v>
      </c>
      <c r="S41" s="62"/>
      <c r="T41" s="62"/>
      <c r="U41" s="62"/>
      <c r="V41" s="62"/>
      <c r="W41" s="62"/>
    </row>
    <row r="42" spans="1:23">
      <c r="A42" s="63"/>
      <c r="B42" s="142"/>
      <c r="C42" s="142"/>
      <c r="D42" s="67"/>
      <c r="E42" s="67"/>
      <c r="F42" s="67"/>
      <c r="G42" s="67"/>
      <c r="H42" s="67"/>
      <c r="I42" s="67"/>
      <c r="J42" s="67"/>
      <c r="K42" s="67"/>
      <c r="L42" s="68"/>
      <c r="M42" s="68"/>
      <c r="N42" s="68"/>
      <c r="O42" s="68"/>
      <c r="P42" s="67"/>
      <c r="Q42" s="67"/>
      <c r="R42" s="67"/>
      <c r="S42" s="62"/>
      <c r="T42" s="62"/>
      <c r="U42" s="62"/>
      <c r="V42" s="62"/>
      <c r="W42" s="62"/>
    </row>
    <row r="43" spans="1:23">
      <c r="A43" s="150" t="s">
        <v>3632</v>
      </c>
      <c r="B43" s="42" t="s">
        <v>3625</v>
      </c>
      <c r="C43" s="42" t="s">
        <v>88</v>
      </c>
      <c r="D43" s="42" t="s">
        <v>16</v>
      </c>
      <c r="E43" s="47" t="s">
        <v>3027</v>
      </c>
      <c r="F43" s="47">
        <v>516</v>
      </c>
      <c r="G43" s="47"/>
      <c r="H43" s="47">
        <v>20410</v>
      </c>
      <c r="I43" s="47">
        <v>340</v>
      </c>
      <c r="J43" s="47">
        <v>0.13</v>
      </c>
      <c r="K43" s="43">
        <f t="shared" ref="K43" si="50">I43*J43</f>
        <v>44.2</v>
      </c>
      <c r="L43" s="43">
        <f t="shared" ref="L43" si="51">H43-K43</f>
        <v>20365.8</v>
      </c>
      <c r="M43" s="43"/>
      <c r="N43" s="43">
        <f t="shared" ref="N43" si="52">L43-M43</f>
        <v>20365.8</v>
      </c>
      <c r="O43" s="43">
        <f t="shared" ref="O43" si="53">H43/1000*70</f>
        <v>1428.7</v>
      </c>
      <c r="P43" s="42">
        <v>10000</v>
      </c>
      <c r="Q43" s="42">
        <v>19</v>
      </c>
      <c r="R43" s="42">
        <f t="shared" ref="R43" si="54">L43*Q43</f>
        <v>386950.2</v>
      </c>
      <c r="S43" s="62"/>
      <c r="T43" s="62"/>
      <c r="U43" s="62"/>
      <c r="V43" s="62"/>
      <c r="W43" s="62"/>
    </row>
    <row r="44" spans="1:23">
      <c r="A44" s="63"/>
      <c r="B44" s="142"/>
      <c r="C44" s="142"/>
      <c r="D44" s="67"/>
      <c r="E44" s="67"/>
      <c r="F44" s="67"/>
      <c r="G44" s="67"/>
      <c r="H44" s="67"/>
      <c r="I44" s="67"/>
      <c r="J44" s="67"/>
      <c r="K44" s="67"/>
      <c r="L44" s="68"/>
      <c r="M44" s="68"/>
      <c r="N44" s="68"/>
      <c r="O44" s="68"/>
      <c r="P44" s="67"/>
      <c r="Q44" s="67"/>
      <c r="R44" s="67"/>
      <c r="S44" s="62"/>
      <c r="T44" s="62"/>
      <c r="U44" s="62"/>
      <c r="V44" s="62"/>
      <c r="W44" s="62"/>
    </row>
    <row r="45" spans="1:23">
      <c r="A45" s="150" t="s">
        <v>3657</v>
      </c>
      <c r="B45" s="42" t="s">
        <v>3625</v>
      </c>
      <c r="C45" s="42" t="s">
        <v>88</v>
      </c>
      <c r="D45" s="42" t="s">
        <v>16</v>
      </c>
      <c r="E45" s="47" t="s">
        <v>3027</v>
      </c>
      <c r="F45" s="47">
        <v>2625</v>
      </c>
      <c r="G45" s="47"/>
      <c r="H45" s="47">
        <v>21060</v>
      </c>
      <c r="I45" s="47">
        <v>350</v>
      </c>
      <c r="J45" s="47">
        <v>0.13</v>
      </c>
      <c r="K45" s="43">
        <f t="shared" ref="K45" si="55">I45*J45</f>
        <v>45.5</v>
      </c>
      <c r="L45" s="43">
        <f t="shared" ref="L45" si="56">H45-K45</f>
        <v>21014.5</v>
      </c>
      <c r="M45" s="43"/>
      <c r="N45" s="43">
        <f t="shared" ref="N45" si="57">L45-M45</f>
        <v>21014.5</v>
      </c>
      <c r="O45" s="43">
        <f t="shared" ref="O45" si="58">H45/1000*70</f>
        <v>1474.1999999999998</v>
      </c>
      <c r="P45" s="42">
        <v>10000</v>
      </c>
      <c r="Q45" s="42">
        <v>18.920000000000002</v>
      </c>
      <c r="R45" s="42">
        <f t="shared" ref="R45" si="59">L45*Q45</f>
        <v>397594.34</v>
      </c>
      <c r="S45" s="62"/>
      <c r="T45" s="62"/>
      <c r="U45" s="62"/>
      <c r="V45" s="62"/>
      <c r="W45" s="62"/>
    </row>
    <row r="46" spans="1:23">
      <c r="A46" s="63"/>
      <c r="B46" s="142"/>
      <c r="C46" s="142"/>
      <c r="D46" s="67"/>
      <c r="E46" s="67"/>
      <c r="F46" s="67"/>
      <c r="G46" s="67"/>
      <c r="H46" s="67"/>
      <c r="I46" s="67"/>
      <c r="J46" s="67"/>
      <c r="K46" s="67"/>
      <c r="L46" s="68"/>
      <c r="M46" s="68"/>
      <c r="N46" s="68"/>
      <c r="O46" s="68"/>
      <c r="P46" s="67"/>
      <c r="Q46" s="67"/>
      <c r="R46" s="67"/>
      <c r="S46" s="62"/>
      <c r="T46" s="62"/>
      <c r="U46" s="62"/>
      <c r="V46" s="62"/>
      <c r="W46" s="62"/>
    </row>
    <row r="47" spans="1:23">
      <c r="A47" s="63" t="s">
        <v>3693</v>
      </c>
      <c r="B47" s="42" t="s">
        <v>3625</v>
      </c>
      <c r="C47" s="42" t="s">
        <v>88</v>
      </c>
      <c r="D47" s="42" t="s">
        <v>16</v>
      </c>
      <c r="E47" s="47" t="s">
        <v>3695</v>
      </c>
      <c r="F47" s="47">
        <v>1109</v>
      </c>
      <c r="G47" s="47"/>
      <c r="H47" s="47">
        <v>16040</v>
      </c>
      <c r="I47" s="47">
        <v>266</v>
      </c>
      <c r="J47" s="47">
        <v>0.5</v>
      </c>
      <c r="K47" s="43">
        <f t="shared" ref="K47" si="60">I47*J47</f>
        <v>133</v>
      </c>
      <c r="L47" s="43">
        <f t="shared" ref="L47" si="61">H47-K47</f>
        <v>15907</v>
      </c>
      <c r="M47" s="43">
        <f>L47*5%</f>
        <v>795.35</v>
      </c>
      <c r="N47" s="43">
        <f t="shared" ref="N47" si="62">L47-M47</f>
        <v>15111.65</v>
      </c>
      <c r="O47" s="43">
        <f t="shared" ref="O47" si="63">H47/1000*70</f>
        <v>1122.8</v>
      </c>
      <c r="P47" s="42"/>
      <c r="Q47" s="42">
        <v>18.920000000000002</v>
      </c>
      <c r="R47" s="42">
        <f t="shared" ref="R47" si="64">L47*Q47</f>
        <v>300960.44</v>
      </c>
      <c r="S47" s="62"/>
      <c r="T47" s="62"/>
      <c r="U47" s="62"/>
      <c r="V47" s="62"/>
      <c r="W47" s="62"/>
    </row>
    <row r="48" spans="1:23">
      <c r="A48" s="63"/>
      <c r="B48" s="142"/>
      <c r="C48" s="142"/>
      <c r="D48" s="67"/>
      <c r="E48" s="67"/>
      <c r="F48" s="67"/>
      <c r="G48" s="67"/>
      <c r="H48" s="67"/>
      <c r="I48" s="67"/>
      <c r="J48" s="67"/>
      <c r="K48" s="67"/>
      <c r="L48" s="68"/>
      <c r="M48" s="68"/>
      <c r="N48" s="68"/>
      <c r="O48" s="68"/>
      <c r="P48" s="67"/>
      <c r="Q48" s="67"/>
      <c r="R48" s="67"/>
      <c r="S48" s="62"/>
      <c r="T48" s="62"/>
      <c r="U48" s="62"/>
      <c r="V48" s="62"/>
      <c r="W48" s="62"/>
    </row>
    <row r="49" spans="1:23">
      <c r="A49" s="63"/>
      <c r="B49" s="142"/>
      <c r="C49" s="142"/>
      <c r="D49" s="67"/>
      <c r="E49" s="67"/>
      <c r="F49" s="67"/>
      <c r="G49" s="67"/>
      <c r="H49" s="67"/>
      <c r="I49" s="67"/>
      <c r="J49" s="67"/>
      <c r="K49" s="67"/>
      <c r="L49" s="68"/>
      <c r="M49" s="68"/>
      <c r="N49" s="68"/>
      <c r="O49" s="68"/>
      <c r="P49" s="67"/>
      <c r="Q49" s="67"/>
      <c r="R49" s="67"/>
      <c r="S49" s="62"/>
      <c r="T49" s="62"/>
      <c r="U49" s="62"/>
      <c r="V49" s="62"/>
      <c r="W49" s="62"/>
    </row>
    <row r="50" spans="1:23">
      <c r="A50" s="63"/>
      <c r="B50" s="142"/>
      <c r="C50" s="142"/>
      <c r="D50" s="67"/>
      <c r="E50" s="67"/>
      <c r="F50" s="67"/>
      <c r="G50" s="67"/>
      <c r="H50" s="67"/>
      <c r="I50" s="67"/>
      <c r="J50" s="67"/>
      <c r="K50" s="67"/>
      <c r="L50" s="68"/>
      <c r="M50" s="68"/>
      <c r="N50" s="68"/>
      <c r="O50" s="68"/>
      <c r="P50" s="67"/>
      <c r="Q50" s="67"/>
      <c r="R50" s="67"/>
      <c r="S50" s="62"/>
      <c r="T50" s="62"/>
      <c r="U50" s="62"/>
      <c r="V50" s="62"/>
      <c r="W50" s="62"/>
    </row>
    <row r="51" spans="1:23">
      <c r="A51" s="63"/>
      <c r="B51" s="142"/>
      <c r="C51" s="142"/>
      <c r="D51" s="67"/>
      <c r="E51" s="67"/>
      <c r="F51" s="67"/>
      <c r="G51" s="67"/>
      <c r="H51" s="67"/>
      <c r="I51" s="67"/>
      <c r="J51" s="67"/>
      <c r="K51" s="67"/>
      <c r="L51" s="68"/>
      <c r="M51" s="68"/>
      <c r="N51" s="68"/>
      <c r="O51" s="68"/>
      <c r="P51" s="67"/>
      <c r="Q51" s="67"/>
      <c r="R51" s="67"/>
      <c r="S51" s="62"/>
      <c r="T51" s="62"/>
      <c r="U51" s="62"/>
      <c r="V51" s="62"/>
      <c r="W51" s="62"/>
    </row>
    <row r="52" spans="1:23">
      <c r="A52" s="63"/>
      <c r="B52" s="142"/>
      <c r="C52" s="142"/>
      <c r="D52" s="67"/>
      <c r="E52" s="67"/>
      <c r="F52" s="67"/>
      <c r="G52" s="67"/>
      <c r="H52" s="67"/>
      <c r="I52" s="67"/>
      <c r="J52" s="67"/>
      <c r="K52" s="67"/>
      <c r="L52" s="68"/>
      <c r="M52" s="68"/>
      <c r="N52" s="68"/>
      <c r="O52" s="68"/>
      <c r="P52" s="67"/>
      <c r="Q52" s="67"/>
      <c r="R52" s="67"/>
      <c r="S52" s="62"/>
      <c r="T52" s="62"/>
      <c r="U52" s="62"/>
      <c r="V52" s="62"/>
      <c r="W52" s="62"/>
    </row>
    <row r="53" spans="1:23">
      <c r="A53" s="63"/>
      <c r="B53" s="142"/>
      <c r="C53" s="142"/>
      <c r="D53" s="67"/>
      <c r="E53" s="67"/>
      <c r="F53" s="67"/>
      <c r="G53" s="67"/>
      <c r="H53" s="67"/>
      <c r="I53" s="67"/>
      <c r="J53" s="67"/>
      <c r="K53" s="67"/>
      <c r="L53" s="68"/>
      <c r="M53" s="68"/>
      <c r="N53" s="68"/>
      <c r="O53" s="68"/>
      <c r="P53" s="67"/>
      <c r="Q53" s="67"/>
      <c r="R53" s="67"/>
      <c r="S53" s="62"/>
      <c r="T53" s="62"/>
      <c r="U53" s="62"/>
      <c r="V53" s="62"/>
      <c r="W53" s="62"/>
    </row>
    <row r="54" spans="1:23">
      <c r="A54" s="63"/>
      <c r="B54" s="142"/>
      <c r="C54" s="142"/>
      <c r="D54" s="67"/>
      <c r="E54" s="67"/>
      <c r="F54" s="67"/>
      <c r="G54" s="67"/>
      <c r="H54" s="67"/>
      <c r="I54" s="67"/>
      <c r="J54" s="67"/>
      <c r="K54" s="67"/>
      <c r="L54" s="68"/>
      <c r="M54" s="68"/>
      <c r="N54" s="68"/>
      <c r="O54" s="68"/>
      <c r="P54" s="67"/>
      <c r="Q54" s="67"/>
      <c r="R54" s="67"/>
      <c r="S54" s="62"/>
      <c r="T54" s="62"/>
      <c r="U54" s="62"/>
      <c r="V54" s="62"/>
      <c r="W54" s="62"/>
    </row>
    <row r="55" spans="1:23">
      <c r="A55" s="63"/>
      <c r="B55" s="142"/>
      <c r="C55" s="142"/>
      <c r="D55" s="67"/>
      <c r="E55" s="67"/>
      <c r="F55" s="67"/>
      <c r="G55" s="67"/>
      <c r="H55" s="67"/>
      <c r="I55" s="67"/>
      <c r="J55" s="67"/>
      <c r="K55" s="67"/>
      <c r="L55" s="68"/>
      <c r="M55" s="68"/>
      <c r="N55" s="68"/>
      <c r="O55" s="68"/>
      <c r="P55" s="67"/>
      <c r="Q55" s="67"/>
      <c r="R55" s="67"/>
      <c r="S55" s="62"/>
      <c r="T55" s="62"/>
      <c r="U55" s="62"/>
      <c r="V55" s="62"/>
      <c r="W55" s="62"/>
    </row>
    <row r="56" spans="1:23">
      <c r="A56" s="63"/>
      <c r="B56" s="142"/>
      <c r="C56" s="142"/>
      <c r="D56" s="67"/>
      <c r="E56" s="67"/>
      <c r="F56" s="67"/>
      <c r="G56" s="67"/>
      <c r="H56" s="67"/>
      <c r="I56" s="67"/>
      <c r="J56" s="67"/>
      <c r="K56" s="67"/>
      <c r="L56" s="68"/>
      <c r="M56" s="68"/>
      <c r="N56" s="68"/>
      <c r="O56" s="68"/>
      <c r="P56" s="67"/>
      <c r="Q56" s="67"/>
      <c r="R56" s="67"/>
      <c r="S56" s="62"/>
      <c r="T56" s="62"/>
      <c r="U56" s="62"/>
      <c r="V56" s="62"/>
      <c r="W56" s="62"/>
    </row>
    <row r="57" spans="1:23">
      <c r="A57" s="62"/>
      <c r="B57" s="142"/>
      <c r="C57" s="142"/>
      <c r="D57" s="67"/>
      <c r="E57" s="67"/>
      <c r="F57" s="67"/>
      <c r="G57" s="67"/>
      <c r="H57" s="67"/>
      <c r="I57" s="67"/>
      <c r="J57" s="67"/>
      <c r="K57" s="67"/>
      <c r="L57" s="68"/>
      <c r="M57" s="68"/>
      <c r="N57" s="68"/>
      <c r="O57" s="68"/>
      <c r="P57" s="67"/>
      <c r="Q57" s="67"/>
      <c r="R57" s="67"/>
      <c r="S57" s="62"/>
      <c r="T57" s="62"/>
      <c r="U57" s="62"/>
      <c r="V57" s="62"/>
      <c r="W57" s="62"/>
    </row>
    <row r="58" spans="1:23">
      <c r="A58" s="62"/>
      <c r="B58" s="62"/>
      <c r="C58" s="62"/>
      <c r="D58" s="62"/>
      <c r="E58" s="62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</row>
    <row r="59" spans="1:23">
      <c r="A59" s="62"/>
      <c r="B59" s="62"/>
      <c r="C59" s="62"/>
      <c r="D59" s="62"/>
      <c r="E59" s="62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</row>
    <row r="60" spans="1:23">
      <c r="A60" s="62"/>
      <c r="B60" s="62"/>
      <c r="C60" s="62"/>
      <c r="D60" s="62"/>
      <c r="E60" s="62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</row>
    <row r="61" spans="1:23">
      <c r="A61" s="62"/>
      <c r="B61" s="62"/>
      <c r="C61" s="62"/>
      <c r="D61" s="62"/>
      <c r="E61" s="62"/>
      <c r="F61" s="62"/>
      <c r="G61" s="62"/>
      <c r="H61" s="62"/>
      <c r="I61" s="62"/>
      <c r="J61" s="62"/>
      <c r="K61" s="62"/>
      <c r="L61" s="62"/>
      <c r="M61" s="62"/>
      <c r="N61" s="62"/>
      <c r="O61" s="62"/>
      <c r="P61" s="62"/>
      <c r="Q61" s="62"/>
      <c r="R61" s="62"/>
      <c r="S61" s="62"/>
      <c r="T61" s="62"/>
      <c r="U61" s="62"/>
      <c r="V61" s="62"/>
      <c r="W61" s="62"/>
    </row>
    <row r="62" spans="1:23">
      <c r="A62" s="62"/>
      <c r="B62" s="62"/>
      <c r="C62" s="62"/>
      <c r="D62" s="62"/>
      <c r="E62" s="62"/>
      <c r="F62" s="62"/>
      <c r="G62" s="62"/>
      <c r="H62" s="62"/>
      <c r="I62" s="62"/>
      <c r="J62" s="62"/>
      <c r="K62" s="62"/>
      <c r="L62" s="62"/>
      <c r="M62" s="62"/>
      <c r="N62" s="62"/>
      <c r="O62" s="62"/>
      <c r="P62" s="62"/>
      <c r="Q62" s="62"/>
      <c r="R62" s="62"/>
      <c r="S62" s="62"/>
      <c r="T62" s="62"/>
      <c r="U62" s="62"/>
      <c r="V62" s="62"/>
      <c r="W62" s="62"/>
    </row>
    <row r="84" spans="12:12">
      <c r="L84" s="16">
        <f>SUM(L7:L83)</f>
        <v>373923.15</v>
      </c>
    </row>
  </sheetData>
  <mergeCells count="2">
    <mergeCell ref="A22:A23"/>
    <mergeCell ref="A25:A26"/>
  </mergeCells>
  <pageMargins left="0.7" right="0.7" top="0.75" bottom="0.75" header="0.3" footer="0.3"/>
  <pageSetup paperSize="9" orientation="landscape" verticalDpi="0" r:id="rId1"/>
</worksheet>
</file>

<file path=xl/worksheets/sheet45.xml><?xml version="1.0" encoding="utf-8"?>
<worksheet xmlns="http://schemas.openxmlformats.org/spreadsheetml/2006/main" xmlns:r="http://schemas.openxmlformats.org/officeDocument/2006/relationships">
  <dimension ref="A5:W86"/>
  <sheetViews>
    <sheetView topLeftCell="A22" workbookViewId="0">
      <selection activeCell="B38" sqref="B38"/>
    </sheetView>
  </sheetViews>
  <sheetFormatPr defaultRowHeight="14.4"/>
  <cols>
    <col min="1" max="1" width="7.88671875" style="1" customWidth="1"/>
    <col min="2" max="2" width="22" style="1" customWidth="1"/>
    <col min="3" max="3" width="7.77734375" style="1" customWidth="1"/>
    <col min="4" max="4" width="4.77734375" style="1" customWidth="1"/>
    <col min="5" max="5" width="9.88671875" style="1" customWidth="1"/>
    <col min="6" max="6" width="7.6640625" style="1" customWidth="1"/>
    <col min="7" max="7" width="6.6640625" style="1" customWidth="1"/>
    <col min="8" max="8" width="7.44140625" style="1" customWidth="1"/>
    <col min="9" max="9" width="5.88671875" style="1" customWidth="1"/>
    <col min="10" max="10" width="6" style="1" customWidth="1"/>
    <col min="11" max="11" width="8.44140625" style="1" customWidth="1"/>
    <col min="12" max="12" width="8.21875" style="1" customWidth="1"/>
    <col min="13" max="13" width="7.33203125" style="1" customWidth="1"/>
    <col min="14" max="18" width="8.88671875" style="1"/>
    <col min="19" max="19" width="9" style="1" customWidth="1"/>
    <col min="20" max="16384" width="8.88671875" style="1"/>
  </cols>
  <sheetData>
    <row r="5" spans="1:23" ht="23.4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3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676</v>
      </c>
      <c r="M5" s="95" t="s">
        <v>677</v>
      </c>
      <c r="N5" s="3" t="s">
        <v>11</v>
      </c>
      <c r="O5" s="3" t="s">
        <v>36</v>
      </c>
      <c r="P5" s="3" t="s">
        <v>12</v>
      </c>
      <c r="Q5" s="3" t="s">
        <v>256</v>
      </c>
      <c r="R5" s="3" t="s">
        <v>257</v>
      </c>
      <c r="S5" s="3" t="s">
        <v>2</v>
      </c>
      <c r="T5" s="14" t="s">
        <v>80</v>
      </c>
      <c r="U5" s="14" t="s">
        <v>125</v>
      </c>
    </row>
    <row r="6" spans="1:23">
      <c r="A6" s="63"/>
      <c r="B6" s="301"/>
      <c r="C6" s="301"/>
      <c r="D6" s="301"/>
      <c r="E6" s="301"/>
      <c r="F6" s="301"/>
      <c r="G6" s="301"/>
      <c r="H6" s="301"/>
      <c r="I6" s="301"/>
      <c r="J6" s="301"/>
      <c r="K6" s="301"/>
      <c r="L6" s="61"/>
      <c r="M6" s="61"/>
      <c r="N6" s="301"/>
      <c r="O6" s="62"/>
      <c r="P6" s="62"/>
      <c r="Q6" s="62"/>
      <c r="R6" s="62"/>
      <c r="S6" s="62"/>
      <c r="U6" s="17"/>
    </row>
    <row r="7" spans="1:23">
      <c r="A7" s="63"/>
      <c r="B7" s="67"/>
      <c r="C7" s="67"/>
      <c r="D7" s="67"/>
      <c r="E7" s="67"/>
      <c r="F7" s="67"/>
      <c r="G7" s="67"/>
      <c r="H7" s="67"/>
      <c r="I7" s="67"/>
      <c r="J7" s="67"/>
      <c r="K7" s="68"/>
      <c r="L7" s="68"/>
      <c r="M7" s="68"/>
      <c r="N7" s="68"/>
      <c r="O7" s="68"/>
      <c r="P7" s="67"/>
      <c r="Q7" s="62"/>
      <c r="R7" s="62"/>
      <c r="S7" s="62"/>
      <c r="T7" s="62"/>
      <c r="U7" s="62"/>
      <c r="V7" s="62"/>
      <c r="W7" s="62"/>
    </row>
    <row r="8" spans="1:23">
      <c r="A8" s="63"/>
      <c r="B8" s="67"/>
      <c r="C8" s="67"/>
      <c r="D8" s="67"/>
      <c r="E8" s="67"/>
      <c r="F8" s="67"/>
      <c r="G8" s="67"/>
      <c r="H8" s="67"/>
      <c r="I8" s="67"/>
      <c r="J8" s="67"/>
      <c r="K8" s="67"/>
      <c r="L8" s="68"/>
      <c r="M8" s="68"/>
      <c r="N8" s="68"/>
      <c r="O8" s="68"/>
      <c r="P8" s="67"/>
      <c r="Q8" s="62"/>
      <c r="R8" s="62"/>
      <c r="S8" s="62"/>
      <c r="T8" s="62"/>
      <c r="U8" s="62"/>
      <c r="V8" s="62"/>
      <c r="W8" s="62"/>
    </row>
    <row r="9" spans="1:23">
      <c r="A9" s="63"/>
      <c r="B9" s="67"/>
      <c r="C9" s="67"/>
      <c r="D9" s="67"/>
      <c r="E9" s="67"/>
      <c r="F9" s="67"/>
      <c r="G9" s="67"/>
      <c r="H9" s="67"/>
      <c r="I9" s="67"/>
      <c r="J9" s="67"/>
      <c r="K9" s="68"/>
      <c r="L9" s="68"/>
      <c r="M9" s="68"/>
      <c r="N9" s="68"/>
      <c r="O9" s="68"/>
      <c r="P9" s="67"/>
      <c r="Q9" s="62"/>
      <c r="R9" s="62"/>
      <c r="S9" s="62"/>
      <c r="T9" s="62"/>
      <c r="U9" s="62"/>
      <c r="V9" s="62"/>
      <c r="W9" s="62"/>
    </row>
    <row r="10" spans="1:23">
      <c r="A10" s="63"/>
      <c r="B10" s="67"/>
      <c r="C10" s="67"/>
      <c r="D10" s="67"/>
      <c r="E10" s="67"/>
      <c r="F10" s="67"/>
      <c r="G10" s="67"/>
      <c r="H10" s="67"/>
      <c r="I10" s="67"/>
      <c r="J10" s="67"/>
      <c r="K10" s="68"/>
      <c r="L10" s="68"/>
      <c r="M10" s="68"/>
      <c r="N10" s="68"/>
      <c r="O10" s="68"/>
      <c r="P10" s="67"/>
      <c r="Q10" s="62"/>
      <c r="R10" s="62"/>
      <c r="S10" s="62"/>
      <c r="T10" s="62"/>
      <c r="U10" s="62"/>
      <c r="V10" s="62"/>
      <c r="W10" s="62"/>
    </row>
    <row r="11" spans="1:23">
      <c r="A11" s="63"/>
      <c r="B11" s="67"/>
      <c r="C11" s="67"/>
      <c r="D11" s="67"/>
      <c r="E11" s="67"/>
      <c r="F11" s="67"/>
      <c r="G11" s="67"/>
      <c r="H11" s="67"/>
      <c r="I11" s="67"/>
      <c r="J11" s="67"/>
      <c r="K11" s="68"/>
      <c r="L11" s="68"/>
      <c r="M11" s="68"/>
      <c r="N11" s="68"/>
      <c r="O11" s="68"/>
      <c r="P11" s="67"/>
      <c r="Q11" s="62"/>
      <c r="R11" s="62"/>
      <c r="S11" s="62"/>
      <c r="T11" s="62"/>
      <c r="U11" s="62"/>
      <c r="V11" s="62"/>
      <c r="W11" s="62"/>
    </row>
    <row r="12" spans="1:23">
      <c r="A12" s="63"/>
      <c r="B12" s="67"/>
      <c r="C12" s="67"/>
      <c r="D12" s="67"/>
      <c r="E12" s="67"/>
      <c r="F12" s="67"/>
      <c r="G12" s="67"/>
      <c r="H12" s="67"/>
      <c r="I12" s="67"/>
      <c r="J12" s="67"/>
      <c r="K12" s="68"/>
      <c r="L12" s="68"/>
      <c r="M12" s="68"/>
      <c r="N12" s="68"/>
      <c r="O12" s="68"/>
      <c r="P12" s="67"/>
      <c r="Q12" s="67"/>
      <c r="R12" s="67"/>
      <c r="S12" s="62"/>
      <c r="T12" s="62"/>
      <c r="U12" s="62"/>
      <c r="V12" s="62"/>
      <c r="W12" s="62"/>
    </row>
    <row r="13" spans="1:23">
      <c r="A13" s="63"/>
      <c r="B13" s="67"/>
      <c r="C13" s="67"/>
      <c r="D13" s="67"/>
      <c r="E13" s="67"/>
      <c r="F13" s="67"/>
      <c r="G13" s="67"/>
      <c r="H13" s="67"/>
      <c r="I13" s="67"/>
      <c r="J13" s="67"/>
      <c r="K13" s="68"/>
      <c r="L13" s="68"/>
      <c r="M13" s="68"/>
      <c r="N13" s="68"/>
      <c r="O13" s="68"/>
      <c r="P13" s="67"/>
      <c r="Q13" s="67"/>
      <c r="R13" s="67"/>
      <c r="S13" s="62"/>
      <c r="T13" s="62"/>
      <c r="U13" s="62"/>
      <c r="V13" s="62"/>
      <c r="W13" s="62"/>
    </row>
    <row r="14" spans="1:23">
      <c r="A14" s="63"/>
      <c r="B14" s="67"/>
      <c r="C14" s="67"/>
      <c r="D14" s="67"/>
      <c r="E14" s="67"/>
      <c r="F14" s="67"/>
      <c r="G14" s="67" t="s">
        <v>2945</v>
      </c>
      <c r="H14" s="67"/>
      <c r="I14" s="67"/>
      <c r="J14" s="67"/>
      <c r="K14" s="68"/>
      <c r="L14" s="68"/>
      <c r="M14" s="68"/>
      <c r="N14" s="68"/>
      <c r="O14" s="68"/>
      <c r="P14" s="67"/>
      <c r="Q14" s="67"/>
      <c r="R14" s="67"/>
      <c r="S14" s="62"/>
      <c r="T14" s="62"/>
      <c r="U14" s="62"/>
      <c r="V14" s="62"/>
      <c r="W14" s="62"/>
    </row>
    <row r="15" spans="1:23">
      <c r="A15" s="374" t="s">
        <v>2903</v>
      </c>
      <c r="B15" s="42" t="s">
        <v>632</v>
      </c>
      <c r="C15" s="42" t="s">
        <v>88</v>
      </c>
      <c r="D15" s="42" t="s">
        <v>16</v>
      </c>
      <c r="E15" s="42" t="s">
        <v>2904</v>
      </c>
      <c r="F15" s="42">
        <v>2611</v>
      </c>
      <c r="G15" s="45">
        <v>23615</v>
      </c>
      <c r="H15" s="42">
        <v>23610</v>
      </c>
      <c r="I15" s="42">
        <v>419</v>
      </c>
      <c r="J15" s="42">
        <v>0.13</v>
      </c>
      <c r="K15" s="43">
        <f t="shared" ref="K15:K34" si="0">I15*J15</f>
        <v>54.47</v>
      </c>
      <c r="L15" s="43">
        <f t="shared" ref="L15:L34" si="1">H15-K15</f>
        <v>23555.53</v>
      </c>
      <c r="M15" s="43"/>
      <c r="N15" s="43">
        <f t="shared" ref="N15:N34" si="2">L15-M15</f>
        <v>23555.53</v>
      </c>
      <c r="O15" s="43">
        <f t="shared" ref="O15:O34" si="3">H15/1000*70</f>
        <v>1652.7</v>
      </c>
      <c r="P15" s="42">
        <v>13000</v>
      </c>
      <c r="Q15" s="42">
        <v>20</v>
      </c>
      <c r="R15" s="42">
        <f t="shared" ref="R15:R34" si="4">L15*Q15</f>
        <v>471110.6</v>
      </c>
      <c r="S15" s="62">
        <v>1</v>
      </c>
      <c r="T15" s="62"/>
      <c r="U15" s="62"/>
      <c r="V15" s="62"/>
      <c r="W15" s="62"/>
    </row>
    <row r="16" spans="1:23">
      <c r="A16" s="374"/>
      <c r="B16" s="42" t="s">
        <v>632</v>
      </c>
      <c r="C16" s="42" t="s">
        <v>88</v>
      </c>
      <c r="D16" s="42" t="s">
        <v>16</v>
      </c>
      <c r="E16" s="42" t="s">
        <v>2905</v>
      </c>
      <c r="F16" s="42">
        <v>2610</v>
      </c>
      <c r="G16" s="45">
        <v>24060</v>
      </c>
      <c r="H16" s="42">
        <v>24060</v>
      </c>
      <c r="I16" s="42">
        <v>409</v>
      </c>
      <c r="J16" s="42">
        <v>0.13</v>
      </c>
      <c r="K16" s="43">
        <f t="shared" si="0"/>
        <v>53.17</v>
      </c>
      <c r="L16" s="43">
        <f t="shared" si="1"/>
        <v>24006.83</v>
      </c>
      <c r="M16" s="43"/>
      <c r="N16" s="43">
        <f t="shared" si="2"/>
        <v>24006.83</v>
      </c>
      <c r="O16" s="43">
        <f t="shared" si="3"/>
        <v>1684.1999999999998</v>
      </c>
      <c r="P16" s="42">
        <v>13200</v>
      </c>
      <c r="Q16" s="42">
        <v>20</v>
      </c>
      <c r="R16" s="42">
        <f t="shared" si="4"/>
        <v>480136.60000000003</v>
      </c>
      <c r="S16" s="62">
        <v>2</v>
      </c>
      <c r="T16" s="62"/>
      <c r="U16" s="62"/>
      <c r="V16" s="62"/>
      <c r="W16" s="62"/>
    </row>
    <row r="17" spans="1:23">
      <c r="A17" s="374"/>
      <c r="B17" s="42" t="s">
        <v>632</v>
      </c>
      <c r="C17" s="42" t="s">
        <v>88</v>
      </c>
      <c r="D17" s="42" t="s">
        <v>16</v>
      </c>
      <c r="E17" s="42" t="s">
        <v>2906</v>
      </c>
      <c r="F17" s="42">
        <v>2612</v>
      </c>
      <c r="G17" s="45">
        <v>21410</v>
      </c>
      <c r="H17" s="42">
        <v>21410</v>
      </c>
      <c r="I17" s="42">
        <v>412</v>
      </c>
      <c r="J17" s="42">
        <v>0.13</v>
      </c>
      <c r="K17" s="43">
        <f t="shared" si="0"/>
        <v>53.56</v>
      </c>
      <c r="L17" s="43">
        <f t="shared" si="1"/>
        <v>21356.44</v>
      </c>
      <c r="M17" s="43"/>
      <c r="N17" s="43">
        <f t="shared" si="2"/>
        <v>21356.44</v>
      </c>
      <c r="O17" s="43">
        <f t="shared" si="3"/>
        <v>1498.7</v>
      </c>
      <c r="P17" s="42">
        <v>11750</v>
      </c>
      <c r="Q17" s="42">
        <v>20</v>
      </c>
      <c r="R17" s="42">
        <f t="shared" si="4"/>
        <v>427128.8</v>
      </c>
      <c r="S17" s="62">
        <v>3</v>
      </c>
      <c r="T17" s="62"/>
      <c r="U17" s="62"/>
      <c r="V17" s="62"/>
      <c r="W17" s="62"/>
    </row>
    <row r="18" spans="1:23">
      <c r="A18" s="374"/>
      <c r="B18" s="42" t="s">
        <v>632</v>
      </c>
      <c r="C18" s="42" t="s">
        <v>88</v>
      </c>
      <c r="D18" s="42" t="s">
        <v>16</v>
      </c>
      <c r="E18" s="42" t="s">
        <v>2907</v>
      </c>
      <c r="F18" s="42">
        <v>2609</v>
      </c>
      <c r="G18" s="45">
        <v>23255</v>
      </c>
      <c r="H18" s="42">
        <v>23255</v>
      </c>
      <c r="I18" s="42">
        <v>426</v>
      </c>
      <c r="J18" s="42">
        <v>0.13</v>
      </c>
      <c r="K18" s="43">
        <f t="shared" si="0"/>
        <v>55.38</v>
      </c>
      <c r="L18" s="43">
        <f t="shared" si="1"/>
        <v>23199.62</v>
      </c>
      <c r="M18" s="43"/>
      <c r="N18" s="43">
        <f t="shared" si="2"/>
        <v>23199.62</v>
      </c>
      <c r="O18" s="43">
        <f t="shared" si="3"/>
        <v>1627.85</v>
      </c>
      <c r="P18" s="42">
        <v>12800</v>
      </c>
      <c r="Q18" s="42">
        <v>20</v>
      </c>
      <c r="R18" s="42">
        <f t="shared" si="4"/>
        <v>463992.39999999997</v>
      </c>
      <c r="S18" s="62">
        <v>4</v>
      </c>
      <c r="T18" s="62"/>
      <c r="U18" s="62"/>
      <c r="V18" s="62"/>
      <c r="W18" s="62"/>
    </row>
    <row r="19" spans="1:23">
      <c r="A19" s="63" t="s">
        <v>2908</v>
      </c>
      <c r="B19" s="42" t="s">
        <v>632</v>
      </c>
      <c r="C19" s="42" t="s">
        <v>88</v>
      </c>
      <c r="D19" s="42" t="s">
        <v>16</v>
      </c>
      <c r="E19" s="42" t="s">
        <v>2909</v>
      </c>
      <c r="F19" s="42">
        <v>2608</v>
      </c>
      <c r="G19" s="45">
        <v>24060</v>
      </c>
      <c r="H19" s="42">
        <v>24060</v>
      </c>
      <c r="I19" s="42">
        <v>364</v>
      </c>
      <c r="J19" s="42">
        <v>0.13</v>
      </c>
      <c r="K19" s="43">
        <f t="shared" si="0"/>
        <v>47.32</v>
      </c>
      <c r="L19" s="43">
        <f t="shared" si="1"/>
        <v>24012.68</v>
      </c>
      <c r="M19" s="43"/>
      <c r="N19" s="43">
        <f t="shared" si="2"/>
        <v>24012.68</v>
      </c>
      <c r="O19" s="43">
        <f t="shared" si="3"/>
        <v>1684.1999999999998</v>
      </c>
      <c r="P19" s="42">
        <v>13200</v>
      </c>
      <c r="Q19" s="42">
        <v>20</v>
      </c>
      <c r="R19" s="42">
        <f t="shared" si="4"/>
        <v>480253.6</v>
      </c>
      <c r="S19" s="62">
        <v>5</v>
      </c>
      <c r="T19" s="62"/>
      <c r="U19" s="62"/>
      <c r="V19" s="62"/>
      <c r="W19" s="62"/>
    </row>
    <row r="20" spans="1:23">
      <c r="A20" s="374" t="s">
        <v>2918</v>
      </c>
      <c r="B20" s="42" t="s">
        <v>632</v>
      </c>
      <c r="C20" s="42" t="s">
        <v>88</v>
      </c>
      <c r="D20" s="42" t="s">
        <v>16</v>
      </c>
      <c r="E20" s="42" t="s">
        <v>2919</v>
      </c>
      <c r="F20" s="42">
        <v>2661</v>
      </c>
      <c r="G20" s="45">
        <v>21680</v>
      </c>
      <c r="H20" s="42">
        <v>21680</v>
      </c>
      <c r="I20" s="42">
        <v>434</v>
      </c>
      <c r="J20" s="42">
        <v>0.13</v>
      </c>
      <c r="K20" s="43">
        <f t="shared" si="0"/>
        <v>56.42</v>
      </c>
      <c r="L20" s="43">
        <f t="shared" si="1"/>
        <v>21623.58</v>
      </c>
      <c r="M20" s="43"/>
      <c r="N20" s="43">
        <f t="shared" si="2"/>
        <v>21623.58</v>
      </c>
      <c r="O20" s="43">
        <f t="shared" si="3"/>
        <v>1517.6</v>
      </c>
      <c r="P20" s="42">
        <v>11900</v>
      </c>
      <c r="Q20" s="42">
        <v>20</v>
      </c>
      <c r="R20" s="42">
        <f t="shared" si="4"/>
        <v>432471.60000000003</v>
      </c>
      <c r="S20" s="62">
        <v>6</v>
      </c>
      <c r="T20" s="62"/>
      <c r="U20" s="62"/>
      <c r="V20" s="62"/>
      <c r="W20" s="62"/>
    </row>
    <row r="21" spans="1:23">
      <c r="A21" s="374"/>
      <c r="B21" s="42" t="s">
        <v>632</v>
      </c>
      <c r="C21" s="42" t="s">
        <v>88</v>
      </c>
      <c r="D21" s="42" t="s">
        <v>16</v>
      </c>
      <c r="E21" s="42" t="s">
        <v>2920</v>
      </c>
      <c r="F21" s="42">
        <v>2651</v>
      </c>
      <c r="G21" s="45">
        <v>24475</v>
      </c>
      <c r="H21" s="42">
        <v>24430</v>
      </c>
      <c r="I21" s="42">
        <v>489</v>
      </c>
      <c r="J21" s="42">
        <v>0.13</v>
      </c>
      <c r="K21" s="43">
        <f t="shared" si="0"/>
        <v>63.57</v>
      </c>
      <c r="L21" s="43">
        <f t="shared" si="1"/>
        <v>24366.43</v>
      </c>
      <c r="M21" s="43"/>
      <c r="N21" s="43">
        <f t="shared" si="2"/>
        <v>24366.43</v>
      </c>
      <c r="O21" s="43">
        <f t="shared" si="3"/>
        <v>1710.1</v>
      </c>
      <c r="P21" s="42">
        <v>13400</v>
      </c>
      <c r="Q21" s="42">
        <v>20</v>
      </c>
      <c r="R21" s="42">
        <f t="shared" si="4"/>
        <v>487328.6</v>
      </c>
      <c r="S21" s="62">
        <v>7</v>
      </c>
      <c r="T21" s="62"/>
      <c r="U21" s="62"/>
      <c r="V21" s="62"/>
      <c r="W21" s="62"/>
    </row>
    <row r="22" spans="1:23">
      <c r="A22" s="374"/>
      <c r="B22" s="42" t="s">
        <v>632</v>
      </c>
      <c r="C22" s="42" t="s">
        <v>88</v>
      </c>
      <c r="D22" s="42" t="s">
        <v>16</v>
      </c>
      <c r="E22" s="42" t="s">
        <v>2921</v>
      </c>
      <c r="F22" s="42">
        <v>2655</v>
      </c>
      <c r="G22" s="45">
        <v>19985</v>
      </c>
      <c r="H22" s="103">
        <v>6750</v>
      </c>
      <c r="I22" s="42">
        <f>H22/50</f>
        <v>135</v>
      </c>
      <c r="J22" s="42">
        <v>0.13</v>
      </c>
      <c r="K22" s="43">
        <f t="shared" si="0"/>
        <v>17.55</v>
      </c>
      <c r="L22" s="43">
        <f t="shared" si="1"/>
        <v>6732.45</v>
      </c>
      <c r="M22" s="43"/>
      <c r="N22" s="43">
        <f t="shared" si="2"/>
        <v>6732.45</v>
      </c>
      <c r="O22" s="43">
        <f t="shared" si="3"/>
        <v>472.5</v>
      </c>
      <c r="P22" s="42">
        <v>3700</v>
      </c>
      <c r="Q22" s="42">
        <v>20</v>
      </c>
      <c r="R22" s="42">
        <f t="shared" si="4"/>
        <v>134649</v>
      </c>
      <c r="S22" s="62">
        <v>8</v>
      </c>
      <c r="T22" s="62"/>
      <c r="U22" s="62"/>
      <c r="V22" s="62"/>
      <c r="W22" s="62"/>
    </row>
    <row r="23" spans="1:23">
      <c r="A23" s="374"/>
      <c r="B23" s="42" t="s">
        <v>632</v>
      </c>
      <c r="C23" s="42" t="s">
        <v>88</v>
      </c>
      <c r="D23" s="42" t="s">
        <v>16</v>
      </c>
      <c r="E23" s="42" t="s">
        <v>2922</v>
      </c>
      <c r="F23" s="42">
        <v>2664</v>
      </c>
      <c r="G23" s="45">
        <v>24705</v>
      </c>
      <c r="H23" s="42">
        <v>24660</v>
      </c>
      <c r="I23" s="42">
        <v>493</v>
      </c>
      <c r="J23" s="42">
        <v>0.13</v>
      </c>
      <c r="K23" s="43">
        <f t="shared" si="0"/>
        <v>64.09</v>
      </c>
      <c r="L23" s="43">
        <f t="shared" si="1"/>
        <v>24595.91</v>
      </c>
      <c r="M23" s="43"/>
      <c r="N23" s="43">
        <f t="shared" si="2"/>
        <v>24595.91</v>
      </c>
      <c r="O23" s="43">
        <f t="shared" si="3"/>
        <v>1726.2</v>
      </c>
      <c r="P23" s="42">
        <v>13550</v>
      </c>
      <c r="Q23" s="42">
        <v>20</v>
      </c>
      <c r="R23" s="42">
        <f t="shared" si="4"/>
        <v>491918.2</v>
      </c>
      <c r="S23" s="62">
        <v>9</v>
      </c>
      <c r="T23" s="62"/>
      <c r="U23" s="62"/>
      <c r="V23" s="62"/>
      <c r="W23" s="62"/>
    </row>
    <row r="24" spans="1:23">
      <c r="A24" s="374"/>
      <c r="B24" s="42" t="s">
        <v>632</v>
      </c>
      <c r="C24" s="42" t="s">
        <v>88</v>
      </c>
      <c r="D24" s="42" t="s">
        <v>16</v>
      </c>
      <c r="E24" s="42" t="s">
        <v>2923</v>
      </c>
      <c r="F24" s="42">
        <v>2658</v>
      </c>
      <c r="G24" s="45">
        <v>24675</v>
      </c>
      <c r="H24" s="42">
        <v>24600</v>
      </c>
      <c r="I24" s="42">
        <f>H24/50</f>
        <v>492</v>
      </c>
      <c r="J24" s="42">
        <v>0.13</v>
      </c>
      <c r="K24" s="43">
        <f t="shared" si="0"/>
        <v>63.96</v>
      </c>
      <c r="L24" s="43">
        <f t="shared" si="1"/>
        <v>24536.04</v>
      </c>
      <c r="M24" s="43"/>
      <c r="N24" s="43">
        <f t="shared" si="2"/>
        <v>24536.04</v>
      </c>
      <c r="O24" s="43">
        <f t="shared" si="3"/>
        <v>1722</v>
      </c>
      <c r="P24" s="42">
        <v>13000</v>
      </c>
      <c r="Q24" s="42">
        <v>20</v>
      </c>
      <c r="R24" s="42">
        <f t="shared" si="4"/>
        <v>490720.80000000005</v>
      </c>
      <c r="S24" s="62">
        <v>10</v>
      </c>
      <c r="T24" s="62"/>
      <c r="U24" s="62"/>
      <c r="V24" s="62"/>
      <c r="W24" s="62"/>
    </row>
    <row r="25" spans="1:23">
      <c r="A25" s="374" t="s">
        <v>2926</v>
      </c>
      <c r="B25" s="42" t="s">
        <v>632</v>
      </c>
      <c r="C25" s="42" t="s">
        <v>88</v>
      </c>
      <c r="D25" s="42" t="s">
        <v>16</v>
      </c>
      <c r="E25" s="42" t="s">
        <v>2928</v>
      </c>
      <c r="F25" s="42">
        <v>2675</v>
      </c>
      <c r="G25" s="45">
        <v>23835</v>
      </c>
      <c r="H25" s="42">
        <v>23800</v>
      </c>
      <c r="I25" s="42">
        <f>H25/50</f>
        <v>476</v>
      </c>
      <c r="J25" s="42">
        <v>0.13</v>
      </c>
      <c r="K25" s="43">
        <f t="shared" si="0"/>
        <v>61.88</v>
      </c>
      <c r="L25" s="43">
        <f t="shared" si="1"/>
        <v>23738.12</v>
      </c>
      <c r="M25" s="43"/>
      <c r="N25" s="43">
        <f t="shared" si="2"/>
        <v>23738.12</v>
      </c>
      <c r="O25" s="43">
        <f t="shared" si="3"/>
        <v>1666</v>
      </c>
      <c r="P25" s="42">
        <v>12800</v>
      </c>
      <c r="Q25" s="42">
        <v>20</v>
      </c>
      <c r="R25" s="42">
        <f t="shared" si="4"/>
        <v>474762.39999999997</v>
      </c>
      <c r="S25" s="62">
        <v>11</v>
      </c>
      <c r="T25" s="62"/>
      <c r="U25" s="62"/>
      <c r="V25" s="62"/>
      <c r="W25" s="62"/>
    </row>
    <row r="26" spans="1:23">
      <c r="A26" s="374"/>
      <c r="B26" s="42" t="s">
        <v>632</v>
      </c>
      <c r="C26" s="42" t="s">
        <v>88</v>
      </c>
      <c r="D26" s="42" t="s">
        <v>16</v>
      </c>
      <c r="E26" s="42" t="s">
        <v>2929</v>
      </c>
      <c r="F26" s="42">
        <v>2669</v>
      </c>
      <c r="G26" s="45">
        <v>21030</v>
      </c>
      <c r="H26" s="42">
        <v>21030</v>
      </c>
      <c r="I26" s="42">
        <f t="shared" ref="I26:I30" si="5">H26/50</f>
        <v>420.6</v>
      </c>
      <c r="J26" s="42">
        <v>0.13</v>
      </c>
      <c r="K26" s="43">
        <f t="shared" si="0"/>
        <v>54.678000000000004</v>
      </c>
      <c r="L26" s="43">
        <f t="shared" si="1"/>
        <v>20975.322</v>
      </c>
      <c r="M26" s="43"/>
      <c r="N26" s="43">
        <f t="shared" si="2"/>
        <v>20975.322</v>
      </c>
      <c r="O26" s="43">
        <f t="shared" si="3"/>
        <v>1472.1000000000001</v>
      </c>
      <c r="P26" s="42">
        <v>11550</v>
      </c>
      <c r="Q26" s="42">
        <v>20</v>
      </c>
      <c r="R26" s="42">
        <f t="shared" si="4"/>
        <v>419506.44</v>
      </c>
      <c r="S26" s="62">
        <v>12</v>
      </c>
      <c r="T26" s="62"/>
      <c r="U26" s="62"/>
      <c r="V26" s="62"/>
      <c r="W26" s="62"/>
    </row>
    <row r="27" spans="1:23">
      <c r="A27" s="374"/>
      <c r="B27" s="42" t="s">
        <v>632</v>
      </c>
      <c r="C27" s="42" t="s">
        <v>88</v>
      </c>
      <c r="D27" s="42" t="s">
        <v>16</v>
      </c>
      <c r="E27" s="42" t="s">
        <v>2930</v>
      </c>
      <c r="F27" s="42">
        <v>2666</v>
      </c>
      <c r="G27" s="45">
        <v>29230</v>
      </c>
      <c r="H27" s="42">
        <v>29250</v>
      </c>
      <c r="I27" s="42">
        <f t="shared" si="5"/>
        <v>585</v>
      </c>
      <c r="J27" s="42">
        <v>0.13</v>
      </c>
      <c r="K27" s="43">
        <f t="shared" si="0"/>
        <v>76.05</v>
      </c>
      <c r="L27" s="43">
        <f t="shared" si="1"/>
        <v>29173.95</v>
      </c>
      <c r="M27" s="43"/>
      <c r="N27" s="43">
        <f t="shared" si="2"/>
        <v>29173.95</v>
      </c>
      <c r="O27" s="43">
        <f t="shared" si="3"/>
        <v>2047.5</v>
      </c>
      <c r="P27" s="42">
        <v>16000</v>
      </c>
      <c r="Q27" s="42">
        <v>20</v>
      </c>
      <c r="R27" s="42">
        <f t="shared" si="4"/>
        <v>583479</v>
      </c>
      <c r="S27" s="62">
        <v>13</v>
      </c>
      <c r="T27" s="62"/>
      <c r="U27" s="62"/>
      <c r="V27" s="62"/>
      <c r="W27" s="62"/>
    </row>
    <row r="28" spans="1:23">
      <c r="A28" s="374"/>
      <c r="B28" s="42" t="s">
        <v>632</v>
      </c>
      <c r="C28" s="42" t="s">
        <v>88</v>
      </c>
      <c r="D28" s="42" t="s">
        <v>16</v>
      </c>
      <c r="E28" s="42" t="s">
        <v>2931</v>
      </c>
      <c r="F28" s="42">
        <v>2665</v>
      </c>
      <c r="G28" s="45">
        <v>23140</v>
      </c>
      <c r="H28" s="42">
        <v>23140</v>
      </c>
      <c r="I28" s="42">
        <f t="shared" si="5"/>
        <v>462.8</v>
      </c>
      <c r="J28" s="42">
        <v>0.13</v>
      </c>
      <c r="K28" s="43">
        <f t="shared" si="0"/>
        <v>60.164000000000001</v>
      </c>
      <c r="L28" s="43">
        <f t="shared" si="1"/>
        <v>23079.835999999999</v>
      </c>
      <c r="M28" s="43"/>
      <c r="N28" s="43">
        <f t="shared" si="2"/>
        <v>23079.835999999999</v>
      </c>
      <c r="O28" s="43">
        <f t="shared" si="3"/>
        <v>1619.8</v>
      </c>
      <c r="P28" s="42">
        <v>12700</v>
      </c>
      <c r="Q28" s="42">
        <v>20</v>
      </c>
      <c r="R28" s="42">
        <f t="shared" si="4"/>
        <v>461596.72</v>
      </c>
      <c r="S28" s="62">
        <v>14</v>
      </c>
      <c r="T28" s="62"/>
      <c r="U28" s="62"/>
      <c r="V28" s="62"/>
      <c r="W28" s="62"/>
    </row>
    <row r="29" spans="1:23">
      <c r="A29" s="374"/>
      <c r="B29" s="42" t="s">
        <v>632</v>
      </c>
      <c r="C29" s="42" t="s">
        <v>88</v>
      </c>
      <c r="D29" s="42" t="s">
        <v>16</v>
      </c>
      <c r="E29" s="42" t="s">
        <v>2932</v>
      </c>
      <c r="F29" s="42">
        <v>2668</v>
      </c>
      <c r="G29" s="45">
        <v>16455</v>
      </c>
      <c r="H29" s="42">
        <v>16460</v>
      </c>
      <c r="I29" s="42">
        <f t="shared" si="5"/>
        <v>329.2</v>
      </c>
      <c r="J29" s="42">
        <v>0.13</v>
      </c>
      <c r="K29" s="43">
        <f t="shared" si="0"/>
        <v>42.795999999999999</v>
      </c>
      <c r="L29" s="43">
        <f t="shared" si="1"/>
        <v>16417.204000000002</v>
      </c>
      <c r="M29" s="43"/>
      <c r="N29" s="43">
        <f t="shared" si="2"/>
        <v>16417.204000000002</v>
      </c>
      <c r="O29" s="43">
        <f t="shared" si="3"/>
        <v>1152.2</v>
      </c>
      <c r="P29" s="42">
        <v>9000</v>
      </c>
      <c r="Q29" s="42">
        <v>20</v>
      </c>
      <c r="R29" s="42">
        <f t="shared" si="4"/>
        <v>328344.08</v>
      </c>
      <c r="S29" s="62">
        <v>15</v>
      </c>
      <c r="T29" s="62"/>
      <c r="U29" s="62"/>
      <c r="V29" s="62"/>
      <c r="W29" s="62"/>
    </row>
    <row r="30" spans="1:23">
      <c r="A30" s="374"/>
      <c r="B30" s="42" t="s">
        <v>632</v>
      </c>
      <c r="C30" s="42" t="s">
        <v>88</v>
      </c>
      <c r="D30" s="42" t="s">
        <v>16</v>
      </c>
      <c r="E30" s="42" t="s">
        <v>2933</v>
      </c>
      <c r="F30" s="42">
        <v>2674</v>
      </c>
      <c r="G30" s="45">
        <v>34000</v>
      </c>
      <c r="H30" s="42">
        <v>33950</v>
      </c>
      <c r="I30" s="42">
        <f t="shared" si="5"/>
        <v>679</v>
      </c>
      <c r="J30" s="42">
        <v>0.13</v>
      </c>
      <c r="K30" s="43">
        <f t="shared" si="0"/>
        <v>88.27</v>
      </c>
      <c r="L30" s="43">
        <f t="shared" si="1"/>
        <v>33861.730000000003</v>
      </c>
      <c r="M30" s="43"/>
      <c r="N30" s="43">
        <f t="shared" si="2"/>
        <v>33861.730000000003</v>
      </c>
      <c r="O30" s="43">
        <f t="shared" si="3"/>
        <v>2376.5</v>
      </c>
      <c r="P30" s="42">
        <v>18700</v>
      </c>
      <c r="Q30" s="42">
        <v>20</v>
      </c>
      <c r="R30" s="42">
        <f t="shared" si="4"/>
        <v>677234.60000000009</v>
      </c>
      <c r="S30" s="62">
        <v>16</v>
      </c>
      <c r="T30" s="62"/>
      <c r="U30" s="62"/>
      <c r="V30" s="62"/>
      <c r="W30" s="62"/>
    </row>
    <row r="31" spans="1:23">
      <c r="A31" s="374" t="s">
        <v>2934</v>
      </c>
      <c r="B31" s="42" t="s">
        <v>632</v>
      </c>
      <c r="C31" s="42" t="s">
        <v>88</v>
      </c>
      <c r="D31" s="42" t="s">
        <v>16</v>
      </c>
      <c r="E31" s="42" t="s">
        <v>2904</v>
      </c>
      <c r="F31" s="42">
        <v>2911</v>
      </c>
      <c r="G31" s="45">
        <v>24340</v>
      </c>
      <c r="H31" s="42">
        <v>24340</v>
      </c>
      <c r="I31" s="42">
        <v>400</v>
      </c>
      <c r="J31" s="42">
        <v>0.13</v>
      </c>
      <c r="K31" s="43">
        <f t="shared" si="0"/>
        <v>52</v>
      </c>
      <c r="L31" s="43">
        <f t="shared" si="1"/>
        <v>24288</v>
      </c>
      <c r="M31" s="43"/>
      <c r="N31" s="43">
        <f t="shared" si="2"/>
        <v>24288</v>
      </c>
      <c r="O31" s="43">
        <f t="shared" si="3"/>
        <v>1703.8</v>
      </c>
      <c r="P31" s="42">
        <v>14600</v>
      </c>
      <c r="Q31" s="42">
        <v>20</v>
      </c>
      <c r="R31" s="42">
        <f t="shared" si="4"/>
        <v>485760</v>
      </c>
      <c r="S31" s="62">
        <v>17</v>
      </c>
      <c r="T31" s="62"/>
      <c r="U31" s="62"/>
      <c r="V31" s="62"/>
      <c r="W31" s="62"/>
    </row>
    <row r="32" spans="1:23">
      <c r="A32" s="374"/>
      <c r="B32" s="42" t="s">
        <v>632</v>
      </c>
      <c r="C32" s="42" t="s">
        <v>88</v>
      </c>
      <c r="D32" s="42" t="s">
        <v>16</v>
      </c>
      <c r="E32" s="42" t="s">
        <v>2907</v>
      </c>
      <c r="F32" s="42">
        <v>2913</v>
      </c>
      <c r="G32" s="45">
        <v>26720</v>
      </c>
      <c r="H32" s="42">
        <v>26720</v>
      </c>
      <c r="I32" s="42">
        <v>430</v>
      </c>
      <c r="J32" s="42">
        <v>0.13</v>
      </c>
      <c r="K32" s="43">
        <f t="shared" si="0"/>
        <v>55.9</v>
      </c>
      <c r="L32" s="43">
        <f t="shared" si="1"/>
        <v>26664.1</v>
      </c>
      <c r="M32" s="43"/>
      <c r="N32" s="43">
        <f t="shared" si="2"/>
        <v>26664.1</v>
      </c>
      <c r="O32" s="43">
        <f t="shared" si="3"/>
        <v>1870.3999999999999</v>
      </c>
      <c r="P32" s="42">
        <v>16000</v>
      </c>
      <c r="Q32" s="42">
        <v>20</v>
      </c>
      <c r="R32" s="42">
        <f t="shared" si="4"/>
        <v>533282</v>
      </c>
      <c r="S32" s="62">
        <v>18</v>
      </c>
      <c r="T32" s="62"/>
      <c r="U32" s="62"/>
      <c r="V32" s="62"/>
      <c r="W32" s="62"/>
    </row>
    <row r="33" spans="1:23">
      <c r="A33" s="374"/>
      <c r="B33" s="42" t="s">
        <v>632</v>
      </c>
      <c r="C33" s="42" t="s">
        <v>88</v>
      </c>
      <c r="D33" s="42" t="s">
        <v>16</v>
      </c>
      <c r="E33" s="42" t="s">
        <v>2939</v>
      </c>
      <c r="F33" s="42">
        <v>2683</v>
      </c>
      <c r="G33" s="45">
        <v>18795</v>
      </c>
      <c r="H33" s="42">
        <v>18730</v>
      </c>
      <c r="I33" s="42">
        <f>H33/50</f>
        <v>374.6</v>
      </c>
      <c r="J33" s="42">
        <v>0.13</v>
      </c>
      <c r="K33" s="43">
        <f t="shared" si="0"/>
        <v>48.698000000000008</v>
      </c>
      <c r="L33" s="43">
        <f t="shared" si="1"/>
        <v>18681.302</v>
      </c>
      <c r="M33" s="43"/>
      <c r="N33" s="43">
        <f t="shared" si="2"/>
        <v>18681.302</v>
      </c>
      <c r="O33" s="43">
        <f t="shared" si="3"/>
        <v>1311.1000000000001</v>
      </c>
      <c r="P33" s="42">
        <v>10000</v>
      </c>
      <c r="Q33" s="42">
        <v>20</v>
      </c>
      <c r="R33" s="42">
        <f t="shared" si="4"/>
        <v>373626.04</v>
      </c>
      <c r="S33" s="62">
        <v>19</v>
      </c>
      <c r="T33" s="62"/>
      <c r="U33" s="62"/>
      <c r="V33" s="62"/>
      <c r="W33" s="62"/>
    </row>
    <row r="34" spans="1:23">
      <c r="A34" s="374"/>
      <c r="B34" s="42" t="s">
        <v>632</v>
      </c>
      <c r="C34" s="42" t="s">
        <v>88</v>
      </c>
      <c r="D34" s="42" t="s">
        <v>16</v>
      </c>
      <c r="E34" s="42" t="s">
        <v>2940</v>
      </c>
      <c r="F34" s="42">
        <v>2912</v>
      </c>
      <c r="G34" s="45">
        <v>25550</v>
      </c>
      <c r="H34" s="42">
        <v>25550</v>
      </c>
      <c r="I34" s="42">
        <v>420</v>
      </c>
      <c r="J34" s="42">
        <v>0.13</v>
      </c>
      <c r="K34" s="43">
        <f t="shared" si="0"/>
        <v>54.6</v>
      </c>
      <c r="L34" s="43">
        <f t="shared" si="1"/>
        <v>25495.4</v>
      </c>
      <c r="M34" s="43"/>
      <c r="N34" s="43">
        <f t="shared" si="2"/>
        <v>25495.4</v>
      </c>
      <c r="O34" s="43">
        <f t="shared" si="3"/>
        <v>1788.5</v>
      </c>
      <c r="P34" s="42">
        <v>15300</v>
      </c>
      <c r="Q34" s="42">
        <v>20</v>
      </c>
      <c r="R34" s="42">
        <f t="shared" si="4"/>
        <v>509908</v>
      </c>
      <c r="S34" s="62">
        <v>20</v>
      </c>
      <c r="T34" s="62"/>
      <c r="U34" s="62"/>
      <c r="V34" s="62"/>
      <c r="W34" s="62"/>
    </row>
    <row r="35" spans="1:23">
      <c r="A35" s="63"/>
      <c r="B35" s="142"/>
      <c r="C35" s="142"/>
      <c r="D35" s="67"/>
      <c r="E35" s="67"/>
      <c r="F35" s="67"/>
      <c r="G35" s="67"/>
      <c r="H35" s="67"/>
      <c r="I35" s="67"/>
      <c r="J35" s="67"/>
      <c r="K35" s="67"/>
      <c r="L35" s="68"/>
      <c r="M35" s="68"/>
      <c r="N35" s="68"/>
      <c r="O35" s="68"/>
      <c r="P35" s="67"/>
      <c r="Q35" s="67"/>
      <c r="R35" s="67"/>
      <c r="S35" s="62"/>
      <c r="T35" s="62"/>
      <c r="U35" s="62"/>
      <c r="V35" s="62"/>
      <c r="W35" s="62"/>
    </row>
    <row r="36" spans="1:23">
      <c r="A36" s="63" t="s">
        <v>2950</v>
      </c>
      <c r="B36" s="42" t="s">
        <v>632</v>
      </c>
      <c r="C36" s="42" t="s">
        <v>88</v>
      </c>
      <c r="D36" s="42" t="s">
        <v>16</v>
      </c>
      <c r="E36" s="42" t="s">
        <v>2952</v>
      </c>
      <c r="F36" s="42">
        <v>2682</v>
      </c>
      <c r="G36" s="42"/>
      <c r="H36" s="42">
        <v>20750</v>
      </c>
      <c r="I36" s="42">
        <f>H36/50</f>
        <v>415</v>
      </c>
      <c r="J36" s="42">
        <v>0.13</v>
      </c>
      <c r="K36" s="43">
        <f t="shared" ref="K36" si="6">I36*J36</f>
        <v>53.95</v>
      </c>
      <c r="L36" s="43">
        <f t="shared" ref="L36" si="7">H36-K36</f>
        <v>20696.05</v>
      </c>
      <c r="M36" s="43"/>
      <c r="N36" s="43">
        <f t="shared" ref="N36" si="8">L36-M36</f>
        <v>20696.05</v>
      </c>
      <c r="O36" s="43">
        <f t="shared" ref="O36" si="9">H36/1000*70</f>
        <v>1452.5</v>
      </c>
      <c r="P36" s="42">
        <v>0</v>
      </c>
      <c r="Q36" s="42">
        <v>20</v>
      </c>
      <c r="R36" s="42">
        <f t="shared" ref="R36" si="10">L36*Q36</f>
        <v>413921</v>
      </c>
      <c r="S36" s="62"/>
      <c r="T36" s="62"/>
      <c r="U36" s="62"/>
      <c r="V36" s="62"/>
      <c r="W36" s="62"/>
    </row>
    <row r="37" spans="1:23">
      <c r="A37" s="63"/>
      <c r="B37" s="142"/>
      <c r="C37" s="142"/>
      <c r="D37" s="67"/>
      <c r="E37" s="67"/>
      <c r="F37" s="67"/>
      <c r="G37" s="67"/>
      <c r="H37" s="67"/>
      <c r="I37" s="67"/>
      <c r="J37" s="67"/>
      <c r="K37" s="67"/>
      <c r="L37" s="68"/>
      <c r="M37" s="68"/>
      <c r="N37" s="68"/>
      <c r="O37" s="68"/>
      <c r="P37" s="67"/>
      <c r="Q37" s="67"/>
      <c r="R37" s="67"/>
      <c r="S37" s="62"/>
      <c r="T37" s="62"/>
      <c r="U37" s="62"/>
      <c r="V37" s="62"/>
      <c r="W37" s="62"/>
    </row>
    <row r="38" spans="1:23">
      <c r="A38" s="63"/>
      <c r="B38" s="142"/>
      <c r="C38" s="142"/>
      <c r="D38" s="67"/>
      <c r="E38" s="67"/>
      <c r="F38" s="67"/>
      <c r="G38" s="67"/>
      <c r="H38" s="67"/>
      <c r="I38" s="67"/>
      <c r="J38" s="67"/>
      <c r="K38" s="67"/>
      <c r="L38" s="68"/>
      <c r="M38" s="68"/>
      <c r="N38" s="68"/>
      <c r="O38" s="68"/>
      <c r="P38" s="67"/>
      <c r="Q38" s="67"/>
      <c r="R38" s="67"/>
      <c r="S38" s="62"/>
      <c r="T38" s="62"/>
      <c r="U38" s="62"/>
      <c r="V38" s="62"/>
      <c r="W38" s="62"/>
    </row>
    <row r="39" spans="1:23">
      <c r="A39" s="63"/>
      <c r="B39" s="142"/>
      <c r="C39" s="142"/>
      <c r="D39" s="67"/>
      <c r="E39" s="67"/>
      <c r="F39" s="67"/>
      <c r="G39" s="67"/>
      <c r="H39" s="67"/>
      <c r="I39" s="67"/>
      <c r="J39" s="67"/>
      <c r="K39" s="67"/>
      <c r="L39" s="68"/>
      <c r="M39" s="68"/>
      <c r="N39" s="68"/>
      <c r="O39" s="68"/>
      <c r="P39" s="67"/>
      <c r="Q39" s="67"/>
      <c r="R39" s="67"/>
      <c r="S39" s="62"/>
      <c r="T39" s="62"/>
      <c r="U39" s="62"/>
      <c r="V39" s="62"/>
      <c r="W39" s="62"/>
    </row>
    <row r="40" spans="1:23">
      <c r="A40" s="63"/>
      <c r="B40" s="142"/>
      <c r="C40" s="142"/>
      <c r="D40" s="67"/>
      <c r="E40" s="67"/>
      <c r="F40" s="67"/>
      <c r="G40" s="67"/>
      <c r="H40" s="67"/>
      <c r="I40" s="67"/>
      <c r="J40" s="67"/>
      <c r="K40" s="67"/>
      <c r="L40" s="68"/>
      <c r="M40" s="68"/>
      <c r="N40" s="68"/>
      <c r="O40" s="68"/>
      <c r="P40" s="67"/>
      <c r="Q40" s="67"/>
      <c r="R40" s="67"/>
      <c r="S40" s="62"/>
      <c r="T40" s="62"/>
      <c r="U40" s="62"/>
      <c r="V40" s="62"/>
      <c r="W40" s="62"/>
    </row>
    <row r="41" spans="1:23">
      <c r="A41" s="63"/>
      <c r="B41" s="142"/>
      <c r="C41" s="142"/>
      <c r="D41" s="67"/>
      <c r="E41" s="67"/>
      <c r="F41" s="67"/>
      <c r="G41" s="67"/>
      <c r="H41" s="67"/>
      <c r="I41" s="67"/>
      <c r="J41" s="67"/>
      <c r="K41" s="67"/>
      <c r="L41" s="68"/>
      <c r="M41" s="68"/>
      <c r="N41" s="68"/>
      <c r="O41" s="68"/>
      <c r="P41" s="67"/>
      <c r="Q41" s="67"/>
      <c r="R41" s="67"/>
      <c r="S41" s="62"/>
      <c r="T41" s="62"/>
      <c r="U41" s="62"/>
      <c r="V41" s="62"/>
      <c r="W41" s="62"/>
    </row>
    <row r="42" spans="1:23">
      <c r="A42" s="63"/>
      <c r="B42" s="142"/>
      <c r="C42" s="142"/>
      <c r="D42" s="67"/>
      <c r="E42" s="67"/>
      <c r="F42" s="67"/>
      <c r="G42" s="67"/>
      <c r="H42" s="67"/>
      <c r="I42" s="67"/>
      <c r="J42" s="67"/>
      <c r="K42" s="67"/>
      <c r="L42" s="68"/>
      <c r="M42" s="68"/>
      <c r="N42" s="68"/>
      <c r="O42" s="68"/>
      <c r="P42" s="67"/>
      <c r="Q42" s="67"/>
      <c r="R42" s="67"/>
      <c r="S42" s="62"/>
      <c r="T42" s="62"/>
      <c r="U42" s="62"/>
      <c r="V42" s="62"/>
      <c r="W42" s="62"/>
    </row>
    <row r="43" spans="1:23">
      <c r="A43" s="63"/>
      <c r="B43" s="142"/>
      <c r="C43" s="142"/>
      <c r="D43" s="67"/>
      <c r="E43" s="67"/>
      <c r="F43" s="67"/>
      <c r="G43" s="67"/>
      <c r="H43" s="67"/>
      <c r="I43" s="67"/>
      <c r="J43" s="67"/>
      <c r="K43" s="67"/>
      <c r="L43" s="68"/>
      <c r="M43" s="68"/>
      <c r="N43" s="68"/>
      <c r="O43" s="68"/>
      <c r="P43" s="67"/>
      <c r="Q43" s="67"/>
      <c r="R43" s="67"/>
      <c r="S43" s="62"/>
      <c r="T43" s="62"/>
      <c r="U43" s="62"/>
      <c r="V43" s="62"/>
      <c r="W43" s="62"/>
    </row>
    <row r="44" spans="1:23">
      <c r="A44" s="63"/>
      <c r="B44" s="142"/>
      <c r="C44" s="142"/>
      <c r="D44" s="67"/>
      <c r="E44" s="67"/>
      <c r="F44" s="67"/>
      <c r="G44" s="67"/>
      <c r="H44" s="67"/>
      <c r="I44" s="67"/>
      <c r="J44" s="67"/>
      <c r="K44" s="67"/>
      <c r="L44" s="68"/>
      <c r="M44" s="68"/>
      <c r="N44" s="68"/>
      <c r="O44" s="68"/>
      <c r="P44" s="67"/>
      <c r="Q44" s="67"/>
      <c r="R44" s="67"/>
      <c r="S44" s="62"/>
      <c r="T44" s="62"/>
      <c r="U44" s="62"/>
      <c r="V44" s="62"/>
      <c r="W44" s="62"/>
    </row>
    <row r="45" spans="1:23">
      <c r="A45" s="63"/>
      <c r="B45" s="142"/>
      <c r="C45" s="142"/>
      <c r="D45" s="67"/>
      <c r="E45" s="67"/>
      <c r="F45" s="67"/>
      <c r="G45" s="67"/>
      <c r="H45" s="67"/>
      <c r="I45" s="67"/>
      <c r="J45" s="67"/>
      <c r="K45" s="67"/>
      <c r="L45" s="68"/>
      <c r="M45" s="68"/>
      <c r="N45" s="68"/>
      <c r="O45" s="68"/>
      <c r="P45" s="67"/>
      <c r="Q45" s="67"/>
      <c r="R45" s="67"/>
      <c r="S45" s="62"/>
      <c r="T45" s="62"/>
      <c r="U45" s="62"/>
      <c r="V45" s="62"/>
      <c r="W45" s="62"/>
    </row>
    <row r="46" spans="1:23">
      <c r="A46" s="63"/>
      <c r="B46" s="142"/>
      <c r="C46" s="142"/>
      <c r="D46" s="67"/>
      <c r="E46" s="67"/>
      <c r="F46" s="67"/>
      <c r="G46" s="67"/>
      <c r="H46" s="67"/>
      <c r="I46" s="67"/>
      <c r="J46" s="67"/>
      <c r="K46" s="67"/>
      <c r="L46" s="68"/>
      <c r="M46" s="68"/>
      <c r="N46" s="68"/>
      <c r="O46" s="68"/>
      <c r="P46" s="67"/>
      <c r="Q46" s="67"/>
      <c r="R46" s="67"/>
      <c r="S46" s="62"/>
      <c r="T46" s="62"/>
      <c r="U46" s="62"/>
      <c r="V46" s="62"/>
      <c r="W46" s="62"/>
    </row>
    <row r="47" spans="1:23">
      <c r="A47" s="63"/>
      <c r="B47" s="142"/>
      <c r="C47" s="142"/>
      <c r="D47" s="67"/>
      <c r="E47" s="67"/>
      <c r="F47" s="67"/>
      <c r="G47" s="67"/>
      <c r="H47" s="67"/>
      <c r="I47" s="67"/>
      <c r="J47" s="67"/>
      <c r="K47" s="67"/>
      <c r="L47" s="68"/>
      <c r="M47" s="68"/>
      <c r="N47" s="68"/>
      <c r="O47" s="68"/>
      <c r="P47" s="67"/>
      <c r="Q47" s="67"/>
      <c r="R47" s="67"/>
      <c r="S47" s="62"/>
      <c r="T47" s="62"/>
      <c r="U47" s="62"/>
      <c r="V47" s="62"/>
      <c r="W47" s="62"/>
    </row>
    <row r="48" spans="1:23">
      <c r="A48" s="63"/>
      <c r="B48" s="142"/>
      <c r="C48" s="142"/>
      <c r="D48" s="67"/>
      <c r="E48" s="67"/>
      <c r="F48" s="67"/>
      <c r="G48" s="67"/>
      <c r="H48" s="67"/>
      <c r="I48" s="67"/>
      <c r="J48" s="67"/>
      <c r="K48" s="67"/>
      <c r="L48" s="68"/>
      <c r="M48" s="68"/>
      <c r="N48" s="68"/>
      <c r="O48" s="68"/>
      <c r="P48" s="67"/>
      <c r="Q48" s="67"/>
      <c r="R48" s="67"/>
      <c r="S48" s="62"/>
      <c r="T48" s="62"/>
      <c r="U48" s="62"/>
      <c r="V48" s="62"/>
      <c r="W48" s="62"/>
    </row>
    <row r="49" spans="1:23">
      <c r="A49" s="63"/>
      <c r="B49" s="142"/>
      <c r="C49" s="142"/>
      <c r="D49" s="67"/>
      <c r="E49" s="67"/>
      <c r="F49" s="67"/>
      <c r="G49" s="67"/>
      <c r="H49" s="67"/>
      <c r="I49" s="67"/>
      <c r="J49" s="67"/>
      <c r="K49" s="67"/>
      <c r="L49" s="68"/>
      <c r="M49" s="68"/>
      <c r="N49" s="68"/>
      <c r="O49" s="68"/>
      <c r="P49" s="67"/>
      <c r="Q49" s="67"/>
      <c r="R49" s="67"/>
      <c r="S49" s="62"/>
      <c r="T49" s="62"/>
      <c r="U49" s="62"/>
      <c r="V49" s="62"/>
      <c r="W49" s="62"/>
    </row>
    <row r="50" spans="1:23">
      <c r="A50" s="63"/>
      <c r="B50" s="142"/>
      <c r="C50" s="142"/>
      <c r="D50" s="67"/>
      <c r="E50" s="67"/>
      <c r="F50" s="67"/>
      <c r="G50" s="67"/>
      <c r="H50" s="67"/>
      <c r="I50" s="67"/>
      <c r="J50" s="67"/>
      <c r="K50" s="67"/>
      <c r="L50" s="68"/>
      <c r="M50" s="68"/>
      <c r="N50" s="68"/>
      <c r="O50" s="68"/>
      <c r="P50" s="67"/>
      <c r="Q50" s="67"/>
      <c r="R50" s="67"/>
      <c r="S50" s="62"/>
      <c r="T50" s="62"/>
      <c r="U50" s="62"/>
      <c r="V50" s="62"/>
      <c r="W50" s="62"/>
    </row>
    <row r="51" spans="1:23">
      <c r="A51" s="63"/>
      <c r="B51" s="142"/>
      <c r="C51" s="142"/>
      <c r="D51" s="67"/>
      <c r="E51" s="67"/>
      <c r="F51" s="67"/>
      <c r="G51" s="67"/>
      <c r="H51" s="67"/>
      <c r="I51" s="67"/>
      <c r="J51" s="67"/>
      <c r="K51" s="67"/>
      <c r="L51" s="68"/>
      <c r="M51" s="68"/>
      <c r="N51" s="68"/>
      <c r="O51" s="68"/>
      <c r="P51" s="67"/>
      <c r="Q51" s="67"/>
      <c r="R51" s="67"/>
      <c r="S51" s="62"/>
      <c r="T51" s="62"/>
      <c r="U51" s="62"/>
      <c r="V51" s="62"/>
      <c r="W51" s="62"/>
    </row>
    <row r="52" spans="1:23">
      <c r="A52" s="63"/>
      <c r="B52" s="142"/>
      <c r="C52" s="142"/>
      <c r="D52" s="67"/>
      <c r="E52" s="67"/>
      <c r="F52" s="67"/>
      <c r="G52" s="67"/>
      <c r="H52" s="67"/>
      <c r="I52" s="67"/>
      <c r="J52" s="67"/>
      <c r="K52" s="67"/>
      <c r="L52" s="68"/>
      <c r="M52" s="68"/>
      <c r="N52" s="68"/>
      <c r="O52" s="68"/>
      <c r="P52" s="67"/>
      <c r="Q52" s="67"/>
      <c r="R52" s="67"/>
      <c r="S52" s="62"/>
      <c r="T52" s="62"/>
      <c r="U52" s="62"/>
      <c r="V52" s="62"/>
      <c r="W52" s="62"/>
    </row>
    <row r="53" spans="1:23">
      <c r="A53" s="63"/>
      <c r="B53" s="142"/>
      <c r="C53" s="142"/>
      <c r="D53" s="67"/>
      <c r="E53" s="67"/>
      <c r="F53" s="67"/>
      <c r="G53" s="67"/>
      <c r="H53" s="67"/>
      <c r="I53" s="67"/>
      <c r="J53" s="67"/>
      <c r="K53" s="67"/>
      <c r="L53" s="68"/>
      <c r="M53" s="68"/>
      <c r="N53" s="68"/>
      <c r="O53" s="68"/>
      <c r="P53" s="67"/>
      <c r="Q53" s="67"/>
      <c r="R53" s="67"/>
      <c r="S53" s="62"/>
      <c r="T53" s="62"/>
      <c r="U53" s="62"/>
      <c r="V53" s="62"/>
      <c r="W53" s="62"/>
    </row>
    <row r="54" spans="1:23">
      <c r="A54" s="63"/>
      <c r="B54" s="142"/>
      <c r="C54" s="142"/>
      <c r="D54" s="67"/>
      <c r="E54" s="67"/>
      <c r="F54" s="67"/>
      <c r="G54" s="67"/>
      <c r="H54" s="67"/>
      <c r="I54" s="67"/>
      <c r="J54" s="67"/>
      <c r="K54" s="67"/>
      <c r="L54" s="68"/>
      <c r="M54" s="68"/>
      <c r="N54" s="68"/>
      <c r="O54" s="68"/>
      <c r="P54" s="67"/>
      <c r="Q54" s="67"/>
      <c r="R54" s="67"/>
      <c r="S54" s="62"/>
      <c r="T54" s="62"/>
      <c r="U54" s="62"/>
      <c r="V54" s="62"/>
      <c r="W54" s="62"/>
    </row>
    <row r="55" spans="1:23">
      <c r="A55" s="63"/>
      <c r="B55" s="142"/>
      <c r="C55" s="142"/>
      <c r="D55" s="67"/>
      <c r="E55" s="67"/>
      <c r="F55" s="67"/>
      <c r="G55" s="67"/>
      <c r="H55" s="67"/>
      <c r="I55" s="67"/>
      <c r="J55" s="67"/>
      <c r="K55" s="67"/>
      <c r="L55" s="68"/>
      <c r="M55" s="68"/>
      <c r="N55" s="68"/>
      <c r="O55" s="68"/>
      <c r="P55" s="67"/>
      <c r="Q55" s="67"/>
      <c r="R55" s="67"/>
      <c r="S55" s="62"/>
      <c r="T55" s="62"/>
      <c r="U55" s="62"/>
      <c r="V55" s="62"/>
      <c r="W55" s="62"/>
    </row>
    <row r="56" spans="1:23">
      <c r="A56" s="63"/>
      <c r="B56" s="142"/>
      <c r="C56" s="142"/>
      <c r="D56" s="67"/>
      <c r="E56" s="67"/>
      <c r="F56" s="67"/>
      <c r="G56" s="67"/>
      <c r="H56" s="67"/>
      <c r="I56" s="67"/>
      <c r="J56" s="67"/>
      <c r="K56" s="67"/>
      <c r="L56" s="68"/>
      <c r="M56" s="68"/>
      <c r="N56" s="68"/>
      <c r="O56" s="68"/>
      <c r="P56" s="67"/>
      <c r="Q56" s="67"/>
      <c r="R56" s="67"/>
      <c r="S56" s="62"/>
      <c r="T56" s="62"/>
      <c r="U56" s="62"/>
      <c r="V56" s="62"/>
      <c r="W56" s="62"/>
    </row>
    <row r="57" spans="1:23">
      <c r="A57" s="63"/>
      <c r="B57" s="142"/>
      <c r="C57" s="142"/>
      <c r="D57" s="67"/>
      <c r="E57" s="67"/>
      <c r="F57" s="67"/>
      <c r="G57" s="67"/>
      <c r="H57" s="67"/>
      <c r="I57" s="67"/>
      <c r="J57" s="67"/>
      <c r="K57" s="67"/>
      <c r="L57" s="68"/>
      <c r="M57" s="68"/>
      <c r="N57" s="68"/>
      <c r="O57" s="68"/>
      <c r="P57" s="67"/>
      <c r="Q57" s="67"/>
      <c r="R57" s="67"/>
      <c r="S57" s="62"/>
      <c r="T57" s="62"/>
      <c r="U57" s="62"/>
      <c r="V57" s="62"/>
      <c r="W57" s="62"/>
    </row>
    <row r="58" spans="1:23">
      <c r="A58" s="63"/>
      <c r="B58" s="142"/>
      <c r="C58" s="142"/>
      <c r="D58" s="67"/>
      <c r="E58" s="67"/>
      <c r="F58" s="67"/>
      <c r="G58" s="67"/>
      <c r="H58" s="67"/>
      <c r="I58" s="67"/>
      <c r="J58" s="67"/>
      <c r="K58" s="67"/>
      <c r="L58" s="68"/>
      <c r="M58" s="68"/>
      <c r="N58" s="68"/>
      <c r="O58" s="68"/>
      <c r="P58" s="67"/>
      <c r="Q58" s="67"/>
      <c r="R58" s="67"/>
      <c r="S58" s="62"/>
      <c r="T58" s="62"/>
      <c r="U58" s="62"/>
      <c r="V58" s="62"/>
      <c r="W58" s="62"/>
    </row>
    <row r="59" spans="1:23">
      <c r="A59" s="62"/>
      <c r="B59" s="142"/>
      <c r="C59" s="142"/>
      <c r="D59" s="67"/>
      <c r="E59" s="67"/>
      <c r="F59" s="67"/>
      <c r="G59" s="67"/>
      <c r="H59" s="67"/>
      <c r="I59" s="67"/>
      <c r="J59" s="67"/>
      <c r="K59" s="67"/>
      <c r="L59" s="68"/>
      <c r="M59" s="68"/>
      <c r="N59" s="68"/>
      <c r="O59" s="68"/>
      <c r="P59" s="67"/>
      <c r="Q59" s="67"/>
      <c r="R59" s="67"/>
      <c r="S59" s="62"/>
      <c r="T59" s="62"/>
      <c r="U59" s="62"/>
      <c r="V59" s="62"/>
      <c r="W59" s="62"/>
    </row>
    <row r="60" spans="1:23">
      <c r="A60" s="62"/>
      <c r="B60" s="62"/>
      <c r="C60" s="62"/>
      <c r="D60" s="62"/>
      <c r="E60" s="62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</row>
    <row r="61" spans="1:23">
      <c r="A61" s="62"/>
      <c r="B61" s="62"/>
      <c r="C61" s="62"/>
      <c r="D61" s="62"/>
      <c r="E61" s="62"/>
      <c r="F61" s="62"/>
      <c r="G61" s="62"/>
      <c r="H61" s="62"/>
      <c r="I61" s="62"/>
      <c r="J61" s="62"/>
      <c r="K61" s="62"/>
      <c r="L61" s="62"/>
      <c r="M61" s="62"/>
      <c r="N61" s="62"/>
      <c r="O61" s="62"/>
      <c r="P61" s="62"/>
      <c r="Q61" s="62"/>
      <c r="R61" s="62"/>
      <c r="S61" s="62"/>
      <c r="T61" s="62"/>
      <c r="U61" s="62"/>
      <c r="V61" s="62"/>
      <c r="W61" s="62"/>
    </row>
    <row r="62" spans="1:23">
      <c r="A62" s="62"/>
      <c r="B62" s="62"/>
      <c r="C62" s="62"/>
      <c r="D62" s="62"/>
      <c r="E62" s="62"/>
      <c r="F62" s="62"/>
      <c r="G62" s="62"/>
      <c r="H62" s="62"/>
      <c r="I62" s="62"/>
      <c r="J62" s="62"/>
      <c r="K62" s="62"/>
      <c r="L62" s="62"/>
      <c r="M62" s="62"/>
      <c r="N62" s="62"/>
      <c r="O62" s="62"/>
      <c r="P62" s="62"/>
      <c r="Q62" s="62"/>
      <c r="R62" s="62"/>
      <c r="S62" s="62"/>
      <c r="T62" s="62"/>
      <c r="U62" s="62"/>
      <c r="V62" s="62"/>
      <c r="W62" s="62"/>
    </row>
    <row r="63" spans="1:23">
      <c r="A63" s="62"/>
      <c r="B63" s="62"/>
      <c r="C63" s="62"/>
      <c r="D63" s="62"/>
      <c r="E63" s="62"/>
      <c r="F63" s="62"/>
      <c r="G63" s="62"/>
      <c r="H63" s="62"/>
      <c r="I63" s="62"/>
      <c r="J63" s="62"/>
      <c r="K63" s="62"/>
      <c r="L63" s="62"/>
      <c r="M63" s="62"/>
      <c r="N63" s="62"/>
      <c r="O63" s="62"/>
      <c r="P63" s="62"/>
      <c r="Q63" s="62"/>
      <c r="R63" s="62"/>
      <c r="S63" s="62"/>
      <c r="T63" s="62"/>
      <c r="U63" s="62"/>
      <c r="V63" s="62"/>
      <c r="W63" s="62"/>
    </row>
    <row r="64" spans="1:23">
      <c r="A64" s="62"/>
      <c r="B64" s="62"/>
      <c r="C64" s="62"/>
      <c r="D64" s="62"/>
      <c r="E64" s="62"/>
      <c r="F64" s="62"/>
      <c r="G64" s="62"/>
      <c r="H64" s="62"/>
      <c r="I64" s="62"/>
      <c r="J64" s="62"/>
      <c r="K64" s="62"/>
      <c r="L64" s="62"/>
      <c r="M64" s="62"/>
      <c r="N64" s="62"/>
      <c r="O64" s="62"/>
      <c r="P64" s="62"/>
      <c r="Q64" s="62"/>
      <c r="R64" s="62"/>
      <c r="S64" s="62"/>
      <c r="T64" s="62"/>
      <c r="U64" s="62"/>
      <c r="V64" s="62"/>
      <c r="W64" s="62"/>
    </row>
    <row r="86" spans="12:12">
      <c r="L86" s="16">
        <f>SUM(L7:L85)</f>
        <v>481056.52400000003</v>
      </c>
    </row>
  </sheetData>
  <mergeCells count="4">
    <mergeCell ref="A15:A18"/>
    <mergeCell ref="A20:A24"/>
    <mergeCell ref="A31:A34"/>
    <mergeCell ref="A25:A30"/>
  </mergeCells>
  <pageMargins left="0.7" right="0.7" top="0.75" bottom="0.75" header="0.3" footer="0.3"/>
  <pageSetup paperSize="9" orientation="landscape" verticalDpi="0" r:id="rId1"/>
</worksheet>
</file>

<file path=xl/worksheets/sheet46.xml><?xml version="1.0" encoding="utf-8"?>
<worksheet xmlns="http://schemas.openxmlformats.org/spreadsheetml/2006/main" xmlns:r="http://schemas.openxmlformats.org/officeDocument/2006/relationships">
  <dimension ref="A5:T225"/>
  <sheetViews>
    <sheetView topLeftCell="A211" workbookViewId="0">
      <selection activeCell="A212" sqref="A212:S225"/>
    </sheetView>
  </sheetViews>
  <sheetFormatPr defaultRowHeight="14.4"/>
  <cols>
    <col min="1" max="1" width="7.21875" style="1" customWidth="1"/>
    <col min="2" max="2" width="10.21875" style="1" customWidth="1"/>
    <col min="3" max="3" width="8.88671875" style="1"/>
    <col min="4" max="4" width="5.44140625" style="1" customWidth="1"/>
    <col min="5" max="5" width="12" style="1" customWidth="1"/>
    <col min="6" max="6" width="7.33203125" style="1" customWidth="1"/>
    <col min="7" max="7" width="4.6640625" style="1" customWidth="1"/>
    <col min="8" max="8" width="7.21875" style="1" customWidth="1"/>
    <col min="9" max="9" width="7.33203125" style="1" customWidth="1"/>
    <col min="10" max="10" width="6.44140625" style="1" customWidth="1"/>
    <col min="11" max="11" width="6.6640625" style="1" customWidth="1"/>
    <col min="12" max="12" width="6.88671875" style="1" customWidth="1"/>
    <col min="13" max="13" width="5.77734375" style="1" customWidth="1"/>
    <col min="14" max="14" width="8" style="1" customWidth="1"/>
    <col min="15" max="16" width="7" style="1" customWidth="1"/>
    <col min="17" max="17" width="5.77734375" style="1" customWidth="1"/>
    <col min="18" max="16384" width="8.88671875" style="1"/>
  </cols>
  <sheetData>
    <row r="5" spans="1:20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3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3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0">
      <c r="A6" s="6" t="s">
        <v>13</v>
      </c>
      <c r="B6" s="12" t="s">
        <v>19</v>
      </c>
      <c r="C6" s="2" t="s">
        <v>20</v>
      </c>
      <c r="D6" s="2" t="s">
        <v>16</v>
      </c>
      <c r="E6" s="2" t="s">
        <v>39</v>
      </c>
      <c r="F6" s="2">
        <v>4552</v>
      </c>
      <c r="G6" s="2"/>
      <c r="H6" s="2">
        <v>16200</v>
      </c>
      <c r="I6" s="2">
        <v>340</v>
      </c>
      <c r="J6" s="2">
        <v>0.13</v>
      </c>
      <c r="K6" s="2">
        <f t="shared" ref="K6:K65" si="0">I6*J6</f>
        <v>44.2</v>
      </c>
      <c r="L6" s="5">
        <f t="shared" ref="L6:L65" si="1">H6-K6</f>
        <v>16155.8</v>
      </c>
      <c r="M6" s="5">
        <f>H6/1000*70</f>
        <v>1134</v>
      </c>
      <c r="N6" s="2">
        <v>25260</v>
      </c>
      <c r="O6" s="73" t="s">
        <v>407</v>
      </c>
      <c r="P6" s="1">
        <v>10066</v>
      </c>
      <c r="Q6" s="1">
        <v>1</v>
      </c>
    </row>
    <row r="7" spans="1:20">
      <c r="A7" s="6" t="s">
        <v>21</v>
      </c>
      <c r="B7" s="12" t="s">
        <v>19</v>
      </c>
      <c r="C7" s="2" t="s">
        <v>20</v>
      </c>
      <c r="D7" s="2" t="s">
        <v>16</v>
      </c>
      <c r="E7" s="2" t="s">
        <v>41</v>
      </c>
      <c r="F7" s="2">
        <v>4553</v>
      </c>
      <c r="G7" s="2"/>
      <c r="H7" s="2">
        <v>15570</v>
      </c>
      <c r="I7" s="2">
        <v>330</v>
      </c>
      <c r="J7" s="2">
        <v>0.13</v>
      </c>
      <c r="K7" s="2">
        <f t="shared" si="0"/>
        <v>42.9</v>
      </c>
      <c r="L7" s="5">
        <f t="shared" si="1"/>
        <v>15527.1</v>
      </c>
      <c r="M7" s="5">
        <f t="shared" ref="M7:M66" si="2">H7/1000*70</f>
        <v>1089.9000000000001</v>
      </c>
      <c r="N7" s="2">
        <v>24150</v>
      </c>
      <c r="O7" s="73" t="s">
        <v>407</v>
      </c>
      <c r="P7" s="1">
        <v>20291</v>
      </c>
      <c r="Q7" s="1">
        <v>2</v>
      </c>
    </row>
    <row r="8" spans="1:20">
      <c r="A8" s="13" t="s">
        <v>28</v>
      </c>
      <c r="B8" s="12" t="s">
        <v>19</v>
      </c>
      <c r="C8" s="2" t="s">
        <v>20</v>
      </c>
      <c r="D8" s="2" t="s">
        <v>16</v>
      </c>
      <c r="E8" s="2" t="s">
        <v>58</v>
      </c>
      <c r="F8" s="2">
        <v>4551</v>
      </c>
      <c r="G8" s="2"/>
      <c r="H8" s="2">
        <v>17020</v>
      </c>
      <c r="I8" s="2">
        <v>357</v>
      </c>
      <c r="J8" s="2">
        <v>0.13</v>
      </c>
      <c r="K8" s="2">
        <f t="shared" si="0"/>
        <v>46.410000000000004</v>
      </c>
      <c r="L8" s="5">
        <f t="shared" si="1"/>
        <v>16973.59</v>
      </c>
      <c r="M8" s="5">
        <f t="shared" si="2"/>
        <v>1191.3999999999999</v>
      </c>
      <c r="N8" s="2">
        <v>26450</v>
      </c>
      <c r="O8" s="73" t="s">
        <v>407</v>
      </c>
      <c r="P8" s="1">
        <v>10066</v>
      </c>
      <c r="Q8" s="1">
        <v>3</v>
      </c>
    </row>
    <row r="9" spans="1:20">
      <c r="A9" s="375" t="s">
        <v>62</v>
      </c>
      <c r="B9" s="12" t="s">
        <v>19</v>
      </c>
      <c r="C9" s="2" t="s">
        <v>20</v>
      </c>
      <c r="D9" s="2" t="s">
        <v>16</v>
      </c>
      <c r="E9" s="2" t="s">
        <v>63</v>
      </c>
      <c r="F9" s="2">
        <v>4554</v>
      </c>
      <c r="G9" s="2"/>
      <c r="H9" s="2">
        <v>17140</v>
      </c>
      <c r="I9" s="2">
        <v>315</v>
      </c>
      <c r="J9" s="2">
        <v>0.13</v>
      </c>
      <c r="K9" s="2">
        <f t="shared" si="0"/>
        <v>40.950000000000003</v>
      </c>
      <c r="L9" s="5">
        <f t="shared" si="1"/>
        <v>17099.05</v>
      </c>
      <c r="M9" s="5">
        <f t="shared" si="2"/>
        <v>1199.8</v>
      </c>
      <c r="N9" s="2">
        <v>26580</v>
      </c>
      <c r="Q9" s="1">
        <v>4</v>
      </c>
    </row>
    <row r="10" spans="1:20">
      <c r="A10" s="375"/>
      <c r="B10" s="12" t="s">
        <v>19</v>
      </c>
      <c r="C10" s="2" t="s">
        <v>20</v>
      </c>
      <c r="D10" s="2" t="s">
        <v>16</v>
      </c>
      <c r="E10" s="2" t="s">
        <v>64</v>
      </c>
      <c r="F10" s="2">
        <v>4558</v>
      </c>
      <c r="G10" s="2"/>
      <c r="H10" s="2">
        <v>17810</v>
      </c>
      <c r="I10" s="2">
        <v>350</v>
      </c>
      <c r="J10" s="2">
        <v>0.13</v>
      </c>
      <c r="K10" s="2">
        <f t="shared" si="0"/>
        <v>45.5</v>
      </c>
      <c r="L10" s="5">
        <f t="shared" si="1"/>
        <v>17764.5</v>
      </c>
      <c r="M10" s="5">
        <f t="shared" si="2"/>
        <v>1246.6999999999998</v>
      </c>
      <c r="N10" s="2">
        <v>27600</v>
      </c>
      <c r="Q10" s="1">
        <v>5</v>
      </c>
    </row>
    <row r="11" spans="1:20">
      <c r="A11" s="6" t="s">
        <v>65</v>
      </c>
      <c r="B11" s="2" t="s">
        <v>19</v>
      </c>
      <c r="C11" s="2" t="s">
        <v>20</v>
      </c>
      <c r="D11" s="2" t="s">
        <v>16</v>
      </c>
      <c r="E11" s="2" t="s">
        <v>66</v>
      </c>
      <c r="F11" s="2">
        <v>4555</v>
      </c>
      <c r="G11" s="2"/>
      <c r="H11" s="2">
        <v>16820</v>
      </c>
      <c r="I11" s="2">
        <v>340</v>
      </c>
      <c r="J11" s="2">
        <v>0.13</v>
      </c>
      <c r="K11" s="2">
        <f t="shared" si="0"/>
        <v>44.2</v>
      </c>
      <c r="L11" s="5">
        <f t="shared" si="1"/>
        <v>16775.8</v>
      </c>
      <c r="M11" s="5">
        <f t="shared" si="2"/>
        <v>1177.4000000000001</v>
      </c>
      <c r="N11" s="2">
        <v>26110</v>
      </c>
      <c r="Q11" s="1">
        <v>6</v>
      </c>
    </row>
    <row r="12" spans="1:20">
      <c r="A12" s="376" t="s">
        <v>99</v>
      </c>
      <c r="B12" s="2" t="s">
        <v>19</v>
      </c>
      <c r="C12" s="2" t="s">
        <v>20</v>
      </c>
      <c r="D12" s="2" t="s">
        <v>16</v>
      </c>
      <c r="E12" s="2" t="s">
        <v>107</v>
      </c>
      <c r="F12" s="2">
        <v>4564</v>
      </c>
      <c r="G12" s="2"/>
      <c r="H12" s="2">
        <v>16000</v>
      </c>
      <c r="I12" s="2">
        <v>330</v>
      </c>
      <c r="J12" s="2">
        <v>0.13</v>
      </c>
      <c r="K12" s="2">
        <f t="shared" si="0"/>
        <v>42.9</v>
      </c>
      <c r="L12" s="5">
        <f t="shared" si="1"/>
        <v>15957.1</v>
      </c>
      <c r="M12" s="5">
        <f t="shared" si="2"/>
        <v>1120</v>
      </c>
      <c r="N12" s="2">
        <v>26450</v>
      </c>
      <c r="Q12" s="1">
        <v>7</v>
      </c>
    </row>
    <row r="13" spans="1:20">
      <c r="A13" s="376"/>
      <c r="B13" s="2" t="s">
        <v>19</v>
      </c>
      <c r="C13" s="2" t="s">
        <v>20</v>
      </c>
      <c r="D13" s="2" t="s">
        <v>16</v>
      </c>
      <c r="E13" s="2" t="s">
        <v>108</v>
      </c>
      <c r="F13" s="2">
        <v>4562</v>
      </c>
      <c r="G13" s="2"/>
      <c r="H13" s="2">
        <v>18120</v>
      </c>
      <c r="I13" s="2">
        <v>365</v>
      </c>
      <c r="J13" s="2">
        <v>0.13</v>
      </c>
      <c r="K13" s="2">
        <f t="shared" si="0"/>
        <v>47.45</v>
      </c>
      <c r="L13" s="5">
        <f t="shared" si="1"/>
        <v>18072.55</v>
      </c>
      <c r="M13" s="5">
        <f t="shared" si="2"/>
        <v>1268.4000000000001</v>
      </c>
      <c r="N13" s="2">
        <v>29860</v>
      </c>
      <c r="Q13" s="1">
        <v>8</v>
      </c>
    </row>
    <row r="14" spans="1:20">
      <c r="A14" s="376"/>
      <c r="B14" s="2" t="s">
        <v>19</v>
      </c>
      <c r="C14" s="2" t="s">
        <v>20</v>
      </c>
      <c r="D14" s="2" t="s">
        <v>16</v>
      </c>
      <c r="E14" s="2" t="s">
        <v>109</v>
      </c>
      <c r="F14" s="2">
        <v>4566</v>
      </c>
      <c r="G14" s="2"/>
      <c r="H14" s="2">
        <v>10630</v>
      </c>
      <c r="I14" s="2">
        <v>220</v>
      </c>
      <c r="J14" s="2">
        <v>0.13</v>
      </c>
      <c r="K14" s="2">
        <f t="shared" si="0"/>
        <v>28.6</v>
      </c>
      <c r="L14" s="5">
        <f t="shared" si="1"/>
        <v>10601.4</v>
      </c>
      <c r="M14" s="5">
        <f t="shared" si="2"/>
        <v>744.1</v>
      </c>
      <c r="N14" s="2">
        <v>17550</v>
      </c>
      <c r="Q14" s="1">
        <v>9</v>
      </c>
    </row>
    <row r="15" spans="1:20">
      <c r="A15" s="376"/>
      <c r="B15" s="2" t="s">
        <v>19</v>
      </c>
      <c r="C15" s="2" t="s">
        <v>20</v>
      </c>
      <c r="D15" s="2" t="s">
        <v>16</v>
      </c>
      <c r="E15" s="2" t="s">
        <v>63</v>
      </c>
      <c r="F15" s="2">
        <v>4565</v>
      </c>
      <c r="G15" s="2"/>
      <c r="H15" s="2">
        <v>16570</v>
      </c>
      <c r="I15" s="2">
        <v>350</v>
      </c>
      <c r="J15" s="2">
        <v>0.13</v>
      </c>
      <c r="K15" s="2">
        <f t="shared" si="0"/>
        <v>45.5</v>
      </c>
      <c r="L15" s="5">
        <f t="shared" si="1"/>
        <v>16524.5</v>
      </c>
      <c r="M15" s="5">
        <f t="shared" si="2"/>
        <v>1159.9000000000001</v>
      </c>
      <c r="N15" s="2">
        <v>27320</v>
      </c>
      <c r="Q15" s="1">
        <v>10</v>
      </c>
    </row>
    <row r="16" spans="1:20">
      <c r="A16" s="376"/>
      <c r="B16" s="2" t="s">
        <v>19</v>
      </c>
      <c r="C16" s="2" t="s">
        <v>20</v>
      </c>
      <c r="D16" s="2" t="s">
        <v>16</v>
      </c>
      <c r="E16" s="2" t="s">
        <v>110</v>
      </c>
      <c r="F16" s="2">
        <v>4560</v>
      </c>
      <c r="G16" s="2"/>
      <c r="H16" s="2">
        <v>16730</v>
      </c>
      <c r="I16" s="2">
        <v>350</v>
      </c>
      <c r="J16" s="2">
        <v>0.13</v>
      </c>
      <c r="K16" s="2">
        <f t="shared" si="0"/>
        <v>45.5</v>
      </c>
      <c r="L16" s="5">
        <f t="shared" si="1"/>
        <v>16684.5</v>
      </c>
      <c r="M16" s="5">
        <f t="shared" si="2"/>
        <v>1171.1000000000001</v>
      </c>
      <c r="N16" s="2">
        <v>27620</v>
      </c>
      <c r="Q16" s="1">
        <v>11</v>
      </c>
    </row>
    <row r="17" spans="1:17">
      <c r="A17" s="376"/>
      <c r="B17" s="2" t="s">
        <v>19</v>
      </c>
      <c r="C17" s="2" t="s">
        <v>20</v>
      </c>
      <c r="D17" s="2" t="s">
        <v>16</v>
      </c>
      <c r="E17" s="2" t="s">
        <v>111</v>
      </c>
      <c r="F17" s="2">
        <v>4563</v>
      </c>
      <c r="G17" s="2"/>
      <c r="H17" s="2">
        <v>16550</v>
      </c>
      <c r="I17" s="2">
        <v>345</v>
      </c>
      <c r="J17" s="2">
        <v>0.13</v>
      </c>
      <c r="K17" s="2">
        <f t="shared" si="0"/>
        <v>44.85</v>
      </c>
      <c r="L17" s="5">
        <f t="shared" si="1"/>
        <v>16505.150000000001</v>
      </c>
      <c r="M17" s="5">
        <f t="shared" si="2"/>
        <v>1158.5</v>
      </c>
      <c r="N17" s="2">
        <v>27300</v>
      </c>
      <c r="Q17" s="1">
        <v>12</v>
      </c>
    </row>
    <row r="18" spans="1:17">
      <c r="A18" s="375" t="s">
        <v>112</v>
      </c>
      <c r="B18" s="2" t="s">
        <v>19</v>
      </c>
      <c r="C18" s="2" t="s">
        <v>20</v>
      </c>
      <c r="D18" s="2" t="s">
        <v>16</v>
      </c>
      <c r="E18" s="2" t="s">
        <v>66</v>
      </c>
      <c r="F18" s="2">
        <v>4567</v>
      </c>
      <c r="G18" s="2"/>
      <c r="H18" s="2">
        <v>16990</v>
      </c>
      <c r="I18" s="2">
        <v>350</v>
      </c>
      <c r="J18" s="2">
        <v>0.13</v>
      </c>
      <c r="K18" s="2">
        <f t="shared" si="0"/>
        <v>45.5</v>
      </c>
      <c r="L18" s="5">
        <f t="shared" si="1"/>
        <v>16944.5</v>
      </c>
      <c r="M18" s="5">
        <f t="shared" si="2"/>
        <v>1189.3</v>
      </c>
      <c r="N18" s="2">
        <v>28030</v>
      </c>
      <c r="Q18" s="1">
        <v>13</v>
      </c>
    </row>
    <row r="19" spans="1:17">
      <c r="A19" s="375"/>
      <c r="B19" s="2" t="s">
        <v>19</v>
      </c>
      <c r="C19" s="2" t="s">
        <v>20</v>
      </c>
      <c r="D19" s="2" t="s">
        <v>16</v>
      </c>
      <c r="E19" s="2" t="s">
        <v>114</v>
      </c>
      <c r="F19" s="2">
        <v>4568</v>
      </c>
      <c r="G19" s="2"/>
      <c r="H19" s="2">
        <v>17960</v>
      </c>
      <c r="I19" s="2">
        <v>360</v>
      </c>
      <c r="J19" s="2">
        <v>0.13</v>
      </c>
      <c r="K19" s="2">
        <f t="shared" si="0"/>
        <v>46.800000000000004</v>
      </c>
      <c r="L19" s="5">
        <f t="shared" si="1"/>
        <v>17913.2</v>
      </c>
      <c r="M19" s="5">
        <f t="shared" si="2"/>
        <v>1257.2</v>
      </c>
      <c r="N19" s="2">
        <v>29680</v>
      </c>
      <c r="Q19" s="1">
        <v>14</v>
      </c>
    </row>
    <row r="20" spans="1:17">
      <c r="A20" s="375" t="s">
        <v>81</v>
      </c>
      <c r="B20" s="2" t="s">
        <v>19</v>
      </c>
      <c r="C20" s="2" t="s">
        <v>20</v>
      </c>
      <c r="D20" s="2" t="s">
        <v>16</v>
      </c>
      <c r="E20" s="2" t="s">
        <v>121</v>
      </c>
      <c r="F20" s="2">
        <v>4574</v>
      </c>
      <c r="G20" s="2"/>
      <c r="H20" s="2">
        <v>17100</v>
      </c>
      <c r="I20" s="2">
        <v>350</v>
      </c>
      <c r="J20" s="2">
        <v>0.13</v>
      </c>
      <c r="K20" s="2">
        <f t="shared" si="0"/>
        <v>45.5</v>
      </c>
      <c r="L20" s="5">
        <f t="shared" si="1"/>
        <v>17054.5</v>
      </c>
      <c r="M20" s="5">
        <f t="shared" si="2"/>
        <v>1197</v>
      </c>
      <c r="N20" s="2">
        <v>29050</v>
      </c>
      <c r="Q20" s="1">
        <v>15</v>
      </c>
    </row>
    <row r="21" spans="1:17">
      <c r="A21" s="375"/>
      <c r="B21" s="2" t="s">
        <v>19</v>
      </c>
      <c r="C21" s="2" t="s">
        <v>20</v>
      </c>
      <c r="D21" s="2" t="s">
        <v>16</v>
      </c>
      <c r="E21" s="2" t="s">
        <v>122</v>
      </c>
      <c r="F21" s="2">
        <v>4575</v>
      </c>
      <c r="G21" s="2"/>
      <c r="H21" s="2">
        <v>16320</v>
      </c>
      <c r="I21" s="2">
        <v>330</v>
      </c>
      <c r="J21" s="2">
        <v>0.13</v>
      </c>
      <c r="K21" s="2">
        <f t="shared" si="0"/>
        <v>42.9</v>
      </c>
      <c r="L21" s="5">
        <f t="shared" si="1"/>
        <v>16277.1</v>
      </c>
      <c r="M21" s="5">
        <f t="shared" si="2"/>
        <v>1142.4000000000001</v>
      </c>
      <c r="N21" s="2">
        <v>27690</v>
      </c>
      <c r="Q21" s="1">
        <v>16</v>
      </c>
    </row>
    <row r="22" spans="1:17">
      <c r="A22" s="375"/>
      <c r="B22" s="2" t="s">
        <v>19</v>
      </c>
      <c r="C22" s="2" t="s">
        <v>20</v>
      </c>
      <c r="D22" s="2" t="s">
        <v>16</v>
      </c>
      <c r="E22" s="2" t="s">
        <v>123</v>
      </c>
      <c r="F22" s="2">
        <v>4573</v>
      </c>
      <c r="G22" s="2"/>
      <c r="H22" s="2">
        <v>17490</v>
      </c>
      <c r="I22" s="2">
        <v>330</v>
      </c>
      <c r="J22" s="2">
        <v>0.13</v>
      </c>
      <c r="K22" s="2">
        <f t="shared" si="0"/>
        <v>42.9</v>
      </c>
      <c r="L22" s="5">
        <f t="shared" si="1"/>
        <v>17447.099999999999</v>
      </c>
      <c r="M22" s="5">
        <f t="shared" si="2"/>
        <v>1224.3</v>
      </c>
      <c r="N22" s="2">
        <v>29750</v>
      </c>
      <c r="Q22" s="1">
        <v>17</v>
      </c>
    </row>
    <row r="23" spans="1:17">
      <c r="A23" s="375"/>
      <c r="B23" s="2" t="s">
        <v>19</v>
      </c>
      <c r="C23" s="2" t="s">
        <v>20</v>
      </c>
      <c r="D23" s="2" t="s">
        <v>16</v>
      </c>
      <c r="E23" s="2" t="s">
        <v>124</v>
      </c>
      <c r="F23" s="2">
        <v>4581</v>
      </c>
      <c r="G23" s="2"/>
      <c r="H23" s="2">
        <v>15080</v>
      </c>
      <c r="I23" s="2">
        <v>290</v>
      </c>
      <c r="J23" s="2">
        <v>0.13</v>
      </c>
      <c r="K23" s="2">
        <f t="shared" si="0"/>
        <v>37.700000000000003</v>
      </c>
      <c r="L23" s="5">
        <f t="shared" si="1"/>
        <v>15042.3</v>
      </c>
      <c r="M23" s="5">
        <f t="shared" si="2"/>
        <v>1055.5999999999999</v>
      </c>
      <c r="N23" s="2">
        <v>25680</v>
      </c>
      <c r="Q23" s="1">
        <v>18</v>
      </c>
    </row>
    <row r="24" spans="1:17">
      <c r="A24" s="376" t="s">
        <v>129</v>
      </c>
      <c r="B24" s="2" t="s">
        <v>19</v>
      </c>
      <c r="C24" s="2" t="s">
        <v>20</v>
      </c>
      <c r="D24" s="2" t="s">
        <v>16</v>
      </c>
      <c r="E24" s="2" t="s">
        <v>134</v>
      </c>
      <c r="F24" s="2">
        <v>4577</v>
      </c>
      <c r="G24" s="2"/>
      <c r="H24" s="2">
        <v>16670</v>
      </c>
      <c r="I24" s="2">
        <v>330</v>
      </c>
      <c r="J24" s="2">
        <v>0.13</v>
      </c>
      <c r="K24" s="5">
        <f t="shared" si="0"/>
        <v>42.9</v>
      </c>
      <c r="L24" s="5">
        <f t="shared" si="1"/>
        <v>16627.099999999999</v>
      </c>
      <c r="M24" s="5">
        <f t="shared" si="2"/>
        <v>1166.9000000000001</v>
      </c>
      <c r="N24" s="2">
        <v>28390</v>
      </c>
      <c r="Q24" s="1">
        <v>19</v>
      </c>
    </row>
    <row r="25" spans="1:17">
      <c r="A25" s="376"/>
      <c r="B25" s="2" t="s">
        <v>19</v>
      </c>
      <c r="C25" s="2" t="s">
        <v>20</v>
      </c>
      <c r="D25" s="2" t="s">
        <v>16</v>
      </c>
      <c r="E25" s="2" t="s">
        <v>135</v>
      </c>
      <c r="F25" s="2">
        <v>4580</v>
      </c>
      <c r="G25" s="2"/>
      <c r="H25" s="2">
        <v>17430</v>
      </c>
      <c r="I25" s="2">
        <v>322</v>
      </c>
      <c r="J25" s="2">
        <v>0.13</v>
      </c>
      <c r="K25" s="5">
        <f t="shared" si="0"/>
        <v>41.86</v>
      </c>
      <c r="L25" s="5">
        <f t="shared" si="1"/>
        <v>17388.14</v>
      </c>
      <c r="M25" s="5">
        <f t="shared" si="2"/>
        <v>1220.0999999999999</v>
      </c>
      <c r="N25" s="2">
        <v>29630</v>
      </c>
      <c r="Q25" s="1">
        <v>20</v>
      </c>
    </row>
    <row r="26" spans="1:17">
      <c r="A26" s="376"/>
      <c r="B26" s="2" t="s">
        <v>19</v>
      </c>
      <c r="C26" s="2" t="s">
        <v>20</v>
      </c>
      <c r="D26" s="2" t="s">
        <v>16</v>
      </c>
      <c r="E26" s="2" t="s">
        <v>136</v>
      </c>
      <c r="F26" s="2">
        <v>4542</v>
      </c>
      <c r="G26" s="2"/>
      <c r="H26" s="2">
        <v>19760</v>
      </c>
      <c r="I26" s="2">
        <v>380</v>
      </c>
      <c r="J26" s="2">
        <v>0.13</v>
      </c>
      <c r="K26" s="5">
        <f t="shared" si="0"/>
        <v>49.4</v>
      </c>
      <c r="L26" s="5">
        <f t="shared" si="1"/>
        <v>19710.599999999999</v>
      </c>
      <c r="M26" s="5">
        <f t="shared" si="2"/>
        <v>1383.2</v>
      </c>
      <c r="N26" s="2">
        <v>33570</v>
      </c>
      <c r="Q26" s="1">
        <v>21</v>
      </c>
    </row>
    <row r="27" spans="1:17">
      <c r="A27" s="376"/>
      <c r="B27" s="2" t="s">
        <v>19</v>
      </c>
      <c r="C27" s="2" t="s">
        <v>20</v>
      </c>
      <c r="D27" s="2" t="s">
        <v>16</v>
      </c>
      <c r="E27" s="2" t="s">
        <v>137</v>
      </c>
      <c r="F27" s="2">
        <v>4576</v>
      </c>
      <c r="G27" s="2"/>
      <c r="H27" s="2">
        <v>14450</v>
      </c>
      <c r="I27" s="2">
        <v>312</v>
      </c>
      <c r="J27" s="2">
        <v>0.13</v>
      </c>
      <c r="K27" s="5">
        <f t="shared" si="0"/>
        <v>40.56</v>
      </c>
      <c r="L27" s="5">
        <f t="shared" si="1"/>
        <v>14409.44</v>
      </c>
      <c r="M27" s="5">
        <f t="shared" si="2"/>
        <v>1011.5</v>
      </c>
      <c r="N27" s="2">
        <v>24610</v>
      </c>
      <c r="Q27" s="1">
        <v>22</v>
      </c>
    </row>
    <row r="28" spans="1:17">
      <c r="A28" s="386" t="s">
        <v>126</v>
      </c>
      <c r="B28" s="2" t="s">
        <v>146</v>
      </c>
      <c r="C28" s="2" t="s">
        <v>20</v>
      </c>
      <c r="D28" s="2" t="s">
        <v>16</v>
      </c>
      <c r="E28" s="2" t="s">
        <v>147</v>
      </c>
      <c r="F28" s="2">
        <v>4578</v>
      </c>
      <c r="G28" s="2"/>
      <c r="H28" s="2">
        <v>17770</v>
      </c>
      <c r="I28" s="2">
        <v>330</v>
      </c>
      <c r="J28" s="2">
        <v>0.13</v>
      </c>
      <c r="K28" s="5">
        <f t="shared" si="0"/>
        <v>42.9</v>
      </c>
      <c r="L28" s="19">
        <f t="shared" si="1"/>
        <v>17727.099999999999</v>
      </c>
      <c r="M28" s="5">
        <f t="shared" si="2"/>
        <v>1243.8999999999999</v>
      </c>
      <c r="N28" s="2">
        <v>30290</v>
      </c>
      <c r="Q28" s="1">
        <v>23</v>
      </c>
    </row>
    <row r="29" spans="1:17">
      <c r="A29" s="374"/>
      <c r="B29" s="2" t="s">
        <v>146</v>
      </c>
      <c r="C29" s="2" t="s">
        <v>20</v>
      </c>
      <c r="D29" s="2" t="s">
        <v>16</v>
      </c>
      <c r="E29" s="2" t="s">
        <v>148</v>
      </c>
      <c r="F29" s="2">
        <v>4600</v>
      </c>
      <c r="G29" s="2"/>
      <c r="H29" s="2">
        <v>20560</v>
      </c>
      <c r="I29" s="2">
        <v>384</v>
      </c>
      <c r="J29" s="2">
        <v>0.13</v>
      </c>
      <c r="K29" s="5">
        <f t="shared" si="0"/>
        <v>49.92</v>
      </c>
      <c r="L29" s="19">
        <f t="shared" si="1"/>
        <v>20510.080000000002</v>
      </c>
      <c r="M29" s="5">
        <f t="shared" si="2"/>
        <v>1439.1999999999998</v>
      </c>
      <c r="N29" s="2">
        <v>35980</v>
      </c>
      <c r="Q29" s="1">
        <v>24</v>
      </c>
    </row>
    <row r="30" spans="1:17">
      <c r="A30" s="374"/>
      <c r="B30" s="2" t="s">
        <v>146</v>
      </c>
      <c r="C30" s="2" t="s">
        <v>20</v>
      </c>
      <c r="D30" s="2" t="s">
        <v>16</v>
      </c>
      <c r="E30" s="2" t="s">
        <v>149</v>
      </c>
      <c r="F30" s="2">
        <v>2661</v>
      </c>
      <c r="G30" s="2"/>
      <c r="H30" s="2">
        <v>16040</v>
      </c>
      <c r="I30" s="2">
        <v>330</v>
      </c>
      <c r="J30" s="2">
        <v>0.13</v>
      </c>
      <c r="K30" s="5">
        <f t="shared" si="0"/>
        <v>42.9</v>
      </c>
      <c r="L30" s="19">
        <f t="shared" si="1"/>
        <v>15997.1</v>
      </c>
      <c r="M30" s="5">
        <f t="shared" si="2"/>
        <v>1122.8</v>
      </c>
      <c r="N30" s="2">
        <v>28070</v>
      </c>
      <c r="Q30" s="1">
        <v>25</v>
      </c>
    </row>
    <row r="31" spans="1:17">
      <c r="A31" s="387"/>
      <c r="B31" s="2" t="s">
        <v>146</v>
      </c>
      <c r="C31" s="2" t="s">
        <v>20</v>
      </c>
      <c r="D31" s="2" t="s">
        <v>16</v>
      </c>
      <c r="E31" s="2" t="s">
        <v>150</v>
      </c>
      <c r="F31" s="2">
        <v>4583</v>
      </c>
      <c r="G31" s="2"/>
      <c r="H31" s="2">
        <v>16000</v>
      </c>
      <c r="I31" s="2">
        <v>324</v>
      </c>
      <c r="J31" s="2">
        <v>0.13</v>
      </c>
      <c r="K31" s="5">
        <f t="shared" si="0"/>
        <v>42.120000000000005</v>
      </c>
      <c r="L31" s="19">
        <f t="shared" si="1"/>
        <v>15957.88</v>
      </c>
      <c r="M31" s="5">
        <f t="shared" si="2"/>
        <v>1120</v>
      </c>
      <c r="N31" s="2">
        <v>27200</v>
      </c>
      <c r="Q31" s="1">
        <v>26</v>
      </c>
    </row>
    <row r="32" spans="1:17">
      <c r="A32" s="375" t="s">
        <v>151</v>
      </c>
      <c r="B32" s="2" t="s">
        <v>146</v>
      </c>
      <c r="C32" s="2" t="s">
        <v>20</v>
      </c>
      <c r="D32" s="2" t="s">
        <v>16</v>
      </c>
      <c r="E32" s="2" t="s">
        <v>167</v>
      </c>
      <c r="F32" s="2">
        <v>4995</v>
      </c>
      <c r="G32" s="2"/>
      <c r="H32" s="2">
        <v>14770</v>
      </c>
      <c r="I32" s="2">
        <v>300</v>
      </c>
      <c r="J32" s="2">
        <v>0.13</v>
      </c>
      <c r="K32" s="5">
        <f t="shared" si="0"/>
        <v>39</v>
      </c>
      <c r="L32" s="19">
        <f t="shared" si="1"/>
        <v>14731</v>
      </c>
      <c r="M32" s="5">
        <f t="shared" si="2"/>
        <v>1033.8999999999999</v>
      </c>
      <c r="N32" s="2">
        <v>25840</v>
      </c>
      <c r="Q32" s="1">
        <v>27</v>
      </c>
    </row>
    <row r="33" spans="1:17">
      <c r="A33" s="375"/>
      <c r="B33" s="2" t="s">
        <v>146</v>
      </c>
      <c r="C33" s="2" t="s">
        <v>20</v>
      </c>
      <c r="D33" s="2" t="s">
        <v>16</v>
      </c>
      <c r="E33" s="2" t="s">
        <v>168</v>
      </c>
      <c r="F33" s="2">
        <v>4585</v>
      </c>
      <c r="G33" s="2"/>
      <c r="H33" s="2">
        <v>16600</v>
      </c>
      <c r="I33" s="2">
        <v>336</v>
      </c>
      <c r="J33" s="2">
        <v>0.13</v>
      </c>
      <c r="K33" s="5">
        <f t="shared" si="0"/>
        <v>43.68</v>
      </c>
      <c r="L33" s="19">
        <f t="shared" si="1"/>
        <v>16556.32</v>
      </c>
      <c r="M33" s="5">
        <f t="shared" si="2"/>
        <v>1162</v>
      </c>
      <c r="N33" s="2">
        <v>29240</v>
      </c>
      <c r="Q33" s="1">
        <v>28</v>
      </c>
    </row>
    <row r="34" spans="1:17">
      <c r="A34" s="375"/>
      <c r="B34" s="2" t="s">
        <v>146</v>
      </c>
      <c r="C34" s="2" t="s">
        <v>20</v>
      </c>
      <c r="D34" s="2" t="s">
        <v>16</v>
      </c>
      <c r="E34" s="2" t="s">
        <v>169</v>
      </c>
      <c r="F34" s="2">
        <v>4584</v>
      </c>
      <c r="G34" s="2"/>
      <c r="H34" s="2">
        <v>16540</v>
      </c>
      <c r="I34" s="2">
        <v>335</v>
      </c>
      <c r="J34" s="2">
        <v>0.13</v>
      </c>
      <c r="K34" s="5">
        <f t="shared" si="0"/>
        <v>43.550000000000004</v>
      </c>
      <c r="L34" s="19">
        <f t="shared" si="1"/>
        <v>16496.45</v>
      </c>
      <c r="M34" s="5">
        <f t="shared" si="2"/>
        <v>1157.8</v>
      </c>
      <c r="N34" s="2">
        <v>29100</v>
      </c>
      <c r="Q34" s="1">
        <v>29</v>
      </c>
    </row>
    <row r="35" spans="1:17">
      <c r="A35" s="375"/>
      <c r="B35" s="2" t="s">
        <v>146</v>
      </c>
      <c r="C35" s="2" t="s">
        <v>20</v>
      </c>
      <c r="D35" s="2" t="s">
        <v>16</v>
      </c>
      <c r="E35" s="2" t="s">
        <v>170</v>
      </c>
      <c r="F35" s="2">
        <v>2665</v>
      </c>
      <c r="G35" s="2"/>
      <c r="H35" s="2">
        <v>17320</v>
      </c>
      <c r="I35" s="2">
        <v>342</v>
      </c>
      <c r="J35" s="2">
        <v>0.13</v>
      </c>
      <c r="K35" s="5">
        <f t="shared" si="0"/>
        <v>44.46</v>
      </c>
      <c r="L35" s="19">
        <f t="shared" si="1"/>
        <v>17275.54</v>
      </c>
      <c r="M35" s="5">
        <f t="shared" si="2"/>
        <v>1212.4000000000001</v>
      </c>
      <c r="N35" s="2">
        <v>30320</v>
      </c>
      <c r="Q35" s="1">
        <v>30</v>
      </c>
    </row>
    <row r="36" spans="1:17">
      <c r="A36" s="375"/>
      <c r="B36" s="2" t="s">
        <v>146</v>
      </c>
      <c r="C36" s="2" t="s">
        <v>20</v>
      </c>
      <c r="D36" s="2" t="s">
        <v>16</v>
      </c>
      <c r="E36" s="2" t="s">
        <v>171</v>
      </c>
      <c r="F36" s="2">
        <v>4588</v>
      </c>
      <c r="G36" s="2"/>
      <c r="H36" s="2">
        <v>17680</v>
      </c>
      <c r="I36" s="2">
        <v>345</v>
      </c>
      <c r="J36" s="2">
        <v>0.13</v>
      </c>
      <c r="K36" s="5">
        <f t="shared" si="0"/>
        <v>44.85</v>
      </c>
      <c r="L36" s="19">
        <f t="shared" si="1"/>
        <v>17635.150000000001</v>
      </c>
      <c r="M36" s="5">
        <f t="shared" si="2"/>
        <v>1237.5999999999999</v>
      </c>
      <c r="N36" s="2">
        <v>31010</v>
      </c>
      <c r="O36" s="73" t="s">
        <v>407</v>
      </c>
      <c r="P36" s="1">
        <v>20686</v>
      </c>
      <c r="Q36" s="1">
        <v>31</v>
      </c>
    </row>
    <row r="37" spans="1:17">
      <c r="A37" s="375"/>
      <c r="B37" s="2" t="s">
        <v>146</v>
      </c>
      <c r="C37" s="2" t="s">
        <v>20</v>
      </c>
      <c r="D37" s="2" t="s">
        <v>16</v>
      </c>
      <c r="E37" s="2" t="s">
        <v>172</v>
      </c>
      <c r="F37" s="2">
        <v>2662</v>
      </c>
      <c r="G37" s="2"/>
      <c r="H37" s="2">
        <v>14880</v>
      </c>
      <c r="I37" s="2">
        <v>315</v>
      </c>
      <c r="J37" s="2">
        <v>0.13</v>
      </c>
      <c r="K37" s="5">
        <f t="shared" si="0"/>
        <v>40.950000000000003</v>
      </c>
      <c r="L37" s="19">
        <f t="shared" si="1"/>
        <v>14839.05</v>
      </c>
      <c r="M37" s="5">
        <f t="shared" si="2"/>
        <v>1041.6000000000001</v>
      </c>
      <c r="N37" s="2">
        <v>26040</v>
      </c>
      <c r="Q37" s="1">
        <v>32</v>
      </c>
    </row>
    <row r="38" spans="1:17">
      <c r="A38" s="375"/>
      <c r="B38" s="2" t="s">
        <v>146</v>
      </c>
      <c r="C38" s="2" t="s">
        <v>20</v>
      </c>
      <c r="D38" s="2" t="s">
        <v>16</v>
      </c>
      <c r="E38" s="2" t="s">
        <v>173</v>
      </c>
      <c r="F38" s="2">
        <v>4589</v>
      </c>
      <c r="G38" s="2"/>
      <c r="H38" s="2">
        <v>17050</v>
      </c>
      <c r="I38" s="2">
        <v>320</v>
      </c>
      <c r="J38" s="2">
        <v>0.13</v>
      </c>
      <c r="K38" s="5">
        <f t="shared" si="0"/>
        <v>41.6</v>
      </c>
      <c r="L38" s="19">
        <f t="shared" si="1"/>
        <v>17008.400000000001</v>
      </c>
      <c r="M38" s="5">
        <f t="shared" si="2"/>
        <v>1193.5</v>
      </c>
      <c r="N38" s="2">
        <v>29990</v>
      </c>
      <c r="O38" s="73" t="s">
        <v>407</v>
      </c>
      <c r="P38" s="1">
        <v>20686</v>
      </c>
      <c r="Q38" s="1">
        <v>33</v>
      </c>
    </row>
    <row r="39" spans="1:17">
      <c r="A39" s="375"/>
      <c r="B39" s="2" t="s">
        <v>146</v>
      </c>
      <c r="C39" s="2" t="s">
        <v>20</v>
      </c>
      <c r="D39" s="2" t="s">
        <v>16</v>
      </c>
      <c r="E39" s="2" t="s">
        <v>174</v>
      </c>
      <c r="F39" s="2">
        <v>4599</v>
      </c>
      <c r="G39" s="2"/>
      <c r="H39" s="2">
        <v>17160</v>
      </c>
      <c r="I39" s="2">
        <v>360</v>
      </c>
      <c r="J39" s="2">
        <v>0.13</v>
      </c>
      <c r="K39" s="5">
        <f t="shared" si="0"/>
        <v>46.800000000000004</v>
      </c>
      <c r="L39" s="19">
        <f t="shared" si="1"/>
        <v>17113.2</v>
      </c>
      <c r="M39" s="5">
        <f t="shared" si="2"/>
        <v>1201.2</v>
      </c>
      <c r="N39" s="2">
        <v>30030</v>
      </c>
      <c r="Q39" s="1">
        <v>34</v>
      </c>
    </row>
    <row r="40" spans="1:17">
      <c r="A40" s="375"/>
      <c r="B40" s="2" t="s">
        <v>146</v>
      </c>
      <c r="C40" s="2" t="s">
        <v>20</v>
      </c>
      <c r="D40" s="2" t="s">
        <v>16</v>
      </c>
      <c r="E40" s="2" t="s">
        <v>175</v>
      </c>
      <c r="F40" s="2">
        <v>4592</v>
      </c>
      <c r="G40" s="2"/>
      <c r="H40" s="2">
        <v>15680</v>
      </c>
      <c r="I40" s="2">
        <v>330</v>
      </c>
      <c r="J40" s="2">
        <v>0.13</v>
      </c>
      <c r="K40" s="5">
        <f t="shared" si="0"/>
        <v>42.9</v>
      </c>
      <c r="L40" s="19">
        <f t="shared" si="1"/>
        <v>15637.1</v>
      </c>
      <c r="M40" s="5">
        <f t="shared" si="2"/>
        <v>1097.5999999999999</v>
      </c>
      <c r="N40" s="2">
        <v>27470</v>
      </c>
      <c r="Q40" s="1">
        <v>35</v>
      </c>
    </row>
    <row r="41" spans="1:17">
      <c r="A41" s="375"/>
      <c r="B41" s="2" t="s">
        <v>146</v>
      </c>
      <c r="C41" s="2" t="s">
        <v>20</v>
      </c>
      <c r="D41" s="2" t="s">
        <v>16</v>
      </c>
      <c r="E41" s="2" t="s">
        <v>176</v>
      </c>
      <c r="F41" s="2">
        <v>4589</v>
      </c>
      <c r="G41" s="2"/>
      <c r="H41" s="2">
        <v>17890</v>
      </c>
      <c r="I41" s="2">
        <v>375</v>
      </c>
      <c r="J41" s="2">
        <v>0.13</v>
      </c>
      <c r="K41" s="5">
        <f t="shared" si="0"/>
        <v>48.75</v>
      </c>
      <c r="L41" s="19">
        <f t="shared" si="1"/>
        <v>17841.25</v>
      </c>
      <c r="M41" s="5">
        <f t="shared" si="2"/>
        <v>1252.3</v>
      </c>
      <c r="N41" s="2">
        <v>31390</v>
      </c>
      <c r="O41" s="73" t="s">
        <v>407</v>
      </c>
      <c r="P41" s="1">
        <v>20686</v>
      </c>
      <c r="Q41" s="1">
        <v>36</v>
      </c>
    </row>
    <row r="42" spans="1:17">
      <c r="A42" s="375" t="s">
        <v>177</v>
      </c>
      <c r="B42" s="2" t="s">
        <v>146</v>
      </c>
      <c r="C42" s="2" t="s">
        <v>20</v>
      </c>
      <c r="D42" s="2" t="s">
        <v>16</v>
      </c>
      <c r="E42" s="2" t="s">
        <v>178</v>
      </c>
      <c r="F42" s="2">
        <v>2673</v>
      </c>
      <c r="G42" s="2"/>
      <c r="H42" s="2">
        <v>17630</v>
      </c>
      <c r="I42" s="2">
        <v>350</v>
      </c>
      <c r="J42" s="2">
        <v>0.13</v>
      </c>
      <c r="K42" s="5">
        <f t="shared" si="0"/>
        <v>45.5</v>
      </c>
      <c r="L42" s="19">
        <f t="shared" si="1"/>
        <v>17584.5</v>
      </c>
      <c r="M42" s="5">
        <f t="shared" si="2"/>
        <v>1234.0999999999999</v>
      </c>
      <c r="N42" s="2">
        <v>30850</v>
      </c>
      <c r="Q42" s="1">
        <v>37</v>
      </c>
    </row>
    <row r="43" spans="1:17">
      <c r="A43" s="375"/>
      <c r="B43" s="2" t="s">
        <v>146</v>
      </c>
      <c r="C43" s="2" t="s">
        <v>20</v>
      </c>
      <c r="D43" s="2" t="s">
        <v>16</v>
      </c>
      <c r="E43" s="2" t="s">
        <v>179</v>
      </c>
      <c r="F43" s="2">
        <v>2667</v>
      </c>
      <c r="G43" s="2"/>
      <c r="H43" s="2">
        <v>17380</v>
      </c>
      <c r="I43" s="2">
        <v>330</v>
      </c>
      <c r="J43" s="2">
        <v>0.13</v>
      </c>
      <c r="K43" s="5">
        <f t="shared" si="0"/>
        <v>42.9</v>
      </c>
      <c r="L43" s="19">
        <f t="shared" si="1"/>
        <v>17337.099999999999</v>
      </c>
      <c r="M43" s="5">
        <f t="shared" si="2"/>
        <v>1216.5999999999999</v>
      </c>
      <c r="N43" s="2">
        <v>30410</v>
      </c>
      <c r="Q43" s="1">
        <v>38</v>
      </c>
    </row>
    <row r="44" spans="1:17">
      <c r="A44" s="375"/>
      <c r="B44" s="2" t="s">
        <v>146</v>
      </c>
      <c r="C44" s="2" t="s">
        <v>20</v>
      </c>
      <c r="D44" s="2" t="s">
        <v>16</v>
      </c>
      <c r="E44" s="2" t="s">
        <v>180</v>
      </c>
      <c r="F44" s="2">
        <v>2678</v>
      </c>
      <c r="G44" s="72" t="s">
        <v>406</v>
      </c>
      <c r="H44" s="2">
        <v>17500</v>
      </c>
      <c r="I44" s="2">
        <v>360</v>
      </c>
      <c r="J44" s="2">
        <v>0.13</v>
      </c>
      <c r="K44" s="5">
        <f t="shared" si="0"/>
        <v>46.800000000000004</v>
      </c>
      <c r="L44" s="19">
        <f t="shared" si="1"/>
        <v>17453.2</v>
      </c>
      <c r="M44" s="5">
        <f t="shared" si="2"/>
        <v>1225</v>
      </c>
      <c r="N44" s="2">
        <v>30620</v>
      </c>
      <c r="P44" s="73" t="s">
        <v>407</v>
      </c>
      <c r="Q44" s="1">
        <v>39</v>
      </c>
    </row>
    <row r="45" spans="1:17">
      <c r="A45" s="375"/>
      <c r="B45" s="2" t="s">
        <v>146</v>
      </c>
      <c r="C45" s="2" t="s">
        <v>20</v>
      </c>
      <c r="D45" s="2" t="s">
        <v>16</v>
      </c>
      <c r="E45" s="2" t="s">
        <v>181</v>
      </c>
      <c r="F45" s="2">
        <v>2670</v>
      </c>
      <c r="G45" s="2"/>
      <c r="H45" s="2">
        <v>17990</v>
      </c>
      <c r="I45" s="2">
        <v>366</v>
      </c>
      <c r="J45" s="2">
        <v>0.13</v>
      </c>
      <c r="K45" s="5">
        <f t="shared" si="0"/>
        <v>47.58</v>
      </c>
      <c r="L45" s="19">
        <f t="shared" si="1"/>
        <v>17942.419999999998</v>
      </c>
      <c r="M45" s="5">
        <f t="shared" si="2"/>
        <v>1259.3</v>
      </c>
      <c r="N45" s="2">
        <v>31500</v>
      </c>
      <c r="Q45" s="1">
        <v>40</v>
      </c>
    </row>
    <row r="46" spans="1:17">
      <c r="A46" s="375"/>
      <c r="B46" s="2" t="s">
        <v>146</v>
      </c>
      <c r="C46" s="2" t="s">
        <v>20</v>
      </c>
      <c r="D46" s="2" t="s">
        <v>16</v>
      </c>
      <c r="E46" s="2" t="s">
        <v>182</v>
      </c>
      <c r="F46" s="2">
        <v>4598</v>
      </c>
      <c r="G46" s="2"/>
      <c r="H46" s="2">
        <v>16270</v>
      </c>
      <c r="I46" s="2">
        <v>340</v>
      </c>
      <c r="J46" s="2">
        <v>0.13</v>
      </c>
      <c r="K46" s="5">
        <f t="shared" si="0"/>
        <v>44.2</v>
      </c>
      <c r="L46" s="19">
        <f t="shared" si="1"/>
        <v>16225.8</v>
      </c>
      <c r="M46" s="5">
        <f t="shared" si="2"/>
        <v>1138.8999999999999</v>
      </c>
      <c r="N46" s="2">
        <v>28680</v>
      </c>
      <c r="Q46" s="1">
        <v>41</v>
      </c>
    </row>
    <row r="47" spans="1:17">
      <c r="A47" s="375"/>
      <c r="B47" s="2" t="s">
        <v>146</v>
      </c>
      <c r="C47" s="2" t="s">
        <v>20</v>
      </c>
      <c r="D47" s="2" t="s">
        <v>16</v>
      </c>
      <c r="E47" s="2" t="s">
        <v>183</v>
      </c>
      <c r="F47" s="2">
        <v>2664</v>
      </c>
      <c r="G47" s="2"/>
      <c r="H47" s="2">
        <v>17090</v>
      </c>
      <c r="I47" s="2">
        <v>349</v>
      </c>
      <c r="J47" s="2">
        <v>0.13</v>
      </c>
      <c r="K47" s="5">
        <f t="shared" si="0"/>
        <v>45.370000000000005</v>
      </c>
      <c r="L47" s="19">
        <f t="shared" si="1"/>
        <v>17044.63</v>
      </c>
      <c r="M47" s="5">
        <f t="shared" si="2"/>
        <v>1196.3</v>
      </c>
      <c r="N47" s="2">
        <v>29900</v>
      </c>
      <c r="Q47" s="1">
        <v>42</v>
      </c>
    </row>
    <row r="48" spans="1:17">
      <c r="A48" s="375"/>
      <c r="B48" s="2" t="s">
        <v>146</v>
      </c>
      <c r="C48" s="2" t="s">
        <v>20</v>
      </c>
      <c r="D48" s="2" t="s">
        <v>16</v>
      </c>
      <c r="E48" s="2" t="s">
        <v>184</v>
      </c>
      <c r="F48" s="2">
        <v>2668</v>
      </c>
      <c r="G48" s="2"/>
      <c r="H48" s="2">
        <v>11090</v>
      </c>
      <c r="I48" s="2">
        <v>230</v>
      </c>
      <c r="J48" s="2">
        <v>0.13</v>
      </c>
      <c r="K48" s="5">
        <f t="shared" si="0"/>
        <v>29.900000000000002</v>
      </c>
      <c r="L48" s="19">
        <f t="shared" si="1"/>
        <v>11060.1</v>
      </c>
      <c r="M48" s="5">
        <f t="shared" si="2"/>
        <v>776.3</v>
      </c>
      <c r="N48" s="2">
        <v>19420</v>
      </c>
      <c r="Q48" s="1">
        <v>43</v>
      </c>
    </row>
    <row r="49" spans="1:17">
      <c r="A49" s="375"/>
      <c r="B49" s="2" t="s">
        <v>146</v>
      </c>
      <c r="C49" s="2" t="s">
        <v>20</v>
      </c>
      <c r="D49" s="2" t="s">
        <v>16</v>
      </c>
      <c r="E49" s="2" t="s">
        <v>185</v>
      </c>
      <c r="F49" s="2">
        <v>4597</v>
      </c>
      <c r="G49" s="2"/>
      <c r="H49" s="2">
        <v>16340</v>
      </c>
      <c r="I49" s="2">
        <v>304</v>
      </c>
      <c r="J49" s="2">
        <v>0.13</v>
      </c>
      <c r="K49" s="5">
        <f t="shared" si="0"/>
        <v>39.520000000000003</v>
      </c>
      <c r="L49" s="19">
        <f t="shared" si="1"/>
        <v>16300.48</v>
      </c>
      <c r="M49" s="5">
        <f t="shared" si="2"/>
        <v>1143.8</v>
      </c>
      <c r="N49" s="2">
        <v>28600</v>
      </c>
      <c r="Q49" s="1">
        <v>44</v>
      </c>
    </row>
    <row r="50" spans="1:17">
      <c r="A50" s="375"/>
      <c r="B50" s="2" t="s">
        <v>146</v>
      </c>
      <c r="C50" s="2" t="s">
        <v>20</v>
      </c>
      <c r="D50" s="2" t="s">
        <v>16</v>
      </c>
      <c r="E50" s="2" t="s">
        <v>186</v>
      </c>
      <c r="F50" s="2">
        <v>4593</v>
      </c>
      <c r="G50" s="2"/>
      <c r="H50" s="2">
        <v>17290</v>
      </c>
      <c r="I50" s="2">
        <v>338</v>
      </c>
      <c r="J50" s="2">
        <v>0.13</v>
      </c>
      <c r="K50" s="5">
        <f t="shared" si="0"/>
        <v>43.940000000000005</v>
      </c>
      <c r="L50" s="19">
        <f t="shared" si="1"/>
        <v>17246.060000000001</v>
      </c>
      <c r="M50" s="5">
        <f t="shared" si="2"/>
        <v>1210.3</v>
      </c>
      <c r="N50" s="2">
        <v>30270</v>
      </c>
      <c r="Q50" s="1">
        <v>45</v>
      </c>
    </row>
    <row r="51" spans="1:17">
      <c r="A51" s="375"/>
      <c r="B51" s="2" t="s">
        <v>146</v>
      </c>
      <c r="C51" s="2" t="s">
        <v>20</v>
      </c>
      <c r="D51" s="2" t="s">
        <v>16</v>
      </c>
      <c r="E51" s="2" t="s">
        <v>187</v>
      </c>
      <c r="F51" s="2">
        <v>4587</v>
      </c>
      <c r="G51" s="2"/>
      <c r="H51" s="2">
        <v>18090</v>
      </c>
      <c r="I51" s="2">
        <v>350</v>
      </c>
      <c r="J51" s="2">
        <v>0.13</v>
      </c>
      <c r="K51" s="5">
        <f t="shared" si="0"/>
        <v>45.5</v>
      </c>
      <c r="L51" s="19">
        <f t="shared" si="1"/>
        <v>18044.5</v>
      </c>
      <c r="M51" s="5">
        <f t="shared" si="2"/>
        <v>1266.3</v>
      </c>
      <c r="N51" s="2">
        <v>31710</v>
      </c>
      <c r="O51" s="73" t="s">
        <v>407</v>
      </c>
      <c r="P51" s="1">
        <v>20686</v>
      </c>
      <c r="Q51" s="1">
        <v>46</v>
      </c>
    </row>
    <row r="52" spans="1:17">
      <c r="A52" s="375"/>
      <c r="B52" s="2" t="s">
        <v>146</v>
      </c>
      <c r="C52" s="2" t="s">
        <v>20</v>
      </c>
      <c r="D52" s="2" t="s">
        <v>16</v>
      </c>
      <c r="E52" s="2" t="s">
        <v>188</v>
      </c>
      <c r="F52" s="2">
        <v>4590</v>
      </c>
      <c r="G52" s="2"/>
      <c r="H52" s="2">
        <v>16560</v>
      </c>
      <c r="I52" s="2">
        <v>335</v>
      </c>
      <c r="J52" s="2">
        <v>0.13</v>
      </c>
      <c r="K52" s="5">
        <f t="shared" si="0"/>
        <v>43.550000000000004</v>
      </c>
      <c r="L52" s="19">
        <f t="shared" si="1"/>
        <v>16516.45</v>
      </c>
      <c r="M52" s="5">
        <f t="shared" si="2"/>
        <v>1159.1999999999998</v>
      </c>
      <c r="N52" s="2">
        <v>28900</v>
      </c>
      <c r="Q52" s="1">
        <v>47</v>
      </c>
    </row>
    <row r="53" spans="1:17">
      <c r="A53" s="375"/>
      <c r="B53" s="2" t="s">
        <v>146</v>
      </c>
      <c r="C53" s="2" t="s">
        <v>20</v>
      </c>
      <c r="D53" s="2" t="s">
        <v>16</v>
      </c>
      <c r="E53" s="2" t="s">
        <v>189</v>
      </c>
      <c r="F53" s="2">
        <v>4594</v>
      </c>
      <c r="G53" s="2"/>
      <c r="H53" s="2">
        <v>17260</v>
      </c>
      <c r="I53" s="2">
        <v>345</v>
      </c>
      <c r="J53" s="2">
        <v>0.13</v>
      </c>
      <c r="K53" s="5">
        <f t="shared" si="0"/>
        <v>44.85</v>
      </c>
      <c r="L53" s="19">
        <f t="shared" si="1"/>
        <v>17215.150000000001</v>
      </c>
      <c r="M53" s="5">
        <f t="shared" si="2"/>
        <v>1208.2</v>
      </c>
      <c r="N53" s="2">
        <v>30200</v>
      </c>
      <c r="Q53" s="1">
        <v>48</v>
      </c>
    </row>
    <row r="54" spans="1:17">
      <c r="A54" s="375"/>
      <c r="B54" s="2" t="s">
        <v>146</v>
      </c>
      <c r="C54" s="2" t="s">
        <v>20</v>
      </c>
      <c r="D54" s="2" t="s">
        <v>16</v>
      </c>
      <c r="E54" s="2" t="s">
        <v>190</v>
      </c>
      <c r="F54" s="2">
        <v>4591</v>
      </c>
      <c r="G54" s="2"/>
      <c r="H54" s="2">
        <v>17920</v>
      </c>
      <c r="I54" s="2">
        <v>360</v>
      </c>
      <c r="J54" s="2">
        <v>0.13</v>
      </c>
      <c r="K54" s="5">
        <f t="shared" si="0"/>
        <v>46.800000000000004</v>
      </c>
      <c r="L54" s="19">
        <f t="shared" si="1"/>
        <v>17873.2</v>
      </c>
      <c r="M54" s="5">
        <f t="shared" si="2"/>
        <v>1254.4000000000001</v>
      </c>
      <c r="N54" s="2">
        <v>31440</v>
      </c>
      <c r="Q54" s="1">
        <v>49</v>
      </c>
    </row>
    <row r="55" spans="1:17">
      <c r="A55" s="375"/>
      <c r="B55" s="2" t="s">
        <v>146</v>
      </c>
      <c r="C55" s="2" t="s">
        <v>20</v>
      </c>
      <c r="D55" s="2" t="s">
        <v>16</v>
      </c>
      <c r="E55" s="2" t="s">
        <v>191</v>
      </c>
      <c r="F55" s="2">
        <v>4596</v>
      </c>
      <c r="G55" s="2"/>
      <c r="H55" s="2">
        <v>15640</v>
      </c>
      <c r="I55" s="2">
        <v>310</v>
      </c>
      <c r="J55" s="2">
        <v>0.13</v>
      </c>
      <c r="K55" s="5">
        <f t="shared" si="0"/>
        <v>40.300000000000004</v>
      </c>
      <c r="L55" s="19">
        <f t="shared" si="1"/>
        <v>15599.7</v>
      </c>
      <c r="M55" s="5">
        <f t="shared" si="2"/>
        <v>1094.8</v>
      </c>
      <c r="N55" s="2">
        <v>27370</v>
      </c>
      <c r="Q55" s="1">
        <v>50</v>
      </c>
    </row>
    <row r="56" spans="1:17">
      <c r="A56" s="375" t="s">
        <v>200</v>
      </c>
      <c r="B56" s="2" t="s">
        <v>146</v>
      </c>
      <c r="C56" s="2" t="s">
        <v>20</v>
      </c>
      <c r="D56" s="2" t="s">
        <v>16</v>
      </c>
      <c r="E56" s="2" t="s">
        <v>201</v>
      </c>
      <c r="F56" s="2">
        <v>2676</v>
      </c>
      <c r="G56" s="2"/>
      <c r="H56" s="2">
        <v>17470</v>
      </c>
      <c r="I56" s="2">
        <v>385</v>
      </c>
      <c r="J56" s="2">
        <v>0.13</v>
      </c>
      <c r="K56" s="5">
        <f t="shared" si="0"/>
        <v>50.050000000000004</v>
      </c>
      <c r="L56" s="19">
        <f t="shared" si="1"/>
        <v>17419.95</v>
      </c>
      <c r="M56" s="5">
        <f t="shared" si="2"/>
        <v>1222.8999999999999</v>
      </c>
      <c r="N56" s="2">
        <v>30590</v>
      </c>
      <c r="Q56" s="1">
        <v>51</v>
      </c>
    </row>
    <row r="57" spans="1:17">
      <c r="A57" s="375"/>
      <c r="B57" s="2" t="s">
        <v>146</v>
      </c>
      <c r="C57" s="2" t="s">
        <v>20</v>
      </c>
      <c r="D57" s="2" t="s">
        <v>16</v>
      </c>
      <c r="E57" s="2" t="s">
        <v>202</v>
      </c>
      <c r="F57" s="2">
        <v>2677</v>
      </c>
      <c r="G57" s="2"/>
      <c r="H57" s="2">
        <v>24050</v>
      </c>
      <c r="I57" s="2">
        <v>525</v>
      </c>
      <c r="J57" s="2">
        <v>0.13</v>
      </c>
      <c r="K57" s="5">
        <f t="shared" si="0"/>
        <v>68.25</v>
      </c>
      <c r="L57" s="19">
        <f t="shared" si="1"/>
        <v>23981.75</v>
      </c>
      <c r="M57" s="5">
        <f t="shared" si="2"/>
        <v>1683.5</v>
      </c>
      <c r="N57" s="2">
        <v>42170</v>
      </c>
      <c r="Q57" s="1">
        <v>52</v>
      </c>
    </row>
    <row r="58" spans="1:17">
      <c r="A58" s="375"/>
      <c r="B58" s="2" t="s">
        <v>146</v>
      </c>
      <c r="C58" s="2" t="s">
        <v>20</v>
      </c>
      <c r="D58" s="2" t="s">
        <v>16</v>
      </c>
      <c r="E58" s="2" t="s">
        <v>203</v>
      </c>
      <c r="F58" s="2">
        <v>2675</v>
      </c>
      <c r="G58" s="2"/>
      <c r="H58" s="2">
        <v>18350</v>
      </c>
      <c r="I58" s="2">
        <v>404</v>
      </c>
      <c r="J58" s="2">
        <v>0.13</v>
      </c>
      <c r="K58" s="5">
        <f t="shared" si="0"/>
        <v>52.52</v>
      </c>
      <c r="L58" s="19">
        <f t="shared" si="1"/>
        <v>18297.48</v>
      </c>
      <c r="M58" s="5">
        <f t="shared" si="2"/>
        <v>1284.5</v>
      </c>
      <c r="N58" s="2">
        <v>32110</v>
      </c>
      <c r="Q58" s="1">
        <v>53</v>
      </c>
    </row>
    <row r="59" spans="1:17">
      <c r="A59" s="375"/>
      <c r="B59" s="2" t="s">
        <v>146</v>
      </c>
      <c r="C59" s="2" t="s">
        <v>20</v>
      </c>
      <c r="D59" s="2" t="s">
        <v>16</v>
      </c>
      <c r="E59" s="2" t="s">
        <v>148</v>
      </c>
      <c r="F59" s="2">
        <v>2</v>
      </c>
      <c r="G59" s="72" t="s">
        <v>406</v>
      </c>
      <c r="H59" s="2">
        <v>19360</v>
      </c>
      <c r="I59" s="2">
        <v>375</v>
      </c>
      <c r="J59" s="2">
        <v>0.13</v>
      </c>
      <c r="K59" s="5">
        <f t="shared" si="0"/>
        <v>48.75</v>
      </c>
      <c r="L59" s="19">
        <f t="shared" si="1"/>
        <v>19311.25</v>
      </c>
      <c r="M59" s="5">
        <f t="shared" si="2"/>
        <v>1355.2</v>
      </c>
      <c r="N59" s="2">
        <v>33900</v>
      </c>
      <c r="P59" s="73" t="s">
        <v>407</v>
      </c>
      <c r="Q59" s="1">
        <v>54</v>
      </c>
    </row>
    <row r="60" spans="1:17">
      <c r="A60" s="375"/>
      <c r="B60" s="2" t="s">
        <v>146</v>
      </c>
      <c r="C60" s="2" t="s">
        <v>20</v>
      </c>
      <c r="D60" s="2" t="s">
        <v>16</v>
      </c>
      <c r="E60" s="2" t="s">
        <v>204</v>
      </c>
      <c r="F60" s="2">
        <v>2660</v>
      </c>
      <c r="G60" s="2"/>
      <c r="H60" s="2">
        <v>37060</v>
      </c>
      <c r="I60" s="2">
        <v>745</v>
      </c>
      <c r="J60" s="2">
        <v>0.13</v>
      </c>
      <c r="K60" s="5">
        <f t="shared" si="0"/>
        <v>96.850000000000009</v>
      </c>
      <c r="L60" s="19">
        <f t="shared" si="1"/>
        <v>36963.15</v>
      </c>
      <c r="M60" s="5">
        <f t="shared" si="2"/>
        <v>2594.2000000000003</v>
      </c>
      <c r="N60" s="2">
        <v>64890</v>
      </c>
      <c r="Q60" s="1">
        <v>55</v>
      </c>
    </row>
    <row r="61" spans="1:17">
      <c r="A61" s="375"/>
      <c r="B61" s="2" t="s">
        <v>146</v>
      </c>
      <c r="C61" s="2" t="s">
        <v>20</v>
      </c>
      <c r="D61" s="2" t="s">
        <v>16</v>
      </c>
      <c r="E61" s="2" t="s">
        <v>205</v>
      </c>
      <c r="F61" s="2">
        <v>2679</v>
      </c>
      <c r="G61" s="72" t="s">
        <v>406</v>
      </c>
      <c r="H61" s="2">
        <v>18240</v>
      </c>
      <c r="I61" s="2">
        <v>355</v>
      </c>
      <c r="J61" s="2">
        <v>0.13</v>
      </c>
      <c r="K61" s="5">
        <f t="shared" si="0"/>
        <v>46.15</v>
      </c>
      <c r="L61" s="19">
        <f t="shared" si="1"/>
        <v>18193.849999999999</v>
      </c>
      <c r="M61" s="5">
        <f t="shared" si="2"/>
        <v>1276.8</v>
      </c>
      <c r="N61" s="2">
        <v>31990</v>
      </c>
      <c r="P61" s="73" t="s">
        <v>407</v>
      </c>
      <c r="Q61" s="1">
        <v>56</v>
      </c>
    </row>
    <row r="62" spans="1:17">
      <c r="A62" s="375"/>
      <c r="B62" s="2" t="s">
        <v>146</v>
      </c>
      <c r="C62" s="2" t="s">
        <v>20</v>
      </c>
      <c r="D62" s="2" t="s">
        <v>16</v>
      </c>
      <c r="E62" s="22" t="s">
        <v>194</v>
      </c>
      <c r="F62" s="22">
        <v>2666</v>
      </c>
      <c r="G62" s="22"/>
      <c r="H62" s="22">
        <v>17880</v>
      </c>
      <c r="I62" s="2">
        <v>372</v>
      </c>
      <c r="J62" s="2">
        <v>0.13</v>
      </c>
      <c r="K62" s="5">
        <f t="shared" si="0"/>
        <v>48.36</v>
      </c>
      <c r="L62" s="19">
        <f t="shared" si="1"/>
        <v>17831.64</v>
      </c>
      <c r="M62" s="5">
        <f t="shared" si="2"/>
        <v>1251.5999999999999</v>
      </c>
      <c r="N62" s="2">
        <v>31320</v>
      </c>
      <c r="Q62" s="1">
        <v>57</v>
      </c>
    </row>
    <row r="63" spans="1:17">
      <c r="A63" s="375"/>
      <c r="B63" s="2" t="s">
        <v>146</v>
      </c>
      <c r="C63" s="2" t="s">
        <v>20</v>
      </c>
      <c r="D63" s="2" t="s">
        <v>16</v>
      </c>
      <c r="E63" s="22" t="s">
        <v>193</v>
      </c>
      <c r="F63" s="22">
        <v>2671</v>
      </c>
      <c r="G63" s="22"/>
      <c r="H63" s="22">
        <v>15670</v>
      </c>
      <c r="I63" s="2">
        <v>322</v>
      </c>
      <c r="J63" s="2">
        <v>0.13</v>
      </c>
      <c r="K63" s="5">
        <f t="shared" si="0"/>
        <v>41.86</v>
      </c>
      <c r="L63" s="19">
        <f t="shared" si="1"/>
        <v>15628.14</v>
      </c>
      <c r="M63" s="5">
        <f t="shared" si="2"/>
        <v>1096.9000000000001</v>
      </c>
      <c r="N63" s="2">
        <v>27560</v>
      </c>
      <c r="Q63" s="1">
        <v>58</v>
      </c>
    </row>
    <row r="64" spans="1:17">
      <c r="A64" s="375"/>
      <c r="B64" s="2" t="s">
        <v>146</v>
      </c>
      <c r="C64" s="2" t="s">
        <v>20</v>
      </c>
      <c r="D64" s="2" t="s">
        <v>16</v>
      </c>
      <c r="E64" s="22" t="s">
        <v>192</v>
      </c>
      <c r="F64" s="22">
        <v>2672</v>
      </c>
      <c r="G64" s="22"/>
      <c r="H64" s="22">
        <v>17250</v>
      </c>
      <c r="I64" s="2">
        <v>334</v>
      </c>
      <c r="J64" s="2">
        <v>0.13</v>
      </c>
      <c r="K64" s="5">
        <f t="shared" si="0"/>
        <v>43.42</v>
      </c>
      <c r="L64" s="19">
        <f t="shared" si="1"/>
        <v>17206.580000000002</v>
      </c>
      <c r="M64" s="5">
        <f t="shared" si="2"/>
        <v>1207.5</v>
      </c>
      <c r="N64" s="2">
        <v>30180</v>
      </c>
      <c r="Q64" s="1">
        <v>59</v>
      </c>
    </row>
    <row r="65" spans="1:17">
      <c r="A65" s="375"/>
      <c r="B65" s="2" t="s">
        <v>146</v>
      </c>
      <c r="C65" s="2" t="s">
        <v>20</v>
      </c>
      <c r="D65" s="2" t="s">
        <v>16</v>
      </c>
      <c r="E65" s="22" t="s">
        <v>206</v>
      </c>
      <c r="F65" s="23">
        <v>2669</v>
      </c>
      <c r="G65" s="24"/>
      <c r="H65" s="23">
        <v>16110</v>
      </c>
      <c r="I65" s="20">
        <v>310</v>
      </c>
      <c r="J65" s="20">
        <v>0.13</v>
      </c>
      <c r="K65" s="5">
        <f t="shared" si="0"/>
        <v>40.300000000000004</v>
      </c>
      <c r="L65" s="19">
        <f t="shared" si="1"/>
        <v>16069.7</v>
      </c>
      <c r="M65" s="5">
        <f t="shared" si="2"/>
        <v>1127.7</v>
      </c>
      <c r="N65" s="20">
        <v>28190</v>
      </c>
      <c r="Q65" s="1">
        <v>60</v>
      </c>
    </row>
    <row r="66" spans="1:17">
      <c r="A66" s="375"/>
      <c r="B66" s="2" t="s">
        <v>146</v>
      </c>
      <c r="C66" s="2" t="s">
        <v>20</v>
      </c>
      <c r="D66" s="2" t="s">
        <v>16</v>
      </c>
      <c r="E66" s="2" t="s">
        <v>207</v>
      </c>
      <c r="F66" s="20">
        <v>2674</v>
      </c>
      <c r="G66" s="20"/>
      <c r="H66" s="20">
        <v>15860</v>
      </c>
      <c r="I66" s="20">
        <v>342</v>
      </c>
      <c r="J66" s="20">
        <v>0.13</v>
      </c>
      <c r="K66" s="5">
        <f t="shared" ref="K66:K88" si="3">I66*J66</f>
        <v>44.46</v>
      </c>
      <c r="L66" s="19">
        <f t="shared" ref="L66:L88" si="4">H66-K66</f>
        <v>15815.54</v>
      </c>
      <c r="M66" s="5">
        <f t="shared" si="2"/>
        <v>1110.2</v>
      </c>
      <c r="N66" s="20">
        <v>27770</v>
      </c>
      <c r="Q66" s="1">
        <v>61</v>
      </c>
    </row>
    <row r="67" spans="1:17">
      <c r="A67" s="375" t="s">
        <v>210</v>
      </c>
      <c r="B67" s="2" t="s">
        <v>19</v>
      </c>
      <c r="C67" s="2" t="s">
        <v>20</v>
      </c>
      <c r="D67" s="2" t="s">
        <v>16</v>
      </c>
      <c r="E67" s="2" t="s">
        <v>217</v>
      </c>
      <c r="F67" s="2">
        <v>2686</v>
      </c>
      <c r="G67" s="2"/>
      <c r="H67" s="2">
        <v>18320</v>
      </c>
      <c r="I67" s="2">
        <v>375</v>
      </c>
      <c r="J67" s="2">
        <v>0.13</v>
      </c>
      <c r="K67" s="5">
        <f t="shared" si="3"/>
        <v>48.75</v>
      </c>
      <c r="L67" s="19">
        <f t="shared" si="4"/>
        <v>18271.25</v>
      </c>
      <c r="M67" s="5">
        <f t="shared" ref="M67:M88" si="5">H67/1000*70</f>
        <v>1282.4000000000001</v>
      </c>
      <c r="N67" s="2">
        <v>32060</v>
      </c>
      <c r="Q67" s="1">
        <v>62</v>
      </c>
    </row>
    <row r="68" spans="1:17">
      <c r="A68" s="375"/>
      <c r="B68" s="2" t="s">
        <v>19</v>
      </c>
      <c r="C68" s="2" t="s">
        <v>20</v>
      </c>
      <c r="D68" s="2" t="s">
        <v>16</v>
      </c>
      <c r="E68" s="2" t="s">
        <v>218</v>
      </c>
      <c r="F68" s="2">
        <v>2634</v>
      </c>
      <c r="G68" s="2"/>
      <c r="H68" s="2">
        <v>17550</v>
      </c>
      <c r="I68" s="2">
        <v>370</v>
      </c>
      <c r="J68" s="2">
        <v>0.13</v>
      </c>
      <c r="K68" s="5">
        <f t="shared" si="3"/>
        <v>48.1</v>
      </c>
      <c r="L68" s="19">
        <f t="shared" si="4"/>
        <v>17501.900000000001</v>
      </c>
      <c r="M68" s="5">
        <f t="shared" si="5"/>
        <v>1228.5</v>
      </c>
      <c r="N68" s="2">
        <v>30710</v>
      </c>
      <c r="Q68" s="1">
        <v>63</v>
      </c>
    </row>
    <row r="69" spans="1:17">
      <c r="A69" s="375"/>
      <c r="B69" s="2" t="s">
        <v>19</v>
      </c>
      <c r="C69" s="2" t="s">
        <v>20</v>
      </c>
      <c r="D69" s="2" t="s">
        <v>16</v>
      </c>
      <c r="E69" s="2" t="s">
        <v>219</v>
      </c>
      <c r="F69" s="2">
        <v>2638</v>
      </c>
      <c r="G69" s="2"/>
      <c r="H69" s="2">
        <v>17210</v>
      </c>
      <c r="I69" s="2">
        <v>350</v>
      </c>
      <c r="J69" s="2">
        <v>0.13</v>
      </c>
      <c r="K69" s="5">
        <f t="shared" si="3"/>
        <v>45.5</v>
      </c>
      <c r="L69" s="19">
        <f t="shared" si="4"/>
        <v>17164.5</v>
      </c>
      <c r="M69" s="5">
        <f t="shared" si="5"/>
        <v>1204.7</v>
      </c>
      <c r="N69" s="2">
        <v>30110</v>
      </c>
      <c r="Q69" s="1">
        <v>64</v>
      </c>
    </row>
    <row r="70" spans="1:17">
      <c r="A70" s="375"/>
      <c r="B70" s="2" t="s">
        <v>19</v>
      </c>
      <c r="C70" s="2" t="s">
        <v>20</v>
      </c>
      <c r="D70" s="2" t="s">
        <v>16</v>
      </c>
      <c r="E70" s="2" t="s">
        <v>220</v>
      </c>
      <c r="F70" s="2">
        <v>2682</v>
      </c>
      <c r="G70" s="2"/>
      <c r="H70" s="2">
        <v>17200</v>
      </c>
      <c r="I70" s="2">
        <v>345</v>
      </c>
      <c r="J70" s="2">
        <v>0.13</v>
      </c>
      <c r="K70" s="5">
        <f t="shared" si="3"/>
        <v>44.85</v>
      </c>
      <c r="L70" s="19">
        <f t="shared" si="4"/>
        <v>17155.150000000001</v>
      </c>
      <c r="M70" s="5">
        <f t="shared" si="5"/>
        <v>1204</v>
      </c>
      <c r="N70" s="2">
        <v>30100</v>
      </c>
      <c r="Q70" s="1">
        <v>65</v>
      </c>
    </row>
    <row r="71" spans="1:17">
      <c r="A71" s="375"/>
      <c r="B71" s="2" t="s">
        <v>19</v>
      </c>
      <c r="C71" s="2" t="s">
        <v>20</v>
      </c>
      <c r="D71" s="2" t="s">
        <v>16</v>
      </c>
      <c r="E71" s="2" t="s">
        <v>221</v>
      </c>
      <c r="F71" s="2">
        <v>2687</v>
      </c>
      <c r="G71" s="2"/>
      <c r="H71" s="2">
        <v>17170</v>
      </c>
      <c r="I71" s="2">
        <v>340</v>
      </c>
      <c r="J71" s="2">
        <v>0.13</v>
      </c>
      <c r="K71" s="5">
        <f t="shared" si="3"/>
        <v>44.2</v>
      </c>
      <c r="L71" s="19">
        <f t="shared" si="4"/>
        <v>17125.8</v>
      </c>
      <c r="M71" s="5">
        <f t="shared" si="5"/>
        <v>1201.9000000000001</v>
      </c>
      <c r="N71" s="2">
        <v>30040</v>
      </c>
      <c r="Q71" s="1">
        <v>66</v>
      </c>
    </row>
    <row r="72" spans="1:17">
      <c r="A72" s="375"/>
      <c r="B72" s="2" t="s">
        <v>19</v>
      </c>
      <c r="C72" s="2" t="s">
        <v>20</v>
      </c>
      <c r="D72" s="2" t="s">
        <v>16</v>
      </c>
      <c r="E72" s="2" t="s">
        <v>222</v>
      </c>
      <c r="F72" s="2">
        <v>2659</v>
      </c>
      <c r="G72" s="2"/>
      <c r="H72" s="2">
        <v>37630</v>
      </c>
      <c r="I72" s="2">
        <v>750</v>
      </c>
      <c r="J72" s="2">
        <v>0.13</v>
      </c>
      <c r="K72" s="5">
        <f t="shared" si="3"/>
        <v>97.5</v>
      </c>
      <c r="L72" s="19">
        <f t="shared" si="4"/>
        <v>37532.5</v>
      </c>
      <c r="M72" s="5">
        <f t="shared" si="5"/>
        <v>2634.1000000000004</v>
      </c>
      <c r="N72" s="2">
        <v>65920</v>
      </c>
      <c r="Q72" s="1">
        <v>67</v>
      </c>
    </row>
    <row r="73" spans="1:17">
      <c r="A73" s="375"/>
      <c r="B73" s="2" t="s">
        <v>19</v>
      </c>
      <c r="C73" s="2" t="s">
        <v>20</v>
      </c>
      <c r="D73" s="2" t="s">
        <v>16</v>
      </c>
      <c r="E73" s="2" t="s">
        <v>223</v>
      </c>
      <c r="F73" s="2">
        <v>2681</v>
      </c>
      <c r="G73" s="2"/>
      <c r="H73" s="2">
        <v>16910</v>
      </c>
      <c r="I73" s="2">
        <v>350</v>
      </c>
      <c r="J73" s="2">
        <v>0.13</v>
      </c>
      <c r="K73" s="5">
        <f t="shared" si="3"/>
        <v>45.5</v>
      </c>
      <c r="L73" s="19">
        <f t="shared" si="4"/>
        <v>16864.5</v>
      </c>
      <c r="M73" s="5">
        <f t="shared" si="5"/>
        <v>1183.7</v>
      </c>
      <c r="N73" s="2">
        <v>29610</v>
      </c>
      <c r="Q73" s="1">
        <v>68</v>
      </c>
    </row>
    <row r="74" spans="1:17">
      <c r="A74" s="375"/>
      <c r="B74" s="2" t="s">
        <v>19</v>
      </c>
      <c r="C74" s="2" t="s">
        <v>20</v>
      </c>
      <c r="D74" s="2" t="s">
        <v>16</v>
      </c>
      <c r="E74" s="2" t="s">
        <v>224</v>
      </c>
      <c r="F74" s="2">
        <v>3</v>
      </c>
      <c r="G74" s="72" t="s">
        <v>406</v>
      </c>
      <c r="H74" s="2">
        <v>17060</v>
      </c>
      <c r="I74" s="2">
        <v>335</v>
      </c>
      <c r="J74" s="2">
        <v>0.13</v>
      </c>
      <c r="K74" s="5">
        <f t="shared" si="3"/>
        <v>43.550000000000004</v>
      </c>
      <c r="L74" s="19">
        <f t="shared" si="4"/>
        <v>17016.45</v>
      </c>
      <c r="M74" s="5">
        <f t="shared" si="5"/>
        <v>1194.1999999999998</v>
      </c>
      <c r="N74" s="2">
        <v>29850</v>
      </c>
      <c r="P74" s="73" t="s">
        <v>407</v>
      </c>
      <c r="Q74" s="1">
        <v>69</v>
      </c>
    </row>
    <row r="75" spans="1:17">
      <c r="A75" s="375"/>
      <c r="B75" s="2" t="s">
        <v>19</v>
      </c>
      <c r="C75" s="2" t="s">
        <v>20</v>
      </c>
      <c r="D75" s="2" t="s">
        <v>16</v>
      </c>
      <c r="E75" s="2" t="s">
        <v>225</v>
      </c>
      <c r="F75" s="2">
        <v>2680</v>
      </c>
      <c r="G75" s="2"/>
      <c r="H75" s="2">
        <v>16960</v>
      </c>
      <c r="I75" s="2">
        <v>350</v>
      </c>
      <c r="J75" s="2">
        <v>0.13</v>
      </c>
      <c r="K75" s="5">
        <f t="shared" si="3"/>
        <v>45.5</v>
      </c>
      <c r="L75" s="19">
        <f t="shared" si="4"/>
        <v>16914.5</v>
      </c>
      <c r="M75" s="5">
        <f t="shared" si="5"/>
        <v>1187.2</v>
      </c>
      <c r="N75" s="2">
        <v>29750</v>
      </c>
      <c r="Q75" s="1">
        <v>70</v>
      </c>
    </row>
    <row r="76" spans="1:17">
      <c r="A76" s="383" t="s">
        <v>226</v>
      </c>
      <c r="B76" s="2" t="s">
        <v>19</v>
      </c>
      <c r="C76" s="2" t="s">
        <v>20</v>
      </c>
      <c r="D76" s="2" t="s">
        <v>16</v>
      </c>
      <c r="E76" s="2" t="s">
        <v>227</v>
      </c>
      <c r="F76" s="2">
        <v>2690</v>
      </c>
      <c r="G76" s="2"/>
      <c r="H76" s="2">
        <v>18460</v>
      </c>
      <c r="I76" s="2">
        <v>380</v>
      </c>
      <c r="J76" s="2">
        <v>0.13</v>
      </c>
      <c r="K76" s="5">
        <f t="shared" si="3"/>
        <v>49.4</v>
      </c>
      <c r="L76" s="19">
        <f t="shared" si="4"/>
        <v>18410.599999999999</v>
      </c>
      <c r="M76" s="5">
        <f t="shared" si="5"/>
        <v>1292.2</v>
      </c>
      <c r="N76" s="2">
        <v>32340</v>
      </c>
      <c r="Q76" s="1">
        <v>71</v>
      </c>
    </row>
    <row r="77" spans="1:17">
      <c r="A77" s="384"/>
      <c r="B77" s="2" t="s">
        <v>19</v>
      </c>
      <c r="C77" s="2" t="s">
        <v>20</v>
      </c>
      <c r="D77" s="2" t="s">
        <v>16</v>
      </c>
      <c r="E77" s="2" t="s">
        <v>228</v>
      </c>
      <c r="F77" s="2">
        <v>2685</v>
      </c>
      <c r="G77" s="2"/>
      <c r="H77" s="2">
        <v>16850</v>
      </c>
      <c r="I77" s="2">
        <v>342</v>
      </c>
      <c r="J77" s="2">
        <v>0.13</v>
      </c>
      <c r="K77" s="5">
        <f t="shared" si="3"/>
        <v>44.46</v>
      </c>
      <c r="L77" s="19">
        <f t="shared" si="4"/>
        <v>16805.54</v>
      </c>
      <c r="M77" s="5">
        <f t="shared" si="5"/>
        <v>1179.5</v>
      </c>
      <c r="N77" s="2">
        <v>29480</v>
      </c>
      <c r="Q77" s="1">
        <v>72</v>
      </c>
    </row>
    <row r="78" spans="1:17">
      <c r="A78" s="384"/>
      <c r="B78" s="2" t="s">
        <v>19</v>
      </c>
      <c r="C78" s="2" t="s">
        <v>20</v>
      </c>
      <c r="D78" s="2" t="s">
        <v>16</v>
      </c>
      <c r="E78" s="2" t="s">
        <v>229</v>
      </c>
      <c r="F78" s="2">
        <v>2696</v>
      </c>
      <c r="G78" s="2"/>
      <c r="H78" s="2">
        <v>17530</v>
      </c>
      <c r="I78" s="2">
        <v>352</v>
      </c>
      <c r="J78" s="2">
        <v>0.13</v>
      </c>
      <c r="K78" s="5">
        <f t="shared" si="3"/>
        <v>45.760000000000005</v>
      </c>
      <c r="L78" s="19">
        <f t="shared" si="4"/>
        <v>17484.240000000002</v>
      </c>
      <c r="M78" s="5">
        <f t="shared" si="5"/>
        <v>1227.1000000000001</v>
      </c>
      <c r="N78" s="2">
        <v>30150</v>
      </c>
      <c r="Q78" s="1">
        <v>73</v>
      </c>
    </row>
    <row r="79" spans="1:17">
      <c r="A79" s="384"/>
      <c r="B79" s="2" t="s">
        <v>19</v>
      </c>
      <c r="C79" s="2" t="s">
        <v>20</v>
      </c>
      <c r="D79" s="2" t="s">
        <v>16</v>
      </c>
      <c r="E79" s="2" t="s">
        <v>230</v>
      </c>
      <c r="F79" s="2">
        <v>2691</v>
      </c>
      <c r="G79" s="2"/>
      <c r="H79" s="2">
        <v>17900</v>
      </c>
      <c r="I79" s="2">
        <v>338</v>
      </c>
      <c r="J79" s="2">
        <v>0.13</v>
      </c>
      <c r="K79" s="5">
        <f t="shared" si="3"/>
        <v>43.940000000000005</v>
      </c>
      <c r="L79" s="19">
        <f t="shared" si="4"/>
        <v>17856.060000000001</v>
      </c>
      <c r="M79" s="5">
        <f t="shared" si="5"/>
        <v>1253</v>
      </c>
      <c r="N79" s="2">
        <v>31360</v>
      </c>
      <c r="Q79" s="1">
        <v>74</v>
      </c>
    </row>
    <row r="80" spans="1:17">
      <c r="A80" s="384"/>
      <c r="B80" s="2" t="s">
        <v>19</v>
      </c>
      <c r="C80" s="2" t="s">
        <v>20</v>
      </c>
      <c r="D80" s="2" t="s">
        <v>16</v>
      </c>
      <c r="E80" s="2" t="s">
        <v>231</v>
      </c>
      <c r="F80" s="2">
        <v>2692</v>
      </c>
      <c r="G80" s="2"/>
      <c r="H80" s="2">
        <v>18440</v>
      </c>
      <c r="I80" s="2">
        <v>380</v>
      </c>
      <c r="J80" s="2">
        <v>0.13</v>
      </c>
      <c r="K80" s="5">
        <f t="shared" si="3"/>
        <v>49.4</v>
      </c>
      <c r="L80" s="19">
        <f t="shared" si="4"/>
        <v>18390.599999999999</v>
      </c>
      <c r="M80" s="5">
        <f t="shared" si="5"/>
        <v>1290.8000000000002</v>
      </c>
      <c r="N80" s="2">
        <v>31760</v>
      </c>
      <c r="Q80" s="1">
        <v>75</v>
      </c>
    </row>
    <row r="81" spans="1:17">
      <c r="A81" s="384"/>
      <c r="B81" s="2" t="s">
        <v>19</v>
      </c>
      <c r="C81" s="2" t="s">
        <v>20</v>
      </c>
      <c r="D81" s="2" t="s">
        <v>16</v>
      </c>
      <c r="E81" s="2" t="s">
        <v>232</v>
      </c>
      <c r="F81" s="2">
        <v>2693</v>
      </c>
      <c r="G81" s="2"/>
      <c r="H81" s="2">
        <v>17380</v>
      </c>
      <c r="I81" s="2">
        <v>365</v>
      </c>
      <c r="J81" s="2">
        <v>0.13</v>
      </c>
      <c r="K81" s="5">
        <f t="shared" si="3"/>
        <v>47.45</v>
      </c>
      <c r="L81" s="19">
        <f t="shared" si="4"/>
        <v>17332.55</v>
      </c>
      <c r="M81" s="5">
        <f t="shared" si="5"/>
        <v>1216.5999999999999</v>
      </c>
      <c r="N81" s="2">
        <v>29910</v>
      </c>
      <c r="Q81" s="1">
        <v>76</v>
      </c>
    </row>
    <row r="82" spans="1:17">
      <c r="A82" s="384"/>
      <c r="B82" s="2" t="s">
        <v>19</v>
      </c>
      <c r="C82" s="2" t="s">
        <v>20</v>
      </c>
      <c r="D82" s="2" t="s">
        <v>16</v>
      </c>
      <c r="E82" s="2" t="s">
        <v>233</v>
      </c>
      <c r="F82" s="2">
        <v>2689</v>
      </c>
      <c r="G82" s="2"/>
      <c r="H82" s="2">
        <v>16660</v>
      </c>
      <c r="I82" s="2">
        <v>350</v>
      </c>
      <c r="J82" s="2">
        <v>0.13</v>
      </c>
      <c r="K82" s="5">
        <f t="shared" si="3"/>
        <v>45.5</v>
      </c>
      <c r="L82" s="19">
        <f t="shared" si="4"/>
        <v>16614.5</v>
      </c>
      <c r="M82" s="5">
        <f t="shared" si="5"/>
        <v>1166.2</v>
      </c>
      <c r="N82" s="2">
        <v>29190</v>
      </c>
      <c r="Q82" s="1">
        <v>77</v>
      </c>
    </row>
    <row r="83" spans="1:17">
      <c r="A83" s="384"/>
      <c r="B83" s="2" t="s">
        <v>19</v>
      </c>
      <c r="C83" s="2" t="s">
        <v>20</v>
      </c>
      <c r="D83" s="2" t="s">
        <v>16</v>
      </c>
      <c r="E83" s="2" t="s">
        <v>234</v>
      </c>
      <c r="F83" s="2">
        <v>6</v>
      </c>
      <c r="G83" s="72" t="s">
        <v>406</v>
      </c>
      <c r="H83" s="2">
        <v>18070</v>
      </c>
      <c r="I83" s="2">
        <v>350</v>
      </c>
      <c r="J83" s="2">
        <v>0.13</v>
      </c>
      <c r="K83" s="5">
        <f t="shared" si="3"/>
        <v>45.5</v>
      </c>
      <c r="L83" s="19">
        <f t="shared" si="4"/>
        <v>18024.5</v>
      </c>
      <c r="M83" s="5">
        <f t="shared" si="5"/>
        <v>1264.9000000000001</v>
      </c>
      <c r="N83" s="2">
        <v>31620</v>
      </c>
      <c r="Q83" s="1">
        <v>78</v>
      </c>
    </row>
    <row r="84" spans="1:17">
      <c r="A84" s="384"/>
      <c r="B84" s="2" t="s">
        <v>19</v>
      </c>
      <c r="C84" s="2" t="s">
        <v>20</v>
      </c>
      <c r="D84" s="2" t="s">
        <v>16</v>
      </c>
      <c r="E84" s="2" t="s">
        <v>137</v>
      </c>
      <c r="F84" s="2">
        <v>2683</v>
      </c>
      <c r="G84" s="2"/>
      <c r="H84" s="2">
        <v>14980</v>
      </c>
      <c r="I84" s="2">
        <v>327</v>
      </c>
      <c r="J84" s="2">
        <v>0.13</v>
      </c>
      <c r="K84" s="5">
        <f t="shared" si="3"/>
        <v>42.51</v>
      </c>
      <c r="L84" s="19">
        <f t="shared" si="4"/>
        <v>14937.49</v>
      </c>
      <c r="M84" s="5">
        <f t="shared" si="5"/>
        <v>1048.6000000000001</v>
      </c>
      <c r="N84" s="2">
        <v>26230</v>
      </c>
      <c r="Q84" s="1">
        <v>79</v>
      </c>
    </row>
    <row r="85" spans="1:17">
      <c r="A85" s="385"/>
      <c r="B85" s="2" t="s">
        <v>19</v>
      </c>
      <c r="C85" s="2" t="s">
        <v>20</v>
      </c>
      <c r="D85" s="2" t="s">
        <v>16</v>
      </c>
      <c r="E85" s="2" t="s">
        <v>235</v>
      </c>
      <c r="F85" s="2">
        <v>2694</v>
      </c>
      <c r="G85" s="2"/>
      <c r="H85" s="2">
        <v>14970</v>
      </c>
      <c r="I85" s="2">
        <v>315</v>
      </c>
      <c r="J85" s="2">
        <v>0.13</v>
      </c>
      <c r="K85" s="5">
        <f t="shared" si="3"/>
        <v>40.950000000000003</v>
      </c>
      <c r="L85" s="19">
        <f t="shared" si="4"/>
        <v>14929.05</v>
      </c>
      <c r="M85" s="5">
        <f t="shared" si="5"/>
        <v>1047.9000000000001</v>
      </c>
      <c r="N85" s="2">
        <v>25740</v>
      </c>
      <c r="Q85" s="1">
        <v>80</v>
      </c>
    </row>
    <row r="86" spans="1:17">
      <c r="A86" s="375" t="s">
        <v>236</v>
      </c>
      <c r="B86" s="2" t="s">
        <v>19</v>
      </c>
      <c r="C86" s="2" t="s">
        <v>20</v>
      </c>
      <c r="D86" s="2" t="s">
        <v>16</v>
      </c>
      <c r="E86" s="2" t="s">
        <v>240</v>
      </c>
      <c r="F86" s="2">
        <v>2697</v>
      </c>
      <c r="G86" s="2"/>
      <c r="H86" s="2">
        <v>18350</v>
      </c>
      <c r="I86" s="2">
        <v>366</v>
      </c>
      <c r="J86" s="2">
        <v>0.13</v>
      </c>
      <c r="K86" s="5">
        <f t="shared" si="3"/>
        <v>47.58</v>
      </c>
      <c r="L86" s="19">
        <f t="shared" si="4"/>
        <v>18302.419999999998</v>
      </c>
      <c r="M86" s="5">
        <f t="shared" si="5"/>
        <v>1284.5</v>
      </c>
      <c r="N86" s="2">
        <v>31660</v>
      </c>
      <c r="Q86" s="1">
        <v>81</v>
      </c>
    </row>
    <row r="87" spans="1:17">
      <c r="A87" s="375"/>
      <c r="B87" s="2" t="s">
        <v>19</v>
      </c>
      <c r="C87" s="2" t="s">
        <v>20</v>
      </c>
      <c r="D87" s="2" t="s">
        <v>16</v>
      </c>
      <c r="E87" s="2" t="s">
        <v>241</v>
      </c>
      <c r="F87" s="2">
        <v>2698</v>
      </c>
      <c r="G87" s="2"/>
      <c r="H87" s="2">
        <v>18680</v>
      </c>
      <c r="I87" s="2">
        <v>380</v>
      </c>
      <c r="J87" s="2">
        <v>0.13</v>
      </c>
      <c r="K87" s="5">
        <f t="shared" si="3"/>
        <v>49.4</v>
      </c>
      <c r="L87" s="19">
        <f t="shared" si="4"/>
        <v>18630.599999999999</v>
      </c>
      <c r="M87" s="5">
        <f t="shared" si="5"/>
        <v>1307.5999999999999</v>
      </c>
      <c r="N87" s="2">
        <v>32260</v>
      </c>
      <c r="Q87" s="1">
        <v>82</v>
      </c>
    </row>
    <row r="88" spans="1:17">
      <c r="A88" s="375"/>
      <c r="B88" s="2" t="s">
        <v>19</v>
      </c>
      <c r="C88" s="2" t="s">
        <v>20</v>
      </c>
      <c r="D88" s="2" t="s">
        <v>16</v>
      </c>
      <c r="E88" s="2" t="s">
        <v>242</v>
      </c>
      <c r="F88" s="2">
        <v>2695</v>
      </c>
      <c r="G88" s="2"/>
      <c r="H88" s="2">
        <v>23280</v>
      </c>
      <c r="I88" s="2">
        <v>491</v>
      </c>
      <c r="J88" s="2">
        <v>0.13</v>
      </c>
      <c r="K88" s="5">
        <f t="shared" si="3"/>
        <v>63.830000000000005</v>
      </c>
      <c r="L88" s="19">
        <f t="shared" si="4"/>
        <v>23216.17</v>
      </c>
      <c r="M88" s="5">
        <f t="shared" si="5"/>
        <v>1629.6000000000001</v>
      </c>
      <c r="N88" s="2">
        <v>40070</v>
      </c>
      <c r="Q88" s="1">
        <v>83</v>
      </c>
    </row>
    <row r="89" spans="1:17">
      <c r="L89" s="25">
        <f>SUM(L6:L88)</f>
        <v>1455423.8299999998</v>
      </c>
      <c r="M89" s="25"/>
      <c r="N89" s="70"/>
      <c r="Q89" s="1">
        <v>84</v>
      </c>
    </row>
    <row r="90" spans="1:17">
      <c r="A90" s="6" t="s">
        <v>271</v>
      </c>
      <c r="B90" s="36" t="s">
        <v>19</v>
      </c>
      <c r="C90" s="36" t="s">
        <v>20</v>
      </c>
      <c r="D90" s="2" t="s">
        <v>16</v>
      </c>
      <c r="E90" s="2" t="s">
        <v>272</v>
      </c>
      <c r="F90" s="2">
        <v>7</v>
      </c>
      <c r="G90" s="72" t="s">
        <v>406</v>
      </c>
      <c r="H90" s="2">
        <v>18660</v>
      </c>
      <c r="I90" s="2">
        <v>365</v>
      </c>
      <c r="J90" s="2">
        <v>0.13</v>
      </c>
      <c r="K90" s="5">
        <f t="shared" ref="K90:K95" si="6">I90*J90</f>
        <v>47.45</v>
      </c>
      <c r="L90" s="19">
        <f t="shared" ref="L90:L95" si="7">H90-K90</f>
        <v>18612.55</v>
      </c>
      <c r="M90" s="5">
        <f t="shared" ref="M90:M95" si="8">H90/1000*70</f>
        <v>1306.2</v>
      </c>
      <c r="N90" s="2">
        <v>30800</v>
      </c>
      <c r="O90" s="2"/>
      <c r="P90" s="2">
        <f t="shared" ref="P90:P95" si="9">L90*O90</f>
        <v>0</v>
      </c>
      <c r="Q90" s="1">
        <v>85</v>
      </c>
    </row>
    <row r="91" spans="1:17">
      <c r="A91" s="375" t="s">
        <v>273</v>
      </c>
      <c r="B91" s="37" t="s">
        <v>19</v>
      </c>
      <c r="C91" s="37" t="s">
        <v>20</v>
      </c>
      <c r="D91" s="2" t="s">
        <v>16</v>
      </c>
      <c r="E91" s="2" t="s">
        <v>278</v>
      </c>
      <c r="F91" s="2">
        <v>8</v>
      </c>
      <c r="G91" s="72" t="s">
        <v>406</v>
      </c>
      <c r="H91" s="2">
        <v>18350</v>
      </c>
      <c r="I91" s="2">
        <v>365</v>
      </c>
      <c r="J91" s="2">
        <v>0.13</v>
      </c>
      <c r="K91" s="5">
        <f t="shared" si="6"/>
        <v>47.45</v>
      </c>
      <c r="L91" s="19">
        <f t="shared" si="7"/>
        <v>18302.55</v>
      </c>
      <c r="M91" s="5">
        <f t="shared" si="8"/>
        <v>1284.5</v>
      </c>
      <c r="N91" s="2">
        <v>30270</v>
      </c>
      <c r="O91" s="2"/>
      <c r="P91" s="2">
        <f t="shared" si="9"/>
        <v>0</v>
      </c>
      <c r="Q91" s="1">
        <v>86</v>
      </c>
    </row>
    <row r="92" spans="1:17">
      <c r="A92" s="375"/>
      <c r="B92" s="37" t="s">
        <v>19</v>
      </c>
      <c r="C92" s="37" t="s">
        <v>20</v>
      </c>
      <c r="D92" s="2" t="s">
        <v>16</v>
      </c>
      <c r="E92" s="2" t="s">
        <v>279</v>
      </c>
      <c r="F92" s="2">
        <v>12</v>
      </c>
      <c r="G92" s="72" t="s">
        <v>406</v>
      </c>
      <c r="H92" s="2">
        <v>17090</v>
      </c>
      <c r="I92" s="2">
        <v>340</v>
      </c>
      <c r="J92" s="2">
        <v>0.13</v>
      </c>
      <c r="K92" s="5">
        <f t="shared" si="6"/>
        <v>44.2</v>
      </c>
      <c r="L92" s="19">
        <f t="shared" si="7"/>
        <v>17045.8</v>
      </c>
      <c r="M92" s="5">
        <f t="shared" si="8"/>
        <v>1196.3</v>
      </c>
      <c r="N92" s="2">
        <v>28200</v>
      </c>
      <c r="O92" s="2"/>
      <c r="P92" s="2">
        <f t="shared" si="9"/>
        <v>0</v>
      </c>
      <c r="Q92" s="1">
        <v>87</v>
      </c>
    </row>
    <row r="93" spans="1:17">
      <c r="A93" s="375"/>
      <c r="B93" s="37" t="s">
        <v>19</v>
      </c>
      <c r="C93" s="37" t="s">
        <v>20</v>
      </c>
      <c r="D93" s="2" t="s">
        <v>16</v>
      </c>
      <c r="E93" s="2" t="s">
        <v>280</v>
      </c>
      <c r="F93" s="2">
        <v>11</v>
      </c>
      <c r="G93" s="72" t="s">
        <v>406</v>
      </c>
      <c r="H93" s="2">
        <v>17210</v>
      </c>
      <c r="I93" s="2">
        <v>345</v>
      </c>
      <c r="J93" s="2">
        <v>0.13</v>
      </c>
      <c r="K93" s="5">
        <f t="shared" si="6"/>
        <v>44.85</v>
      </c>
      <c r="L93" s="19">
        <f t="shared" si="7"/>
        <v>17165.150000000001</v>
      </c>
      <c r="M93" s="5">
        <f t="shared" si="8"/>
        <v>1204.7</v>
      </c>
      <c r="N93" s="2">
        <v>28410</v>
      </c>
      <c r="O93" s="2"/>
      <c r="P93" s="2">
        <f t="shared" si="9"/>
        <v>0</v>
      </c>
      <c r="Q93" s="1">
        <v>88</v>
      </c>
    </row>
    <row r="94" spans="1:17">
      <c r="A94" s="375"/>
      <c r="B94" s="37" t="s">
        <v>19</v>
      </c>
      <c r="C94" s="37" t="s">
        <v>20</v>
      </c>
      <c r="D94" s="2" t="s">
        <v>16</v>
      </c>
      <c r="E94" s="2" t="s">
        <v>281</v>
      </c>
      <c r="F94" s="2">
        <v>13</v>
      </c>
      <c r="G94" s="72" t="s">
        <v>406</v>
      </c>
      <c r="H94" s="2">
        <v>19820</v>
      </c>
      <c r="I94" s="2">
        <v>395</v>
      </c>
      <c r="J94" s="2">
        <v>0.13</v>
      </c>
      <c r="K94" s="5">
        <f t="shared" si="6"/>
        <v>51.35</v>
      </c>
      <c r="L94" s="19">
        <f t="shared" si="7"/>
        <v>19768.650000000001</v>
      </c>
      <c r="M94" s="5">
        <f t="shared" si="8"/>
        <v>1387.4</v>
      </c>
      <c r="N94" s="2">
        <v>32680</v>
      </c>
      <c r="O94" s="2"/>
      <c r="P94" s="2">
        <f t="shared" si="9"/>
        <v>0</v>
      </c>
      <c r="Q94" s="1">
        <v>89</v>
      </c>
    </row>
    <row r="95" spans="1:17">
      <c r="A95" s="1" t="s">
        <v>284</v>
      </c>
      <c r="B95" s="2" t="s">
        <v>19</v>
      </c>
      <c r="C95" s="2" t="s">
        <v>20</v>
      </c>
      <c r="D95" s="2" t="s">
        <v>16</v>
      </c>
      <c r="E95" s="2" t="s">
        <v>289</v>
      </c>
      <c r="F95" s="2">
        <v>10</v>
      </c>
      <c r="G95" s="72" t="s">
        <v>406</v>
      </c>
      <c r="H95" s="2">
        <v>17180</v>
      </c>
      <c r="I95" s="2">
        <v>345</v>
      </c>
      <c r="J95" s="2">
        <v>0.13</v>
      </c>
      <c r="K95" s="5">
        <f t="shared" si="6"/>
        <v>44.85</v>
      </c>
      <c r="L95" s="19">
        <f t="shared" si="7"/>
        <v>17135.150000000001</v>
      </c>
      <c r="M95" s="5">
        <f t="shared" si="8"/>
        <v>1202.5999999999999</v>
      </c>
      <c r="N95" s="2">
        <v>28510</v>
      </c>
      <c r="O95" s="2"/>
      <c r="P95" s="2">
        <f t="shared" si="9"/>
        <v>0</v>
      </c>
      <c r="Q95" s="1">
        <v>90</v>
      </c>
    </row>
    <row r="96" spans="1:17">
      <c r="N96" s="33">
        <f>SUM(N6:N95)</f>
        <v>2689630</v>
      </c>
    </row>
    <row r="99" spans="1:18">
      <c r="L99" s="25">
        <f>SUM(L89:L98)</f>
        <v>1563453.6799999997</v>
      </c>
    </row>
    <row r="101" spans="1:18">
      <c r="A101" s="374" t="s">
        <v>1554</v>
      </c>
      <c r="B101" s="42" t="s">
        <v>1560</v>
      </c>
      <c r="C101" s="42" t="s">
        <v>1524</v>
      </c>
      <c r="D101" s="42" t="s">
        <v>16</v>
      </c>
      <c r="E101" s="42" t="s">
        <v>1561</v>
      </c>
      <c r="F101" s="42">
        <v>1011</v>
      </c>
      <c r="G101" s="42"/>
      <c r="H101" s="42">
        <v>18080</v>
      </c>
      <c r="I101" s="42">
        <v>352</v>
      </c>
      <c r="J101" s="42">
        <v>0.13</v>
      </c>
      <c r="K101" s="42">
        <v>46</v>
      </c>
      <c r="L101" s="43">
        <f t="shared" ref="L101:L112" si="10">H101-K101</f>
        <v>18034</v>
      </c>
      <c r="M101" s="43"/>
      <c r="N101" s="43">
        <f t="shared" ref="N101:N112" si="11">L101-M101</f>
        <v>18034</v>
      </c>
      <c r="O101" s="43">
        <f t="shared" ref="O101:O112" si="12">H101/1000*70</f>
        <v>1265.5999999999999</v>
      </c>
      <c r="P101" s="42">
        <v>29900</v>
      </c>
      <c r="Q101" s="42"/>
      <c r="R101" s="42">
        <f t="shared" ref="R101:R112" si="13">L101*Q101</f>
        <v>0</v>
      </c>
    </row>
    <row r="102" spans="1:18">
      <c r="A102" s="374"/>
      <c r="B102" s="42" t="s">
        <v>1560</v>
      </c>
      <c r="C102" s="42" t="s">
        <v>1524</v>
      </c>
      <c r="D102" s="42" t="s">
        <v>16</v>
      </c>
      <c r="E102" s="42" t="s">
        <v>1219</v>
      </c>
      <c r="F102" s="42">
        <v>1010</v>
      </c>
      <c r="G102" s="42"/>
      <c r="H102" s="42">
        <v>19040</v>
      </c>
      <c r="I102" s="42">
        <v>365</v>
      </c>
      <c r="J102" s="42">
        <v>0.13</v>
      </c>
      <c r="K102" s="42">
        <v>48</v>
      </c>
      <c r="L102" s="43">
        <f t="shared" si="10"/>
        <v>18992</v>
      </c>
      <c r="M102" s="43"/>
      <c r="N102" s="43">
        <f t="shared" si="11"/>
        <v>18992</v>
      </c>
      <c r="O102" s="43">
        <f t="shared" si="12"/>
        <v>1332.8</v>
      </c>
      <c r="P102" s="42">
        <v>31410</v>
      </c>
      <c r="Q102" s="42"/>
      <c r="R102" s="42">
        <f t="shared" si="13"/>
        <v>0</v>
      </c>
    </row>
    <row r="103" spans="1:18">
      <c r="A103" s="374"/>
      <c r="B103" s="42" t="s">
        <v>1560</v>
      </c>
      <c r="C103" s="42" t="s">
        <v>1524</v>
      </c>
      <c r="D103" s="42" t="s">
        <v>16</v>
      </c>
      <c r="E103" s="42" t="s">
        <v>1562</v>
      </c>
      <c r="F103" s="42">
        <v>1016</v>
      </c>
      <c r="G103" s="42"/>
      <c r="H103" s="42">
        <v>15630</v>
      </c>
      <c r="I103" s="42">
        <v>310</v>
      </c>
      <c r="J103" s="42">
        <v>0.13</v>
      </c>
      <c r="K103" s="42">
        <f t="shared" ref="K103:K104" si="14">I103*J103</f>
        <v>40.300000000000004</v>
      </c>
      <c r="L103" s="43">
        <f t="shared" si="10"/>
        <v>15589.7</v>
      </c>
      <c r="M103" s="43"/>
      <c r="N103" s="43">
        <f t="shared" si="11"/>
        <v>15589.7</v>
      </c>
      <c r="O103" s="43">
        <f t="shared" si="12"/>
        <v>1094.1000000000001</v>
      </c>
      <c r="P103" s="42">
        <v>26570</v>
      </c>
      <c r="Q103" s="42"/>
      <c r="R103" s="42">
        <f t="shared" si="13"/>
        <v>0</v>
      </c>
    </row>
    <row r="104" spans="1:18">
      <c r="A104" s="374"/>
      <c r="B104" s="42" t="s">
        <v>1560</v>
      </c>
      <c r="C104" s="42" t="s">
        <v>1524</v>
      </c>
      <c r="D104" s="42" t="s">
        <v>16</v>
      </c>
      <c r="E104" s="42" t="s">
        <v>1563</v>
      </c>
      <c r="F104" s="42">
        <v>1019</v>
      </c>
      <c r="G104" s="42"/>
      <c r="H104" s="42">
        <v>15500</v>
      </c>
      <c r="I104" s="42">
        <v>301</v>
      </c>
      <c r="J104" s="42">
        <v>0.13</v>
      </c>
      <c r="K104" s="42">
        <f t="shared" si="14"/>
        <v>39.130000000000003</v>
      </c>
      <c r="L104" s="43">
        <f t="shared" si="10"/>
        <v>15460.87</v>
      </c>
      <c r="M104" s="43"/>
      <c r="N104" s="43">
        <f t="shared" si="11"/>
        <v>15460.87</v>
      </c>
      <c r="O104" s="43">
        <f t="shared" si="12"/>
        <v>1085</v>
      </c>
      <c r="P104" s="42">
        <v>26410</v>
      </c>
      <c r="Q104" s="42"/>
      <c r="R104" s="42">
        <f t="shared" si="13"/>
        <v>0</v>
      </c>
    </row>
    <row r="105" spans="1:18">
      <c r="A105" s="374" t="s">
        <v>1564</v>
      </c>
      <c r="B105" s="42" t="s">
        <v>1560</v>
      </c>
      <c r="C105" s="42" t="s">
        <v>1524</v>
      </c>
      <c r="D105" s="42" t="s">
        <v>16</v>
      </c>
      <c r="E105" s="42" t="s">
        <v>1566</v>
      </c>
      <c r="F105" s="42">
        <v>1014</v>
      </c>
      <c r="G105" s="42"/>
      <c r="H105" s="42">
        <v>17520</v>
      </c>
      <c r="I105" s="42">
        <v>330</v>
      </c>
      <c r="J105" s="42">
        <v>0.13</v>
      </c>
      <c r="K105" s="42">
        <v>43</v>
      </c>
      <c r="L105" s="43">
        <f t="shared" si="10"/>
        <v>17477</v>
      </c>
      <c r="M105" s="43"/>
      <c r="N105" s="43">
        <f t="shared" si="11"/>
        <v>17477</v>
      </c>
      <c r="O105" s="43">
        <f t="shared" si="12"/>
        <v>1226.3999999999999</v>
      </c>
      <c r="P105" s="42">
        <v>29850</v>
      </c>
      <c r="Q105" s="42"/>
      <c r="R105" s="42">
        <f t="shared" si="13"/>
        <v>0</v>
      </c>
    </row>
    <row r="106" spans="1:18">
      <c r="A106" s="374"/>
      <c r="B106" s="42" t="s">
        <v>1560</v>
      </c>
      <c r="C106" s="42" t="s">
        <v>1524</v>
      </c>
      <c r="D106" s="42" t="s">
        <v>16</v>
      </c>
      <c r="E106" s="42" t="s">
        <v>114</v>
      </c>
      <c r="F106" s="42">
        <v>1024</v>
      </c>
      <c r="G106" s="42"/>
      <c r="H106" s="42">
        <v>17780</v>
      </c>
      <c r="I106" s="42">
        <v>338</v>
      </c>
      <c r="J106" s="42">
        <v>0.13</v>
      </c>
      <c r="K106" s="42">
        <v>44</v>
      </c>
      <c r="L106" s="43">
        <f t="shared" si="10"/>
        <v>17736</v>
      </c>
      <c r="M106" s="43"/>
      <c r="N106" s="43">
        <f t="shared" si="11"/>
        <v>17736</v>
      </c>
      <c r="O106" s="43">
        <f t="shared" si="12"/>
        <v>1244.6000000000001</v>
      </c>
      <c r="P106" s="42">
        <v>30310</v>
      </c>
      <c r="Q106" s="42"/>
      <c r="R106" s="42">
        <f t="shared" si="13"/>
        <v>0</v>
      </c>
    </row>
    <row r="107" spans="1:18">
      <c r="A107" s="374"/>
      <c r="B107" s="42" t="s">
        <v>1560</v>
      </c>
      <c r="C107" s="42" t="s">
        <v>1524</v>
      </c>
      <c r="D107" s="42" t="s">
        <v>16</v>
      </c>
      <c r="E107" s="42" t="s">
        <v>1567</v>
      </c>
      <c r="F107" s="42">
        <v>1012</v>
      </c>
      <c r="G107" s="42"/>
      <c r="H107" s="42">
        <v>19240</v>
      </c>
      <c r="I107" s="42">
        <v>372</v>
      </c>
      <c r="J107" s="42">
        <v>0.13</v>
      </c>
      <c r="K107" s="42">
        <v>48</v>
      </c>
      <c r="L107" s="43">
        <f t="shared" si="10"/>
        <v>19192</v>
      </c>
      <c r="M107" s="43"/>
      <c r="N107" s="43">
        <f t="shared" si="11"/>
        <v>19192</v>
      </c>
      <c r="O107" s="43">
        <f t="shared" si="12"/>
        <v>1346.8</v>
      </c>
      <c r="P107" s="42">
        <v>31740</v>
      </c>
      <c r="Q107" s="42"/>
      <c r="R107" s="42">
        <f t="shared" si="13"/>
        <v>0</v>
      </c>
    </row>
    <row r="108" spans="1:18">
      <c r="A108" s="374"/>
      <c r="B108" s="42" t="s">
        <v>1560</v>
      </c>
      <c r="C108" s="42" t="s">
        <v>1524</v>
      </c>
      <c r="D108" s="42" t="s">
        <v>16</v>
      </c>
      <c r="E108" s="42" t="s">
        <v>1568</v>
      </c>
      <c r="F108" s="42">
        <v>1013</v>
      </c>
      <c r="G108" s="42"/>
      <c r="H108" s="42">
        <v>26070</v>
      </c>
      <c r="I108" s="42">
        <v>504</v>
      </c>
      <c r="J108" s="42">
        <v>0.13</v>
      </c>
      <c r="K108" s="42">
        <v>66</v>
      </c>
      <c r="L108" s="43">
        <f t="shared" si="10"/>
        <v>26004</v>
      </c>
      <c r="M108" s="43"/>
      <c r="N108" s="43">
        <f t="shared" si="11"/>
        <v>26004</v>
      </c>
      <c r="O108" s="43">
        <f t="shared" si="12"/>
        <v>1824.9</v>
      </c>
      <c r="P108" s="42">
        <v>44370</v>
      </c>
      <c r="Q108" s="42"/>
      <c r="R108" s="42">
        <f t="shared" si="13"/>
        <v>0</v>
      </c>
    </row>
    <row r="109" spans="1:18">
      <c r="A109" s="374" t="s">
        <v>1569</v>
      </c>
      <c r="B109" s="42" t="s">
        <v>1560</v>
      </c>
      <c r="C109" s="42" t="s">
        <v>1524</v>
      </c>
      <c r="D109" s="42" t="s">
        <v>16</v>
      </c>
      <c r="E109" s="42" t="s">
        <v>134</v>
      </c>
      <c r="F109" s="42">
        <v>1018</v>
      </c>
      <c r="G109" s="42"/>
      <c r="H109" s="42">
        <v>17890</v>
      </c>
      <c r="I109" s="42">
        <v>338</v>
      </c>
      <c r="J109" s="42">
        <v>0.13</v>
      </c>
      <c r="K109" s="42">
        <v>44</v>
      </c>
      <c r="L109" s="43">
        <f t="shared" si="10"/>
        <v>17846</v>
      </c>
      <c r="M109" s="43"/>
      <c r="N109" s="43">
        <f t="shared" si="11"/>
        <v>17846</v>
      </c>
      <c r="O109" s="43">
        <f t="shared" si="12"/>
        <v>1252.3</v>
      </c>
      <c r="P109" s="42">
        <v>30580</v>
      </c>
      <c r="Q109" s="42"/>
      <c r="R109" s="42">
        <f t="shared" si="13"/>
        <v>0</v>
      </c>
    </row>
    <row r="110" spans="1:18">
      <c r="A110" s="374"/>
      <c r="B110" s="42" t="s">
        <v>1560</v>
      </c>
      <c r="C110" s="42" t="s">
        <v>1524</v>
      </c>
      <c r="D110" s="42" t="s">
        <v>16</v>
      </c>
      <c r="E110" s="42" t="s">
        <v>123</v>
      </c>
      <c r="F110" s="42">
        <v>1020</v>
      </c>
      <c r="G110" s="42"/>
      <c r="H110" s="42">
        <v>17840</v>
      </c>
      <c r="I110" s="42">
        <v>335</v>
      </c>
      <c r="J110" s="42">
        <v>0.13</v>
      </c>
      <c r="K110" s="42">
        <v>44</v>
      </c>
      <c r="L110" s="43">
        <f t="shared" si="10"/>
        <v>17796</v>
      </c>
      <c r="M110" s="43"/>
      <c r="N110" s="43">
        <f t="shared" si="11"/>
        <v>17796</v>
      </c>
      <c r="O110" s="43">
        <f t="shared" si="12"/>
        <v>1248.8</v>
      </c>
      <c r="P110" s="42">
        <v>30328</v>
      </c>
      <c r="Q110" s="42"/>
      <c r="R110" s="42">
        <f t="shared" si="13"/>
        <v>0</v>
      </c>
    </row>
    <row r="111" spans="1:18">
      <c r="A111" s="374"/>
      <c r="B111" s="42" t="s">
        <v>1560</v>
      </c>
      <c r="C111" s="42" t="s">
        <v>1524</v>
      </c>
      <c r="D111" s="42" t="s">
        <v>16</v>
      </c>
      <c r="E111" s="42" t="s">
        <v>1577</v>
      </c>
      <c r="F111" s="42">
        <v>1017</v>
      </c>
      <c r="G111" s="42"/>
      <c r="H111" s="42">
        <v>17780</v>
      </c>
      <c r="I111" s="42">
        <v>330</v>
      </c>
      <c r="J111" s="42">
        <v>0.13</v>
      </c>
      <c r="K111" s="42">
        <v>43</v>
      </c>
      <c r="L111" s="43">
        <f t="shared" si="10"/>
        <v>17737</v>
      </c>
      <c r="M111" s="43"/>
      <c r="N111" s="43">
        <f t="shared" si="11"/>
        <v>17737</v>
      </c>
      <c r="O111" s="43">
        <f t="shared" si="12"/>
        <v>1244.6000000000001</v>
      </c>
      <c r="P111" s="42">
        <v>30240</v>
      </c>
      <c r="Q111" s="42"/>
      <c r="R111" s="42">
        <f t="shared" si="13"/>
        <v>0</v>
      </c>
    </row>
    <row r="112" spans="1:18">
      <c r="A112" s="374"/>
      <c r="B112" s="42" t="s">
        <v>1560</v>
      </c>
      <c r="C112" s="42" t="s">
        <v>1524</v>
      </c>
      <c r="D112" s="42" t="s">
        <v>16</v>
      </c>
      <c r="E112" s="42" t="s">
        <v>1578</v>
      </c>
      <c r="F112" s="42">
        <v>1015</v>
      </c>
      <c r="G112" s="42"/>
      <c r="H112" s="42">
        <v>17590</v>
      </c>
      <c r="I112" s="42">
        <v>338</v>
      </c>
      <c r="J112" s="42">
        <v>0.13</v>
      </c>
      <c r="K112" s="42">
        <v>44</v>
      </c>
      <c r="L112" s="43">
        <f t="shared" si="10"/>
        <v>17546</v>
      </c>
      <c r="M112" s="43"/>
      <c r="N112" s="43">
        <f t="shared" si="11"/>
        <v>17546</v>
      </c>
      <c r="O112" s="43">
        <f t="shared" si="12"/>
        <v>1231.3</v>
      </c>
      <c r="P112" s="42">
        <v>29900</v>
      </c>
      <c r="Q112" s="42"/>
      <c r="R112" s="42">
        <f t="shared" si="13"/>
        <v>0</v>
      </c>
    </row>
    <row r="114" spans="1:19">
      <c r="N114" s="16">
        <f>SUM(N101:N113)</f>
        <v>219410.57</v>
      </c>
      <c r="O114" s="16">
        <f>SUM(O101:O113)</f>
        <v>15397.199999999997</v>
      </c>
      <c r="P114" s="1">
        <f>SUM(P101:P113)</f>
        <v>371608</v>
      </c>
    </row>
    <row r="117" spans="1:19">
      <c r="A117" s="374" t="s">
        <v>2013</v>
      </c>
      <c r="B117" s="243" t="s">
        <v>19</v>
      </c>
      <c r="C117" s="243" t="s">
        <v>20</v>
      </c>
      <c r="D117" s="243" t="s">
        <v>16</v>
      </c>
      <c r="E117" s="243" t="s">
        <v>2018</v>
      </c>
      <c r="F117" s="243">
        <v>1951</v>
      </c>
      <c r="G117" s="243"/>
      <c r="H117" s="243">
        <v>16710</v>
      </c>
      <c r="I117" s="243">
        <v>252</v>
      </c>
      <c r="J117" s="243">
        <v>0.13</v>
      </c>
      <c r="K117" s="5">
        <f t="shared" ref="K117:K133" si="15">I117*J117</f>
        <v>32.76</v>
      </c>
      <c r="L117" s="19">
        <f t="shared" ref="L117:L133" si="16">H117-K117</f>
        <v>16677.240000000002</v>
      </c>
      <c r="M117" s="19"/>
      <c r="N117" s="43">
        <f t="shared" ref="N117:N133" si="17">L117-M117</f>
        <v>16677.240000000002</v>
      </c>
      <c r="O117" s="5">
        <f t="shared" ref="O117:O133" si="18">H117/1000*70</f>
        <v>1169.7</v>
      </c>
      <c r="P117" s="243">
        <v>22600</v>
      </c>
      <c r="Q117" s="243"/>
      <c r="R117" s="243">
        <f t="shared" ref="R117:R133" si="19">L117*Q117</f>
        <v>0</v>
      </c>
      <c r="S117" s="1">
        <v>1</v>
      </c>
    </row>
    <row r="118" spans="1:19">
      <c r="A118" s="374"/>
      <c r="B118" s="243" t="s">
        <v>19</v>
      </c>
      <c r="C118" s="243" t="s">
        <v>20</v>
      </c>
      <c r="D118" s="243" t="s">
        <v>16</v>
      </c>
      <c r="E118" s="243" t="s">
        <v>2019</v>
      </c>
      <c r="F118" s="243">
        <v>1962</v>
      </c>
      <c r="G118" s="243"/>
      <c r="H118" s="243">
        <v>16270</v>
      </c>
      <c r="I118" s="243">
        <v>330</v>
      </c>
      <c r="J118" s="243">
        <v>0.13</v>
      </c>
      <c r="K118" s="5">
        <f t="shared" si="15"/>
        <v>42.9</v>
      </c>
      <c r="L118" s="19">
        <f t="shared" si="16"/>
        <v>16227.1</v>
      </c>
      <c r="M118" s="19"/>
      <c r="N118" s="43">
        <f t="shared" si="17"/>
        <v>16227.1</v>
      </c>
      <c r="O118" s="5">
        <f t="shared" si="18"/>
        <v>1138.8999999999999</v>
      </c>
      <c r="P118" s="243">
        <v>21960</v>
      </c>
      <c r="Q118" s="243"/>
      <c r="R118" s="243">
        <f t="shared" si="19"/>
        <v>0</v>
      </c>
      <c r="S118" s="1">
        <v>2</v>
      </c>
    </row>
    <row r="119" spans="1:19">
      <c r="A119" s="374"/>
      <c r="B119" s="243" t="s">
        <v>19</v>
      </c>
      <c r="C119" s="243" t="s">
        <v>20</v>
      </c>
      <c r="D119" s="243" t="s">
        <v>16</v>
      </c>
      <c r="E119" s="243" t="s">
        <v>2020</v>
      </c>
      <c r="F119" s="243">
        <v>1953</v>
      </c>
      <c r="G119" s="243"/>
      <c r="H119" s="243">
        <v>16505</v>
      </c>
      <c r="I119" s="243">
        <v>250</v>
      </c>
      <c r="J119" s="243">
        <v>0.13</v>
      </c>
      <c r="K119" s="5">
        <f t="shared" si="15"/>
        <v>32.5</v>
      </c>
      <c r="L119" s="19">
        <f t="shared" si="16"/>
        <v>16472.5</v>
      </c>
      <c r="M119" s="19"/>
      <c r="N119" s="43">
        <f t="shared" si="17"/>
        <v>16472.5</v>
      </c>
      <c r="O119" s="5">
        <f t="shared" si="18"/>
        <v>1155.3499999999999</v>
      </c>
      <c r="P119" s="243">
        <v>22270</v>
      </c>
      <c r="Q119" s="243"/>
      <c r="R119" s="243">
        <f t="shared" si="19"/>
        <v>0</v>
      </c>
      <c r="S119" s="1">
        <v>3</v>
      </c>
    </row>
    <row r="120" spans="1:19">
      <c r="A120" s="374" t="s">
        <v>2022</v>
      </c>
      <c r="B120" s="244" t="s">
        <v>19</v>
      </c>
      <c r="C120" s="244" t="s">
        <v>20</v>
      </c>
      <c r="D120" s="244" t="s">
        <v>16</v>
      </c>
      <c r="E120" s="244" t="s">
        <v>2026</v>
      </c>
      <c r="F120" s="244">
        <v>1955</v>
      </c>
      <c r="G120" s="244"/>
      <c r="H120" s="244">
        <v>15820</v>
      </c>
      <c r="I120" s="244">
        <v>235</v>
      </c>
      <c r="J120" s="244">
        <v>0.13</v>
      </c>
      <c r="K120" s="5">
        <f t="shared" si="15"/>
        <v>30.55</v>
      </c>
      <c r="L120" s="19">
        <f t="shared" si="16"/>
        <v>15789.45</v>
      </c>
      <c r="M120" s="19"/>
      <c r="N120" s="43">
        <f t="shared" si="17"/>
        <v>15789.45</v>
      </c>
      <c r="O120" s="5">
        <f t="shared" si="18"/>
        <v>1107.4000000000001</v>
      </c>
      <c r="P120" s="244">
        <v>20840</v>
      </c>
      <c r="Q120" s="244"/>
      <c r="R120" s="244">
        <f t="shared" si="19"/>
        <v>0</v>
      </c>
      <c r="S120" s="1">
        <v>4</v>
      </c>
    </row>
    <row r="121" spans="1:19">
      <c r="A121" s="374"/>
      <c r="B121" s="244" t="s">
        <v>19</v>
      </c>
      <c r="C121" s="244" t="s">
        <v>20</v>
      </c>
      <c r="D121" s="244" t="s">
        <v>16</v>
      </c>
      <c r="E121" s="244" t="s">
        <v>1813</v>
      </c>
      <c r="F121" s="244">
        <v>1958</v>
      </c>
      <c r="G121" s="244"/>
      <c r="H121" s="244">
        <v>16560</v>
      </c>
      <c r="I121" s="244">
        <v>300</v>
      </c>
      <c r="J121" s="244">
        <v>0.13</v>
      </c>
      <c r="K121" s="5">
        <f t="shared" si="15"/>
        <v>39</v>
      </c>
      <c r="L121" s="19">
        <f t="shared" si="16"/>
        <v>16521</v>
      </c>
      <c r="M121" s="19"/>
      <c r="N121" s="43">
        <f t="shared" si="17"/>
        <v>16521</v>
      </c>
      <c r="O121" s="5">
        <f t="shared" si="18"/>
        <v>1159.1999999999998</v>
      </c>
      <c r="P121" s="244">
        <v>22300</v>
      </c>
      <c r="Q121" s="244"/>
      <c r="R121" s="244">
        <f t="shared" si="19"/>
        <v>0</v>
      </c>
      <c r="S121" s="1">
        <v>5</v>
      </c>
    </row>
    <row r="122" spans="1:19">
      <c r="A122" s="374"/>
      <c r="B122" s="244" t="s">
        <v>19</v>
      </c>
      <c r="C122" s="244" t="s">
        <v>20</v>
      </c>
      <c r="D122" s="244" t="s">
        <v>16</v>
      </c>
      <c r="E122" s="244" t="s">
        <v>2027</v>
      </c>
      <c r="F122" s="244">
        <v>1956</v>
      </c>
      <c r="G122" s="244"/>
      <c r="H122" s="244">
        <v>18480</v>
      </c>
      <c r="I122" s="244">
        <v>273</v>
      </c>
      <c r="J122" s="244">
        <v>0.13</v>
      </c>
      <c r="K122" s="5">
        <f t="shared" si="15"/>
        <v>35.49</v>
      </c>
      <c r="L122" s="19">
        <f t="shared" si="16"/>
        <v>18444.509999999998</v>
      </c>
      <c r="M122" s="19"/>
      <c r="N122" s="43">
        <f t="shared" si="17"/>
        <v>18444.509999999998</v>
      </c>
      <c r="O122" s="5">
        <f t="shared" si="18"/>
        <v>1293.6000000000001</v>
      </c>
      <c r="P122" s="244">
        <v>24960</v>
      </c>
      <c r="Q122" s="244"/>
      <c r="R122" s="244">
        <f t="shared" si="19"/>
        <v>0</v>
      </c>
      <c r="S122" s="1">
        <v>6</v>
      </c>
    </row>
    <row r="123" spans="1:19">
      <c r="A123" s="374"/>
      <c r="B123" s="244" t="s">
        <v>19</v>
      </c>
      <c r="C123" s="244" t="s">
        <v>20</v>
      </c>
      <c r="D123" s="244" t="s">
        <v>16</v>
      </c>
      <c r="E123" s="244" t="s">
        <v>1856</v>
      </c>
      <c r="F123" s="244">
        <v>1954</v>
      </c>
      <c r="G123" s="244"/>
      <c r="H123" s="244">
        <v>16360</v>
      </c>
      <c r="I123" s="244">
        <v>264</v>
      </c>
      <c r="J123" s="244">
        <v>0.13</v>
      </c>
      <c r="K123" s="5">
        <f t="shared" si="15"/>
        <v>34.32</v>
      </c>
      <c r="L123" s="19">
        <f t="shared" si="16"/>
        <v>16325.68</v>
      </c>
      <c r="M123" s="19"/>
      <c r="N123" s="43">
        <f t="shared" si="17"/>
        <v>16325.68</v>
      </c>
      <c r="O123" s="5">
        <f t="shared" si="18"/>
        <v>1145.2</v>
      </c>
      <c r="P123" s="244">
        <v>22070</v>
      </c>
      <c r="Q123" s="244"/>
      <c r="R123" s="244">
        <f t="shared" si="19"/>
        <v>0</v>
      </c>
      <c r="S123" s="1">
        <v>7</v>
      </c>
    </row>
    <row r="124" spans="1:19">
      <c r="A124" s="374"/>
      <c r="B124" s="244" t="s">
        <v>19</v>
      </c>
      <c r="C124" s="244" t="s">
        <v>20</v>
      </c>
      <c r="D124" s="244" t="s">
        <v>16</v>
      </c>
      <c r="E124" s="244" t="s">
        <v>1816</v>
      </c>
      <c r="F124" s="244">
        <v>1960</v>
      </c>
      <c r="G124" s="244"/>
      <c r="H124" s="244">
        <v>18380</v>
      </c>
      <c r="I124" s="244">
        <v>360</v>
      </c>
      <c r="J124" s="244">
        <v>0.13</v>
      </c>
      <c r="K124" s="5">
        <f t="shared" si="15"/>
        <v>46.800000000000004</v>
      </c>
      <c r="L124" s="19">
        <f t="shared" si="16"/>
        <v>18333.2</v>
      </c>
      <c r="M124" s="19"/>
      <c r="N124" s="43">
        <f t="shared" si="17"/>
        <v>18333.2</v>
      </c>
      <c r="O124" s="5">
        <f t="shared" si="18"/>
        <v>1286.5999999999999</v>
      </c>
      <c r="P124" s="244">
        <v>24800</v>
      </c>
      <c r="Q124" s="244"/>
      <c r="R124" s="244">
        <f t="shared" si="19"/>
        <v>0</v>
      </c>
      <c r="S124" s="1">
        <v>8</v>
      </c>
    </row>
    <row r="125" spans="1:19">
      <c r="A125" s="374"/>
      <c r="B125" s="244" t="s">
        <v>19</v>
      </c>
      <c r="C125" s="244" t="s">
        <v>20</v>
      </c>
      <c r="D125" s="244" t="s">
        <v>16</v>
      </c>
      <c r="E125" s="244" t="s">
        <v>1986</v>
      </c>
      <c r="F125" s="244">
        <v>1963</v>
      </c>
      <c r="G125" s="244"/>
      <c r="H125" s="244">
        <v>18330</v>
      </c>
      <c r="I125" s="244">
        <v>360</v>
      </c>
      <c r="J125" s="244">
        <v>0.13</v>
      </c>
      <c r="K125" s="5">
        <f t="shared" si="15"/>
        <v>46.800000000000004</v>
      </c>
      <c r="L125" s="19">
        <f t="shared" si="16"/>
        <v>18283.2</v>
      </c>
      <c r="M125" s="19"/>
      <c r="N125" s="43">
        <f t="shared" si="17"/>
        <v>18283.2</v>
      </c>
      <c r="O125" s="5">
        <f t="shared" si="18"/>
        <v>1283.0999999999999</v>
      </c>
      <c r="P125" s="244">
        <v>24800</v>
      </c>
      <c r="Q125" s="244"/>
      <c r="R125" s="244">
        <f t="shared" si="19"/>
        <v>0</v>
      </c>
      <c r="S125" s="1">
        <v>9</v>
      </c>
    </row>
    <row r="126" spans="1:19">
      <c r="A126" s="374"/>
      <c r="B126" s="244" t="s">
        <v>19</v>
      </c>
      <c r="C126" s="244" t="s">
        <v>20</v>
      </c>
      <c r="D126" s="244" t="s">
        <v>16</v>
      </c>
      <c r="E126" s="244" t="s">
        <v>1815</v>
      </c>
      <c r="F126" s="244">
        <v>1961</v>
      </c>
      <c r="G126" s="244"/>
      <c r="H126" s="244">
        <v>18810</v>
      </c>
      <c r="I126" s="244">
        <v>360</v>
      </c>
      <c r="J126" s="244">
        <v>0.13</v>
      </c>
      <c r="K126" s="5">
        <f t="shared" si="15"/>
        <v>46.800000000000004</v>
      </c>
      <c r="L126" s="19">
        <f t="shared" si="16"/>
        <v>18763.2</v>
      </c>
      <c r="M126" s="19"/>
      <c r="N126" s="43">
        <f t="shared" si="17"/>
        <v>18763.2</v>
      </c>
      <c r="O126" s="5">
        <f t="shared" si="18"/>
        <v>1316.6999999999998</v>
      </c>
      <c r="P126" s="244">
        <v>25400</v>
      </c>
      <c r="Q126" s="244"/>
      <c r="R126" s="244">
        <f t="shared" si="19"/>
        <v>0</v>
      </c>
      <c r="S126" s="1">
        <v>10</v>
      </c>
    </row>
    <row r="127" spans="1:19">
      <c r="A127" s="374" t="s">
        <v>2031</v>
      </c>
      <c r="B127" s="42" t="s">
        <v>19</v>
      </c>
      <c r="C127" s="42" t="s">
        <v>20</v>
      </c>
      <c r="D127" s="42" t="s">
        <v>16</v>
      </c>
      <c r="E127" s="42" t="s">
        <v>1926</v>
      </c>
      <c r="F127" s="42">
        <v>1965</v>
      </c>
      <c r="G127" s="42"/>
      <c r="H127" s="42">
        <v>17130</v>
      </c>
      <c r="I127" s="42">
        <v>340</v>
      </c>
      <c r="J127" s="42">
        <v>0.13</v>
      </c>
      <c r="K127" s="43">
        <f t="shared" si="15"/>
        <v>44.2</v>
      </c>
      <c r="L127" s="43">
        <f t="shared" si="16"/>
        <v>17085.8</v>
      </c>
      <c r="M127" s="43"/>
      <c r="N127" s="43">
        <f t="shared" si="17"/>
        <v>17085.8</v>
      </c>
      <c r="O127" s="43">
        <f t="shared" si="18"/>
        <v>1199.0999999999999</v>
      </c>
      <c r="P127" s="42">
        <v>23100</v>
      </c>
      <c r="Q127" s="42"/>
      <c r="R127" s="42">
        <f t="shared" si="19"/>
        <v>0</v>
      </c>
      <c r="S127" s="1">
        <v>11</v>
      </c>
    </row>
    <row r="128" spans="1:19">
      <c r="A128" s="374"/>
      <c r="B128" s="42" t="s">
        <v>19</v>
      </c>
      <c r="C128" s="42" t="s">
        <v>20</v>
      </c>
      <c r="D128" s="42" t="s">
        <v>16</v>
      </c>
      <c r="E128" s="42" t="s">
        <v>2032</v>
      </c>
      <c r="F128" s="42">
        <v>1966</v>
      </c>
      <c r="G128" s="42"/>
      <c r="H128" s="42">
        <v>16710</v>
      </c>
      <c r="I128" s="42">
        <v>324</v>
      </c>
      <c r="J128" s="42">
        <v>0.13</v>
      </c>
      <c r="K128" s="43">
        <f t="shared" si="15"/>
        <v>42.120000000000005</v>
      </c>
      <c r="L128" s="43">
        <f t="shared" si="16"/>
        <v>16667.88</v>
      </c>
      <c r="M128" s="43"/>
      <c r="N128" s="43">
        <f t="shared" si="17"/>
        <v>16667.88</v>
      </c>
      <c r="O128" s="43">
        <f t="shared" si="18"/>
        <v>1169.7</v>
      </c>
      <c r="P128" s="42">
        <v>22570</v>
      </c>
      <c r="Q128" s="42"/>
      <c r="R128" s="42">
        <f t="shared" si="19"/>
        <v>0</v>
      </c>
      <c r="S128" s="1">
        <v>12</v>
      </c>
    </row>
    <row r="129" spans="1:19">
      <c r="A129" s="374"/>
      <c r="B129" s="42" t="s">
        <v>19</v>
      </c>
      <c r="C129" s="42" t="s">
        <v>20</v>
      </c>
      <c r="D129" s="42" t="s">
        <v>16</v>
      </c>
      <c r="E129" s="42" t="s">
        <v>2030</v>
      </c>
      <c r="F129" s="42">
        <v>1959</v>
      </c>
      <c r="G129" s="42"/>
      <c r="H129" s="42">
        <v>15360</v>
      </c>
      <c r="I129" s="42">
        <v>235</v>
      </c>
      <c r="J129" s="42">
        <v>0.13</v>
      </c>
      <c r="K129" s="43">
        <f t="shared" si="15"/>
        <v>30.55</v>
      </c>
      <c r="L129" s="43">
        <f t="shared" si="16"/>
        <v>15329.45</v>
      </c>
      <c r="M129" s="43"/>
      <c r="N129" s="43">
        <f t="shared" si="17"/>
        <v>15329.45</v>
      </c>
      <c r="O129" s="43">
        <f t="shared" si="18"/>
        <v>1075.2</v>
      </c>
      <c r="P129" s="42">
        <v>20700</v>
      </c>
      <c r="Q129" s="42"/>
      <c r="R129" s="42">
        <f t="shared" si="19"/>
        <v>0</v>
      </c>
      <c r="S129" s="1">
        <v>13</v>
      </c>
    </row>
    <row r="130" spans="1:19">
      <c r="A130" s="374"/>
      <c r="B130" s="42" t="s">
        <v>19</v>
      </c>
      <c r="C130" s="42" t="s">
        <v>20</v>
      </c>
      <c r="D130" s="42" t="s">
        <v>16</v>
      </c>
      <c r="E130" s="42" t="s">
        <v>1862</v>
      </c>
      <c r="F130" s="42">
        <v>1964</v>
      </c>
      <c r="G130" s="42"/>
      <c r="H130" s="42">
        <v>18040</v>
      </c>
      <c r="I130" s="42">
        <v>285</v>
      </c>
      <c r="J130" s="42">
        <v>0.13</v>
      </c>
      <c r="K130" s="43">
        <f t="shared" si="15"/>
        <v>37.050000000000004</v>
      </c>
      <c r="L130" s="43">
        <f t="shared" si="16"/>
        <v>18002.95</v>
      </c>
      <c r="M130" s="43"/>
      <c r="N130" s="43">
        <f t="shared" si="17"/>
        <v>18002.95</v>
      </c>
      <c r="O130" s="43">
        <f t="shared" si="18"/>
        <v>1262.8</v>
      </c>
      <c r="P130" s="42">
        <v>23900</v>
      </c>
      <c r="Q130" s="42"/>
      <c r="R130" s="42">
        <f t="shared" si="19"/>
        <v>0</v>
      </c>
      <c r="S130" s="1">
        <v>14</v>
      </c>
    </row>
    <row r="131" spans="1:19">
      <c r="A131" s="374"/>
      <c r="B131" s="42" t="s">
        <v>19</v>
      </c>
      <c r="C131" s="42" t="s">
        <v>20</v>
      </c>
      <c r="D131" s="42" t="s">
        <v>16</v>
      </c>
      <c r="E131" s="42" t="s">
        <v>2033</v>
      </c>
      <c r="F131" s="42">
        <v>1957</v>
      </c>
      <c r="G131" s="42"/>
      <c r="H131" s="42">
        <v>18750</v>
      </c>
      <c r="I131" s="42">
        <v>280</v>
      </c>
      <c r="J131" s="42">
        <v>0.13</v>
      </c>
      <c r="K131" s="43">
        <f t="shared" si="15"/>
        <v>36.4</v>
      </c>
      <c r="L131" s="43">
        <f t="shared" si="16"/>
        <v>18713.599999999999</v>
      </c>
      <c r="M131" s="43"/>
      <c r="N131" s="43">
        <f t="shared" si="17"/>
        <v>18713.599999999999</v>
      </c>
      <c r="O131" s="43">
        <f t="shared" si="18"/>
        <v>1312.5</v>
      </c>
      <c r="P131" s="42">
        <v>25300</v>
      </c>
      <c r="Q131" s="42"/>
      <c r="R131" s="42">
        <f t="shared" si="19"/>
        <v>0</v>
      </c>
      <c r="S131" s="1">
        <v>15</v>
      </c>
    </row>
    <row r="132" spans="1:19">
      <c r="A132" s="374"/>
      <c r="B132" s="42" t="s">
        <v>19</v>
      </c>
      <c r="C132" s="42" t="s">
        <v>20</v>
      </c>
      <c r="D132" s="42" t="s">
        <v>16</v>
      </c>
      <c r="E132" s="42" t="s">
        <v>2034</v>
      </c>
      <c r="F132" s="42">
        <v>1952</v>
      </c>
      <c r="G132" s="42"/>
      <c r="H132" s="42">
        <v>15870</v>
      </c>
      <c r="I132" s="42">
        <v>250</v>
      </c>
      <c r="J132" s="42">
        <v>0.13</v>
      </c>
      <c r="K132" s="43">
        <f t="shared" si="15"/>
        <v>32.5</v>
      </c>
      <c r="L132" s="43">
        <f t="shared" si="16"/>
        <v>15837.5</v>
      </c>
      <c r="M132" s="43"/>
      <c r="N132" s="43">
        <f t="shared" si="17"/>
        <v>15837.5</v>
      </c>
      <c r="O132" s="43">
        <f t="shared" si="18"/>
        <v>1110.8999999999999</v>
      </c>
      <c r="P132" s="42">
        <v>21400</v>
      </c>
      <c r="Q132" s="42"/>
      <c r="R132" s="42">
        <f t="shared" si="19"/>
        <v>0</v>
      </c>
      <c r="S132" s="1">
        <v>16</v>
      </c>
    </row>
    <row r="133" spans="1:19">
      <c r="A133" s="374"/>
      <c r="B133" s="42" t="s">
        <v>19</v>
      </c>
      <c r="C133" s="42" t="s">
        <v>20</v>
      </c>
      <c r="D133" s="42" t="s">
        <v>16</v>
      </c>
      <c r="E133" s="42" t="s">
        <v>2035</v>
      </c>
      <c r="F133" s="42">
        <v>1967</v>
      </c>
      <c r="G133" s="42"/>
      <c r="H133" s="42">
        <v>16000</v>
      </c>
      <c r="I133" s="42">
        <v>315</v>
      </c>
      <c r="J133" s="42">
        <v>0.13</v>
      </c>
      <c r="K133" s="43">
        <f t="shared" si="15"/>
        <v>40.950000000000003</v>
      </c>
      <c r="L133" s="43">
        <f t="shared" si="16"/>
        <v>15959.05</v>
      </c>
      <c r="M133" s="43"/>
      <c r="N133" s="43">
        <f t="shared" si="17"/>
        <v>15959.05</v>
      </c>
      <c r="O133" s="43">
        <f t="shared" si="18"/>
        <v>1120</v>
      </c>
      <c r="P133" s="42">
        <v>21600</v>
      </c>
      <c r="Q133" s="42"/>
      <c r="R133" s="42">
        <f t="shared" si="19"/>
        <v>0</v>
      </c>
      <c r="S133" s="1">
        <v>17</v>
      </c>
    </row>
    <row r="136" spans="1:19">
      <c r="H136" s="1">
        <f>SUM(H117:H135)</f>
        <v>290085</v>
      </c>
      <c r="K136" s="1">
        <f t="shared" ref="K136:P136" si="20">SUM(K117:K135)</f>
        <v>651.69000000000005</v>
      </c>
      <c r="L136" s="1">
        <f t="shared" si="20"/>
        <v>289433.31000000006</v>
      </c>
      <c r="M136" s="1">
        <f t="shared" si="20"/>
        <v>0</v>
      </c>
      <c r="N136" s="1">
        <f t="shared" si="20"/>
        <v>289433.31000000006</v>
      </c>
      <c r="O136" s="1">
        <f t="shared" si="20"/>
        <v>20305.950000000004</v>
      </c>
      <c r="P136" s="1">
        <f t="shared" si="20"/>
        <v>390570</v>
      </c>
    </row>
    <row r="138" spans="1:19">
      <c r="A138" s="1" t="s">
        <v>2094</v>
      </c>
      <c r="B138" s="42" t="s">
        <v>19</v>
      </c>
      <c r="C138" s="42" t="s">
        <v>20</v>
      </c>
      <c r="D138" s="42" t="s">
        <v>16</v>
      </c>
      <c r="E138" s="42" t="s">
        <v>2097</v>
      </c>
      <c r="F138" s="42">
        <v>1974</v>
      </c>
      <c r="G138" s="42"/>
      <c r="H138" s="42">
        <v>16420</v>
      </c>
      <c r="I138" s="42">
        <v>310</v>
      </c>
      <c r="J138" s="42">
        <v>0.13</v>
      </c>
      <c r="K138" s="43">
        <f t="shared" ref="K138:K149" si="21">I138*J138</f>
        <v>40.300000000000004</v>
      </c>
      <c r="L138" s="43">
        <f t="shared" ref="L138:L149" si="22">H138-K138</f>
        <v>16379.7</v>
      </c>
      <c r="M138" s="43"/>
      <c r="N138" s="43">
        <f t="shared" ref="N138:N149" si="23">L138-M138</f>
        <v>16379.7</v>
      </c>
      <c r="O138" s="43">
        <f t="shared" ref="O138:O149" si="24">H138/1000*70</f>
        <v>1149.4000000000001</v>
      </c>
      <c r="P138" s="42">
        <v>24630</v>
      </c>
      <c r="Q138" s="42"/>
      <c r="R138" s="42">
        <f t="shared" ref="R138:R149" si="25">L138*Q138</f>
        <v>0</v>
      </c>
      <c r="S138" s="1">
        <v>1</v>
      </c>
    </row>
    <row r="139" spans="1:19">
      <c r="A139" s="374" t="s">
        <v>2103</v>
      </c>
      <c r="B139" s="42" t="s">
        <v>19</v>
      </c>
      <c r="C139" s="42" t="s">
        <v>20</v>
      </c>
      <c r="D139" s="42" t="s">
        <v>16</v>
      </c>
      <c r="E139" s="42" t="s">
        <v>1837</v>
      </c>
      <c r="F139" s="42">
        <v>1980</v>
      </c>
      <c r="G139" s="42"/>
      <c r="H139" s="42">
        <v>14260</v>
      </c>
      <c r="I139" s="42">
        <v>248</v>
      </c>
      <c r="J139" s="42">
        <v>0.13</v>
      </c>
      <c r="K139" s="43">
        <f t="shared" si="21"/>
        <v>32.24</v>
      </c>
      <c r="L139" s="43">
        <f t="shared" si="22"/>
        <v>14227.76</v>
      </c>
      <c r="M139" s="43"/>
      <c r="N139" s="43">
        <f t="shared" si="23"/>
        <v>14227.76</v>
      </c>
      <c r="O139" s="43">
        <f t="shared" si="24"/>
        <v>998.19999999999993</v>
      </c>
      <c r="P139" s="42">
        <v>22720</v>
      </c>
      <c r="Q139" s="42"/>
      <c r="R139" s="42">
        <f t="shared" si="25"/>
        <v>0</v>
      </c>
      <c r="S139" s="1">
        <v>2</v>
      </c>
    </row>
    <row r="140" spans="1:19">
      <c r="A140" s="374"/>
      <c r="B140" s="42" t="s">
        <v>19</v>
      </c>
      <c r="C140" s="42" t="s">
        <v>20</v>
      </c>
      <c r="D140" s="42" t="s">
        <v>16</v>
      </c>
      <c r="E140" s="42" t="s">
        <v>2104</v>
      </c>
      <c r="F140" s="42">
        <v>1976</v>
      </c>
      <c r="G140" s="42"/>
      <c r="H140" s="42">
        <v>16130</v>
      </c>
      <c r="I140" s="42">
        <v>245</v>
      </c>
      <c r="J140" s="42">
        <v>0.13</v>
      </c>
      <c r="K140" s="43">
        <f t="shared" si="21"/>
        <v>31.85</v>
      </c>
      <c r="L140" s="43">
        <f t="shared" si="22"/>
        <v>16098.15</v>
      </c>
      <c r="M140" s="43"/>
      <c r="N140" s="43">
        <f t="shared" si="23"/>
        <v>16098.15</v>
      </c>
      <c r="O140" s="43">
        <f t="shared" si="24"/>
        <v>1129.0999999999999</v>
      </c>
      <c r="P140" s="42">
        <v>25900</v>
      </c>
      <c r="Q140" s="42"/>
      <c r="R140" s="42">
        <f t="shared" si="25"/>
        <v>0</v>
      </c>
      <c r="S140" s="1">
        <v>3</v>
      </c>
    </row>
    <row r="141" spans="1:19">
      <c r="A141" s="374"/>
      <c r="B141" s="42" t="s">
        <v>19</v>
      </c>
      <c r="C141" s="42" t="s">
        <v>20</v>
      </c>
      <c r="D141" s="42" t="s">
        <v>16</v>
      </c>
      <c r="E141" s="42" t="s">
        <v>2105</v>
      </c>
      <c r="F141" s="42">
        <v>1979</v>
      </c>
      <c r="G141" s="42"/>
      <c r="H141" s="42">
        <v>14650</v>
      </c>
      <c r="I141" s="42">
        <v>250</v>
      </c>
      <c r="J141" s="42">
        <v>0.13</v>
      </c>
      <c r="K141" s="43">
        <f t="shared" si="21"/>
        <v>32.5</v>
      </c>
      <c r="L141" s="43">
        <f t="shared" si="22"/>
        <v>14617.5</v>
      </c>
      <c r="M141" s="43"/>
      <c r="N141" s="43">
        <f t="shared" si="23"/>
        <v>14617.5</v>
      </c>
      <c r="O141" s="43">
        <f t="shared" si="24"/>
        <v>1025.5</v>
      </c>
      <c r="P141" s="42">
        <v>23460</v>
      </c>
      <c r="Q141" s="42"/>
      <c r="R141" s="42">
        <f t="shared" si="25"/>
        <v>0</v>
      </c>
      <c r="S141" s="1">
        <v>4</v>
      </c>
    </row>
    <row r="142" spans="1:19">
      <c r="A142" s="374" t="s">
        <v>2106</v>
      </c>
      <c r="B142" s="42" t="s">
        <v>19</v>
      </c>
      <c r="C142" s="42" t="s">
        <v>20</v>
      </c>
      <c r="D142" s="42" t="s">
        <v>16</v>
      </c>
      <c r="E142" s="42" t="s">
        <v>2109</v>
      </c>
      <c r="F142" s="42">
        <v>1977</v>
      </c>
      <c r="G142" s="42"/>
      <c r="H142" s="42">
        <v>16280</v>
      </c>
      <c r="I142" s="42">
        <v>247</v>
      </c>
      <c r="J142" s="42">
        <v>0.13</v>
      </c>
      <c r="K142" s="43">
        <f t="shared" si="21"/>
        <v>32.11</v>
      </c>
      <c r="L142" s="43">
        <f t="shared" si="22"/>
        <v>16247.89</v>
      </c>
      <c r="M142" s="43"/>
      <c r="N142" s="43">
        <f t="shared" si="23"/>
        <v>16247.89</v>
      </c>
      <c r="O142" s="43">
        <f t="shared" si="24"/>
        <v>1139.6000000000001</v>
      </c>
      <c r="P142" s="42">
        <v>26060</v>
      </c>
      <c r="Q142" s="42"/>
      <c r="R142" s="42">
        <f t="shared" si="25"/>
        <v>0</v>
      </c>
      <c r="S142" s="1">
        <v>5</v>
      </c>
    </row>
    <row r="143" spans="1:19">
      <c r="A143" s="374"/>
      <c r="B143" s="42" t="s">
        <v>19</v>
      </c>
      <c r="C143" s="42" t="s">
        <v>20</v>
      </c>
      <c r="D143" s="42" t="s">
        <v>16</v>
      </c>
      <c r="E143" s="42" t="s">
        <v>2097</v>
      </c>
      <c r="F143" s="42">
        <v>1978</v>
      </c>
      <c r="G143" s="42"/>
      <c r="H143" s="42">
        <v>16600</v>
      </c>
      <c r="I143" s="42">
        <v>260</v>
      </c>
      <c r="J143" s="42">
        <v>0.13</v>
      </c>
      <c r="K143" s="43">
        <f t="shared" si="21"/>
        <v>33.800000000000004</v>
      </c>
      <c r="L143" s="43">
        <f t="shared" si="22"/>
        <v>16566.2</v>
      </c>
      <c r="M143" s="43"/>
      <c r="N143" s="43">
        <f t="shared" si="23"/>
        <v>16566.2</v>
      </c>
      <c r="O143" s="43">
        <f t="shared" si="24"/>
        <v>1162</v>
      </c>
      <c r="P143" s="42">
        <v>26540</v>
      </c>
      <c r="Q143" s="42"/>
      <c r="R143" s="42">
        <f t="shared" si="25"/>
        <v>0</v>
      </c>
      <c r="S143" s="1">
        <v>6</v>
      </c>
    </row>
    <row r="144" spans="1:19">
      <c r="A144" s="374" t="s">
        <v>2110</v>
      </c>
      <c r="B144" s="42" t="s">
        <v>2114</v>
      </c>
      <c r="C144" s="42" t="s">
        <v>20</v>
      </c>
      <c r="D144" s="42" t="s">
        <v>16</v>
      </c>
      <c r="E144" s="42" t="s">
        <v>2113</v>
      </c>
      <c r="F144" s="42">
        <v>1701</v>
      </c>
      <c r="G144" s="42"/>
      <c r="H144" s="42">
        <v>15000</v>
      </c>
      <c r="I144" s="42">
        <v>240</v>
      </c>
      <c r="J144" s="42">
        <v>0.13</v>
      </c>
      <c r="K144" s="43">
        <f t="shared" si="21"/>
        <v>31.200000000000003</v>
      </c>
      <c r="L144" s="43">
        <f t="shared" si="22"/>
        <v>14968.8</v>
      </c>
      <c r="M144" s="43"/>
      <c r="N144" s="43">
        <f t="shared" si="23"/>
        <v>14968.8</v>
      </c>
      <c r="O144" s="43">
        <f t="shared" si="24"/>
        <v>1050</v>
      </c>
      <c r="P144" s="42">
        <v>24000</v>
      </c>
      <c r="Q144" s="42"/>
      <c r="R144" s="42">
        <f t="shared" si="25"/>
        <v>0</v>
      </c>
      <c r="S144" s="1">
        <v>7</v>
      </c>
    </row>
    <row r="145" spans="1:19">
      <c r="A145" s="374"/>
      <c r="B145" s="42" t="s">
        <v>2114</v>
      </c>
      <c r="C145" s="42" t="s">
        <v>20</v>
      </c>
      <c r="D145" s="42" t="s">
        <v>16</v>
      </c>
      <c r="E145" s="42" t="s">
        <v>2115</v>
      </c>
      <c r="F145" s="42">
        <v>1983</v>
      </c>
      <c r="G145" s="42"/>
      <c r="H145" s="42">
        <v>17270</v>
      </c>
      <c r="I145" s="42">
        <v>263</v>
      </c>
      <c r="J145" s="42">
        <v>0.13</v>
      </c>
      <c r="K145" s="43">
        <f t="shared" si="21"/>
        <v>34.19</v>
      </c>
      <c r="L145" s="43">
        <f t="shared" si="22"/>
        <v>17235.810000000001</v>
      </c>
      <c r="M145" s="43"/>
      <c r="N145" s="43">
        <f t="shared" si="23"/>
        <v>17235.810000000001</v>
      </c>
      <c r="O145" s="43">
        <f t="shared" si="24"/>
        <v>1208.8999999999999</v>
      </c>
      <c r="P145" s="42">
        <v>27630</v>
      </c>
      <c r="Q145" s="42"/>
      <c r="R145" s="42">
        <f t="shared" si="25"/>
        <v>0</v>
      </c>
      <c r="S145" s="1">
        <v>8</v>
      </c>
    </row>
    <row r="146" spans="1:19">
      <c r="A146" s="374"/>
      <c r="B146" s="42" t="s">
        <v>2114</v>
      </c>
      <c r="C146" s="42" t="s">
        <v>20</v>
      </c>
      <c r="D146" s="42" t="s">
        <v>16</v>
      </c>
      <c r="E146" s="42" t="s">
        <v>1866</v>
      </c>
      <c r="F146" s="42">
        <v>1982</v>
      </c>
      <c r="G146" s="42"/>
      <c r="H146" s="42">
        <v>18290</v>
      </c>
      <c r="I146" s="42">
        <v>276</v>
      </c>
      <c r="J146" s="42">
        <v>0.13</v>
      </c>
      <c r="K146" s="43">
        <f t="shared" si="21"/>
        <v>35.880000000000003</v>
      </c>
      <c r="L146" s="43">
        <f t="shared" si="22"/>
        <v>18254.12</v>
      </c>
      <c r="M146" s="43"/>
      <c r="N146" s="43">
        <f t="shared" si="23"/>
        <v>18254.12</v>
      </c>
      <c r="O146" s="43">
        <f t="shared" si="24"/>
        <v>1280.3</v>
      </c>
      <c r="P146" s="42">
        <v>29250</v>
      </c>
      <c r="Q146" s="42"/>
      <c r="R146" s="42">
        <f t="shared" si="25"/>
        <v>0</v>
      </c>
      <c r="S146" s="1">
        <v>9</v>
      </c>
    </row>
    <row r="147" spans="1:19">
      <c r="A147" s="374"/>
      <c r="B147" s="42" t="s">
        <v>2114</v>
      </c>
      <c r="C147" s="42" t="s">
        <v>20</v>
      </c>
      <c r="D147" s="42" t="s">
        <v>16</v>
      </c>
      <c r="E147" s="42" t="s">
        <v>2116</v>
      </c>
      <c r="F147" s="42">
        <v>1702</v>
      </c>
      <c r="G147" s="42"/>
      <c r="H147" s="42">
        <v>14800</v>
      </c>
      <c r="I147" s="42">
        <v>280</v>
      </c>
      <c r="J147" s="42">
        <v>0.13</v>
      </c>
      <c r="K147" s="43">
        <f t="shared" si="21"/>
        <v>36.4</v>
      </c>
      <c r="L147" s="43">
        <f t="shared" si="22"/>
        <v>14763.6</v>
      </c>
      <c r="M147" s="43"/>
      <c r="N147" s="43">
        <f t="shared" si="23"/>
        <v>14763.6</v>
      </c>
      <c r="O147" s="43">
        <f t="shared" si="24"/>
        <v>1036</v>
      </c>
      <c r="P147" s="42">
        <v>23700</v>
      </c>
      <c r="Q147" s="42"/>
      <c r="R147" s="42">
        <f t="shared" si="25"/>
        <v>0</v>
      </c>
      <c r="S147" s="1">
        <v>10</v>
      </c>
    </row>
    <row r="148" spans="1:19">
      <c r="A148" s="374"/>
      <c r="B148" s="42" t="s">
        <v>2114</v>
      </c>
      <c r="C148" s="42" t="s">
        <v>20</v>
      </c>
      <c r="D148" s="42" t="s">
        <v>16</v>
      </c>
      <c r="E148" s="42" t="s">
        <v>2117</v>
      </c>
      <c r="F148" s="42">
        <v>1981</v>
      </c>
      <c r="G148" s="42"/>
      <c r="H148" s="42">
        <v>15810</v>
      </c>
      <c r="I148" s="42">
        <v>313</v>
      </c>
      <c r="J148" s="42">
        <v>0.13</v>
      </c>
      <c r="K148" s="43">
        <f t="shared" si="21"/>
        <v>40.690000000000005</v>
      </c>
      <c r="L148" s="43">
        <f t="shared" si="22"/>
        <v>15769.31</v>
      </c>
      <c r="M148" s="43"/>
      <c r="N148" s="43">
        <f t="shared" si="23"/>
        <v>15769.31</v>
      </c>
      <c r="O148" s="43">
        <f t="shared" si="24"/>
        <v>1106.7</v>
      </c>
      <c r="P148" s="42">
        <v>25300</v>
      </c>
      <c r="Q148" s="42"/>
      <c r="R148" s="42">
        <f t="shared" si="25"/>
        <v>0</v>
      </c>
      <c r="S148" s="1">
        <v>11</v>
      </c>
    </row>
    <row r="149" spans="1:19">
      <c r="A149" s="1" t="s">
        <v>2158</v>
      </c>
      <c r="B149" s="42" t="s">
        <v>2114</v>
      </c>
      <c r="C149" s="42" t="s">
        <v>20</v>
      </c>
      <c r="D149" s="42" t="s">
        <v>16</v>
      </c>
      <c r="E149" s="42" t="s">
        <v>2159</v>
      </c>
      <c r="F149" s="42">
        <v>1703</v>
      </c>
      <c r="G149" s="42"/>
      <c r="H149" s="42">
        <v>19220</v>
      </c>
      <c r="I149" s="42">
        <v>284</v>
      </c>
      <c r="J149" s="42">
        <v>0.13</v>
      </c>
      <c r="K149" s="43">
        <f t="shared" si="21"/>
        <v>36.92</v>
      </c>
      <c r="L149" s="43">
        <f t="shared" si="22"/>
        <v>19183.080000000002</v>
      </c>
      <c r="M149" s="43"/>
      <c r="N149" s="43">
        <f t="shared" si="23"/>
        <v>19183.080000000002</v>
      </c>
      <c r="O149" s="43">
        <f t="shared" si="24"/>
        <v>1345.3999999999999</v>
      </c>
      <c r="P149" s="42">
        <v>30800</v>
      </c>
      <c r="Q149" s="42"/>
      <c r="R149" s="42">
        <f t="shared" si="25"/>
        <v>0</v>
      </c>
      <c r="S149" s="1">
        <v>12</v>
      </c>
    </row>
    <row r="152" spans="1:19">
      <c r="H152" s="1">
        <f>SUM(H138:H151)</f>
        <v>194730</v>
      </c>
      <c r="I152" s="1">
        <f t="shared" ref="I152:P152" si="26">SUM(I138:I151)</f>
        <v>3216</v>
      </c>
      <c r="J152" s="1">
        <f t="shared" si="26"/>
        <v>1.5599999999999996</v>
      </c>
      <c r="K152" s="1">
        <f t="shared" si="26"/>
        <v>418.08</v>
      </c>
      <c r="L152" s="1">
        <f t="shared" si="26"/>
        <v>194311.91999999998</v>
      </c>
      <c r="M152" s="1">
        <f t="shared" si="26"/>
        <v>0</v>
      </c>
      <c r="N152" s="1">
        <f t="shared" si="26"/>
        <v>194311.91999999998</v>
      </c>
      <c r="O152" s="1">
        <f t="shared" si="26"/>
        <v>13631.1</v>
      </c>
      <c r="P152" s="1">
        <f t="shared" si="26"/>
        <v>309990</v>
      </c>
    </row>
    <row r="155" spans="1:19">
      <c r="A155" s="374" t="s">
        <v>2807</v>
      </c>
      <c r="B155" s="294" t="s">
        <v>2811</v>
      </c>
      <c r="C155" s="42" t="s">
        <v>20</v>
      </c>
      <c r="D155" s="42" t="s">
        <v>16</v>
      </c>
      <c r="E155" s="42" t="s">
        <v>2810</v>
      </c>
      <c r="F155" s="42">
        <v>4646</v>
      </c>
      <c r="G155" s="42"/>
      <c r="H155" s="42">
        <v>16840</v>
      </c>
      <c r="I155" s="42">
        <v>340</v>
      </c>
      <c r="J155" s="42">
        <v>0.13</v>
      </c>
      <c r="K155" s="43">
        <f t="shared" ref="K155:K174" si="27">I155*J155</f>
        <v>44.2</v>
      </c>
      <c r="L155" s="43">
        <f t="shared" ref="L155:L174" si="28">H155-K155</f>
        <v>16795.8</v>
      </c>
      <c r="M155" s="43"/>
      <c r="N155" s="43">
        <f t="shared" ref="N155:N174" si="29">L155-M155</f>
        <v>16795.8</v>
      </c>
      <c r="O155" s="43">
        <f t="shared" ref="O155:O174" si="30">H155/1000*70</f>
        <v>1178.8</v>
      </c>
      <c r="P155" s="42">
        <v>19870</v>
      </c>
      <c r="Q155" s="42"/>
      <c r="R155" s="42">
        <f t="shared" ref="R155:R174" si="31">L155*Q155</f>
        <v>0</v>
      </c>
      <c r="S155" s="1">
        <v>1</v>
      </c>
    </row>
    <row r="156" spans="1:19">
      <c r="A156" s="374"/>
      <c r="B156" s="294" t="s">
        <v>2811</v>
      </c>
      <c r="C156" s="42" t="s">
        <v>20</v>
      </c>
      <c r="D156" s="42" t="s">
        <v>16</v>
      </c>
      <c r="E156" s="42" t="s">
        <v>2812</v>
      </c>
      <c r="F156" s="42">
        <v>4651</v>
      </c>
      <c r="G156" s="42"/>
      <c r="H156" s="42">
        <v>18160</v>
      </c>
      <c r="I156" s="42">
        <v>360</v>
      </c>
      <c r="J156" s="42">
        <v>0.13</v>
      </c>
      <c r="K156" s="43">
        <f t="shared" si="27"/>
        <v>46.800000000000004</v>
      </c>
      <c r="L156" s="43">
        <f t="shared" si="28"/>
        <v>18113.2</v>
      </c>
      <c r="M156" s="43"/>
      <c r="N156" s="43">
        <f t="shared" si="29"/>
        <v>18113.2</v>
      </c>
      <c r="O156" s="43">
        <f t="shared" si="30"/>
        <v>1271.2</v>
      </c>
      <c r="P156" s="42">
        <v>21425</v>
      </c>
      <c r="Q156" s="42"/>
      <c r="R156" s="42">
        <f t="shared" si="31"/>
        <v>0</v>
      </c>
      <c r="S156" s="1">
        <v>2</v>
      </c>
    </row>
    <row r="157" spans="1:19">
      <c r="A157" s="374" t="s">
        <v>2813</v>
      </c>
      <c r="B157" s="295" t="s">
        <v>2811</v>
      </c>
      <c r="C157" s="42" t="s">
        <v>20</v>
      </c>
      <c r="D157" s="42" t="s">
        <v>16</v>
      </c>
      <c r="E157" s="42" t="s">
        <v>2814</v>
      </c>
      <c r="F157" s="42">
        <v>4648</v>
      </c>
      <c r="G157" s="42"/>
      <c r="H157" s="42">
        <v>16750</v>
      </c>
      <c r="I157" s="42">
        <v>330</v>
      </c>
      <c r="J157" s="42">
        <v>0.13</v>
      </c>
      <c r="K157" s="43">
        <f t="shared" si="27"/>
        <v>42.9</v>
      </c>
      <c r="L157" s="43">
        <f t="shared" si="28"/>
        <v>16707.099999999999</v>
      </c>
      <c r="M157" s="43"/>
      <c r="N157" s="43">
        <f t="shared" si="29"/>
        <v>16707.099999999999</v>
      </c>
      <c r="O157" s="43">
        <f t="shared" si="30"/>
        <v>1172.5</v>
      </c>
      <c r="P157" s="42">
        <v>19765</v>
      </c>
      <c r="Q157" s="42"/>
      <c r="R157" s="42">
        <f t="shared" si="31"/>
        <v>0</v>
      </c>
      <c r="S157" s="1">
        <v>3</v>
      </c>
    </row>
    <row r="158" spans="1:19">
      <c r="A158" s="374"/>
      <c r="B158" s="295" t="s">
        <v>2811</v>
      </c>
      <c r="C158" s="42" t="s">
        <v>20</v>
      </c>
      <c r="D158" s="42" t="s">
        <v>16</v>
      </c>
      <c r="E158" s="42" t="s">
        <v>2815</v>
      </c>
      <c r="F158" s="42">
        <v>4649</v>
      </c>
      <c r="G158" s="42"/>
      <c r="H158" s="42">
        <v>16960</v>
      </c>
      <c r="I158" s="42">
        <v>340</v>
      </c>
      <c r="J158" s="42">
        <v>0.13</v>
      </c>
      <c r="K158" s="43">
        <f t="shared" si="27"/>
        <v>44.2</v>
      </c>
      <c r="L158" s="43">
        <f t="shared" si="28"/>
        <v>16915.8</v>
      </c>
      <c r="M158" s="43"/>
      <c r="N158" s="43">
        <f t="shared" si="29"/>
        <v>16915.8</v>
      </c>
      <c r="O158" s="43">
        <f t="shared" si="30"/>
        <v>1187.2</v>
      </c>
      <c r="P158" s="42">
        <v>20010</v>
      </c>
      <c r="Q158" s="42"/>
      <c r="R158" s="42">
        <f t="shared" si="31"/>
        <v>0</v>
      </c>
      <c r="S158" s="1">
        <v>4</v>
      </c>
    </row>
    <row r="159" spans="1:19">
      <c r="A159" s="374"/>
      <c r="B159" s="295" t="s">
        <v>2811</v>
      </c>
      <c r="C159" s="42" t="s">
        <v>20</v>
      </c>
      <c r="D159" s="42" t="s">
        <v>16</v>
      </c>
      <c r="E159" s="42" t="s">
        <v>2816</v>
      </c>
      <c r="F159" s="42">
        <v>4647</v>
      </c>
      <c r="G159" s="42"/>
      <c r="H159" s="42">
        <v>16410</v>
      </c>
      <c r="I159" s="42">
        <v>330</v>
      </c>
      <c r="J159" s="42">
        <v>0.13</v>
      </c>
      <c r="K159" s="43">
        <f t="shared" si="27"/>
        <v>42.9</v>
      </c>
      <c r="L159" s="43">
        <f t="shared" si="28"/>
        <v>16367.1</v>
      </c>
      <c r="M159" s="43"/>
      <c r="N159" s="43">
        <f t="shared" si="29"/>
        <v>16367.1</v>
      </c>
      <c r="O159" s="43">
        <f t="shared" si="30"/>
        <v>1148.7</v>
      </c>
      <c r="P159" s="42">
        <v>19350</v>
      </c>
      <c r="Q159" s="42"/>
      <c r="R159" s="42">
        <f t="shared" si="31"/>
        <v>0</v>
      </c>
      <c r="S159" s="1">
        <v>5</v>
      </c>
    </row>
    <row r="160" spans="1:19">
      <c r="A160" s="374"/>
      <c r="B160" s="295" t="s">
        <v>2811</v>
      </c>
      <c r="C160" s="42" t="s">
        <v>20</v>
      </c>
      <c r="D160" s="42" t="s">
        <v>16</v>
      </c>
      <c r="E160" s="42" t="s">
        <v>2817</v>
      </c>
      <c r="F160" s="42">
        <v>4650</v>
      </c>
      <c r="G160" s="42"/>
      <c r="H160" s="42">
        <v>18280</v>
      </c>
      <c r="I160" s="42">
        <v>360</v>
      </c>
      <c r="J160" s="42">
        <v>0.13</v>
      </c>
      <c r="K160" s="43">
        <f t="shared" si="27"/>
        <v>46.800000000000004</v>
      </c>
      <c r="L160" s="43">
        <f t="shared" si="28"/>
        <v>18233.2</v>
      </c>
      <c r="M160" s="43"/>
      <c r="N160" s="43">
        <f t="shared" si="29"/>
        <v>18233.2</v>
      </c>
      <c r="O160" s="43">
        <f t="shared" si="30"/>
        <v>1279.6000000000001</v>
      </c>
      <c r="P160" s="42">
        <v>21615</v>
      </c>
      <c r="Q160" s="42"/>
      <c r="R160" s="42">
        <f t="shared" si="31"/>
        <v>0</v>
      </c>
      <c r="S160" s="1">
        <v>6</v>
      </c>
    </row>
    <row r="161" spans="1:19">
      <c r="A161" s="374" t="s">
        <v>2824</v>
      </c>
      <c r="B161" s="295" t="s">
        <v>2811</v>
      </c>
      <c r="C161" s="42" t="s">
        <v>20</v>
      </c>
      <c r="D161" s="42" t="s">
        <v>16</v>
      </c>
      <c r="E161" s="42" t="s">
        <v>2825</v>
      </c>
      <c r="F161" s="42">
        <v>4655</v>
      </c>
      <c r="G161" s="42"/>
      <c r="H161" s="42">
        <v>17050</v>
      </c>
      <c r="I161" s="42">
        <v>342</v>
      </c>
      <c r="J161" s="42">
        <v>0.13</v>
      </c>
      <c r="K161" s="43">
        <f t="shared" si="27"/>
        <v>44.46</v>
      </c>
      <c r="L161" s="43">
        <f t="shared" si="28"/>
        <v>17005.54</v>
      </c>
      <c r="M161" s="43"/>
      <c r="N161" s="43">
        <f t="shared" si="29"/>
        <v>17005.54</v>
      </c>
      <c r="O161" s="43">
        <f t="shared" si="30"/>
        <v>1193.5</v>
      </c>
      <c r="P161" s="42">
        <v>19600</v>
      </c>
      <c r="Q161" s="42"/>
      <c r="R161" s="42">
        <f t="shared" si="31"/>
        <v>0</v>
      </c>
      <c r="S161" s="1">
        <v>7</v>
      </c>
    </row>
    <row r="162" spans="1:19">
      <c r="A162" s="374"/>
      <c r="B162" s="295" t="s">
        <v>2811</v>
      </c>
      <c r="C162" s="42" t="s">
        <v>20</v>
      </c>
      <c r="D162" s="42" t="s">
        <v>16</v>
      </c>
      <c r="E162" s="42" t="s">
        <v>2826</v>
      </c>
      <c r="F162" s="42">
        <v>4652</v>
      </c>
      <c r="G162" s="42"/>
      <c r="H162" s="42">
        <v>17280</v>
      </c>
      <c r="I162" s="42">
        <v>350</v>
      </c>
      <c r="J162" s="42">
        <v>0.13</v>
      </c>
      <c r="K162" s="43">
        <f t="shared" si="27"/>
        <v>45.5</v>
      </c>
      <c r="L162" s="43">
        <f t="shared" si="28"/>
        <v>17234.5</v>
      </c>
      <c r="M162" s="43"/>
      <c r="N162" s="43">
        <f t="shared" si="29"/>
        <v>17234.5</v>
      </c>
      <c r="O162" s="43">
        <f t="shared" si="30"/>
        <v>1209.6000000000001</v>
      </c>
      <c r="P162" s="42">
        <v>20370</v>
      </c>
      <c r="Q162" s="42"/>
      <c r="R162" s="42">
        <f t="shared" si="31"/>
        <v>0</v>
      </c>
      <c r="S162" s="1">
        <v>8</v>
      </c>
    </row>
    <row r="163" spans="1:19">
      <c r="A163" s="374"/>
      <c r="B163" s="295" t="s">
        <v>2811</v>
      </c>
      <c r="C163" s="42" t="s">
        <v>20</v>
      </c>
      <c r="D163" s="42" t="s">
        <v>16</v>
      </c>
      <c r="E163" s="42" t="s">
        <v>2827</v>
      </c>
      <c r="F163" s="42">
        <v>4660</v>
      </c>
      <c r="G163" s="42"/>
      <c r="H163" s="42">
        <v>17300</v>
      </c>
      <c r="I163" s="42">
        <v>342</v>
      </c>
      <c r="J163" s="42">
        <v>0.13</v>
      </c>
      <c r="K163" s="43">
        <f t="shared" si="27"/>
        <v>44.46</v>
      </c>
      <c r="L163" s="43">
        <f t="shared" si="28"/>
        <v>17255.54</v>
      </c>
      <c r="M163" s="43"/>
      <c r="N163" s="43">
        <f t="shared" si="29"/>
        <v>17255.54</v>
      </c>
      <c r="O163" s="43">
        <f t="shared" si="30"/>
        <v>1211</v>
      </c>
      <c r="P163" s="42">
        <v>19915</v>
      </c>
      <c r="Q163" s="42"/>
      <c r="R163" s="42">
        <f t="shared" si="31"/>
        <v>0</v>
      </c>
      <c r="S163" s="1">
        <v>9</v>
      </c>
    </row>
    <row r="164" spans="1:19">
      <c r="A164" s="374"/>
      <c r="B164" s="295" t="s">
        <v>2811</v>
      </c>
      <c r="C164" s="42" t="s">
        <v>20</v>
      </c>
      <c r="D164" s="42" t="s">
        <v>16</v>
      </c>
      <c r="E164" s="42" t="s">
        <v>2828</v>
      </c>
      <c r="F164" s="42">
        <v>4666</v>
      </c>
      <c r="G164" s="42"/>
      <c r="H164" s="42">
        <v>17080</v>
      </c>
      <c r="I164" s="42">
        <v>336</v>
      </c>
      <c r="J164" s="42">
        <v>0.13</v>
      </c>
      <c r="K164" s="43">
        <f t="shared" si="27"/>
        <v>43.68</v>
      </c>
      <c r="L164" s="43">
        <f t="shared" si="28"/>
        <v>17036.32</v>
      </c>
      <c r="M164" s="43"/>
      <c r="N164" s="43">
        <f t="shared" si="29"/>
        <v>17036.32</v>
      </c>
      <c r="O164" s="43">
        <f t="shared" si="30"/>
        <v>1195.5999999999999</v>
      </c>
      <c r="P164" s="42">
        <v>19640</v>
      </c>
      <c r="Q164" s="42"/>
      <c r="R164" s="42">
        <f t="shared" si="31"/>
        <v>0</v>
      </c>
      <c r="S164" s="1">
        <v>10</v>
      </c>
    </row>
    <row r="165" spans="1:19">
      <c r="A165" s="374"/>
      <c r="B165" s="295" t="s">
        <v>2811</v>
      </c>
      <c r="C165" s="42" t="s">
        <v>20</v>
      </c>
      <c r="D165" s="42" t="s">
        <v>16</v>
      </c>
      <c r="E165" s="42" t="s">
        <v>2829</v>
      </c>
      <c r="F165" s="42">
        <v>4658</v>
      </c>
      <c r="G165" s="42"/>
      <c r="H165" s="42">
        <v>18030</v>
      </c>
      <c r="I165" s="42">
        <v>348</v>
      </c>
      <c r="J165" s="42">
        <v>0.13</v>
      </c>
      <c r="K165" s="43">
        <f t="shared" si="27"/>
        <v>45.24</v>
      </c>
      <c r="L165" s="43">
        <f t="shared" si="28"/>
        <v>17984.759999999998</v>
      </c>
      <c r="M165" s="43"/>
      <c r="N165" s="43">
        <f t="shared" si="29"/>
        <v>17984.759999999998</v>
      </c>
      <c r="O165" s="43">
        <f t="shared" si="30"/>
        <v>1262.1000000000001</v>
      </c>
      <c r="P165" s="42">
        <v>20730</v>
      </c>
      <c r="Q165" s="42"/>
      <c r="R165" s="42">
        <f t="shared" si="31"/>
        <v>0</v>
      </c>
      <c r="S165" s="1">
        <v>11</v>
      </c>
    </row>
    <row r="166" spans="1:19">
      <c r="A166" s="374"/>
      <c r="B166" s="295" t="s">
        <v>2811</v>
      </c>
      <c r="C166" s="42" t="s">
        <v>20</v>
      </c>
      <c r="D166" s="42" t="s">
        <v>16</v>
      </c>
      <c r="E166" s="42" t="s">
        <v>2830</v>
      </c>
      <c r="F166" s="42">
        <v>4656</v>
      </c>
      <c r="G166" s="42"/>
      <c r="H166" s="42">
        <v>17000</v>
      </c>
      <c r="I166" s="42">
        <v>342</v>
      </c>
      <c r="J166" s="42">
        <v>0.13</v>
      </c>
      <c r="K166" s="43">
        <f t="shared" si="27"/>
        <v>44.46</v>
      </c>
      <c r="L166" s="43">
        <f t="shared" si="28"/>
        <v>16955.54</v>
      </c>
      <c r="M166" s="43"/>
      <c r="N166" s="43">
        <f t="shared" si="29"/>
        <v>16955.54</v>
      </c>
      <c r="O166" s="43">
        <f t="shared" si="30"/>
        <v>1190</v>
      </c>
      <c r="P166" s="42">
        <v>19550</v>
      </c>
      <c r="Q166" s="42"/>
      <c r="R166" s="42">
        <f t="shared" si="31"/>
        <v>0</v>
      </c>
      <c r="S166" s="1">
        <v>12</v>
      </c>
    </row>
    <row r="167" spans="1:19">
      <c r="A167" s="374"/>
      <c r="B167" s="295" t="s">
        <v>2811</v>
      </c>
      <c r="C167" s="42" t="s">
        <v>20</v>
      </c>
      <c r="D167" s="42" t="s">
        <v>16</v>
      </c>
      <c r="E167" s="42" t="s">
        <v>2831</v>
      </c>
      <c r="F167" s="42">
        <v>4657</v>
      </c>
      <c r="G167" s="42"/>
      <c r="H167" s="42">
        <v>17100</v>
      </c>
      <c r="I167" s="42">
        <v>337</v>
      </c>
      <c r="J167" s="42">
        <v>0.13</v>
      </c>
      <c r="K167" s="43">
        <f t="shared" si="27"/>
        <v>43.81</v>
      </c>
      <c r="L167" s="43">
        <f t="shared" si="28"/>
        <v>17056.189999999999</v>
      </c>
      <c r="M167" s="43"/>
      <c r="N167" s="43">
        <f t="shared" si="29"/>
        <v>17056.189999999999</v>
      </c>
      <c r="O167" s="43">
        <f t="shared" si="30"/>
        <v>1197</v>
      </c>
      <c r="P167" s="42">
        <v>19665</v>
      </c>
      <c r="Q167" s="42"/>
      <c r="R167" s="42">
        <f t="shared" si="31"/>
        <v>0</v>
      </c>
      <c r="S167" s="1">
        <v>13</v>
      </c>
    </row>
    <row r="168" spans="1:19">
      <c r="A168" s="374" t="s">
        <v>2832</v>
      </c>
      <c r="B168" s="296" t="s">
        <v>2811</v>
      </c>
      <c r="C168" s="42" t="s">
        <v>20</v>
      </c>
      <c r="D168" s="42" t="s">
        <v>16</v>
      </c>
      <c r="E168" s="42" t="s">
        <v>2836</v>
      </c>
      <c r="F168" s="42">
        <v>4665</v>
      </c>
      <c r="G168" s="42"/>
      <c r="H168" s="42">
        <v>16800</v>
      </c>
      <c r="I168" s="42">
        <v>342</v>
      </c>
      <c r="J168" s="42">
        <v>0.13</v>
      </c>
      <c r="K168" s="43">
        <f t="shared" si="27"/>
        <v>44.46</v>
      </c>
      <c r="L168" s="43">
        <f t="shared" si="28"/>
        <v>16755.54</v>
      </c>
      <c r="M168" s="43"/>
      <c r="N168" s="43">
        <f t="shared" si="29"/>
        <v>16755.54</v>
      </c>
      <c r="O168" s="43">
        <f t="shared" si="30"/>
        <v>1176</v>
      </c>
      <c r="P168" s="42">
        <v>19320</v>
      </c>
      <c r="Q168" s="42"/>
      <c r="R168" s="42">
        <f t="shared" si="31"/>
        <v>0</v>
      </c>
      <c r="S168" s="1">
        <v>14</v>
      </c>
    </row>
    <row r="169" spans="1:19">
      <c r="A169" s="374"/>
      <c r="B169" s="296" t="s">
        <v>2811</v>
      </c>
      <c r="C169" s="42" t="s">
        <v>20</v>
      </c>
      <c r="D169" s="42" t="s">
        <v>16</v>
      </c>
      <c r="E169" s="42" t="s">
        <v>2837</v>
      </c>
      <c r="F169" s="42">
        <v>4663</v>
      </c>
      <c r="G169" s="42"/>
      <c r="H169" s="42">
        <v>16840</v>
      </c>
      <c r="I169" s="42">
        <v>343</v>
      </c>
      <c r="J169" s="42">
        <v>0.13</v>
      </c>
      <c r="K169" s="43">
        <f t="shared" si="27"/>
        <v>44.59</v>
      </c>
      <c r="L169" s="43">
        <f t="shared" si="28"/>
        <v>16795.41</v>
      </c>
      <c r="M169" s="43"/>
      <c r="N169" s="43">
        <f t="shared" si="29"/>
        <v>16795.41</v>
      </c>
      <c r="O169" s="43">
        <f t="shared" si="30"/>
        <v>1178.8</v>
      </c>
      <c r="P169" s="42">
        <v>19365</v>
      </c>
      <c r="Q169" s="42"/>
      <c r="R169" s="42">
        <f t="shared" si="31"/>
        <v>0</v>
      </c>
      <c r="S169" s="1">
        <v>15</v>
      </c>
    </row>
    <row r="170" spans="1:19">
      <c r="A170" s="374"/>
      <c r="B170" s="296" t="s">
        <v>2811</v>
      </c>
      <c r="C170" s="42" t="s">
        <v>20</v>
      </c>
      <c r="D170" s="42" t="s">
        <v>16</v>
      </c>
      <c r="E170" s="42" t="s">
        <v>2838</v>
      </c>
      <c r="F170" s="42">
        <v>4653</v>
      </c>
      <c r="G170" s="42"/>
      <c r="H170" s="42">
        <v>17010</v>
      </c>
      <c r="I170" s="42">
        <v>346</v>
      </c>
      <c r="J170" s="42">
        <v>0.13</v>
      </c>
      <c r="K170" s="43">
        <f t="shared" si="27"/>
        <v>44.980000000000004</v>
      </c>
      <c r="L170" s="43">
        <f t="shared" si="28"/>
        <v>16965.02</v>
      </c>
      <c r="M170" s="43"/>
      <c r="N170" s="43">
        <f t="shared" si="29"/>
        <v>16965.02</v>
      </c>
      <c r="O170" s="43">
        <f t="shared" si="30"/>
        <v>1190.7</v>
      </c>
      <c r="P170" s="42">
        <v>19560</v>
      </c>
      <c r="Q170" s="42"/>
      <c r="R170" s="42">
        <f t="shared" si="31"/>
        <v>0</v>
      </c>
      <c r="S170" s="1">
        <v>16</v>
      </c>
    </row>
    <row r="171" spans="1:19">
      <c r="A171" s="374"/>
      <c r="B171" s="296" t="s">
        <v>2811</v>
      </c>
      <c r="C171" s="42" t="s">
        <v>20</v>
      </c>
      <c r="D171" s="42" t="s">
        <v>16</v>
      </c>
      <c r="E171" s="42" t="s">
        <v>2839</v>
      </c>
      <c r="F171" s="42">
        <v>4662</v>
      </c>
      <c r="G171" s="42"/>
      <c r="H171" s="42">
        <v>17560</v>
      </c>
      <c r="I171" s="42">
        <v>342</v>
      </c>
      <c r="J171" s="42">
        <v>0.13</v>
      </c>
      <c r="K171" s="43">
        <f t="shared" si="27"/>
        <v>44.46</v>
      </c>
      <c r="L171" s="43">
        <f t="shared" si="28"/>
        <v>17515.54</v>
      </c>
      <c r="M171" s="43"/>
      <c r="N171" s="43">
        <f t="shared" si="29"/>
        <v>17515.54</v>
      </c>
      <c r="O171" s="43">
        <f t="shared" si="30"/>
        <v>1229.1999999999998</v>
      </c>
      <c r="P171" s="42">
        <v>20180</v>
      </c>
      <c r="Q171" s="42"/>
      <c r="R171" s="42">
        <f t="shared" si="31"/>
        <v>0</v>
      </c>
      <c r="S171" s="1">
        <v>17</v>
      </c>
    </row>
    <row r="172" spans="1:19">
      <c r="A172" s="374"/>
      <c r="B172" s="296" t="s">
        <v>2811</v>
      </c>
      <c r="C172" s="42" t="s">
        <v>20</v>
      </c>
      <c r="D172" s="42" t="s">
        <v>16</v>
      </c>
      <c r="E172" s="42" t="s">
        <v>2840</v>
      </c>
      <c r="F172" s="42">
        <v>4659</v>
      </c>
      <c r="G172" s="42"/>
      <c r="H172" s="42">
        <v>17270</v>
      </c>
      <c r="I172" s="42">
        <v>342</v>
      </c>
      <c r="J172" s="42">
        <v>0.13</v>
      </c>
      <c r="K172" s="43">
        <f t="shared" si="27"/>
        <v>44.46</v>
      </c>
      <c r="L172" s="43">
        <f t="shared" si="28"/>
        <v>17225.54</v>
      </c>
      <c r="M172" s="43"/>
      <c r="N172" s="43">
        <f t="shared" si="29"/>
        <v>17225.54</v>
      </c>
      <c r="O172" s="43">
        <f t="shared" si="30"/>
        <v>1208.8999999999999</v>
      </c>
      <c r="P172" s="42">
        <v>19895</v>
      </c>
      <c r="Q172" s="42"/>
      <c r="R172" s="42">
        <f t="shared" si="31"/>
        <v>0</v>
      </c>
      <c r="S172" s="1">
        <v>18</v>
      </c>
    </row>
    <row r="173" spans="1:19">
      <c r="A173" s="374"/>
      <c r="B173" s="296" t="s">
        <v>2811</v>
      </c>
      <c r="C173" s="42" t="s">
        <v>20</v>
      </c>
      <c r="D173" s="42" t="s">
        <v>16</v>
      </c>
      <c r="E173" s="42" t="s">
        <v>2841</v>
      </c>
      <c r="F173" s="42">
        <v>4667</v>
      </c>
      <c r="G173" s="42"/>
      <c r="H173" s="42">
        <v>16010</v>
      </c>
      <c r="I173" s="42">
        <v>320</v>
      </c>
      <c r="J173" s="42">
        <v>0.13</v>
      </c>
      <c r="K173" s="43">
        <f t="shared" si="27"/>
        <v>41.6</v>
      </c>
      <c r="L173" s="43">
        <f t="shared" si="28"/>
        <v>15968.4</v>
      </c>
      <c r="M173" s="43"/>
      <c r="N173" s="43">
        <f t="shared" si="29"/>
        <v>15968.4</v>
      </c>
      <c r="O173" s="43">
        <f t="shared" si="30"/>
        <v>1120.7</v>
      </c>
      <c r="P173" s="42">
        <v>18450</v>
      </c>
      <c r="Q173" s="42"/>
      <c r="R173" s="42">
        <f t="shared" si="31"/>
        <v>0</v>
      </c>
      <c r="S173" s="1">
        <v>19</v>
      </c>
    </row>
    <row r="174" spans="1:19">
      <c r="A174" s="374"/>
      <c r="B174" s="296" t="s">
        <v>2811</v>
      </c>
      <c r="C174" s="42" t="s">
        <v>20</v>
      </c>
      <c r="D174" s="42" t="s">
        <v>16</v>
      </c>
      <c r="E174" s="42" t="s">
        <v>2842</v>
      </c>
      <c r="F174" s="42">
        <v>4661</v>
      </c>
      <c r="G174" s="42"/>
      <c r="H174" s="42">
        <v>16980</v>
      </c>
      <c r="I174" s="42">
        <v>342</v>
      </c>
      <c r="J174" s="42">
        <v>0.13</v>
      </c>
      <c r="K174" s="43">
        <f t="shared" si="27"/>
        <v>44.46</v>
      </c>
      <c r="L174" s="43">
        <f t="shared" si="28"/>
        <v>16935.54</v>
      </c>
      <c r="M174" s="43"/>
      <c r="N174" s="43">
        <f t="shared" si="29"/>
        <v>16935.54</v>
      </c>
      <c r="O174" s="43">
        <f t="shared" si="30"/>
        <v>1188.6000000000001</v>
      </c>
      <c r="P174" s="42">
        <v>19560</v>
      </c>
      <c r="Q174" s="42"/>
      <c r="R174" s="42">
        <f t="shared" si="31"/>
        <v>0</v>
      </c>
      <c r="S174" s="1">
        <v>20</v>
      </c>
    </row>
    <row r="176" spans="1:19">
      <c r="H176" s="1">
        <f>SUM(H155:H175)</f>
        <v>342710</v>
      </c>
    </row>
    <row r="178" spans="1:19">
      <c r="A178" s="1" t="s">
        <v>3028</v>
      </c>
      <c r="B178" s="42" t="s">
        <v>3030</v>
      </c>
      <c r="C178" s="42" t="s">
        <v>20</v>
      </c>
      <c r="D178" s="42" t="s">
        <v>16</v>
      </c>
      <c r="E178" s="42" t="s">
        <v>3031</v>
      </c>
      <c r="F178" s="42">
        <v>4691</v>
      </c>
      <c r="G178" s="42"/>
      <c r="H178" s="42">
        <v>12880</v>
      </c>
      <c r="I178" s="42">
        <v>262</v>
      </c>
      <c r="J178" s="42">
        <v>0.13</v>
      </c>
      <c r="K178" s="43">
        <f t="shared" ref="K178" si="32">I178*J178</f>
        <v>34.06</v>
      </c>
      <c r="L178" s="43">
        <f t="shared" ref="L178" si="33">H178-K178</f>
        <v>12845.94</v>
      </c>
      <c r="M178" s="43"/>
      <c r="N178" s="43">
        <f t="shared" ref="N178" si="34">L178-M178</f>
        <v>12845.94</v>
      </c>
      <c r="O178" s="43">
        <f t="shared" ref="O178" si="35">H178/1000*70</f>
        <v>901.6</v>
      </c>
      <c r="P178" s="42">
        <v>20700</v>
      </c>
      <c r="Q178" s="42"/>
      <c r="R178" s="42">
        <f t="shared" ref="R178" si="36">L178*Q178</f>
        <v>0</v>
      </c>
    </row>
    <row r="182" spans="1:19" ht="23.4">
      <c r="A182" s="3" t="s">
        <v>3</v>
      </c>
      <c r="B182" s="3" t="s">
        <v>4</v>
      </c>
      <c r="C182" s="3" t="s">
        <v>5</v>
      </c>
      <c r="D182" s="3" t="s">
        <v>6</v>
      </c>
      <c r="E182" s="3" t="s">
        <v>37</v>
      </c>
      <c r="F182" s="3" t="s">
        <v>7</v>
      </c>
      <c r="G182" s="3" t="s">
        <v>8</v>
      </c>
      <c r="H182" s="3" t="s">
        <v>9</v>
      </c>
      <c r="I182" s="4" t="s">
        <v>10</v>
      </c>
      <c r="J182" s="4" t="s">
        <v>18</v>
      </c>
      <c r="K182" s="4" t="s">
        <v>17</v>
      </c>
      <c r="L182" s="3" t="s">
        <v>676</v>
      </c>
      <c r="M182" s="95" t="s">
        <v>677</v>
      </c>
      <c r="N182" s="3" t="s">
        <v>11</v>
      </c>
      <c r="O182" s="3" t="s">
        <v>36</v>
      </c>
      <c r="P182" s="3" t="s">
        <v>12</v>
      </c>
      <c r="Q182" s="3" t="s">
        <v>256</v>
      </c>
      <c r="R182" s="3" t="s">
        <v>257</v>
      </c>
      <c r="S182" s="3" t="s">
        <v>2</v>
      </c>
    </row>
    <row r="183" spans="1:19">
      <c r="A183" s="1" t="s">
        <v>3582</v>
      </c>
      <c r="B183" s="42" t="s">
        <v>3587</v>
      </c>
      <c r="C183" s="42" t="s">
        <v>20</v>
      </c>
      <c r="D183" s="42" t="s">
        <v>16</v>
      </c>
      <c r="E183" s="47" t="s">
        <v>3588</v>
      </c>
      <c r="F183" s="47">
        <v>1621</v>
      </c>
      <c r="G183" s="47"/>
      <c r="H183" s="47">
        <v>17200</v>
      </c>
      <c r="I183" s="47">
        <v>340</v>
      </c>
      <c r="J183" s="47">
        <v>0.13</v>
      </c>
      <c r="K183" s="43">
        <f t="shared" ref="K183" si="37">I183*J183</f>
        <v>44.2</v>
      </c>
      <c r="L183" s="43">
        <f t="shared" ref="L183" si="38">H183-K183</f>
        <v>17155.8</v>
      </c>
      <c r="M183" s="43"/>
      <c r="N183" s="43">
        <f t="shared" ref="N183" si="39">L183-M183</f>
        <v>17155.8</v>
      </c>
      <c r="O183" s="43">
        <f t="shared" ref="O183" si="40">H183/1000*70</f>
        <v>1204</v>
      </c>
      <c r="P183" s="42">
        <v>19780</v>
      </c>
      <c r="Q183" s="50"/>
      <c r="R183" s="42">
        <f t="shared" ref="R183" si="41">L183*Q183</f>
        <v>0</v>
      </c>
    </row>
    <row r="184" spans="1:19">
      <c r="A184" s="374" t="s">
        <v>3590</v>
      </c>
      <c r="B184" s="42" t="s">
        <v>3587</v>
      </c>
      <c r="C184" s="42" t="s">
        <v>20</v>
      </c>
      <c r="D184" s="42" t="s">
        <v>16</v>
      </c>
      <c r="E184" s="47" t="s">
        <v>3594</v>
      </c>
      <c r="F184" s="47">
        <v>1624</v>
      </c>
      <c r="G184" s="47"/>
      <c r="H184" s="47">
        <v>15740</v>
      </c>
      <c r="I184" s="47">
        <v>305</v>
      </c>
      <c r="J184" s="47">
        <v>0.13</v>
      </c>
      <c r="K184" s="43">
        <f t="shared" ref="K184:K187" si="42">I184*J184</f>
        <v>39.65</v>
      </c>
      <c r="L184" s="43">
        <f t="shared" ref="L184:L187" si="43">H184-K184</f>
        <v>15700.35</v>
      </c>
      <c r="M184" s="43"/>
      <c r="N184" s="43">
        <f t="shared" ref="N184:N187" si="44">L184-M184</f>
        <v>15700.35</v>
      </c>
      <c r="O184" s="43">
        <f t="shared" ref="O184:O187" si="45">H184/1000*70</f>
        <v>1101.8</v>
      </c>
      <c r="P184" s="42">
        <v>18158</v>
      </c>
      <c r="Q184" s="42"/>
      <c r="R184" s="42">
        <f t="shared" ref="R184:R187" si="46">L184*Q184</f>
        <v>0</v>
      </c>
    </row>
    <row r="185" spans="1:19">
      <c r="A185" s="374"/>
      <c r="B185" s="42" t="s">
        <v>3587</v>
      </c>
      <c r="C185" s="42" t="s">
        <v>20</v>
      </c>
      <c r="D185" s="42" t="s">
        <v>16</v>
      </c>
      <c r="E185" s="47" t="s">
        <v>3592</v>
      </c>
      <c r="F185" s="47">
        <v>1625</v>
      </c>
      <c r="G185" s="47"/>
      <c r="H185" s="47">
        <v>18210</v>
      </c>
      <c r="I185" s="47">
        <v>355</v>
      </c>
      <c r="J185" s="47">
        <v>0.13</v>
      </c>
      <c r="K185" s="43">
        <f t="shared" si="42"/>
        <v>46.15</v>
      </c>
      <c r="L185" s="43">
        <f t="shared" si="43"/>
        <v>18163.849999999999</v>
      </c>
      <c r="M185" s="43"/>
      <c r="N185" s="43">
        <f t="shared" si="44"/>
        <v>18163.849999999999</v>
      </c>
      <c r="O185" s="43">
        <f t="shared" si="45"/>
        <v>1274.7</v>
      </c>
      <c r="P185" s="42">
        <v>20940</v>
      </c>
      <c r="Q185" s="42"/>
      <c r="R185" s="42">
        <f t="shared" si="46"/>
        <v>0</v>
      </c>
    </row>
    <row r="186" spans="1:19">
      <c r="A186" s="374"/>
      <c r="B186" s="42" t="s">
        <v>3587</v>
      </c>
      <c r="C186" s="42" t="s">
        <v>20</v>
      </c>
      <c r="D186" s="42" t="s">
        <v>16</v>
      </c>
      <c r="E186" s="47" t="s">
        <v>3593</v>
      </c>
      <c r="F186" s="47">
        <v>1622</v>
      </c>
      <c r="G186" s="47"/>
      <c r="H186" s="47">
        <v>17330</v>
      </c>
      <c r="I186" s="47">
        <v>340</v>
      </c>
      <c r="J186" s="47">
        <v>0.13</v>
      </c>
      <c r="K186" s="43">
        <f t="shared" si="42"/>
        <v>44.2</v>
      </c>
      <c r="L186" s="43">
        <f t="shared" si="43"/>
        <v>17285.8</v>
      </c>
      <c r="M186" s="43"/>
      <c r="N186" s="43">
        <f t="shared" si="44"/>
        <v>17285.8</v>
      </c>
      <c r="O186" s="43">
        <f t="shared" si="45"/>
        <v>1213.0999999999999</v>
      </c>
      <c r="P186" s="42">
        <v>19918</v>
      </c>
      <c r="Q186" s="42"/>
      <c r="R186" s="42">
        <f t="shared" si="46"/>
        <v>0</v>
      </c>
    </row>
    <row r="187" spans="1:19">
      <c r="A187" s="374"/>
      <c r="B187" s="42" t="s">
        <v>3587</v>
      </c>
      <c r="C187" s="42" t="s">
        <v>20</v>
      </c>
      <c r="D187" s="42" t="s">
        <v>16</v>
      </c>
      <c r="E187" s="47" t="s">
        <v>2816</v>
      </c>
      <c r="F187" s="47">
        <v>1620</v>
      </c>
      <c r="G187" s="47"/>
      <c r="H187" s="47">
        <v>17710</v>
      </c>
      <c r="I187" s="47">
        <v>340</v>
      </c>
      <c r="J187" s="47">
        <v>0.13</v>
      </c>
      <c r="K187" s="43">
        <f t="shared" si="42"/>
        <v>44.2</v>
      </c>
      <c r="L187" s="43">
        <f t="shared" si="43"/>
        <v>17665.8</v>
      </c>
      <c r="M187" s="43"/>
      <c r="N187" s="43">
        <f t="shared" si="44"/>
        <v>17665.8</v>
      </c>
      <c r="O187" s="43">
        <f t="shared" si="45"/>
        <v>1239.7</v>
      </c>
      <c r="P187" s="42">
        <v>20366</v>
      </c>
      <c r="Q187" s="42"/>
      <c r="R187" s="42">
        <f t="shared" si="46"/>
        <v>0</v>
      </c>
    </row>
    <row r="189" spans="1:19">
      <c r="H189" s="1">
        <f>SUM(H183:H188)</f>
        <v>86190</v>
      </c>
      <c r="I189" s="1">
        <f t="shared" ref="I189:P189" si="47">SUM(I183:I188)</f>
        <v>1680</v>
      </c>
      <c r="K189" s="1">
        <f t="shared" si="47"/>
        <v>218.39999999999998</v>
      </c>
      <c r="L189" s="1">
        <f t="shared" si="47"/>
        <v>85971.6</v>
      </c>
      <c r="M189" s="1">
        <f t="shared" si="47"/>
        <v>0</v>
      </c>
      <c r="N189" s="1">
        <f t="shared" si="47"/>
        <v>85971.6</v>
      </c>
      <c r="O189" s="1">
        <f t="shared" si="47"/>
        <v>6033.3</v>
      </c>
      <c r="P189" s="1">
        <f t="shared" si="47"/>
        <v>99162</v>
      </c>
    </row>
    <row r="212" spans="1:19" ht="23.4">
      <c r="A212" s="58" t="s">
        <v>3</v>
      </c>
      <c r="B212" s="3" t="s">
        <v>4</v>
      </c>
      <c r="C212" s="3" t="s">
        <v>5</v>
      </c>
      <c r="D212" s="3" t="s">
        <v>6</v>
      </c>
      <c r="E212" s="3" t="s">
        <v>37</v>
      </c>
      <c r="F212" s="3" t="s">
        <v>7</v>
      </c>
      <c r="G212" s="3" t="s">
        <v>8</v>
      </c>
      <c r="H212" s="3" t="s">
        <v>9</v>
      </c>
      <c r="I212" s="4" t="s">
        <v>10</v>
      </c>
      <c r="J212" s="4" t="s">
        <v>18</v>
      </c>
      <c r="K212" s="4" t="s">
        <v>17</v>
      </c>
      <c r="L212" s="3" t="s">
        <v>676</v>
      </c>
      <c r="M212" s="95" t="s">
        <v>677</v>
      </c>
      <c r="N212" s="3" t="s">
        <v>11</v>
      </c>
      <c r="O212" s="3" t="s">
        <v>36</v>
      </c>
      <c r="P212" s="3" t="s">
        <v>12</v>
      </c>
      <c r="Q212" s="3" t="s">
        <v>256</v>
      </c>
      <c r="R212" s="3" t="s">
        <v>257</v>
      </c>
      <c r="S212" s="3" t="s">
        <v>2</v>
      </c>
    </row>
    <row r="213" spans="1:19">
      <c r="A213" s="376" t="s">
        <v>3737</v>
      </c>
      <c r="B213" s="87" t="s">
        <v>3667</v>
      </c>
      <c r="C213" s="42" t="s">
        <v>20</v>
      </c>
      <c r="D213" s="42" t="s">
        <v>16</v>
      </c>
      <c r="E213" s="47" t="s">
        <v>3740</v>
      </c>
      <c r="F213" s="47">
        <v>1669</v>
      </c>
      <c r="G213" s="47"/>
      <c r="H213" s="47">
        <v>18280</v>
      </c>
      <c r="I213" s="47">
        <v>360</v>
      </c>
      <c r="J213" s="47">
        <v>0.13</v>
      </c>
      <c r="K213" s="43">
        <f t="shared" ref="K213:K215" si="48">I213*J213</f>
        <v>46.800000000000004</v>
      </c>
      <c r="L213" s="43">
        <f t="shared" ref="L213:L215" si="49">H213-K213</f>
        <v>18233.2</v>
      </c>
      <c r="M213" s="43"/>
      <c r="N213" s="43">
        <f t="shared" ref="N213:N215" si="50">L213-M213</f>
        <v>18233.2</v>
      </c>
      <c r="O213" s="43">
        <f t="shared" ref="O213:O215" si="51">H213/1000*70</f>
        <v>1279.6000000000001</v>
      </c>
      <c r="P213" s="42">
        <v>19190</v>
      </c>
      <c r="Q213" s="42"/>
      <c r="R213" s="42">
        <f t="shared" ref="R213:R215" si="52">L213*Q213</f>
        <v>0</v>
      </c>
      <c r="S213" s="1">
        <v>1</v>
      </c>
    </row>
    <row r="214" spans="1:19">
      <c r="A214" s="376"/>
      <c r="B214" s="87" t="s">
        <v>3667</v>
      </c>
      <c r="C214" s="42" t="s">
        <v>20</v>
      </c>
      <c r="D214" s="42" t="s">
        <v>16</v>
      </c>
      <c r="E214" s="47" t="s">
        <v>3741</v>
      </c>
      <c r="F214" s="47">
        <v>1670</v>
      </c>
      <c r="G214" s="47"/>
      <c r="H214" s="47">
        <v>17450</v>
      </c>
      <c r="I214" s="47">
        <v>340</v>
      </c>
      <c r="J214" s="47">
        <v>0.13</v>
      </c>
      <c r="K214" s="43">
        <f t="shared" si="48"/>
        <v>44.2</v>
      </c>
      <c r="L214" s="43">
        <f t="shared" si="49"/>
        <v>17405.8</v>
      </c>
      <c r="M214" s="43"/>
      <c r="N214" s="43">
        <f t="shared" si="50"/>
        <v>17405.8</v>
      </c>
      <c r="O214" s="43">
        <f t="shared" si="51"/>
        <v>1221.5</v>
      </c>
      <c r="P214" s="42">
        <v>18320</v>
      </c>
      <c r="Q214" s="42"/>
      <c r="R214" s="42">
        <f t="shared" si="52"/>
        <v>0</v>
      </c>
      <c r="S214" s="1">
        <v>2</v>
      </c>
    </row>
    <row r="215" spans="1:19">
      <c r="A215" s="376"/>
      <c r="B215" s="87" t="s">
        <v>3667</v>
      </c>
      <c r="C215" s="42" t="s">
        <v>20</v>
      </c>
      <c r="D215" s="42" t="s">
        <v>16</v>
      </c>
      <c r="E215" s="47" t="s">
        <v>3742</v>
      </c>
      <c r="F215" s="47">
        <v>1667</v>
      </c>
      <c r="G215" s="47"/>
      <c r="H215" s="47">
        <v>18470</v>
      </c>
      <c r="I215" s="47">
        <v>360</v>
      </c>
      <c r="J215" s="47">
        <v>0.13</v>
      </c>
      <c r="K215" s="43">
        <f t="shared" si="48"/>
        <v>46.800000000000004</v>
      </c>
      <c r="L215" s="43">
        <f t="shared" si="49"/>
        <v>18423.2</v>
      </c>
      <c r="M215" s="43"/>
      <c r="N215" s="43">
        <f t="shared" si="50"/>
        <v>18423.2</v>
      </c>
      <c r="O215" s="43">
        <f t="shared" si="51"/>
        <v>1292.8999999999999</v>
      </c>
      <c r="P215" s="42">
        <v>19390</v>
      </c>
      <c r="Q215" s="42"/>
      <c r="R215" s="42">
        <f t="shared" si="52"/>
        <v>0</v>
      </c>
      <c r="S215" s="1">
        <v>3</v>
      </c>
    </row>
    <row r="216" spans="1:19">
      <c r="A216" s="376" t="s">
        <v>3795</v>
      </c>
      <c r="B216" s="87" t="s">
        <v>3587</v>
      </c>
      <c r="C216" s="42" t="s">
        <v>20</v>
      </c>
      <c r="D216" s="42" t="s">
        <v>16</v>
      </c>
      <c r="E216" s="47" t="s">
        <v>3799</v>
      </c>
      <c r="F216" s="47">
        <v>1690</v>
      </c>
      <c r="G216" s="47"/>
      <c r="H216" s="47">
        <v>17500</v>
      </c>
      <c r="I216" s="47">
        <v>342</v>
      </c>
      <c r="J216" s="47">
        <v>0.13</v>
      </c>
      <c r="K216" s="43">
        <f t="shared" ref="K216:K224" si="53">I216*J216</f>
        <v>44.46</v>
      </c>
      <c r="L216" s="43">
        <f t="shared" ref="L216:L224" si="54">H216-K216</f>
        <v>17455.54</v>
      </c>
      <c r="M216" s="43"/>
      <c r="N216" s="43">
        <f t="shared" ref="N216:N224" si="55">L216-M216</f>
        <v>17455.54</v>
      </c>
      <c r="O216" s="43">
        <f t="shared" ref="O216:O224" si="56">H216/1000*70</f>
        <v>1225</v>
      </c>
      <c r="P216" s="42">
        <v>18375</v>
      </c>
      <c r="Q216" s="42"/>
      <c r="R216" s="42">
        <f t="shared" ref="R216:R224" si="57">L216*Q216</f>
        <v>0</v>
      </c>
      <c r="S216" s="1">
        <v>4</v>
      </c>
    </row>
    <row r="217" spans="1:19">
      <c r="A217" s="376"/>
      <c r="B217" s="87" t="s">
        <v>3587</v>
      </c>
      <c r="C217" s="42" t="s">
        <v>20</v>
      </c>
      <c r="D217" s="42" t="s">
        <v>16</v>
      </c>
      <c r="E217" s="47" t="s">
        <v>3800</v>
      </c>
      <c r="F217" s="47">
        <v>1688</v>
      </c>
      <c r="G217" s="47"/>
      <c r="H217" s="47">
        <v>17100</v>
      </c>
      <c r="I217" s="47">
        <v>342</v>
      </c>
      <c r="J217" s="47">
        <v>0.13</v>
      </c>
      <c r="K217" s="43">
        <f t="shared" si="53"/>
        <v>44.46</v>
      </c>
      <c r="L217" s="43">
        <f t="shared" si="54"/>
        <v>17055.54</v>
      </c>
      <c r="M217" s="43"/>
      <c r="N217" s="43">
        <f t="shared" si="55"/>
        <v>17055.54</v>
      </c>
      <c r="O217" s="43">
        <f t="shared" si="56"/>
        <v>1197</v>
      </c>
      <c r="P217" s="42">
        <v>17955</v>
      </c>
      <c r="Q217" s="42"/>
      <c r="R217" s="42">
        <f t="shared" si="57"/>
        <v>0</v>
      </c>
      <c r="S217" s="1">
        <v>5</v>
      </c>
    </row>
    <row r="218" spans="1:19">
      <c r="A218" s="376"/>
      <c r="B218" s="87" t="s">
        <v>3587</v>
      </c>
      <c r="C218" s="42" t="s">
        <v>20</v>
      </c>
      <c r="D218" s="42" t="s">
        <v>16</v>
      </c>
      <c r="E218" s="47" t="s">
        <v>3588</v>
      </c>
      <c r="F218" s="47">
        <v>1683</v>
      </c>
      <c r="G218" s="47"/>
      <c r="H218" s="47">
        <v>18260</v>
      </c>
      <c r="I218" s="47">
        <v>350</v>
      </c>
      <c r="J218" s="47">
        <v>0.13</v>
      </c>
      <c r="K218" s="43">
        <f t="shared" si="53"/>
        <v>45.5</v>
      </c>
      <c r="L218" s="43">
        <f t="shared" si="54"/>
        <v>18214.5</v>
      </c>
      <c r="M218" s="43"/>
      <c r="N218" s="43">
        <f t="shared" si="55"/>
        <v>18214.5</v>
      </c>
      <c r="O218" s="43">
        <f t="shared" si="56"/>
        <v>1278.2</v>
      </c>
      <c r="P218" s="42">
        <v>19170</v>
      </c>
      <c r="Q218" s="42"/>
      <c r="R218" s="42">
        <f t="shared" si="57"/>
        <v>0</v>
      </c>
      <c r="S218" s="1">
        <v>6</v>
      </c>
    </row>
    <row r="219" spans="1:19">
      <c r="A219" s="376"/>
      <c r="B219" s="87" t="s">
        <v>3587</v>
      </c>
      <c r="C219" s="42" t="s">
        <v>20</v>
      </c>
      <c r="D219" s="42" t="s">
        <v>16</v>
      </c>
      <c r="E219" s="47" t="s">
        <v>2812</v>
      </c>
      <c r="F219" s="47">
        <v>1685</v>
      </c>
      <c r="G219" s="47"/>
      <c r="H219" s="47">
        <v>17910</v>
      </c>
      <c r="I219" s="47">
        <v>360</v>
      </c>
      <c r="J219" s="47">
        <v>0.13</v>
      </c>
      <c r="K219" s="43">
        <f t="shared" si="53"/>
        <v>46.800000000000004</v>
      </c>
      <c r="L219" s="43">
        <f t="shared" si="54"/>
        <v>17863.2</v>
      </c>
      <c r="M219" s="43"/>
      <c r="N219" s="43">
        <f t="shared" si="55"/>
        <v>17863.2</v>
      </c>
      <c r="O219" s="43">
        <f t="shared" si="56"/>
        <v>1253.7</v>
      </c>
      <c r="P219" s="42">
        <v>18805</v>
      </c>
      <c r="Q219" s="42"/>
      <c r="R219" s="42">
        <f t="shared" si="57"/>
        <v>0</v>
      </c>
      <c r="S219" s="1">
        <v>7</v>
      </c>
    </row>
    <row r="220" spans="1:19">
      <c r="A220" s="376"/>
      <c r="B220" s="87" t="s">
        <v>3587</v>
      </c>
      <c r="C220" s="42" t="s">
        <v>20</v>
      </c>
      <c r="D220" s="42" t="s">
        <v>16</v>
      </c>
      <c r="E220" s="47" t="s">
        <v>2816</v>
      </c>
      <c r="F220" s="47">
        <v>1682</v>
      </c>
      <c r="G220" s="47"/>
      <c r="H220" s="47">
        <v>17960</v>
      </c>
      <c r="I220" s="47">
        <v>350</v>
      </c>
      <c r="J220" s="47">
        <v>0.13</v>
      </c>
      <c r="K220" s="43">
        <f t="shared" si="53"/>
        <v>45.5</v>
      </c>
      <c r="L220" s="43">
        <f t="shared" si="54"/>
        <v>17914.5</v>
      </c>
      <c r="M220" s="43"/>
      <c r="N220" s="43">
        <f t="shared" si="55"/>
        <v>17914.5</v>
      </c>
      <c r="O220" s="43">
        <f t="shared" si="56"/>
        <v>1257.2</v>
      </c>
      <c r="P220" s="42">
        <v>18850</v>
      </c>
      <c r="Q220" s="42"/>
      <c r="R220" s="42">
        <f t="shared" si="57"/>
        <v>0</v>
      </c>
      <c r="S220" s="1">
        <v>8</v>
      </c>
    </row>
    <row r="221" spans="1:19">
      <c r="A221" s="376"/>
      <c r="B221" s="87" t="s">
        <v>3587</v>
      </c>
      <c r="C221" s="42" t="s">
        <v>20</v>
      </c>
      <c r="D221" s="42" t="s">
        <v>16</v>
      </c>
      <c r="E221" s="47" t="s">
        <v>3801</v>
      </c>
      <c r="F221" s="47">
        <v>1693</v>
      </c>
      <c r="G221" s="47"/>
      <c r="H221" s="47">
        <v>17950</v>
      </c>
      <c r="I221" s="47">
        <v>360</v>
      </c>
      <c r="J221" s="47">
        <v>0.13</v>
      </c>
      <c r="K221" s="43">
        <f t="shared" si="53"/>
        <v>46.800000000000004</v>
      </c>
      <c r="L221" s="43">
        <f t="shared" si="54"/>
        <v>17903.2</v>
      </c>
      <c r="M221" s="43"/>
      <c r="N221" s="43">
        <f t="shared" si="55"/>
        <v>17903.2</v>
      </c>
      <c r="O221" s="43">
        <f t="shared" si="56"/>
        <v>1256.5</v>
      </c>
      <c r="P221" s="42">
        <v>18847</v>
      </c>
      <c r="Q221" s="42"/>
      <c r="R221" s="42">
        <f t="shared" si="57"/>
        <v>0</v>
      </c>
      <c r="S221" s="1">
        <v>9</v>
      </c>
    </row>
    <row r="222" spans="1:19">
      <c r="A222" s="376"/>
      <c r="B222" s="87" t="s">
        <v>3587</v>
      </c>
      <c r="C222" s="42" t="s">
        <v>20</v>
      </c>
      <c r="D222" s="42" t="s">
        <v>16</v>
      </c>
      <c r="E222" s="47" t="s">
        <v>3802</v>
      </c>
      <c r="F222" s="47">
        <v>1686</v>
      </c>
      <c r="G222" s="47"/>
      <c r="H222" s="47">
        <v>17710</v>
      </c>
      <c r="I222" s="47">
        <v>347</v>
      </c>
      <c r="J222" s="47">
        <v>0.13</v>
      </c>
      <c r="K222" s="43">
        <f t="shared" si="53"/>
        <v>45.11</v>
      </c>
      <c r="L222" s="43">
        <f t="shared" si="54"/>
        <v>17664.89</v>
      </c>
      <c r="M222" s="43"/>
      <c r="N222" s="43">
        <f t="shared" si="55"/>
        <v>17664.89</v>
      </c>
      <c r="O222" s="43">
        <f t="shared" si="56"/>
        <v>1239.7</v>
      </c>
      <c r="P222" s="42">
        <v>18595</v>
      </c>
      <c r="Q222" s="42"/>
      <c r="R222" s="42">
        <f t="shared" si="57"/>
        <v>0</v>
      </c>
      <c r="S222" s="1">
        <v>10</v>
      </c>
    </row>
    <row r="223" spans="1:19">
      <c r="A223" s="376" t="s">
        <v>3803</v>
      </c>
      <c r="B223" s="87" t="s">
        <v>3587</v>
      </c>
      <c r="C223" s="42" t="s">
        <v>20</v>
      </c>
      <c r="D223" s="42" t="s">
        <v>16</v>
      </c>
      <c r="E223" s="47" t="s">
        <v>3805</v>
      </c>
      <c r="F223" s="47">
        <v>1689</v>
      </c>
      <c r="G223" s="47"/>
      <c r="H223" s="47">
        <v>18150</v>
      </c>
      <c r="I223" s="47">
        <v>350</v>
      </c>
      <c r="J223" s="47">
        <v>0.13</v>
      </c>
      <c r="K223" s="43">
        <f t="shared" si="53"/>
        <v>45.5</v>
      </c>
      <c r="L223" s="43">
        <f t="shared" si="54"/>
        <v>18104.5</v>
      </c>
      <c r="M223" s="43"/>
      <c r="N223" s="43">
        <f t="shared" si="55"/>
        <v>18104.5</v>
      </c>
      <c r="O223" s="43">
        <f t="shared" si="56"/>
        <v>1270.5</v>
      </c>
      <c r="P223" s="42">
        <v>19068</v>
      </c>
      <c r="Q223" s="42"/>
      <c r="R223" s="42">
        <f t="shared" si="57"/>
        <v>0</v>
      </c>
      <c r="S223" s="1">
        <v>11</v>
      </c>
    </row>
    <row r="224" spans="1:19">
      <c r="A224" s="376"/>
      <c r="B224" s="87" t="s">
        <v>3587</v>
      </c>
      <c r="C224" s="42" t="s">
        <v>20</v>
      </c>
      <c r="D224" s="42" t="s">
        <v>16</v>
      </c>
      <c r="E224" s="47" t="s">
        <v>3806</v>
      </c>
      <c r="F224" s="47">
        <v>1687</v>
      </c>
      <c r="G224" s="47"/>
      <c r="H224" s="47">
        <v>18640</v>
      </c>
      <c r="I224" s="47">
        <v>370</v>
      </c>
      <c r="J224" s="47">
        <v>0.13</v>
      </c>
      <c r="K224" s="43">
        <f t="shared" si="53"/>
        <v>48.1</v>
      </c>
      <c r="L224" s="43">
        <f t="shared" si="54"/>
        <v>18591.900000000001</v>
      </c>
      <c r="M224" s="43"/>
      <c r="N224" s="43">
        <f t="shared" si="55"/>
        <v>18591.900000000001</v>
      </c>
      <c r="O224" s="43">
        <f t="shared" si="56"/>
        <v>1304.8</v>
      </c>
      <c r="P224" s="42">
        <v>19570</v>
      </c>
      <c r="Q224" s="42"/>
      <c r="R224" s="42">
        <f t="shared" si="57"/>
        <v>0</v>
      </c>
      <c r="S224" s="1">
        <v>12</v>
      </c>
    </row>
    <row r="225" spans="8:16">
      <c r="H225" s="1">
        <f>SUM(H213:H224)</f>
        <v>215380</v>
      </c>
      <c r="I225" s="1">
        <f t="shared" ref="I225:P225" si="58">SUM(I213:I224)</f>
        <v>4231</v>
      </c>
      <c r="K225" s="1">
        <f t="shared" si="58"/>
        <v>550.03000000000009</v>
      </c>
      <c r="L225" s="1">
        <f t="shared" si="58"/>
        <v>214829.97</v>
      </c>
      <c r="M225" s="1">
        <f t="shared" si="58"/>
        <v>0</v>
      </c>
      <c r="N225" s="1">
        <f t="shared" si="58"/>
        <v>214829.97</v>
      </c>
      <c r="O225" s="1">
        <f t="shared" si="58"/>
        <v>15076.6</v>
      </c>
      <c r="P225" s="1">
        <f t="shared" si="58"/>
        <v>226135</v>
      </c>
    </row>
  </sheetData>
  <mergeCells count="30">
    <mergeCell ref="A223:A224"/>
    <mergeCell ref="A216:A222"/>
    <mergeCell ref="A91:A94"/>
    <mergeCell ref="A139:A141"/>
    <mergeCell ref="A127:A133"/>
    <mergeCell ref="A120:A126"/>
    <mergeCell ref="A117:A119"/>
    <mergeCell ref="A109:A112"/>
    <mergeCell ref="A213:A215"/>
    <mergeCell ref="A161:A167"/>
    <mergeCell ref="A105:A108"/>
    <mergeCell ref="A101:A104"/>
    <mergeCell ref="A155:A156"/>
    <mergeCell ref="A144:A148"/>
    <mergeCell ref="A142:A143"/>
    <mergeCell ref="A184:A187"/>
    <mergeCell ref="A168:A174"/>
    <mergeCell ref="A157:A160"/>
    <mergeCell ref="A9:A10"/>
    <mergeCell ref="A12:A17"/>
    <mergeCell ref="A18:A19"/>
    <mergeCell ref="A20:A23"/>
    <mergeCell ref="A24:A27"/>
    <mergeCell ref="A86:A88"/>
    <mergeCell ref="A76:A85"/>
    <mergeCell ref="A28:A31"/>
    <mergeCell ref="A32:A41"/>
    <mergeCell ref="A42:A55"/>
    <mergeCell ref="A56:A66"/>
    <mergeCell ref="A67:A75"/>
  </mergeCells>
  <pageMargins left="0.2" right="0.2" top="0.5" bottom="0.5" header="0.3" footer="0.3"/>
  <pageSetup paperSize="9" orientation="landscape" verticalDpi="0" r:id="rId1"/>
</worksheet>
</file>

<file path=xl/worksheets/sheet47.xml><?xml version="1.0" encoding="utf-8"?>
<worksheet xmlns="http://schemas.openxmlformats.org/spreadsheetml/2006/main" xmlns:r="http://schemas.openxmlformats.org/officeDocument/2006/relationships">
  <dimension ref="A5:T207"/>
  <sheetViews>
    <sheetView topLeftCell="A183" workbookViewId="0">
      <selection activeCell="L198" sqref="L198:L204"/>
    </sheetView>
  </sheetViews>
  <sheetFormatPr defaultRowHeight="14.4"/>
  <cols>
    <col min="1" max="1" width="8.88671875" style="1"/>
    <col min="2" max="2" width="12.44140625" style="1" customWidth="1"/>
    <col min="3" max="3" width="8.88671875" style="1"/>
    <col min="4" max="4" width="5.44140625" style="1" customWidth="1"/>
    <col min="5" max="5" width="12" style="1" customWidth="1"/>
    <col min="6" max="6" width="7.33203125" style="1" customWidth="1"/>
    <col min="7" max="7" width="6.33203125" style="1" customWidth="1"/>
    <col min="8" max="8" width="7.21875" style="1" customWidth="1"/>
    <col min="9" max="9" width="7.33203125" style="1" customWidth="1"/>
    <col min="10" max="10" width="6.44140625" style="1" customWidth="1"/>
    <col min="11" max="11" width="8.88671875" style="1"/>
    <col min="12" max="12" width="6.88671875" style="1" customWidth="1"/>
    <col min="13" max="13" width="7.33203125" style="1" customWidth="1"/>
    <col min="14" max="16384" width="8.88671875" style="1"/>
  </cols>
  <sheetData>
    <row r="5" spans="1:20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3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3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0">
      <c r="A6" s="6" t="s">
        <v>13</v>
      </c>
      <c r="B6" s="12" t="s">
        <v>19</v>
      </c>
      <c r="C6" s="2" t="s">
        <v>20</v>
      </c>
      <c r="D6" s="2" t="s">
        <v>16</v>
      </c>
      <c r="E6" s="2" t="s">
        <v>39</v>
      </c>
      <c r="F6" s="2">
        <v>4552</v>
      </c>
      <c r="G6" s="2"/>
      <c r="H6" s="2">
        <v>16200</v>
      </c>
      <c r="I6" s="2">
        <v>340</v>
      </c>
      <c r="J6" s="2">
        <v>0.13</v>
      </c>
      <c r="K6" s="2">
        <f t="shared" ref="K6:K69" si="0">I6*J6</f>
        <v>44.2</v>
      </c>
      <c r="L6" s="5">
        <f t="shared" ref="L6:L69" si="1">H6-K6</f>
        <v>16155.8</v>
      </c>
      <c r="M6" s="5">
        <f>H6/1000*70</f>
        <v>1134</v>
      </c>
      <c r="N6" s="2">
        <v>25260</v>
      </c>
      <c r="O6" s="73" t="s">
        <v>407</v>
      </c>
      <c r="P6" s="1">
        <v>10066</v>
      </c>
    </row>
    <row r="7" spans="1:20">
      <c r="A7" s="6" t="s">
        <v>21</v>
      </c>
      <c r="B7" s="12" t="s">
        <v>19</v>
      </c>
      <c r="C7" s="2" t="s">
        <v>20</v>
      </c>
      <c r="D7" s="2" t="s">
        <v>16</v>
      </c>
      <c r="E7" s="2" t="s">
        <v>41</v>
      </c>
      <c r="F7" s="2">
        <v>4553</v>
      </c>
      <c r="G7" s="2"/>
      <c r="H7" s="2">
        <v>15570</v>
      </c>
      <c r="I7" s="2">
        <v>330</v>
      </c>
      <c r="J7" s="2">
        <v>0.13</v>
      </c>
      <c r="K7" s="2">
        <f t="shared" si="0"/>
        <v>42.9</v>
      </c>
      <c r="L7" s="5">
        <f t="shared" si="1"/>
        <v>15527.1</v>
      </c>
      <c r="M7" s="5">
        <f t="shared" ref="M7:M70" si="2">H7/1000*70</f>
        <v>1089.9000000000001</v>
      </c>
      <c r="N7" s="2">
        <v>24150</v>
      </c>
      <c r="O7" s="73" t="s">
        <v>407</v>
      </c>
      <c r="P7" s="1">
        <v>20291</v>
      </c>
    </row>
    <row r="8" spans="1:20">
      <c r="A8" s="13" t="s">
        <v>28</v>
      </c>
      <c r="B8" s="12" t="s">
        <v>19</v>
      </c>
      <c r="C8" s="2" t="s">
        <v>20</v>
      </c>
      <c r="D8" s="2" t="s">
        <v>16</v>
      </c>
      <c r="E8" s="2" t="s">
        <v>58</v>
      </c>
      <c r="F8" s="2">
        <v>4551</v>
      </c>
      <c r="G8" s="2"/>
      <c r="H8" s="2">
        <v>17020</v>
      </c>
      <c r="I8" s="2">
        <v>357</v>
      </c>
      <c r="J8" s="2">
        <v>0.13</v>
      </c>
      <c r="K8" s="2">
        <f t="shared" si="0"/>
        <v>46.410000000000004</v>
      </c>
      <c r="L8" s="5">
        <f t="shared" si="1"/>
        <v>16973.59</v>
      </c>
      <c r="M8" s="5">
        <f t="shared" si="2"/>
        <v>1191.3999999999999</v>
      </c>
      <c r="N8" s="2">
        <v>26450</v>
      </c>
      <c r="O8" s="73" t="s">
        <v>407</v>
      </c>
      <c r="P8" s="1">
        <v>10066</v>
      </c>
    </row>
    <row r="9" spans="1:20">
      <c r="A9" s="375" t="s">
        <v>62</v>
      </c>
      <c r="B9" s="12" t="s">
        <v>19</v>
      </c>
      <c r="C9" s="2" t="s">
        <v>20</v>
      </c>
      <c r="D9" s="2" t="s">
        <v>16</v>
      </c>
      <c r="E9" s="2" t="s">
        <v>63</v>
      </c>
      <c r="F9" s="2">
        <v>4554</v>
      </c>
      <c r="G9" s="2"/>
      <c r="H9" s="2">
        <v>17140</v>
      </c>
      <c r="I9" s="2">
        <v>315</v>
      </c>
      <c r="J9" s="2">
        <v>0.13</v>
      </c>
      <c r="K9" s="2">
        <f t="shared" si="0"/>
        <v>40.950000000000003</v>
      </c>
      <c r="L9" s="5">
        <f t="shared" si="1"/>
        <v>17099.05</v>
      </c>
      <c r="M9" s="5">
        <f t="shared" si="2"/>
        <v>1199.8</v>
      </c>
      <c r="N9" s="2">
        <v>26580</v>
      </c>
    </row>
    <row r="10" spans="1:20">
      <c r="A10" s="375"/>
      <c r="B10" s="12" t="s">
        <v>19</v>
      </c>
      <c r="C10" s="2" t="s">
        <v>20</v>
      </c>
      <c r="D10" s="2" t="s">
        <v>16</v>
      </c>
      <c r="E10" s="2" t="s">
        <v>64</v>
      </c>
      <c r="F10" s="2">
        <v>4558</v>
      </c>
      <c r="G10" s="2"/>
      <c r="H10" s="2">
        <v>17810</v>
      </c>
      <c r="I10" s="2">
        <v>350</v>
      </c>
      <c r="J10" s="2">
        <v>0.13</v>
      </c>
      <c r="K10" s="2">
        <f t="shared" si="0"/>
        <v>45.5</v>
      </c>
      <c r="L10" s="5">
        <f t="shared" si="1"/>
        <v>17764.5</v>
      </c>
      <c r="M10" s="5">
        <f t="shared" si="2"/>
        <v>1246.6999999999998</v>
      </c>
      <c r="N10" s="2">
        <v>27600</v>
      </c>
    </row>
    <row r="11" spans="1:20">
      <c r="A11" s="6" t="s">
        <v>65</v>
      </c>
      <c r="B11" s="2" t="s">
        <v>19</v>
      </c>
      <c r="C11" s="2" t="s">
        <v>20</v>
      </c>
      <c r="D11" s="2" t="s">
        <v>16</v>
      </c>
      <c r="E11" s="2" t="s">
        <v>66</v>
      </c>
      <c r="F11" s="2">
        <v>4555</v>
      </c>
      <c r="G11" s="2"/>
      <c r="H11" s="2">
        <v>16820</v>
      </c>
      <c r="I11" s="2">
        <v>340</v>
      </c>
      <c r="J11" s="2">
        <v>0.13</v>
      </c>
      <c r="K11" s="2">
        <f t="shared" si="0"/>
        <v>44.2</v>
      </c>
      <c r="L11" s="5">
        <f t="shared" si="1"/>
        <v>16775.8</v>
      </c>
      <c r="M11" s="5">
        <f t="shared" si="2"/>
        <v>1177.4000000000001</v>
      </c>
      <c r="N11" s="2">
        <v>26110</v>
      </c>
    </row>
    <row r="12" spans="1:20">
      <c r="A12" s="376" t="s">
        <v>99</v>
      </c>
      <c r="B12" s="2" t="s">
        <v>19</v>
      </c>
      <c r="C12" s="2" t="s">
        <v>20</v>
      </c>
      <c r="D12" s="2" t="s">
        <v>16</v>
      </c>
      <c r="E12" s="2" t="s">
        <v>107</v>
      </c>
      <c r="F12" s="2">
        <v>4564</v>
      </c>
      <c r="G12" s="2"/>
      <c r="H12" s="2">
        <v>16000</v>
      </c>
      <c r="I12" s="2">
        <v>330</v>
      </c>
      <c r="J12" s="2">
        <v>0.13</v>
      </c>
      <c r="K12" s="2">
        <f t="shared" si="0"/>
        <v>42.9</v>
      </c>
      <c r="L12" s="5">
        <f t="shared" si="1"/>
        <v>15957.1</v>
      </c>
      <c r="M12" s="5">
        <f t="shared" si="2"/>
        <v>1120</v>
      </c>
      <c r="N12" s="2">
        <v>26450</v>
      </c>
    </row>
    <row r="13" spans="1:20">
      <c r="A13" s="376"/>
      <c r="B13" s="2" t="s">
        <v>19</v>
      </c>
      <c r="C13" s="2" t="s">
        <v>20</v>
      </c>
      <c r="D13" s="2" t="s">
        <v>16</v>
      </c>
      <c r="E13" s="2" t="s">
        <v>108</v>
      </c>
      <c r="F13" s="2">
        <v>4562</v>
      </c>
      <c r="G13" s="2"/>
      <c r="H13" s="2">
        <v>18120</v>
      </c>
      <c r="I13" s="2">
        <v>365</v>
      </c>
      <c r="J13" s="2">
        <v>0.13</v>
      </c>
      <c r="K13" s="2">
        <f t="shared" si="0"/>
        <v>47.45</v>
      </c>
      <c r="L13" s="5">
        <f t="shared" si="1"/>
        <v>18072.55</v>
      </c>
      <c r="M13" s="5">
        <f t="shared" si="2"/>
        <v>1268.4000000000001</v>
      </c>
      <c r="N13" s="2">
        <v>29860</v>
      </c>
    </row>
    <row r="14" spans="1:20">
      <c r="A14" s="376"/>
      <c r="B14" s="2" t="s">
        <v>19</v>
      </c>
      <c r="C14" s="2" t="s">
        <v>20</v>
      </c>
      <c r="D14" s="2" t="s">
        <v>16</v>
      </c>
      <c r="E14" s="2" t="s">
        <v>109</v>
      </c>
      <c r="F14" s="2">
        <v>4566</v>
      </c>
      <c r="G14" s="2"/>
      <c r="H14" s="2">
        <v>10630</v>
      </c>
      <c r="I14" s="2">
        <v>220</v>
      </c>
      <c r="J14" s="2">
        <v>0.13</v>
      </c>
      <c r="K14" s="2">
        <f t="shared" si="0"/>
        <v>28.6</v>
      </c>
      <c r="L14" s="5">
        <f t="shared" si="1"/>
        <v>10601.4</v>
      </c>
      <c r="M14" s="5">
        <f t="shared" si="2"/>
        <v>744.1</v>
      </c>
      <c r="N14" s="2">
        <v>17550</v>
      </c>
    </row>
    <row r="15" spans="1:20">
      <c r="A15" s="376"/>
      <c r="B15" s="2" t="s">
        <v>19</v>
      </c>
      <c r="C15" s="2" t="s">
        <v>20</v>
      </c>
      <c r="D15" s="2" t="s">
        <v>16</v>
      </c>
      <c r="E15" s="2" t="s">
        <v>63</v>
      </c>
      <c r="F15" s="2">
        <v>4565</v>
      </c>
      <c r="G15" s="2"/>
      <c r="H15" s="2">
        <v>16570</v>
      </c>
      <c r="I15" s="2">
        <v>350</v>
      </c>
      <c r="J15" s="2">
        <v>0.13</v>
      </c>
      <c r="K15" s="2">
        <f t="shared" si="0"/>
        <v>45.5</v>
      </c>
      <c r="L15" s="5">
        <f t="shared" si="1"/>
        <v>16524.5</v>
      </c>
      <c r="M15" s="5">
        <f t="shared" si="2"/>
        <v>1159.9000000000001</v>
      </c>
      <c r="N15" s="2">
        <v>27320</v>
      </c>
    </row>
    <row r="16" spans="1:20">
      <c r="A16" s="376"/>
      <c r="B16" s="2" t="s">
        <v>19</v>
      </c>
      <c r="C16" s="2" t="s">
        <v>20</v>
      </c>
      <c r="D16" s="2" t="s">
        <v>16</v>
      </c>
      <c r="E16" s="2" t="s">
        <v>110</v>
      </c>
      <c r="F16" s="2">
        <v>4560</v>
      </c>
      <c r="G16" s="2"/>
      <c r="H16" s="2">
        <v>16730</v>
      </c>
      <c r="I16" s="2">
        <v>350</v>
      </c>
      <c r="J16" s="2">
        <v>0.13</v>
      </c>
      <c r="K16" s="2">
        <f t="shared" si="0"/>
        <v>45.5</v>
      </c>
      <c r="L16" s="5">
        <f t="shared" si="1"/>
        <v>16684.5</v>
      </c>
      <c r="M16" s="5">
        <f t="shared" si="2"/>
        <v>1171.1000000000001</v>
      </c>
      <c r="N16" s="2">
        <v>27620</v>
      </c>
    </row>
    <row r="17" spans="1:14">
      <c r="A17" s="376"/>
      <c r="B17" s="2" t="s">
        <v>19</v>
      </c>
      <c r="C17" s="2" t="s">
        <v>20</v>
      </c>
      <c r="D17" s="2" t="s">
        <v>16</v>
      </c>
      <c r="E17" s="2" t="s">
        <v>111</v>
      </c>
      <c r="F17" s="2">
        <v>4563</v>
      </c>
      <c r="G17" s="2"/>
      <c r="H17" s="2">
        <v>16550</v>
      </c>
      <c r="I17" s="2">
        <v>345</v>
      </c>
      <c r="J17" s="2">
        <v>0.13</v>
      </c>
      <c r="K17" s="2">
        <f t="shared" si="0"/>
        <v>44.85</v>
      </c>
      <c r="L17" s="5">
        <f t="shared" si="1"/>
        <v>16505.150000000001</v>
      </c>
      <c r="M17" s="5">
        <f t="shared" si="2"/>
        <v>1158.5</v>
      </c>
      <c r="N17" s="2">
        <v>27300</v>
      </c>
    </row>
    <row r="18" spans="1:14">
      <c r="A18" s="375" t="s">
        <v>112</v>
      </c>
      <c r="B18" s="2" t="s">
        <v>19</v>
      </c>
      <c r="C18" s="2" t="s">
        <v>20</v>
      </c>
      <c r="D18" s="2" t="s">
        <v>16</v>
      </c>
      <c r="E18" s="2" t="s">
        <v>66</v>
      </c>
      <c r="F18" s="2">
        <v>4567</v>
      </c>
      <c r="G18" s="2"/>
      <c r="H18" s="2">
        <v>16990</v>
      </c>
      <c r="I18" s="2">
        <v>350</v>
      </c>
      <c r="J18" s="2">
        <v>0.13</v>
      </c>
      <c r="K18" s="2">
        <f t="shared" si="0"/>
        <v>45.5</v>
      </c>
      <c r="L18" s="5">
        <f t="shared" si="1"/>
        <v>16944.5</v>
      </c>
      <c r="M18" s="5">
        <f t="shared" si="2"/>
        <v>1189.3</v>
      </c>
      <c r="N18" s="2">
        <v>28030</v>
      </c>
    </row>
    <row r="19" spans="1:14">
      <c r="A19" s="375"/>
      <c r="B19" s="2" t="s">
        <v>19</v>
      </c>
      <c r="C19" s="2" t="s">
        <v>20</v>
      </c>
      <c r="D19" s="2" t="s">
        <v>16</v>
      </c>
      <c r="E19" s="2" t="s">
        <v>114</v>
      </c>
      <c r="F19" s="2">
        <v>4568</v>
      </c>
      <c r="G19" s="2"/>
      <c r="H19" s="2">
        <v>17960</v>
      </c>
      <c r="I19" s="2">
        <v>360</v>
      </c>
      <c r="J19" s="2">
        <v>0.13</v>
      </c>
      <c r="K19" s="2">
        <f t="shared" si="0"/>
        <v>46.800000000000004</v>
      </c>
      <c r="L19" s="5">
        <f t="shared" si="1"/>
        <v>17913.2</v>
      </c>
      <c r="M19" s="5">
        <f t="shared" si="2"/>
        <v>1257.2</v>
      </c>
      <c r="N19" s="2">
        <v>29680</v>
      </c>
    </row>
    <row r="20" spans="1:14">
      <c r="A20" s="375" t="s">
        <v>81</v>
      </c>
      <c r="B20" s="2" t="s">
        <v>19</v>
      </c>
      <c r="C20" s="2" t="s">
        <v>20</v>
      </c>
      <c r="D20" s="2" t="s">
        <v>16</v>
      </c>
      <c r="E20" s="2" t="s">
        <v>121</v>
      </c>
      <c r="F20" s="2">
        <v>4574</v>
      </c>
      <c r="G20" s="2"/>
      <c r="H20" s="2">
        <v>17100</v>
      </c>
      <c r="I20" s="2">
        <v>350</v>
      </c>
      <c r="J20" s="2">
        <v>0.13</v>
      </c>
      <c r="K20" s="2">
        <f t="shared" si="0"/>
        <v>45.5</v>
      </c>
      <c r="L20" s="5">
        <f t="shared" si="1"/>
        <v>17054.5</v>
      </c>
      <c r="M20" s="5">
        <f t="shared" si="2"/>
        <v>1197</v>
      </c>
      <c r="N20" s="2">
        <v>29050</v>
      </c>
    </row>
    <row r="21" spans="1:14">
      <c r="A21" s="375"/>
      <c r="B21" s="2" t="s">
        <v>19</v>
      </c>
      <c r="C21" s="2" t="s">
        <v>20</v>
      </c>
      <c r="D21" s="2" t="s">
        <v>16</v>
      </c>
      <c r="E21" s="2" t="s">
        <v>122</v>
      </c>
      <c r="F21" s="2">
        <v>4575</v>
      </c>
      <c r="G21" s="2"/>
      <c r="H21" s="2">
        <v>16320</v>
      </c>
      <c r="I21" s="2">
        <v>330</v>
      </c>
      <c r="J21" s="2">
        <v>0.13</v>
      </c>
      <c r="K21" s="2">
        <f t="shared" si="0"/>
        <v>42.9</v>
      </c>
      <c r="L21" s="5">
        <f t="shared" si="1"/>
        <v>16277.1</v>
      </c>
      <c r="M21" s="5">
        <f t="shared" si="2"/>
        <v>1142.4000000000001</v>
      </c>
      <c r="N21" s="2">
        <v>27690</v>
      </c>
    </row>
    <row r="22" spans="1:14">
      <c r="A22" s="375"/>
      <c r="B22" s="2" t="s">
        <v>19</v>
      </c>
      <c r="C22" s="2" t="s">
        <v>20</v>
      </c>
      <c r="D22" s="2" t="s">
        <v>16</v>
      </c>
      <c r="E22" s="2" t="s">
        <v>123</v>
      </c>
      <c r="F22" s="2">
        <v>4573</v>
      </c>
      <c r="G22" s="2"/>
      <c r="H22" s="2">
        <v>17490</v>
      </c>
      <c r="I22" s="2">
        <v>330</v>
      </c>
      <c r="J22" s="2">
        <v>0.13</v>
      </c>
      <c r="K22" s="2">
        <f t="shared" si="0"/>
        <v>42.9</v>
      </c>
      <c r="L22" s="5">
        <f t="shared" si="1"/>
        <v>17447.099999999999</v>
      </c>
      <c r="M22" s="5">
        <f t="shared" si="2"/>
        <v>1224.3</v>
      </c>
      <c r="N22" s="2">
        <v>29750</v>
      </c>
    </row>
    <row r="23" spans="1:14">
      <c r="A23" s="375"/>
      <c r="B23" s="2" t="s">
        <v>19</v>
      </c>
      <c r="C23" s="2" t="s">
        <v>20</v>
      </c>
      <c r="D23" s="2" t="s">
        <v>16</v>
      </c>
      <c r="E23" s="2" t="s">
        <v>124</v>
      </c>
      <c r="F23" s="2">
        <v>4581</v>
      </c>
      <c r="G23" s="2"/>
      <c r="H23" s="2">
        <v>15080</v>
      </c>
      <c r="I23" s="2">
        <v>290</v>
      </c>
      <c r="J23" s="2">
        <v>0.13</v>
      </c>
      <c r="K23" s="2">
        <f t="shared" si="0"/>
        <v>37.700000000000003</v>
      </c>
      <c r="L23" s="5">
        <f t="shared" si="1"/>
        <v>15042.3</v>
      </c>
      <c r="M23" s="5">
        <f t="shared" si="2"/>
        <v>1055.5999999999999</v>
      </c>
      <c r="N23" s="2">
        <v>25680</v>
      </c>
    </row>
    <row r="24" spans="1:14">
      <c r="A24" s="376" t="s">
        <v>129</v>
      </c>
      <c r="B24" s="2" t="s">
        <v>19</v>
      </c>
      <c r="C24" s="2" t="s">
        <v>20</v>
      </c>
      <c r="D24" s="2" t="s">
        <v>16</v>
      </c>
      <c r="E24" s="2" t="s">
        <v>134</v>
      </c>
      <c r="F24" s="2">
        <v>4577</v>
      </c>
      <c r="G24" s="2"/>
      <c r="H24" s="2">
        <v>16670</v>
      </c>
      <c r="I24" s="2">
        <v>330</v>
      </c>
      <c r="J24" s="2">
        <v>0.13</v>
      </c>
      <c r="K24" s="5">
        <f t="shared" si="0"/>
        <v>42.9</v>
      </c>
      <c r="L24" s="5">
        <f t="shared" si="1"/>
        <v>16627.099999999999</v>
      </c>
      <c r="M24" s="5">
        <f t="shared" si="2"/>
        <v>1166.9000000000001</v>
      </c>
      <c r="N24" s="2">
        <v>28390</v>
      </c>
    </row>
    <row r="25" spans="1:14">
      <c r="A25" s="376"/>
      <c r="B25" s="2" t="s">
        <v>19</v>
      </c>
      <c r="C25" s="2" t="s">
        <v>20</v>
      </c>
      <c r="D25" s="2" t="s">
        <v>16</v>
      </c>
      <c r="E25" s="2" t="s">
        <v>135</v>
      </c>
      <c r="F25" s="2">
        <v>4580</v>
      </c>
      <c r="G25" s="2"/>
      <c r="H25" s="2">
        <v>17430</v>
      </c>
      <c r="I25" s="2">
        <v>322</v>
      </c>
      <c r="J25" s="2">
        <v>0.13</v>
      </c>
      <c r="K25" s="5">
        <f t="shared" si="0"/>
        <v>41.86</v>
      </c>
      <c r="L25" s="5">
        <f t="shared" si="1"/>
        <v>17388.14</v>
      </c>
      <c r="M25" s="5">
        <f t="shared" si="2"/>
        <v>1220.0999999999999</v>
      </c>
      <c r="N25" s="2">
        <v>29630</v>
      </c>
    </row>
    <row r="26" spans="1:14">
      <c r="A26" s="376"/>
      <c r="B26" s="2" t="s">
        <v>19</v>
      </c>
      <c r="C26" s="2" t="s">
        <v>20</v>
      </c>
      <c r="D26" s="2" t="s">
        <v>16</v>
      </c>
      <c r="E26" s="2" t="s">
        <v>136</v>
      </c>
      <c r="F26" s="2">
        <v>4542</v>
      </c>
      <c r="G26" s="2"/>
      <c r="H26" s="2">
        <v>19760</v>
      </c>
      <c r="I26" s="2">
        <v>380</v>
      </c>
      <c r="J26" s="2">
        <v>0.13</v>
      </c>
      <c r="K26" s="5">
        <f t="shared" si="0"/>
        <v>49.4</v>
      </c>
      <c r="L26" s="5">
        <f t="shared" si="1"/>
        <v>19710.599999999999</v>
      </c>
      <c r="M26" s="5">
        <f t="shared" si="2"/>
        <v>1383.2</v>
      </c>
      <c r="N26" s="2">
        <v>33570</v>
      </c>
    </row>
    <row r="27" spans="1:14">
      <c r="A27" s="376"/>
      <c r="B27" s="2" t="s">
        <v>19</v>
      </c>
      <c r="C27" s="2" t="s">
        <v>20</v>
      </c>
      <c r="D27" s="2" t="s">
        <v>16</v>
      </c>
      <c r="E27" s="2" t="s">
        <v>137</v>
      </c>
      <c r="F27" s="2">
        <v>4576</v>
      </c>
      <c r="G27" s="2"/>
      <c r="H27" s="2">
        <v>14450</v>
      </c>
      <c r="I27" s="2">
        <v>312</v>
      </c>
      <c r="J27" s="2">
        <v>0.13</v>
      </c>
      <c r="K27" s="5">
        <f t="shared" si="0"/>
        <v>40.56</v>
      </c>
      <c r="L27" s="5">
        <f t="shared" si="1"/>
        <v>14409.44</v>
      </c>
      <c r="M27" s="5">
        <f t="shared" si="2"/>
        <v>1011.5</v>
      </c>
      <c r="N27" s="2">
        <v>24610</v>
      </c>
    </row>
    <row r="28" spans="1:14">
      <c r="A28" s="386" t="s">
        <v>126</v>
      </c>
      <c r="B28" s="2" t="s">
        <v>146</v>
      </c>
      <c r="C28" s="2" t="s">
        <v>20</v>
      </c>
      <c r="D28" s="2" t="s">
        <v>16</v>
      </c>
      <c r="E28" s="2" t="s">
        <v>147</v>
      </c>
      <c r="F28" s="2">
        <v>4578</v>
      </c>
      <c r="G28" s="2"/>
      <c r="H28" s="2">
        <v>17770</v>
      </c>
      <c r="I28" s="2">
        <v>330</v>
      </c>
      <c r="J28" s="2">
        <v>0.13</v>
      </c>
      <c r="K28" s="5">
        <f t="shared" si="0"/>
        <v>42.9</v>
      </c>
      <c r="L28" s="19">
        <f t="shared" si="1"/>
        <v>17727.099999999999</v>
      </c>
      <c r="M28" s="5">
        <f t="shared" si="2"/>
        <v>1243.8999999999999</v>
      </c>
      <c r="N28" s="2">
        <v>30290</v>
      </c>
    </row>
    <row r="29" spans="1:14">
      <c r="A29" s="374"/>
      <c r="B29" s="2" t="s">
        <v>146</v>
      </c>
      <c r="C29" s="2" t="s">
        <v>20</v>
      </c>
      <c r="D29" s="2" t="s">
        <v>16</v>
      </c>
      <c r="E29" s="2" t="s">
        <v>148</v>
      </c>
      <c r="F29" s="2">
        <v>4600</v>
      </c>
      <c r="G29" s="2"/>
      <c r="H29" s="2">
        <v>20560</v>
      </c>
      <c r="I29" s="2">
        <v>384</v>
      </c>
      <c r="J29" s="2">
        <v>0.13</v>
      </c>
      <c r="K29" s="5">
        <f t="shared" si="0"/>
        <v>49.92</v>
      </c>
      <c r="L29" s="19">
        <f t="shared" si="1"/>
        <v>20510.080000000002</v>
      </c>
      <c r="M29" s="5">
        <f t="shared" si="2"/>
        <v>1439.1999999999998</v>
      </c>
      <c r="N29" s="2">
        <v>35980</v>
      </c>
    </row>
    <row r="30" spans="1:14">
      <c r="A30" s="374"/>
      <c r="B30" s="2" t="s">
        <v>146</v>
      </c>
      <c r="C30" s="2" t="s">
        <v>20</v>
      </c>
      <c r="D30" s="2" t="s">
        <v>16</v>
      </c>
      <c r="E30" s="2" t="s">
        <v>149</v>
      </c>
      <c r="F30" s="2">
        <v>2661</v>
      </c>
      <c r="G30" s="2"/>
      <c r="H30" s="2">
        <v>16040</v>
      </c>
      <c r="I30" s="2">
        <v>330</v>
      </c>
      <c r="J30" s="2">
        <v>0.13</v>
      </c>
      <c r="K30" s="5">
        <f t="shared" si="0"/>
        <v>42.9</v>
      </c>
      <c r="L30" s="19">
        <f t="shared" si="1"/>
        <v>15997.1</v>
      </c>
      <c r="M30" s="5">
        <f t="shared" si="2"/>
        <v>1122.8</v>
      </c>
      <c r="N30" s="2">
        <v>28070</v>
      </c>
    </row>
    <row r="31" spans="1:14">
      <c r="A31" s="387"/>
      <c r="B31" s="2" t="s">
        <v>146</v>
      </c>
      <c r="C31" s="2" t="s">
        <v>20</v>
      </c>
      <c r="D31" s="2" t="s">
        <v>16</v>
      </c>
      <c r="E31" s="2" t="s">
        <v>150</v>
      </c>
      <c r="F31" s="2">
        <v>4583</v>
      </c>
      <c r="G31" s="2"/>
      <c r="H31" s="2">
        <v>16000</v>
      </c>
      <c r="I31" s="2">
        <v>324</v>
      </c>
      <c r="J31" s="2">
        <v>0.13</v>
      </c>
      <c r="K31" s="5">
        <f t="shared" si="0"/>
        <v>42.120000000000005</v>
      </c>
      <c r="L31" s="19">
        <f t="shared" si="1"/>
        <v>15957.88</v>
      </c>
      <c r="M31" s="5">
        <f t="shared" si="2"/>
        <v>1120</v>
      </c>
      <c r="N31" s="2">
        <v>27200</v>
      </c>
    </row>
    <row r="32" spans="1:14">
      <c r="A32" s="375" t="s">
        <v>151</v>
      </c>
      <c r="B32" s="2" t="s">
        <v>146</v>
      </c>
      <c r="C32" s="2" t="s">
        <v>20</v>
      </c>
      <c r="D32" s="2" t="s">
        <v>16</v>
      </c>
      <c r="E32" s="2" t="s">
        <v>167</v>
      </c>
      <c r="F32" s="2">
        <v>4995</v>
      </c>
      <c r="G32" s="2"/>
      <c r="H32" s="2">
        <v>14770</v>
      </c>
      <c r="I32" s="2">
        <v>300</v>
      </c>
      <c r="J32" s="2">
        <v>0.13</v>
      </c>
      <c r="K32" s="5">
        <f t="shared" si="0"/>
        <v>39</v>
      </c>
      <c r="L32" s="19">
        <f t="shared" si="1"/>
        <v>14731</v>
      </c>
      <c r="M32" s="5">
        <f t="shared" si="2"/>
        <v>1033.8999999999999</v>
      </c>
      <c r="N32" s="2">
        <v>25840</v>
      </c>
    </row>
    <row r="33" spans="1:16">
      <c r="A33" s="375"/>
      <c r="B33" s="2" t="s">
        <v>146</v>
      </c>
      <c r="C33" s="2" t="s">
        <v>20</v>
      </c>
      <c r="D33" s="2" t="s">
        <v>16</v>
      </c>
      <c r="E33" s="2" t="s">
        <v>168</v>
      </c>
      <c r="F33" s="2">
        <v>4585</v>
      </c>
      <c r="G33" s="2"/>
      <c r="H33" s="2">
        <v>16600</v>
      </c>
      <c r="I33" s="2">
        <v>336</v>
      </c>
      <c r="J33" s="2">
        <v>0.13</v>
      </c>
      <c r="K33" s="5">
        <f t="shared" si="0"/>
        <v>43.68</v>
      </c>
      <c r="L33" s="19">
        <f t="shared" si="1"/>
        <v>16556.32</v>
      </c>
      <c r="M33" s="5">
        <f t="shared" si="2"/>
        <v>1162</v>
      </c>
      <c r="N33" s="2">
        <v>29240</v>
      </c>
    </row>
    <row r="34" spans="1:16">
      <c r="A34" s="375"/>
      <c r="B34" s="2" t="s">
        <v>146</v>
      </c>
      <c r="C34" s="2" t="s">
        <v>20</v>
      </c>
      <c r="D34" s="2" t="s">
        <v>16</v>
      </c>
      <c r="E34" s="2" t="s">
        <v>169</v>
      </c>
      <c r="F34" s="2">
        <v>4584</v>
      </c>
      <c r="G34" s="2"/>
      <c r="H34" s="2">
        <v>16540</v>
      </c>
      <c r="I34" s="2">
        <v>335</v>
      </c>
      <c r="J34" s="2">
        <v>0.13</v>
      </c>
      <c r="K34" s="5">
        <f t="shared" si="0"/>
        <v>43.550000000000004</v>
      </c>
      <c r="L34" s="19">
        <f t="shared" si="1"/>
        <v>16496.45</v>
      </c>
      <c r="M34" s="5">
        <f t="shared" si="2"/>
        <v>1157.8</v>
      </c>
      <c r="N34" s="2">
        <v>29100</v>
      </c>
    </row>
    <row r="35" spans="1:16">
      <c r="A35" s="375"/>
      <c r="B35" s="2" t="s">
        <v>146</v>
      </c>
      <c r="C35" s="2" t="s">
        <v>20</v>
      </c>
      <c r="D35" s="2" t="s">
        <v>16</v>
      </c>
      <c r="E35" s="2" t="s">
        <v>170</v>
      </c>
      <c r="F35" s="2">
        <v>2665</v>
      </c>
      <c r="G35" s="2"/>
      <c r="H35" s="2">
        <v>17320</v>
      </c>
      <c r="I35" s="2">
        <v>342</v>
      </c>
      <c r="J35" s="2">
        <v>0.13</v>
      </c>
      <c r="K35" s="5">
        <f t="shared" si="0"/>
        <v>44.46</v>
      </c>
      <c r="L35" s="19">
        <f t="shared" si="1"/>
        <v>17275.54</v>
      </c>
      <c r="M35" s="5">
        <f t="shared" si="2"/>
        <v>1212.4000000000001</v>
      </c>
      <c r="N35" s="2">
        <v>30320</v>
      </c>
    </row>
    <row r="36" spans="1:16">
      <c r="A36" s="375"/>
      <c r="B36" s="2" t="s">
        <v>146</v>
      </c>
      <c r="C36" s="2" t="s">
        <v>20</v>
      </c>
      <c r="D36" s="2" t="s">
        <v>16</v>
      </c>
      <c r="E36" s="2" t="s">
        <v>171</v>
      </c>
      <c r="F36" s="2">
        <v>4588</v>
      </c>
      <c r="G36" s="2"/>
      <c r="H36" s="2">
        <v>17680</v>
      </c>
      <c r="I36" s="2">
        <v>345</v>
      </c>
      <c r="J36" s="2">
        <v>0.13</v>
      </c>
      <c r="K36" s="5">
        <f t="shared" si="0"/>
        <v>44.85</v>
      </c>
      <c r="L36" s="19">
        <f t="shared" si="1"/>
        <v>17635.150000000001</v>
      </c>
      <c r="M36" s="5">
        <f t="shared" si="2"/>
        <v>1237.5999999999999</v>
      </c>
      <c r="N36" s="2">
        <v>31010</v>
      </c>
      <c r="O36" s="73" t="s">
        <v>407</v>
      </c>
      <c r="P36" s="1">
        <v>20686</v>
      </c>
    </row>
    <row r="37" spans="1:16">
      <c r="A37" s="375"/>
      <c r="B37" s="2" t="s">
        <v>146</v>
      </c>
      <c r="C37" s="2" t="s">
        <v>20</v>
      </c>
      <c r="D37" s="2" t="s">
        <v>16</v>
      </c>
      <c r="E37" s="2" t="s">
        <v>172</v>
      </c>
      <c r="F37" s="2">
        <v>2662</v>
      </c>
      <c r="G37" s="2"/>
      <c r="H37" s="2">
        <v>14880</v>
      </c>
      <c r="I37" s="2">
        <v>315</v>
      </c>
      <c r="J37" s="2">
        <v>0.13</v>
      </c>
      <c r="K37" s="5">
        <f t="shared" si="0"/>
        <v>40.950000000000003</v>
      </c>
      <c r="L37" s="19">
        <f t="shared" si="1"/>
        <v>14839.05</v>
      </c>
      <c r="M37" s="5">
        <f t="shared" si="2"/>
        <v>1041.6000000000001</v>
      </c>
      <c r="N37" s="2">
        <v>26040</v>
      </c>
    </row>
    <row r="38" spans="1:16">
      <c r="A38" s="375"/>
      <c r="B38" s="2" t="s">
        <v>146</v>
      </c>
      <c r="C38" s="2" t="s">
        <v>20</v>
      </c>
      <c r="D38" s="2" t="s">
        <v>16</v>
      </c>
      <c r="E38" s="2" t="s">
        <v>173</v>
      </c>
      <c r="F38" s="2">
        <v>4589</v>
      </c>
      <c r="G38" s="2"/>
      <c r="H38" s="2">
        <v>17050</v>
      </c>
      <c r="I38" s="2">
        <v>320</v>
      </c>
      <c r="J38" s="2">
        <v>0.13</v>
      </c>
      <c r="K38" s="5">
        <f t="shared" si="0"/>
        <v>41.6</v>
      </c>
      <c r="L38" s="19">
        <f t="shared" si="1"/>
        <v>17008.400000000001</v>
      </c>
      <c r="M38" s="5">
        <f t="shared" si="2"/>
        <v>1193.5</v>
      </c>
      <c r="N38" s="2">
        <v>29990</v>
      </c>
      <c r="O38" s="73" t="s">
        <v>407</v>
      </c>
      <c r="P38" s="1">
        <v>20686</v>
      </c>
    </row>
    <row r="39" spans="1:16">
      <c r="A39" s="375"/>
      <c r="B39" s="2" t="s">
        <v>146</v>
      </c>
      <c r="C39" s="2" t="s">
        <v>20</v>
      </c>
      <c r="D39" s="2" t="s">
        <v>16</v>
      </c>
      <c r="E39" s="2" t="s">
        <v>174</v>
      </c>
      <c r="F39" s="2">
        <v>4599</v>
      </c>
      <c r="G39" s="2"/>
      <c r="H39" s="2">
        <v>17160</v>
      </c>
      <c r="I39" s="2">
        <v>360</v>
      </c>
      <c r="J39" s="2">
        <v>0.13</v>
      </c>
      <c r="K39" s="5">
        <f t="shared" si="0"/>
        <v>46.800000000000004</v>
      </c>
      <c r="L39" s="19">
        <f t="shared" si="1"/>
        <v>17113.2</v>
      </c>
      <c r="M39" s="5">
        <f t="shared" si="2"/>
        <v>1201.2</v>
      </c>
      <c r="N39" s="2">
        <v>30030</v>
      </c>
    </row>
    <row r="40" spans="1:16">
      <c r="A40" s="375"/>
      <c r="B40" s="2" t="s">
        <v>146</v>
      </c>
      <c r="C40" s="2" t="s">
        <v>20</v>
      </c>
      <c r="D40" s="2" t="s">
        <v>16</v>
      </c>
      <c r="E40" s="2" t="s">
        <v>175</v>
      </c>
      <c r="F40" s="2">
        <v>4592</v>
      </c>
      <c r="G40" s="2"/>
      <c r="H40" s="2">
        <v>15680</v>
      </c>
      <c r="I40" s="2">
        <v>330</v>
      </c>
      <c r="J40" s="2">
        <v>0.13</v>
      </c>
      <c r="K40" s="5">
        <f t="shared" si="0"/>
        <v>42.9</v>
      </c>
      <c r="L40" s="19">
        <f t="shared" si="1"/>
        <v>15637.1</v>
      </c>
      <c r="M40" s="5">
        <f t="shared" si="2"/>
        <v>1097.5999999999999</v>
      </c>
      <c r="N40" s="2">
        <v>27470</v>
      </c>
    </row>
    <row r="41" spans="1:16">
      <c r="A41" s="375"/>
      <c r="B41" s="2" t="s">
        <v>146</v>
      </c>
      <c r="C41" s="2" t="s">
        <v>20</v>
      </c>
      <c r="D41" s="2" t="s">
        <v>16</v>
      </c>
      <c r="E41" s="2" t="s">
        <v>176</v>
      </c>
      <c r="F41" s="2">
        <v>4589</v>
      </c>
      <c r="G41" s="2"/>
      <c r="H41" s="2">
        <v>17890</v>
      </c>
      <c r="I41" s="2">
        <v>375</v>
      </c>
      <c r="J41" s="2">
        <v>0.13</v>
      </c>
      <c r="K41" s="5">
        <f t="shared" si="0"/>
        <v>48.75</v>
      </c>
      <c r="L41" s="19">
        <f t="shared" si="1"/>
        <v>17841.25</v>
      </c>
      <c r="M41" s="5">
        <f t="shared" si="2"/>
        <v>1252.3</v>
      </c>
      <c r="N41" s="2">
        <v>31390</v>
      </c>
      <c r="O41" s="73" t="s">
        <v>407</v>
      </c>
      <c r="P41" s="1">
        <v>20686</v>
      </c>
    </row>
    <row r="42" spans="1:16">
      <c r="A42" s="375" t="s">
        <v>177</v>
      </c>
      <c r="B42" s="2" t="s">
        <v>146</v>
      </c>
      <c r="C42" s="2" t="s">
        <v>20</v>
      </c>
      <c r="D42" s="2" t="s">
        <v>16</v>
      </c>
      <c r="E42" s="2" t="s">
        <v>178</v>
      </c>
      <c r="F42" s="2">
        <v>2673</v>
      </c>
      <c r="G42" s="2"/>
      <c r="H42" s="2">
        <v>17630</v>
      </c>
      <c r="I42" s="2">
        <v>350</v>
      </c>
      <c r="J42" s="2">
        <v>0.13</v>
      </c>
      <c r="K42" s="5">
        <f t="shared" si="0"/>
        <v>45.5</v>
      </c>
      <c r="L42" s="19">
        <f t="shared" si="1"/>
        <v>17584.5</v>
      </c>
      <c r="M42" s="5">
        <f t="shared" si="2"/>
        <v>1234.0999999999999</v>
      </c>
      <c r="N42" s="2">
        <v>30850</v>
      </c>
    </row>
    <row r="43" spans="1:16">
      <c r="A43" s="375"/>
      <c r="B43" s="2" t="s">
        <v>146</v>
      </c>
      <c r="C43" s="2" t="s">
        <v>20</v>
      </c>
      <c r="D43" s="2" t="s">
        <v>16</v>
      </c>
      <c r="E43" s="2" t="s">
        <v>179</v>
      </c>
      <c r="F43" s="2">
        <v>2667</v>
      </c>
      <c r="G43" s="2"/>
      <c r="H43" s="2">
        <v>17380</v>
      </c>
      <c r="I43" s="2">
        <v>330</v>
      </c>
      <c r="J43" s="2">
        <v>0.13</v>
      </c>
      <c r="K43" s="5">
        <f t="shared" si="0"/>
        <v>42.9</v>
      </c>
      <c r="L43" s="19">
        <f t="shared" si="1"/>
        <v>17337.099999999999</v>
      </c>
      <c r="M43" s="5">
        <f t="shared" si="2"/>
        <v>1216.5999999999999</v>
      </c>
      <c r="N43" s="2">
        <v>30410</v>
      </c>
    </row>
    <row r="44" spans="1:16">
      <c r="A44" s="375"/>
      <c r="B44" s="2" t="s">
        <v>146</v>
      </c>
      <c r="C44" s="2" t="s">
        <v>20</v>
      </c>
      <c r="D44" s="2" t="s">
        <v>16</v>
      </c>
      <c r="E44" s="2" t="s">
        <v>180</v>
      </c>
      <c r="F44" s="2">
        <v>2678</v>
      </c>
      <c r="G44" s="72" t="s">
        <v>406</v>
      </c>
      <c r="H44" s="2">
        <v>17500</v>
      </c>
      <c r="I44" s="2">
        <v>360</v>
      </c>
      <c r="J44" s="2">
        <v>0.13</v>
      </c>
      <c r="K44" s="5">
        <f t="shared" si="0"/>
        <v>46.800000000000004</v>
      </c>
      <c r="L44" s="19">
        <f t="shared" si="1"/>
        <v>17453.2</v>
      </c>
      <c r="M44" s="5">
        <f t="shared" si="2"/>
        <v>1225</v>
      </c>
      <c r="N44" s="2">
        <v>30620</v>
      </c>
      <c r="P44" s="73" t="s">
        <v>407</v>
      </c>
    </row>
    <row r="45" spans="1:16">
      <c r="A45" s="375"/>
      <c r="B45" s="2" t="s">
        <v>146</v>
      </c>
      <c r="C45" s="2" t="s">
        <v>20</v>
      </c>
      <c r="D45" s="2" t="s">
        <v>16</v>
      </c>
      <c r="E45" s="2" t="s">
        <v>181</v>
      </c>
      <c r="F45" s="2">
        <v>2670</v>
      </c>
      <c r="G45" s="2"/>
      <c r="H45" s="2">
        <v>17990</v>
      </c>
      <c r="I45" s="2">
        <v>366</v>
      </c>
      <c r="J45" s="2">
        <v>0.13</v>
      </c>
      <c r="K45" s="5">
        <f t="shared" si="0"/>
        <v>47.58</v>
      </c>
      <c r="L45" s="19">
        <f t="shared" si="1"/>
        <v>17942.419999999998</v>
      </c>
      <c r="M45" s="5">
        <f t="shared" si="2"/>
        <v>1259.3</v>
      </c>
      <c r="N45" s="2">
        <v>31500</v>
      </c>
    </row>
    <row r="46" spans="1:16">
      <c r="A46" s="375"/>
      <c r="B46" s="2" t="s">
        <v>146</v>
      </c>
      <c r="C46" s="2" t="s">
        <v>20</v>
      </c>
      <c r="D46" s="2" t="s">
        <v>16</v>
      </c>
      <c r="E46" s="2" t="s">
        <v>182</v>
      </c>
      <c r="F46" s="2">
        <v>4598</v>
      </c>
      <c r="G46" s="2"/>
      <c r="H46" s="2">
        <v>16270</v>
      </c>
      <c r="I46" s="2">
        <v>340</v>
      </c>
      <c r="J46" s="2">
        <v>0.13</v>
      </c>
      <c r="K46" s="5">
        <f t="shared" si="0"/>
        <v>44.2</v>
      </c>
      <c r="L46" s="19">
        <f t="shared" si="1"/>
        <v>16225.8</v>
      </c>
      <c r="M46" s="5">
        <f t="shared" si="2"/>
        <v>1138.8999999999999</v>
      </c>
      <c r="N46" s="2">
        <v>28680</v>
      </c>
    </row>
    <row r="47" spans="1:16">
      <c r="A47" s="375"/>
      <c r="B47" s="2" t="s">
        <v>146</v>
      </c>
      <c r="C47" s="2" t="s">
        <v>20</v>
      </c>
      <c r="D47" s="2" t="s">
        <v>16</v>
      </c>
      <c r="E47" s="2" t="s">
        <v>183</v>
      </c>
      <c r="F47" s="2">
        <v>2664</v>
      </c>
      <c r="G47" s="2"/>
      <c r="H47" s="2">
        <v>17090</v>
      </c>
      <c r="I47" s="2">
        <v>349</v>
      </c>
      <c r="J47" s="2">
        <v>0.13</v>
      </c>
      <c r="K47" s="5">
        <f t="shared" si="0"/>
        <v>45.370000000000005</v>
      </c>
      <c r="L47" s="19">
        <f t="shared" si="1"/>
        <v>17044.63</v>
      </c>
      <c r="M47" s="5">
        <f t="shared" si="2"/>
        <v>1196.3</v>
      </c>
      <c r="N47" s="2">
        <v>29900</v>
      </c>
    </row>
    <row r="48" spans="1:16">
      <c r="A48" s="375"/>
      <c r="B48" s="2" t="s">
        <v>146</v>
      </c>
      <c r="C48" s="2" t="s">
        <v>20</v>
      </c>
      <c r="D48" s="2" t="s">
        <v>16</v>
      </c>
      <c r="E48" s="2" t="s">
        <v>184</v>
      </c>
      <c r="F48" s="2">
        <v>2668</v>
      </c>
      <c r="G48" s="2"/>
      <c r="H48" s="2">
        <v>11090</v>
      </c>
      <c r="I48" s="2">
        <v>230</v>
      </c>
      <c r="J48" s="2">
        <v>0.13</v>
      </c>
      <c r="K48" s="5">
        <f t="shared" si="0"/>
        <v>29.900000000000002</v>
      </c>
      <c r="L48" s="19">
        <f t="shared" si="1"/>
        <v>11060.1</v>
      </c>
      <c r="M48" s="5">
        <f t="shared" si="2"/>
        <v>776.3</v>
      </c>
      <c r="N48" s="2">
        <v>19420</v>
      </c>
    </row>
    <row r="49" spans="1:16">
      <c r="A49" s="375"/>
      <c r="B49" s="2" t="s">
        <v>146</v>
      </c>
      <c r="C49" s="2" t="s">
        <v>20</v>
      </c>
      <c r="D49" s="2" t="s">
        <v>16</v>
      </c>
      <c r="E49" s="2" t="s">
        <v>185</v>
      </c>
      <c r="F49" s="2">
        <v>4597</v>
      </c>
      <c r="G49" s="2"/>
      <c r="H49" s="2">
        <v>16340</v>
      </c>
      <c r="I49" s="2">
        <v>304</v>
      </c>
      <c r="J49" s="2">
        <v>0.13</v>
      </c>
      <c r="K49" s="5">
        <f t="shared" si="0"/>
        <v>39.520000000000003</v>
      </c>
      <c r="L49" s="19">
        <f t="shared" si="1"/>
        <v>16300.48</v>
      </c>
      <c r="M49" s="5">
        <f t="shared" si="2"/>
        <v>1143.8</v>
      </c>
      <c r="N49" s="2">
        <v>28600</v>
      </c>
    </row>
    <row r="50" spans="1:16">
      <c r="A50" s="375"/>
      <c r="B50" s="2" t="s">
        <v>146</v>
      </c>
      <c r="C50" s="2" t="s">
        <v>20</v>
      </c>
      <c r="D50" s="2" t="s">
        <v>16</v>
      </c>
      <c r="E50" s="2" t="s">
        <v>186</v>
      </c>
      <c r="F50" s="2">
        <v>4593</v>
      </c>
      <c r="G50" s="2"/>
      <c r="H50" s="2">
        <v>17290</v>
      </c>
      <c r="I50" s="2">
        <v>338</v>
      </c>
      <c r="J50" s="2">
        <v>0.13</v>
      </c>
      <c r="K50" s="5">
        <f t="shared" si="0"/>
        <v>43.940000000000005</v>
      </c>
      <c r="L50" s="19">
        <f t="shared" si="1"/>
        <v>17246.060000000001</v>
      </c>
      <c r="M50" s="5">
        <f t="shared" si="2"/>
        <v>1210.3</v>
      </c>
      <c r="N50" s="2">
        <v>30270</v>
      </c>
    </row>
    <row r="51" spans="1:16">
      <c r="A51" s="375"/>
      <c r="B51" s="2" t="s">
        <v>146</v>
      </c>
      <c r="C51" s="2" t="s">
        <v>20</v>
      </c>
      <c r="D51" s="2" t="s">
        <v>16</v>
      </c>
      <c r="E51" s="2" t="s">
        <v>187</v>
      </c>
      <c r="F51" s="2">
        <v>4587</v>
      </c>
      <c r="G51" s="2"/>
      <c r="H51" s="2">
        <v>18090</v>
      </c>
      <c r="I51" s="2">
        <v>350</v>
      </c>
      <c r="J51" s="2">
        <v>0.13</v>
      </c>
      <c r="K51" s="5">
        <f t="shared" si="0"/>
        <v>45.5</v>
      </c>
      <c r="L51" s="19">
        <f t="shared" si="1"/>
        <v>18044.5</v>
      </c>
      <c r="M51" s="5">
        <f t="shared" si="2"/>
        <v>1266.3</v>
      </c>
      <c r="N51" s="2">
        <v>31710</v>
      </c>
      <c r="O51" s="73" t="s">
        <v>407</v>
      </c>
      <c r="P51" s="1">
        <v>20686</v>
      </c>
    </row>
    <row r="52" spans="1:16">
      <c r="A52" s="375"/>
      <c r="B52" s="2" t="s">
        <v>146</v>
      </c>
      <c r="C52" s="2" t="s">
        <v>20</v>
      </c>
      <c r="D52" s="2" t="s">
        <v>16</v>
      </c>
      <c r="E52" s="2" t="s">
        <v>188</v>
      </c>
      <c r="F52" s="2">
        <v>4590</v>
      </c>
      <c r="G52" s="2"/>
      <c r="H52" s="2">
        <v>16560</v>
      </c>
      <c r="I52" s="2">
        <v>335</v>
      </c>
      <c r="J52" s="2">
        <v>0.13</v>
      </c>
      <c r="K52" s="5">
        <f t="shared" si="0"/>
        <v>43.550000000000004</v>
      </c>
      <c r="L52" s="19">
        <f t="shared" si="1"/>
        <v>16516.45</v>
      </c>
      <c r="M52" s="5">
        <f t="shared" si="2"/>
        <v>1159.1999999999998</v>
      </c>
      <c r="N52" s="2">
        <v>28900</v>
      </c>
    </row>
    <row r="53" spans="1:16">
      <c r="A53" s="375"/>
      <c r="B53" s="2" t="s">
        <v>146</v>
      </c>
      <c r="C53" s="2" t="s">
        <v>20</v>
      </c>
      <c r="D53" s="2" t="s">
        <v>16</v>
      </c>
      <c r="E53" s="2" t="s">
        <v>189</v>
      </c>
      <c r="F53" s="2">
        <v>4594</v>
      </c>
      <c r="G53" s="2"/>
      <c r="H53" s="2">
        <v>17260</v>
      </c>
      <c r="I53" s="2">
        <v>345</v>
      </c>
      <c r="J53" s="2">
        <v>0.13</v>
      </c>
      <c r="K53" s="5">
        <f t="shared" si="0"/>
        <v>44.85</v>
      </c>
      <c r="L53" s="19">
        <f t="shared" si="1"/>
        <v>17215.150000000001</v>
      </c>
      <c r="M53" s="5">
        <f t="shared" si="2"/>
        <v>1208.2</v>
      </c>
      <c r="N53" s="2">
        <v>30200</v>
      </c>
    </row>
    <row r="54" spans="1:16">
      <c r="A54" s="375"/>
      <c r="B54" s="2" t="s">
        <v>146</v>
      </c>
      <c r="C54" s="2" t="s">
        <v>20</v>
      </c>
      <c r="D54" s="2" t="s">
        <v>16</v>
      </c>
      <c r="E54" s="2" t="s">
        <v>190</v>
      </c>
      <c r="F54" s="2">
        <v>4591</v>
      </c>
      <c r="G54" s="2"/>
      <c r="H54" s="2">
        <v>17920</v>
      </c>
      <c r="I54" s="2">
        <v>360</v>
      </c>
      <c r="J54" s="2">
        <v>0.13</v>
      </c>
      <c r="K54" s="5">
        <f t="shared" si="0"/>
        <v>46.800000000000004</v>
      </c>
      <c r="L54" s="19">
        <f t="shared" si="1"/>
        <v>17873.2</v>
      </c>
      <c r="M54" s="5">
        <f t="shared" si="2"/>
        <v>1254.4000000000001</v>
      </c>
      <c r="N54" s="2">
        <v>31440</v>
      </c>
    </row>
    <row r="55" spans="1:16">
      <c r="A55" s="375"/>
      <c r="B55" s="2" t="s">
        <v>146</v>
      </c>
      <c r="C55" s="2" t="s">
        <v>20</v>
      </c>
      <c r="D55" s="2" t="s">
        <v>16</v>
      </c>
      <c r="E55" s="2" t="s">
        <v>191</v>
      </c>
      <c r="F55" s="2">
        <v>4596</v>
      </c>
      <c r="G55" s="2"/>
      <c r="H55" s="2">
        <v>15640</v>
      </c>
      <c r="I55" s="2">
        <v>310</v>
      </c>
      <c r="J55" s="2">
        <v>0.13</v>
      </c>
      <c r="K55" s="5">
        <f t="shared" si="0"/>
        <v>40.300000000000004</v>
      </c>
      <c r="L55" s="19">
        <f t="shared" si="1"/>
        <v>15599.7</v>
      </c>
      <c r="M55" s="5">
        <f t="shared" si="2"/>
        <v>1094.8</v>
      </c>
      <c r="N55" s="2">
        <v>27370</v>
      </c>
    </row>
    <row r="56" spans="1:16">
      <c r="A56" s="375" t="s">
        <v>200</v>
      </c>
      <c r="B56" s="2" t="s">
        <v>146</v>
      </c>
      <c r="C56" s="2" t="s">
        <v>20</v>
      </c>
      <c r="D56" s="2" t="s">
        <v>16</v>
      </c>
      <c r="E56" s="2" t="s">
        <v>201</v>
      </c>
      <c r="F56" s="2">
        <v>2676</v>
      </c>
      <c r="G56" s="2"/>
      <c r="H56" s="2">
        <v>17470</v>
      </c>
      <c r="I56" s="2">
        <v>385</v>
      </c>
      <c r="J56" s="2">
        <v>0.13</v>
      </c>
      <c r="K56" s="5">
        <f t="shared" si="0"/>
        <v>50.050000000000004</v>
      </c>
      <c r="L56" s="19">
        <f t="shared" si="1"/>
        <v>17419.95</v>
      </c>
      <c r="M56" s="5">
        <f t="shared" si="2"/>
        <v>1222.8999999999999</v>
      </c>
      <c r="N56" s="2">
        <v>30590</v>
      </c>
    </row>
    <row r="57" spans="1:16">
      <c r="A57" s="375"/>
      <c r="B57" s="2" t="s">
        <v>146</v>
      </c>
      <c r="C57" s="2" t="s">
        <v>20</v>
      </c>
      <c r="D57" s="2" t="s">
        <v>16</v>
      </c>
      <c r="E57" s="2" t="s">
        <v>202</v>
      </c>
      <c r="F57" s="2">
        <v>2677</v>
      </c>
      <c r="G57" s="2"/>
      <c r="H57" s="2">
        <v>24050</v>
      </c>
      <c r="I57" s="2">
        <v>525</v>
      </c>
      <c r="J57" s="2">
        <v>0.13</v>
      </c>
      <c r="K57" s="5">
        <f t="shared" si="0"/>
        <v>68.25</v>
      </c>
      <c r="L57" s="19">
        <f t="shared" si="1"/>
        <v>23981.75</v>
      </c>
      <c r="M57" s="5">
        <f t="shared" si="2"/>
        <v>1683.5</v>
      </c>
      <c r="N57" s="2">
        <v>42170</v>
      </c>
    </row>
    <row r="58" spans="1:16">
      <c r="A58" s="375"/>
      <c r="B58" s="2" t="s">
        <v>146</v>
      </c>
      <c r="C58" s="2" t="s">
        <v>20</v>
      </c>
      <c r="D58" s="2" t="s">
        <v>16</v>
      </c>
      <c r="E58" s="2" t="s">
        <v>203</v>
      </c>
      <c r="F58" s="2">
        <v>2675</v>
      </c>
      <c r="G58" s="2"/>
      <c r="H58" s="2">
        <v>18350</v>
      </c>
      <c r="I58" s="2">
        <v>404</v>
      </c>
      <c r="J58" s="2">
        <v>0.13</v>
      </c>
      <c r="K58" s="5">
        <f t="shared" si="0"/>
        <v>52.52</v>
      </c>
      <c r="L58" s="19">
        <f t="shared" si="1"/>
        <v>18297.48</v>
      </c>
      <c r="M58" s="5">
        <f t="shared" si="2"/>
        <v>1284.5</v>
      </c>
      <c r="N58" s="2">
        <v>32110</v>
      </c>
    </row>
    <row r="59" spans="1:16">
      <c r="A59" s="375"/>
      <c r="B59" s="2" t="s">
        <v>146</v>
      </c>
      <c r="C59" s="2" t="s">
        <v>20</v>
      </c>
      <c r="D59" s="2" t="s">
        <v>16</v>
      </c>
      <c r="E59" s="2" t="s">
        <v>148</v>
      </c>
      <c r="F59" s="2">
        <v>2</v>
      </c>
      <c r="G59" s="72" t="s">
        <v>406</v>
      </c>
      <c r="H59" s="2">
        <v>19360</v>
      </c>
      <c r="I59" s="2">
        <v>375</v>
      </c>
      <c r="J59" s="2">
        <v>0.13</v>
      </c>
      <c r="K59" s="5">
        <f t="shared" si="0"/>
        <v>48.75</v>
      </c>
      <c r="L59" s="19">
        <f t="shared" si="1"/>
        <v>19311.25</v>
      </c>
      <c r="M59" s="5">
        <f t="shared" si="2"/>
        <v>1355.2</v>
      </c>
      <c r="N59" s="2">
        <v>33900</v>
      </c>
      <c r="P59" s="73" t="s">
        <v>407</v>
      </c>
    </row>
    <row r="60" spans="1:16">
      <c r="A60" s="375"/>
      <c r="B60" s="2" t="s">
        <v>146</v>
      </c>
      <c r="C60" s="2" t="s">
        <v>20</v>
      </c>
      <c r="D60" s="2" t="s">
        <v>16</v>
      </c>
      <c r="E60" s="2" t="s">
        <v>204</v>
      </c>
      <c r="F60" s="2">
        <v>2660</v>
      </c>
      <c r="G60" s="2"/>
      <c r="H60" s="2">
        <v>37060</v>
      </c>
      <c r="I60" s="2">
        <v>745</v>
      </c>
      <c r="J60" s="2">
        <v>0.13</v>
      </c>
      <c r="K60" s="5">
        <f t="shared" si="0"/>
        <v>96.850000000000009</v>
      </c>
      <c r="L60" s="19">
        <f t="shared" si="1"/>
        <v>36963.15</v>
      </c>
      <c r="M60" s="5">
        <f t="shared" si="2"/>
        <v>2594.2000000000003</v>
      </c>
      <c r="N60" s="2">
        <v>64890</v>
      </c>
    </row>
    <row r="61" spans="1:16">
      <c r="A61" s="375"/>
      <c r="B61" s="2" t="s">
        <v>146</v>
      </c>
      <c r="C61" s="2" t="s">
        <v>20</v>
      </c>
      <c r="D61" s="2" t="s">
        <v>16</v>
      </c>
      <c r="E61" s="2" t="s">
        <v>205</v>
      </c>
      <c r="F61" s="2">
        <v>2679</v>
      </c>
      <c r="G61" s="72" t="s">
        <v>406</v>
      </c>
      <c r="H61" s="2">
        <v>18240</v>
      </c>
      <c r="I61" s="2">
        <v>355</v>
      </c>
      <c r="J61" s="2">
        <v>0.13</v>
      </c>
      <c r="K61" s="5">
        <f t="shared" si="0"/>
        <v>46.15</v>
      </c>
      <c r="L61" s="19">
        <f t="shared" si="1"/>
        <v>18193.849999999999</v>
      </c>
      <c r="M61" s="5">
        <f t="shared" si="2"/>
        <v>1276.8</v>
      </c>
      <c r="N61" s="2">
        <v>31990</v>
      </c>
      <c r="P61" s="73" t="s">
        <v>407</v>
      </c>
    </row>
    <row r="62" spans="1:16">
      <c r="A62" s="375"/>
      <c r="B62" s="2" t="s">
        <v>146</v>
      </c>
      <c r="C62" s="2" t="s">
        <v>20</v>
      </c>
      <c r="D62" s="2" t="s">
        <v>16</v>
      </c>
      <c r="E62" s="22" t="s">
        <v>194</v>
      </c>
      <c r="F62" s="22">
        <v>2666</v>
      </c>
      <c r="G62" s="22"/>
      <c r="H62" s="22">
        <v>17880</v>
      </c>
      <c r="I62" s="2">
        <v>372</v>
      </c>
      <c r="J62" s="2">
        <v>0.13</v>
      </c>
      <c r="K62" s="5">
        <f t="shared" si="0"/>
        <v>48.36</v>
      </c>
      <c r="L62" s="19">
        <f t="shared" si="1"/>
        <v>17831.64</v>
      </c>
      <c r="M62" s="5">
        <f t="shared" si="2"/>
        <v>1251.5999999999999</v>
      </c>
      <c r="N62" s="2">
        <v>31320</v>
      </c>
    </row>
    <row r="63" spans="1:16">
      <c r="A63" s="375"/>
      <c r="B63" s="2" t="s">
        <v>146</v>
      </c>
      <c r="C63" s="2" t="s">
        <v>20</v>
      </c>
      <c r="D63" s="2" t="s">
        <v>16</v>
      </c>
      <c r="E63" s="22" t="s">
        <v>193</v>
      </c>
      <c r="F63" s="22">
        <v>2671</v>
      </c>
      <c r="G63" s="22"/>
      <c r="H63" s="22">
        <v>15670</v>
      </c>
      <c r="I63" s="2">
        <v>322</v>
      </c>
      <c r="J63" s="2">
        <v>0.13</v>
      </c>
      <c r="K63" s="5">
        <f t="shared" si="0"/>
        <v>41.86</v>
      </c>
      <c r="L63" s="19">
        <f t="shared" si="1"/>
        <v>15628.14</v>
      </c>
      <c r="M63" s="5">
        <f t="shared" si="2"/>
        <v>1096.9000000000001</v>
      </c>
      <c r="N63" s="2">
        <v>27560</v>
      </c>
    </row>
    <row r="64" spans="1:16">
      <c r="A64" s="375"/>
      <c r="B64" s="2" t="s">
        <v>146</v>
      </c>
      <c r="C64" s="2" t="s">
        <v>20</v>
      </c>
      <c r="D64" s="2" t="s">
        <v>16</v>
      </c>
      <c r="E64" s="22" t="s">
        <v>192</v>
      </c>
      <c r="F64" s="22">
        <v>2672</v>
      </c>
      <c r="G64" s="22"/>
      <c r="H64" s="22">
        <v>17250</v>
      </c>
      <c r="I64" s="2">
        <v>334</v>
      </c>
      <c r="J64" s="2">
        <v>0.13</v>
      </c>
      <c r="K64" s="5">
        <f t="shared" si="0"/>
        <v>43.42</v>
      </c>
      <c r="L64" s="19">
        <f t="shared" si="1"/>
        <v>17206.580000000002</v>
      </c>
      <c r="M64" s="5">
        <f t="shared" si="2"/>
        <v>1207.5</v>
      </c>
      <c r="N64" s="2">
        <v>30180</v>
      </c>
    </row>
    <row r="65" spans="1:16">
      <c r="A65" s="375"/>
      <c r="B65" s="2" t="s">
        <v>146</v>
      </c>
      <c r="C65" s="2" t="s">
        <v>20</v>
      </c>
      <c r="D65" s="2" t="s">
        <v>16</v>
      </c>
      <c r="E65" s="22" t="s">
        <v>206</v>
      </c>
      <c r="F65" s="23">
        <v>2669</v>
      </c>
      <c r="G65" s="24"/>
      <c r="H65" s="23">
        <v>16110</v>
      </c>
      <c r="I65" s="20">
        <v>310</v>
      </c>
      <c r="J65" s="20">
        <v>0.13</v>
      </c>
      <c r="K65" s="5">
        <f t="shared" si="0"/>
        <v>40.300000000000004</v>
      </c>
      <c r="L65" s="19">
        <f t="shared" si="1"/>
        <v>16069.7</v>
      </c>
      <c r="M65" s="5">
        <f t="shared" si="2"/>
        <v>1127.7</v>
      </c>
      <c r="N65" s="20">
        <v>28190</v>
      </c>
    </row>
    <row r="66" spans="1:16">
      <c r="A66" s="375"/>
      <c r="B66" s="2" t="s">
        <v>146</v>
      </c>
      <c r="C66" s="2" t="s">
        <v>20</v>
      </c>
      <c r="D66" s="2" t="s">
        <v>16</v>
      </c>
      <c r="E66" s="2" t="s">
        <v>207</v>
      </c>
      <c r="F66" s="20">
        <v>2674</v>
      </c>
      <c r="G66" s="20"/>
      <c r="H66" s="20">
        <v>15860</v>
      </c>
      <c r="I66" s="20">
        <v>342</v>
      </c>
      <c r="J66" s="20">
        <v>0.13</v>
      </c>
      <c r="K66" s="5">
        <f t="shared" si="0"/>
        <v>44.46</v>
      </c>
      <c r="L66" s="19">
        <f t="shared" si="1"/>
        <v>15815.54</v>
      </c>
      <c r="M66" s="5">
        <f t="shared" si="2"/>
        <v>1110.2</v>
      </c>
      <c r="N66" s="20">
        <v>27770</v>
      </c>
    </row>
    <row r="67" spans="1:16">
      <c r="A67" s="375" t="s">
        <v>210</v>
      </c>
      <c r="B67" s="2" t="s">
        <v>19</v>
      </c>
      <c r="C67" s="2" t="s">
        <v>20</v>
      </c>
      <c r="D67" s="2" t="s">
        <v>16</v>
      </c>
      <c r="E67" s="2" t="s">
        <v>217</v>
      </c>
      <c r="F67" s="2">
        <v>2686</v>
      </c>
      <c r="G67" s="2"/>
      <c r="H67" s="2">
        <v>18320</v>
      </c>
      <c r="I67" s="2">
        <v>375</v>
      </c>
      <c r="J67" s="2">
        <v>0.13</v>
      </c>
      <c r="K67" s="5">
        <f t="shared" si="0"/>
        <v>48.75</v>
      </c>
      <c r="L67" s="19">
        <f t="shared" si="1"/>
        <v>18271.25</v>
      </c>
      <c r="M67" s="5">
        <f t="shared" si="2"/>
        <v>1282.4000000000001</v>
      </c>
      <c r="N67" s="2">
        <v>32060</v>
      </c>
    </row>
    <row r="68" spans="1:16">
      <c r="A68" s="375"/>
      <c r="B68" s="2" t="s">
        <v>19</v>
      </c>
      <c r="C68" s="2" t="s">
        <v>20</v>
      </c>
      <c r="D68" s="2" t="s">
        <v>16</v>
      </c>
      <c r="E68" s="2" t="s">
        <v>218</v>
      </c>
      <c r="F68" s="2">
        <v>2634</v>
      </c>
      <c r="G68" s="2"/>
      <c r="H68" s="2">
        <v>17550</v>
      </c>
      <c r="I68" s="2">
        <v>370</v>
      </c>
      <c r="J68" s="2">
        <v>0.13</v>
      </c>
      <c r="K68" s="5">
        <f t="shared" si="0"/>
        <v>48.1</v>
      </c>
      <c r="L68" s="19">
        <f t="shared" si="1"/>
        <v>17501.900000000001</v>
      </c>
      <c r="M68" s="5">
        <f t="shared" si="2"/>
        <v>1228.5</v>
      </c>
      <c r="N68" s="2">
        <v>30710</v>
      </c>
    </row>
    <row r="69" spans="1:16">
      <c r="A69" s="375"/>
      <c r="B69" s="2" t="s">
        <v>19</v>
      </c>
      <c r="C69" s="2" t="s">
        <v>20</v>
      </c>
      <c r="D69" s="2" t="s">
        <v>16</v>
      </c>
      <c r="E69" s="2" t="s">
        <v>219</v>
      </c>
      <c r="F69" s="2">
        <v>2638</v>
      </c>
      <c r="G69" s="2"/>
      <c r="H69" s="2">
        <v>17210</v>
      </c>
      <c r="I69" s="2">
        <v>350</v>
      </c>
      <c r="J69" s="2">
        <v>0.13</v>
      </c>
      <c r="K69" s="5">
        <f t="shared" si="0"/>
        <v>45.5</v>
      </c>
      <c r="L69" s="19">
        <f t="shared" si="1"/>
        <v>17164.5</v>
      </c>
      <c r="M69" s="5">
        <f t="shared" si="2"/>
        <v>1204.7</v>
      </c>
      <c r="N69" s="2">
        <v>30110</v>
      </c>
    </row>
    <row r="70" spans="1:16">
      <c r="A70" s="375"/>
      <c r="B70" s="2" t="s">
        <v>19</v>
      </c>
      <c r="C70" s="2" t="s">
        <v>20</v>
      </c>
      <c r="D70" s="2" t="s">
        <v>16</v>
      </c>
      <c r="E70" s="2" t="s">
        <v>220</v>
      </c>
      <c r="F70" s="2">
        <v>2682</v>
      </c>
      <c r="G70" s="2"/>
      <c r="H70" s="2">
        <v>17200</v>
      </c>
      <c r="I70" s="2">
        <v>345</v>
      </c>
      <c r="J70" s="2">
        <v>0.13</v>
      </c>
      <c r="K70" s="5">
        <f t="shared" ref="K70:K88" si="3">I70*J70</f>
        <v>44.85</v>
      </c>
      <c r="L70" s="19">
        <f t="shared" ref="L70:L88" si="4">H70-K70</f>
        <v>17155.150000000001</v>
      </c>
      <c r="M70" s="5">
        <f t="shared" si="2"/>
        <v>1204</v>
      </c>
      <c r="N70" s="2">
        <v>30100</v>
      </c>
    </row>
    <row r="71" spans="1:16">
      <c r="A71" s="375"/>
      <c r="B71" s="2" t="s">
        <v>19</v>
      </c>
      <c r="C71" s="2" t="s">
        <v>20</v>
      </c>
      <c r="D71" s="2" t="s">
        <v>16</v>
      </c>
      <c r="E71" s="2" t="s">
        <v>221</v>
      </c>
      <c r="F71" s="2">
        <v>2687</v>
      </c>
      <c r="G71" s="2"/>
      <c r="H71" s="2">
        <v>17170</v>
      </c>
      <c r="I71" s="2">
        <v>340</v>
      </c>
      <c r="J71" s="2">
        <v>0.13</v>
      </c>
      <c r="K71" s="5">
        <f t="shared" si="3"/>
        <v>44.2</v>
      </c>
      <c r="L71" s="19">
        <f t="shared" si="4"/>
        <v>17125.8</v>
      </c>
      <c r="M71" s="5">
        <f t="shared" ref="M71:M88" si="5">H71/1000*70</f>
        <v>1201.9000000000001</v>
      </c>
      <c r="N71" s="2">
        <v>30040</v>
      </c>
    </row>
    <row r="72" spans="1:16">
      <c r="A72" s="375"/>
      <c r="B72" s="2" t="s">
        <v>19</v>
      </c>
      <c r="C72" s="2" t="s">
        <v>20</v>
      </c>
      <c r="D72" s="2" t="s">
        <v>16</v>
      </c>
      <c r="E72" s="2" t="s">
        <v>222</v>
      </c>
      <c r="F72" s="2">
        <v>2659</v>
      </c>
      <c r="G72" s="2"/>
      <c r="H72" s="2">
        <v>37630</v>
      </c>
      <c r="I72" s="2">
        <v>750</v>
      </c>
      <c r="J72" s="2">
        <v>0.13</v>
      </c>
      <c r="K72" s="5">
        <f t="shared" si="3"/>
        <v>97.5</v>
      </c>
      <c r="L72" s="19">
        <f t="shared" si="4"/>
        <v>37532.5</v>
      </c>
      <c r="M72" s="5">
        <f t="shared" si="5"/>
        <v>2634.1000000000004</v>
      </c>
      <c r="N72" s="2">
        <v>65920</v>
      </c>
    </row>
    <row r="73" spans="1:16">
      <c r="A73" s="375"/>
      <c r="B73" s="2" t="s">
        <v>19</v>
      </c>
      <c r="C73" s="2" t="s">
        <v>20</v>
      </c>
      <c r="D73" s="2" t="s">
        <v>16</v>
      </c>
      <c r="E73" s="2" t="s">
        <v>223</v>
      </c>
      <c r="F73" s="2">
        <v>2681</v>
      </c>
      <c r="G73" s="2"/>
      <c r="H73" s="2">
        <v>16910</v>
      </c>
      <c r="I73" s="2">
        <v>350</v>
      </c>
      <c r="J73" s="2">
        <v>0.13</v>
      </c>
      <c r="K73" s="5">
        <f t="shared" si="3"/>
        <v>45.5</v>
      </c>
      <c r="L73" s="19">
        <f t="shared" si="4"/>
        <v>16864.5</v>
      </c>
      <c r="M73" s="5">
        <f t="shared" si="5"/>
        <v>1183.7</v>
      </c>
      <c r="N73" s="2">
        <v>29610</v>
      </c>
    </row>
    <row r="74" spans="1:16">
      <c r="A74" s="375"/>
      <c r="B74" s="2" t="s">
        <v>19</v>
      </c>
      <c r="C74" s="2" t="s">
        <v>20</v>
      </c>
      <c r="D74" s="2" t="s">
        <v>16</v>
      </c>
      <c r="E74" s="2" t="s">
        <v>224</v>
      </c>
      <c r="F74" s="2">
        <v>3</v>
      </c>
      <c r="G74" s="72" t="s">
        <v>406</v>
      </c>
      <c r="H74" s="2">
        <v>17060</v>
      </c>
      <c r="I74" s="2">
        <v>335</v>
      </c>
      <c r="J74" s="2">
        <v>0.13</v>
      </c>
      <c r="K74" s="5">
        <f t="shared" si="3"/>
        <v>43.550000000000004</v>
      </c>
      <c r="L74" s="19">
        <f t="shared" si="4"/>
        <v>17016.45</v>
      </c>
      <c r="M74" s="5">
        <f t="shared" si="5"/>
        <v>1194.1999999999998</v>
      </c>
      <c r="N74" s="2">
        <v>29850</v>
      </c>
      <c r="P74" s="73" t="s">
        <v>407</v>
      </c>
    </row>
    <row r="75" spans="1:16">
      <c r="A75" s="375"/>
      <c r="B75" s="2" t="s">
        <v>19</v>
      </c>
      <c r="C75" s="2" t="s">
        <v>20</v>
      </c>
      <c r="D75" s="2" t="s">
        <v>16</v>
      </c>
      <c r="E75" s="2" t="s">
        <v>225</v>
      </c>
      <c r="F75" s="2">
        <v>2680</v>
      </c>
      <c r="G75" s="2"/>
      <c r="H75" s="2">
        <v>16960</v>
      </c>
      <c r="I75" s="2">
        <v>350</v>
      </c>
      <c r="J75" s="2">
        <v>0.13</v>
      </c>
      <c r="K75" s="5">
        <f t="shared" si="3"/>
        <v>45.5</v>
      </c>
      <c r="L75" s="19">
        <f t="shared" si="4"/>
        <v>16914.5</v>
      </c>
      <c r="M75" s="5">
        <f t="shared" si="5"/>
        <v>1187.2</v>
      </c>
      <c r="N75" s="2">
        <v>29750</v>
      </c>
    </row>
    <row r="76" spans="1:16">
      <c r="A76" s="383" t="s">
        <v>226</v>
      </c>
      <c r="B76" s="2" t="s">
        <v>19</v>
      </c>
      <c r="C76" s="2" t="s">
        <v>20</v>
      </c>
      <c r="D76" s="2" t="s">
        <v>16</v>
      </c>
      <c r="E76" s="2" t="s">
        <v>227</v>
      </c>
      <c r="F76" s="2">
        <v>2690</v>
      </c>
      <c r="G76" s="2"/>
      <c r="H76" s="2">
        <v>18460</v>
      </c>
      <c r="I76" s="2">
        <v>380</v>
      </c>
      <c r="J76" s="2">
        <v>0.13</v>
      </c>
      <c r="K76" s="5">
        <f t="shared" si="3"/>
        <v>49.4</v>
      </c>
      <c r="L76" s="19">
        <f t="shared" si="4"/>
        <v>18410.599999999999</v>
      </c>
      <c r="M76" s="5">
        <f t="shared" si="5"/>
        <v>1292.2</v>
      </c>
      <c r="N76" s="2">
        <v>32340</v>
      </c>
    </row>
    <row r="77" spans="1:16">
      <c r="A77" s="384"/>
      <c r="B77" s="2" t="s">
        <v>19</v>
      </c>
      <c r="C77" s="2" t="s">
        <v>20</v>
      </c>
      <c r="D77" s="2" t="s">
        <v>16</v>
      </c>
      <c r="E77" s="2" t="s">
        <v>228</v>
      </c>
      <c r="F77" s="2">
        <v>2685</v>
      </c>
      <c r="G77" s="2"/>
      <c r="H77" s="2">
        <v>16850</v>
      </c>
      <c r="I77" s="2">
        <v>342</v>
      </c>
      <c r="J77" s="2">
        <v>0.13</v>
      </c>
      <c r="K77" s="5">
        <f t="shared" si="3"/>
        <v>44.46</v>
      </c>
      <c r="L77" s="19">
        <f t="shared" si="4"/>
        <v>16805.54</v>
      </c>
      <c r="M77" s="5">
        <f t="shared" si="5"/>
        <v>1179.5</v>
      </c>
      <c r="N77" s="2">
        <v>29480</v>
      </c>
    </row>
    <row r="78" spans="1:16">
      <c r="A78" s="384"/>
      <c r="B78" s="2" t="s">
        <v>19</v>
      </c>
      <c r="C78" s="2" t="s">
        <v>20</v>
      </c>
      <c r="D78" s="2" t="s">
        <v>16</v>
      </c>
      <c r="E78" s="2" t="s">
        <v>229</v>
      </c>
      <c r="F78" s="2">
        <v>2696</v>
      </c>
      <c r="G78" s="2"/>
      <c r="H78" s="2">
        <v>17530</v>
      </c>
      <c r="I78" s="2">
        <v>352</v>
      </c>
      <c r="J78" s="2">
        <v>0.13</v>
      </c>
      <c r="K78" s="5">
        <f t="shared" si="3"/>
        <v>45.760000000000005</v>
      </c>
      <c r="L78" s="19">
        <f t="shared" si="4"/>
        <v>17484.240000000002</v>
      </c>
      <c r="M78" s="5">
        <f t="shared" si="5"/>
        <v>1227.1000000000001</v>
      </c>
      <c r="N78" s="2">
        <v>30150</v>
      </c>
    </row>
    <row r="79" spans="1:16">
      <c r="A79" s="384"/>
      <c r="B79" s="2" t="s">
        <v>19</v>
      </c>
      <c r="C79" s="2" t="s">
        <v>20</v>
      </c>
      <c r="D79" s="2" t="s">
        <v>16</v>
      </c>
      <c r="E79" s="2" t="s">
        <v>230</v>
      </c>
      <c r="F79" s="2">
        <v>2691</v>
      </c>
      <c r="G79" s="2"/>
      <c r="H79" s="2">
        <v>17900</v>
      </c>
      <c r="I79" s="2">
        <v>338</v>
      </c>
      <c r="J79" s="2">
        <v>0.13</v>
      </c>
      <c r="K79" s="5">
        <f t="shared" si="3"/>
        <v>43.940000000000005</v>
      </c>
      <c r="L79" s="19">
        <f t="shared" si="4"/>
        <v>17856.060000000001</v>
      </c>
      <c r="M79" s="5">
        <f t="shared" si="5"/>
        <v>1253</v>
      </c>
      <c r="N79" s="2">
        <v>31360</v>
      </c>
    </row>
    <row r="80" spans="1:16">
      <c r="A80" s="384"/>
      <c r="B80" s="2" t="s">
        <v>19</v>
      </c>
      <c r="C80" s="2" t="s">
        <v>20</v>
      </c>
      <c r="D80" s="2" t="s">
        <v>16</v>
      </c>
      <c r="E80" s="2" t="s">
        <v>231</v>
      </c>
      <c r="F80" s="2">
        <v>2692</v>
      </c>
      <c r="G80" s="2"/>
      <c r="H80" s="2">
        <v>18440</v>
      </c>
      <c r="I80" s="2">
        <v>380</v>
      </c>
      <c r="J80" s="2">
        <v>0.13</v>
      </c>
      <c r="K80" s="5">
        <f t="shared" si="3"/>
        <v>49.4</v>
      </c>
      <c r="L80" s="19">
        <f t="shared" si="4"/>
        <v>18390.599999999999</v>
      </c>
      <c r="M80" s="5">
        <f t="shared" si="5"/>
        <v>1290.8000000000002</v>
      </c>
      <c r="N80" s="2">
        <v>31760</v>
      </c>
    </row>
    <row r="81" spans="1:16">
      <c r="A81" s="384"/>
      <c r="B81" s="2" t="s">
        <v>19</v>
      </c>
      <c r="C81" s="2" t="s">
        <v>20</v>
      </c>
      <c r="D81" s="2" t="s">
        <v>16</v>
      </c>
      <c r="E81" s="2" t="s">
        <v>232</v>
      </c>
      <c r="F81" s="2">
        <v>2693</v>
      </c>
      <c r="G81" s="2"/>
      <c r="H81" s="2">
        <v>17380</v>
      </c>
      <c r="I81" s="2">
        <v>365</v>
      </c>
      <c r="J81" s="2">
        <v>0.13</v>
      </c>
      <c r="K81" s="5">
        <f t="shared" si="3"/>
        <v>47.45</v>
      </c>
      <c r="L81" s="19">
        <f t="shared" si="4"/>
        <v>17332.55</v>
      </c>
      <c r="M81" s="5">
        <f t="shared" si="5"/>
        <v>1216.5999999999999</v>
      </c>
      <c r="N81" s="2">
        <v>29910</v>
      </c>
    </row>
    <row r="82" spans="1:16">
      <c r="A82" s="384"/>
      <c r="B82" s="2" t="s">
        <v>19</v>
      </c>
      <c r="C82" s="2" t="s">
        <v>20</v>
      </c>
      <c r="D82" s="2" t="s">
        <v>16</v>
      </c>
      <c r="E82" s="2" t="s">
        <v>233</v>
      </c>
      <c r="F82" s="2">
        <v>2689</v>
      </c>
      <c r="G82" s="2"/>
      <c r="H82" s="2">
        <v>16660</v>
      </c>
      <c r="I82" s="2">
        <v>350</v>
      </c>
      <c r="J82" s="2">
        <v>0.13</v>
      </c>
      <c r="K82" s="5">
        <f t="shared" si="3"/>
        <v>45.5</v>
      </c>
      <c r="L82" s="19">
        <f t="shared" si="4"/>
        <v>16614.5</v>
      </c>
      <c r="M82" s="5">
        <f t="shared" si="5"/>
        <v>1166.2</v>
      </c>
      <c r="N82" s="2">
        <v>29190</v>
      </c>
    </row>
    <row r="83" spans="1:16">
      <c r="A83" s="384"/>
      <c r="B83" s="2" t="s">
        <v>19</v>
      </c>
      <c r="C83" s="2" t="s">
        <v>20</v>
      </c>
      <c r="D83" s="2" t="s">
        <v>16</v>
      </c>
      <c r="E83" s="2" t="s">
        <v>234</v>
      </c>
      <c r="F83" s="2">
        <v>6</v>
      </c>
      <c r="G83" s="72" t="s">
        <v>406</v>
      </c>
      <c r="H83" s="2">
        <v>18070</v>
      </c>
      <c r="I83" s="2">
        <v>350</v>
      </c>
      <c r="J83" s="2">
        <v>0.13</v>
      </c>
      <c r="K83" s="5">
        <f t="shared" si="3"/>
        <v>45.5</v>
      </c>
      <c r="L83" s="19">
        <f t="shared" si="4"/>
        <v>18024.5</v>
      </c>
      <c r="M83" s="5">
        <f t="shared" si="5"/>
        <v>1264.9000000000001</v>
      </c>
      <c r="N83" s="2">
        <v>31620</v>
      </c>
    </row>
    <row r="84" spans="1:16">
      <c r="A84" s="384"/>
      <c r="B84" s="2" t="s">
        <v>19</v>
      </c>
      <c r="C84" s="2" t="s">
        <v>20</v>
      </c>
      <c r="D84" s="2" t="s">
        <v>16</v>
      </c>
      <c r="E84" s="2" t="s">
        <v>137</v>
      </c>
      <c r="F84" s="2">
        <v>2683</v>
      </c>
      <c r="G84" s="2"/>
      <c r="H84" s="2">
        <v>14980</v>
      </c>
      <c r="I84" s="2">
        <v>327</v>
      </c>
      <c r="J84" s="2">
        <v>0.13</v>
      </c>
      <c r="K84" s="5">
        <f t="shared" si="3"/>
        <v>42.51</v>
      </c>
      <c r="L84" s="19">
        <f t="shared" si="4"/>
        <v>14937.49</v>
      </c>
      <c r="M84" s="5">
        <f t="shared" si="5"/>
        <v>1048.6000000000001</v>
      </c>
      <c r="N84" s="2">
        <v>26230</v>
      </c>
    </row>
    <row r="85" spans="1:16">
      <c r="A85" s="385"/>
      <c r="B85" s="2" t="s">
        <v>19</v>
      </c>
      <c r="C85" s="2" t="s">
        <v>20</v>
      </c>
      <c r="D85" s="2" t="s">
        <v>16</v>
      </c>
      <c r="E85" s="2" t="s">
        <v>235</v>
      </c>
      <c r="F85" s="2">
        <v>2694</v>
      </c>
      <c r="G85" s="2"/>
      <c r="H85" s="2">
        <v>14970</v>
      </c>
      <c r="I85" s="2">
        <v>315</v>
      </c>
      <c r="J85" s="2">
        <v>0.13</v>
      </c>
      <c r="K85" s="5">
        <f t="shared" si="3"/>
        <v>40.950000000000003</v>
      </c>
      <c r="L85" s="19">
        <f t="shared" si="4"/>
        <v>14929.05</v>
      </c>
      <c r="M85" s="5">
        <f t="shared" si="5"/>
        <v>1047.9000000000001</v>
      </c>
      <c r="N85" s="2">
        <v>25740</v>
      </c>
    </row>
    <row r="86" spans="1:16">
      <c r="A86" s="375" t="s">
        <v>236</v>
      </c>
      <c r="B86" s="2" t="s">
        <v>19</v>
      </c>
      <c r="C86" s="2" t="s">
        <v>20</v>
      </c>
      <c r="D86" s="2" t="s">
        <v>16</v>
      </c>
      <c r="E86" s="2" t="s">
        <v>240</v>
      </c>
      <c r="F86" s="2">
        <v>2697</v>
      </c>
      <c r="G86" s="2"/>
      <c r="H86" s="2">
        <v>18350</v>
      </c>
      <c r="I86" s="2">
        <v>366</v>
      </c>
      <c r="J86" s="2">
        <v>0.13</v>
      </c>
      <c r="K86" s="5">
        <f t="shared" si="3"/>
        <v>47.58</v>
      </c>
      <c r="L86" s="19">
        <f t="shared" si="4"/>
        <v>18302.419999999998</v>
      </c>
      <c r="M86" s="5">
        <f t="shared" si="5"/>
        <v>1284.5</v>
      </c>
      <c r="N86" s="2">
        <v>31660</v>
      </c>
    </row>
    <row r="87" spans="1:16">
      <c r="A87" s="375"/>
      <c r="B87" s="2" t="s">
        <v>19</v>
      </c>
      <c r="C87" s="2" t="s">
        <v>20</v>
      </c>
      <c r="D87" s="2" t="s">
        <v>16</v>
      </c>
      <c r="E87" s="2" t="s">
        <v>241</v>
      </c>
      <c r="F87" s="2">
        <v>2698</v>
      </c>
      <c r="G87" s="2"/>
      <c r="H87" s="2">
        <v>18680</v>
      </c>
      <c r="I87" s="2">
        <v>380</v>
      </c>
      <c r="J87" s="2">
        <v>0.13</v>
      </c>
      <c r="K87" s="5">
        <f t="shared" si="3"/>
        <v>49.4</v>
      </c>
      <c r="L87" s="19">
        <f t="shared" si="4"/>
        <v>18630.599999999999</v>
      </c>
      <c r="M87" s="5">
        <f t="shared" si="5"/>
        <v>1307.5999999999999</v>
      </c>
      <c r="N87" s="2">
        <v>32260</v>
      </c>
    </row>
    <row r="88" spans="1:16">
      <c r="A88" s="375"/>
      <c r="B88" s="2" t="s">
        <v>19</v>
      </c>
      <c r="C88" s="2" t="s">
        <v>20</v>
      </c>
      <c r="D88" s="2" t="s">
        <v>16</v>
      </c>
      <c r="E88" s="2" t="s">
        <v>242</v>
      </c>
      <c r="F88" s="2">
        <v>2695</v>
      </c>
      <c r="G88" s="2"/>
      <c r="H88" s="2">
        <v>23280</v>
      </c>
      <c r="I88" s="2">
        <v>491</v>
      </c>
      <c r="J88" s="2">
        <v>0.13</v>
      </c>
      <c r="K88" s="5">
        <f t="shared" si="3"/>
        <v>63.830000000000005</v>
      </c>
      <c r="L88" s="19">
        <f t="shared" si="4"/>
        <v>23216.17</v>
      </c>
      <c r="M88" s="5">
        <f t="shared" si="5"/>
        <v>1629.6000000000001</v>
      </c>
      <c r="N88" s="2">
        <v>40070</v>
      </c>
    </row>
    <row r="89" spans="1:16">
      <c r="L89" s="25">
        <f>SUM(L6:L88)</f>
        <v>1455423.8299999998</v>
      </c>
      <c r="M89" s="25"/>
      <c r="N89" s="70"/>
    </row>
    <row r="90" spans="1:16">
      <c r="A90" s="6" t="s">
        <v>271</v>
      </c>
      <c r="B90" s="71" t="s">
        <v>19</v>
      </c>
      <c r="C90" s="71" t="s">
        <v>20</v>
      </c>
      <c r="D90" s="2" t="s">
        <v>16</v>
      </c>
      <c r="E90" s="2" t="s">
        <v>272</v>
      </c>
      <c r="F90" s="2">
        <v>7</v>
      </c>
      <c r="G90" s="72" t="s">
        <v>406</v>
      </c>
      <c r="H90" s="2">
        <v>18660</v>
      </c>
      <c r="I90" s="2">
        <v>365</v>
      </c>
      <c r="J90" s="2">
        <v>0.13</v>
      </c>
      <c r="K90" s="5">
        <f t="shared" ref="K90:K95" si="6">I90*J90</f>
        <v>47.45</v>
      </c>
      <c r="L90" s="19">
        <f t="shared" ref="L90:L95" si="7">H90-K90</f>
        <v>18612.55</v>
      </c>
      <c r="M90" s="5">
        <f t="shared" ref="M90:M95" si="8">H90/1000*70</f>
        <v>1306.2</v>
      </c>
      <c r="N90" s="2">
        <v>30800</v>
      </c>
      <c r="O90" s="2"/>
      <c r="P90" s="2">
        <f t="shared" ref="P90:P95" si="9">L90*O90</f>
        <v>0</v>
      </c>
    </row>
    <row r="91" spans="1:16">
      <c r="A91" s="375" t="s">
        <v>273</v>
      </c>
      <c r="B91" s="71" t="s">
        <v>19</v>
      </c>
      <c r="C91" s="71" t="s">
        <v>20</v>
      </c>
      <c r="D91" s="2" t="s">
        <v>16</v>
      </c>
      <c r="E91" s="2" t="s">
        <v>278</v>
      </c>
      <c r="F91" s="2">
        <v>8</v>
      </c>
      <c r="G91" s="72" t="s">
        <v>406</v>
      </c>
      <c r="H91" s="2">
        <v>18350</v>
      </c>
      <c r="I91" s="2">
        <v>365</v>
      </c>
      <c r="J91" s="2">
        <v>0.13</v>
      </c>
      <c r="K91" s="5">
        <f t="shared" si="6"/>
        <v>47.45</v>
      </c>
      <c r="L91" s="19">
        <f t="shared" si="7"/>
        <v>18302.55</v>
      </c>
      <c r="M91" s="5">
        <f t="shared" si="8"/>
        <v>1284.5</v>
      </c>
      <c r="N91" s="2">
        <v>30270</v>
      </c>
      <c r="O91" s="2"/>
      <c r="P91" s="2">
        <f t="shared" si="9"/>
        <v>0</v>
      </c>
    </row>
    <row r="92" spans="1:16">
      <c r="A92" s="375"/>
      <c r="B92" s="71" t="s">
        <v>19</v>
      </c>
      <c r="C92" s="71" t="s">
        <v>20</v>
      </c>
      <c r="D92" s="2" t="s">
        <v>16</v>
      </c>
      <c r="E92" s="2" t="s">
        <v>279</v>
      </c>
      <c r="F92" s="2">
        <v>12</v>
      </c>
      <c r="G92" s="72" t="s">
        <v>406</v>
      </c>
      <c r="H92" s="2">
        <v>17090</v>
      </c>
      <c r="I92" s="2">
        <v>340</v>
      </c>
      <c r="J92" s="2">
        <v>0.13</v>
      </c>
      <c r="K92" s="5">
        <f t="shared" si="6"/>
        <v>44.2</v>
      </c>
      <c r="L92" s="19">
        <f t="shared" si="7"/>
        <v>17045.8</v>
      </c>
      <c r="M92" s="5">
        <f t="shared" si="8"/>
        <v>1196.3</v>
      </c>
      <c r="N92" s="2">
        <v>28200</v>
      </c>
      <c r="O92" s="2"/>
      <c r="P92" s="2">
        <f t="shared" si="9"/>
        <v>0</v>
      </c>
    </row>
    <row r="93" spans="1:16">
      <c r="A93" s="375"/>
      <c r="B93" s="71" t="s">
        <v>19</v>
      </c>
      <c r="C93" s="71" t="s">
        <v>20</v>
      </c>
      <c r="D93" s="2" t="s">
        <v>16</v>
      </c>
      <c r="E93" s="2" t="s">
        <v>280</v>
      </c>
      <c r="F93" s="2">
        <v>11</v>
      </c>
      <c r="G93" s="72" t="s">
        <v>406</v>
      </c>
      <c r="H93" s="2">
        <v>17210</v>
      </c>
      <c r="I93" s="2">
        <v>345</v>
      </c>
      <c r="J93" s="2">
        <v>0.13</v>
      </c>
      <c r="K93" s="5">
        <f t="shared" si="6"/>
        <v>44.85</v>
      </c>
      <c r="L93" s="19">
        <f t="shared" si="7"/>
        <v>17165.150000000001</v>
      </c>
      <c r="M93" s="5">
        <f t="shared" si="8"/>
        <v>1204.7</v>
      </c>
      <c r="N93" s="2">
        <v>28410</v>
      </c>
      <c r="O93" s="2"/>
      <c r="P93" s="2">
        <f t="shared" si="9"/>
        <v>0</v>
      </c>
    </row>
    <row r="94" spans="1:16">
      <c r="A94" s="375"/>
      <c r="B94" s="71" t="s">
        <v>19</v>
      </c>
      <c r="C94" s="71" t="s">
        <v>20</v>
      </c>
      <c r="D94" s="2" t="s">
        <v>16</v>
      </c>
      <c r="E94" s="2" t="s">
        <v>281</v>
      </c>
      <c r="F94" s="2">
        <v>13</v>
      </c>
      <c r="G94" s="72" t="s">
        <v>406</v>
      </c>
      <c r="H94" s="2">
        <v>19820</v>
      </c>
      <c r="I94" s="2">
        <v>395</v>
      </c>
      <c r="J94" s="2">
        <v>0.13</v>
      </c>
      <c r="K94" s="5">
        <f t="shared" si="6"/>
        <v>51.35</v>
      </c>
      <c r="L94" s="19">
        <f t="shared" si="7"/>
        <v>19768.650000000001</v>
      </c>
      <c r="M94" s="5">
        <f t="shared" si="8"/>
        <v>1387.4</v>
      </c>
      <c r="N94" s="2">
        <v>32680</v>
      </c>
      <c r="O94" s="2"/>
      <c r="P94" s="2">
        <f t="shared" si="9"/>
        <v>0</v>
      </c>
    </row>
    <row r="95" spans="1:16">
      <c r="A95" s="1" t="s">
        <v>284</v>
      </c>
      <c r="B95" s="2" t="s">
        <v>19</v>
      </c>
      <c r="C95" s="2" t="s">
        <v>20</v>
      </c>
      <c r="D95" s="2" t="s">
        <v>16</v>
      </c>
      <c r="E95" s="2" t="s">
        <v>289</v>
      </c>
      <c r="F95" s="2">
        <v>10</v>
      </c>
      <c r="G95" s="72" t="s">
        <v>406</v>
      </c>
      <c r="H95" s="2">
        <v>17180</v>
      </c>
      <c r="I95" s="2">
        <v>345</v>
      </c>
      <c r="J95" s="2">
        <v>0.13</v>
      </c>
      <c r="K95" s="5">
        <f t="shared" si="6"/>
        <v>44.85</v>
      </c>
      <c r="L95" s="19">
        <f t="shared" si="7"/>
        <v>17135.150000000001</v>
      </c>
      <c r="M95" s="5">
        <f t="shared" si="8"/>
        <v>1202.5999999999999</v>
      </c>
      <c r="N95" s="2">
        <v>28510</v>
      </c>
      <c r="O95" s="2"/>
      <c r="P95" s="2">
        <f t="shared" si="9"/>
        <v>0</v>
      </c>
    </row>
    <row r="96" spans="1:16">
      <c r="N96" s="33">
        <f>SUM(N6:N95)</f>
        <v>2689630</v>
      </c>
    </row>
    <row r="99" spans="1:15">
      <c r="L99" s="25">
        <f>SUM(L89:L98)</f>
        <v>1563453.6799999997</v>
      </c>
    </row>
    <row r="104" spans="1:15">
      <c r="O104" s="1" t="s">
        <v>408</v>
      </c>
    </row>
    <row r="105" spans="1:15">
      <c r="A105" s="375" t="s">
        <v>62</v>
      </c>
      <c r="B105" s="12" t="s">
        <v>19</v>
      </c>
      <c r="C105" s="2" t="s">
        <v>20</v>
      </c>
      <c r="D105" s="2" t="s">
        <v>16</v>
      </c>
      <c r="E105" s="2" t="s">
        <v>63</v>
      </c>
      <c r="F105" s="2">
        <v>4554</v>
      </c>
      <c r="G105" s="2"/>
      <c r="H105" s="2">
        <v>17140</v>
      </c>
      <c r="I105" s="2">
        <v>315</v>
      </c>
      <c r="J105" s="2">
        <v>0.13</v>
      </c>
      <c r="K105" s="2">
        <f t="shared" ref="K105:K127" si="10">I105*J105</f>
        <v>40.950000000000003</v>
      </c>
      <c r="L105" s="5">
        <f t="shared" ref="L105:L127" si="11">H105-K105</f>
        <v>17099.05</v>
      </c>
      <c r="M105" s="5">
        <f t="shared" ref="M105:M127" si="12">H105/1000*70</f>
        <v>1199.8</v>
      </c>
      <c r="N105" s="2">
        <v>26580</v>
      </c>
      <c r="O105" s="74" t="s">
        <v>407</v>
      </c>
    </row>
    <row r="106" spans="1:15">
      <c r="A106" s="375"/>
      <c r="B106" s="12" t="s">
        <v>19</v>
      </c>
      <c r="C106" s="2" t="s">
        <v>20</v>
      </c>
      <c r="D106" s="2" t="s">
        <v>16</v>
      </c>
      <c r="E106" s="2" t="s">
        <v>64</v>
      </c>
      <c r="F106" s="2">
        <v>4558</v>
      </c>
      <c r="G106" s="2"/>
      <c r="H106" s="2">
        <v>17810</v>
      </c>
      <c r="I106" s="2">
        <v>350</v>
      </c>
      <c r="J106" s="2">
        <v>0.13</v>
      </c>
      <c r="K106" s="2">
        <f t="shared" si="10"/>
        <v>45.5</v>
      </c>
      <c r="L106" s="5">
        <f t="shared" si="11"/>
        <v>17764.5</v>
      </c>
      <c r="M106" s="5">
        <f t="shared" si="12"/>
        <v>1246.6999999999998</v>
      </c>
      <c r="N106" s="2">
        <v>27600</v>
      </c>
      <c r="O106" s="74" t="s">
        <v>407</v>
      </c>
    </row>
    <row r="107" spans="1:15">
      <c r="A107" s="6" t="s">
        <v>65</v>
      </c>
      <c r="B107" s="2" t="s">
        <v>19</v>
      </c>
      <c r="C107" s="2" t="s">
        <v>20</v>
      </c>
      <c r="D107" s="2" t="s">
        <v>16</v>
      </c>
      <c r="E107" s="2" t="s">
        <v>66</v>
      </c>
      <c r="F107" s="2">
        <v>4555</v>
      </c>
      <c r="G107" s="2"/>
      <c r="H107" s="2">
        <v>16820</v>
      </c>
      <c r="I107" s="2">
        <v>340</v>
      </c>
      <c r="J107" s="2">
        <v>0.13</v>
      </c>
      <c r="K107" s="2">
        <f t="shared" si="10"/>
        <v>44.2</v>
      </c>
      <c r="L107" s="5">
        <f t="shared" si="11"/>
        <v>16775.8</v>
      </c>
      <c r="M107" s="5">
        <f t="shared" si="12"/>
        <v>1177.4000000000001</v>
      </c>
      <c r="N107" s="2">
        <v>26110</v>
      </c>
      <c r="O107" s="74" t="s">
        <v>407</v>
      </c>
    </row>
    <row r="108" spans="1:15">
      <c r="A108" s="376" t="s">
        <v>99</v>
      </c>
      <c r="B108" s="2" t="s">
        <v>19</v>
      </c>
      <c r="C108" s="2" t="s">
        <v>20</v>
      </c>
      <c r="D108" s="2" t="s">
        <v>16</v>
      </c>
      <c r="E108" s="2" t="s">
        <v>107</v>
      </c>
      <c r="F108" s="2">
        <v>4564</v>
      </c>
      <c r="G108" s="2"/>
      <c r="H108" s="2">
        <v>16000</v>
      </c>
      <c r="I108" s="2">
        <v>330</v>
      </c>
      <c r="J108" s="2">
        <v>0.13</v>
      </c>
      <c r="K108" s="2">
        <f t="shared" si="10"/>
        <v>42.9</v>
      </c>
      <c r="L108" s="5">
        <f t="shared" si="11"/>
        <v>15957.1</v>
      </c>
      <c r="M108" s="5">
        <f t="shared" si="12"/>
        <v>1120</v>
      </c>
      <c r="N108" s="2">
        <v>26450</v>
      </c>
      <c r="O108" s="74" t="s">
        <v>407</v>
      </c>
    </row>
    <row r="109" spans="1:15">
      <c r="A109" s="376"/>
      <c r="B109" s="2" t="s">
        <v>19</v>
      </c>
      <c r="C109" s="2" t="s">
        <v>20</v>
      </c>
      <c r="D109" s="2" t="s">
        <v>16</v>
      </c>
      <c r="E109" s="2" t="s">
        <v>108</v>
      </c>
      <c r="F109" s="2">
        <v>4562</v>
      </c>
      <c r="G109" s="2"/>
      <c r="H109" s="2">
        <v>18120</v>
      </c>
      <c r="I109" s="2">
        <v>365</v>
      </c>
      <c r="J109" s="2">
        <v>0.13</v>
      </c>
      <c r="K109" s="2">
        <f t="shared" si="10"/>
        <v>47.45</v>
      </c>
      <c r="L109" s="5">
        <f t="shared" si="11"/>
        <v>18072.55</v>
      </c>
      <c r="M109" s="5">
        <f t="shared" si="12"/>
        <v>1268.4000000000001</v>
      </c>
      <c r="N109" s="2">
        <v>29860</v>
      </c>
      <c r="O109" s="74" t="s">
        <v>407</v>
      </c>
    </row>
    <row r="110" spans="1:15">
      <c r="A110" s="376"/>
      <c r="B110" s="2" t="s">
        <v>19</v>
      </c>
      <c r="C110" s="2" t="s">
        <v>20</v>
      </c>
      <c r="D110" s="2" t="s">
        <v>16</v>
      </c>
      <c r="E110" s="2" t="s">
        <v>109</v>
      </c>
      <c r="F110" s="2">
        <v>4566</v>
      </c>
      <c r="G110" s="2"/>
      <c r="H110" s="2">
        <v>10630</v>
      </c>
      <c r="I110" s="2">
        <v>220</v>
      </c>
      <c r="J110" s="2">
        <v>0.13</v>
      </c>
      <c r="K110" s="2">
        <f t="shared" si="10"/>
        <v>28.6</v>
      </c>
      <c r="L110" s="5">
        <f t="shared" si="11"/>
        <v>10601.4</v>
      </c>
      <c r="M110" s="5">
        <f t="shared" si="12"/>
        <v>744.1</v>
      </c>
      <c r="N110" s="2">
        <v>17550</v>
      </c>
      <c r="O110" s="74" t="s">
        <v>407</v>
      </c>
    </row>
    <row r="111" spans="1:15">
      <c r="A111" s="376"/>
      <c r="B111" s="2" t="s">
        <v>19</v>
      </c>
      <c r="C111" s="2" t="s">
        <v>20</v>
      </c>
      <c r="D111" s="2" t="s">
        <v>16</v>
      </c>
      <c r="E111" s="2" t="s">
        <v>63</v>
      </c>
      <c r="F111" s="2">
        <v>4565</v>
      </c>
      <c r="G111" s="2"/>
      <c r="H111" s="2">
        <v>16570</v>
      </c>
      <c r="I111" s="2">
        <v>350</v>
      </c>
      <c r="J111" s="2">
        <v>0.13</v>
      </c>
      <c r="K111" s="2">
        <f t="shared" si="10"/>
        <v>45.5</v>
      </c>
      <c r="L111" s="5">
        <f t="shared" si="11"/>
        <v>16524.5</v>
      </c>
      <c r="M111" s="5">
        <f t="shared" si="12"/>
        <v>1159.9000000000001</v>
      </c>
      <c r="N111" s="2">
        <v>27320</v>
      </c>
      <c r="O111" s="74" t="s">
        <v>407</v>
      </c>
    </row>
    <row r="112" spans="1:15">
      <c r="A112" s="376"/>
      <c r="B112" s="2" t="s">
        <v>19</v>
      </c>
      <c r="C112" s="2" t="s">
        <v>20</v>
      </c>
      <c r="D112" s="2" t="s">
        <v>16</v>
      </c>
      <c r="E112" s="2" t="s">
        <v>110</v>
      </c>
      <c r="F112" s="2">
        <v>4560</v>
      </c>
      <c r="G112" s="2"/>
      <c r="H112" s="2">
        <v>16730</v>
      </c>
      <c r="I112" s="2">
        <v>350</v>
      </c>
      <c r="J112" s="2">
        <v>0.13</v>
      </c>
      <c r="K112" s="2">
        <f t="shared" si="10"/>
        <v>45.5</v>
      </c>
      <c r="L112" s="5">
        <f t="shared" si="11"/>
        <v>16684.5</v>
      </c>
      <c r="M112" s="5">
        <f t="shared" si="12"/>
        <v>1171.1000000000001</v>
      </c>
      <c r="N112" s="2">
        <v>27620</v>
      </c>
      <c r="O112" s="74" t="s">
        <v>407</v>
      </c>
    </row>
    <row r="113" spans="1:15">
      <c r="A113" s="376"/>
      <c r="B113" s="2" t="s">
        <v>19</v>
      </c>
      <c r="C113" s="2" t="s">
        <v>20</v>
      </c>
      <c r="D113" s="2" t="s">
        <v>16</v>
      </c>
      <c r="E113" s="2" t="s">
        <v>111</v>
      </c>
      <c r="F113" s="2">
        <v>4563</v>
      </c>
      <c r="G113" s="2"/>
      <c r="H113" s="2">
        <v>16550</v>
      </c>
      <c r="I113" s="2">
        <v>345</v>
      </c>
      <c r="J113" s="2">
        <v>0.13</v>
      </c>
      <c r="K113" s="2">
        <f t="shared" si="10"/>
        <v>44.85</v>
      </c>
      <c r="L113" s="5">
        <f t="shared" si="11"/>
        <v>16505.150000000001</v>
      </c>
      <c r="M113" s="5">
        <f t="shared" si="12"/>
        <v>1158.5</v>
      </c>
      <c r="N113" s="2">
        <v>27300</v>
      </c>
      <c r="O113" s="74" t="s">
        <v>407</v>
      </c>
    </row>
    <row r="114" spans="1:15">
      <c r="A114" s="375" t="s">
        <v>112</v>
      </c>
      <c r="B114" s="2" t="s">
        <v>19</v>
      </c>
      <c r="C114" s="2" t="s">
        <v>20</v>
      </c>
      <c r="D114" s="2" t="s">
        <v>16</v>
      </c>
      <c r="E114" s="2" t="s">
        <v>66</v>
      </c>
      <c r="F114" s="2">
        <v>4567</v>
      </c>
      <c r="G114" s="2"/>
      <c r="H114" s="2">
        <v>16990</v>
      </c>
      <c r="I114" s="2">
        <v>350</v>
      </c>
      <c r="J114" s="2">
        <v>0.13</v>
      </c>
      <c r="K114" s="2">
        <f t="shared" si="10"/>
        <v>45.5</v>
      </c>
      <c r="L114" s="5">
        <f t="shared" si="11"/>
        <v>16944.5</v>
      </c>
      <c r="M114" s="5">
        <f t="shared" si="12"/>
        <v>1189.3</v>
      </c>
      <c r="N114" s="2">
        <v>28030</v>
      </c>
      <c r="O114" s="74" t="s">
        <v>407</v>
      </c>
    </row>
    <row r="115" spans="1:15">
      <c r="A115" s="375"/>
      <c r="B115" s="2" t="s">
        <v>19</v>
      </c>
      <c r="C115" s="2" t="s">
        <v>20</v>
      </c>
      <c r="D115" s="2" t="s">
        <v>16</v>
      </c>
      <c r="E115" s="2" t="s">
        <v>114</v>
      </c>
      <c r="F115" s="2">
        <v>4568</v>
      </c>
      <c r="G115" s="2"/>
      <c r="H115" s="2">
        <v>17960</v>
      </c>
      <c r="I115" s="2">
        <v>360</v>
      </c>
      <c r="J115" s="2">
        <v>0.13</v>
      </c>
      <c r="K115" s="2">
        <f t="shared" si="10"/>
        <v>46.800000000000004</v>
      </c>
      <c r="L115" s="5">
        <f t="shared" si="11"/>
        <v>17913.2</v>
      </c>
      <c r="M115" s="5">
        <f t="shared" si="12"/>
        <v>1257.2</v>
      </c>
      <c r="N115" s="2">
        <v>29680</v>
      </c>
      <c r="O115" s="74" t="s">
        <v>407</v>
      </c>
    </row>
    <row r="116" spans="1:15">
      <c r="A116" s="375" t="s">
        <v>81</v>
      </c>
      <c r="B116" s="2" t="s">
        <v>19</v>
      </c>
      <c r="C116" s="2" t="s">
        <v>20</v>
      </c>
      <c r="D116" s="2" t="s">
        <v>16</v>
      </c>
      <c r="E116" s="2" t="s">
        <v>121</v>
      </c>
      <c r="F116" s="2">
        <v>4574</v>
      </c>
      <c r="G116" s="2"/>
      <c r="H116" s="2">
        <v>17100</v>
      </c>
      <c r="I116" s="2">
        <v>350</v>
      </c>
      <c r="J116" s="2">
        <v>0.13</v>
      </c>
      <c r="K116" s="2">
        <f t="shared" si="10"/>
        <v>45.5</v>
      </c>
      <c r="L116" s="5">
        <f t="shared" si="11"/>
        <v>17054.5</v>
      </c>
      <c r="M116" s="5">
        <f t="shared" si="12"/>
        <v>1197</v>
      </c>
      <c r="N116" s="2">
        <v>29050</v>
      </c>
      <c r="O116" s="74" t="s">
        <v>407</v>
      </c>
    </row>
    <row r="117" spans="1:15">
      <c r="A117" s="375"/>
      <c r="B117" s="2" t="s">
        <v>19</v>
      </c>
      <c r="C117" s="2" t="s">
        <v>20</v>
      </c>
      <c r="D117" s="2" t="s">
        <v>16</v>
      </c>
      <c r="E117" s="2" t="s">
        <v>122</v>
      </c>
      <c r="F117" s="2">
        <v>4575</v>
      </c>
      <c r="G117" s="2"/>
      <c r="H117" s="2">
        <v>16320</v>
      </c>
      <c r="I117" s="2">
        <v>330</v>
      </c>
      <c r="J117" s="2">
        <v>0.13</v>
      </c>
      <c r="K117" s="2">
        <f t="shared" si="10"/>
        <v>42.9</v>
      </c>
      <c r="L117" s="5">
        <f t="shared" si="11"/>
        <v>16277.1</v>
      </c>
      <c r="M117" s="5">
        <f t="shared" si="12"/>
        <v>1142.4000000000001</v>
      </c>
      <c r="N117" s="2">
        <v>27690</v>
      </c>
      <c r="O117" s="74" t="s">
        <v>407</v>
      </c>
    </row>
    <row r="118" spans="1:15">
      <c r="A118" s="375"/>
      <c r="B118" s="2" t="s">
        <v>19</v>
      </c>
      <c r="C118" s="2" t="s">
        <v>20</v>
      </c>
      <c r="D118" s="2" t="s">
        <v>16</v>
      </c>
      <c r="E118" s="2" t="s">
        <v>123</v>
      </c>
      <c r="F118" s="2">
        <v>4573</v>
      </c>
      <c r="G118" s="2"/>
      <c r="H118" s="2">
        <v>17490</v>
      </c>
      <c r="I118" s="2">
        <v>330</v>
      </c>
      <c r="J118" s="2">
        <v>0.13</v>
      </c>
      <c r="K118" s="2">
        <f t="shared" si="10"/>
        <v>42.9</v>
      </c>
      <c r="L118" s="5">
        <f t="shared" si="11"/>
        <v>17447.099999999999</v>
      </c>
      <c r="M118" s="5">
        <f t="shared" si="12"/>
        <v>1224.3</v>
      </c>
      <c r="N118" s="2">
        <v>29750</v>
      </c>
      <c r="O118" s="74" t="s">
        <v>407</v>
      </c>
    </row>
    <row r="119" spans="1:15">
      <c r="A119" s="375"/>
      <c r="B119" s="2" t="s">
        <v>19</v>
      </c>
      <c r="C119" s="2" t="s">
        <v>20</v>
      </c>
      <c r="D119" s="2" t="s">
        <v>16</v>
      </c>
      <c r="E119" s="2" t="s">
        <v>124</v>
      </c>
      <c r="F119" s="2">
        <v>4581</v>
      </c>
      <c r="G119" s="2"/>
      <c r="H119" s="2">
        <v>15080</v>
      </c>
      <c r="I119" s="2">
        <v>290</v>
      </c>
      <c r="J119" s="2">
        <v>0.13</v>
      </c>
      <c r="K119" s="2">
        <f t="shared" si="10"/>
        <v>37.700000000000003</v>
      </c>
      <c r="L119" s="5">
        <f t="shared" si="11"/>
        <v>15042.3</v>
      </c>
      <c r="M119" s="5">
        <f t="shared" si="12"/>
        <v>1055.5999999999999</v>
      </c>
      <c r="N119" s="2">
        <v>25680</v>
      </c>
      <c r="O119" s="74" t="s">
        <v>407</v>
      </c>
    </row>
    <row r="120" spans="1:15">
      <c r="A120" s="376" t="s">
        <v>129</v>
      </c>
      <c r="B120" s="2" t="s">
        <v>19</v>
      </c>
      <c r="C120" s="2" t="s">
        <v>20</v>
      </c>
      <c r="D120" s="2" t="s">
        <v>16</v>
      </c>
      <c r="E120" s="2" t="s">
        <v>134</v>
      </c>
      <c r="F120" s="2">
        <v>4577</v>
      </c>
      <c r="G120" s="2"/>
      <c r="H120" s="2">
        <v>16670</v>
      </c>
      <c r="I120" s="2">
        <v>330</v>
      </c>
      <c r="J120" s="2">
        <v>0.13</v>
      </c>
      <c r="K120" s="5">
        <f t="shared" si="10"/>
        <v>42.9</v>
      </c>
      <c r="L120" s="5">
        <f t="shared" si="11"/>
        <v>16627.099999999999</v>
      </c>
      <c r="M120" s="5">
        <f t="shared" si="12"/>
        <v>1166.9000000000001</v>
      </c>
      <c r="N120" s="2">
        <v>28390</v>
      </c>
      <c r="O120" s="74" t="s">
        <v>407</v>
      </c>
    </row>
    <row r="121" spans="1:15">
      <c r="A121" s="376"/>
      <c r="B121" s="2" t="s">
        <v>19</v>
      </c>
      <c r="C121" s="2" t="s">
        <v>20</v>
      </c>
      <c r="D121" s="2" t="s">
        <v>16</v>
      </c>
      <c r="E121" s="2" t="s">
        <v>135</v>
      </c>
      <c r="F121" s="2">
        <v>4580</v>
      </c>
      <c r="G121" s="2"/>
      <c r="H121" s="2">
        <v>17430</v>
      </c>
      <c r="I121" s="2">
        <v>322</v>
      </c>
      <c r="J121" s="2">
        <v>0.13</v>
      </c>
      <c r="K121" s="5">
        <f t="shared" si="10"/>
        <v>41.86</v>
      </c>
      <c r="L121" s="5">
        <f t="shared" si="11"/>
        <v>17388.14</v>
      </c>
      <c r="M121" s="5">
        <f t="shared" si="12"/>
        <v>1220.0999999999999</v>
      </c>
      <c r="N121" s="2">
        <v>29630</v>
      </c>
      <c r="O121" s="74" t="s">
        <v>407</v>
      </c>
    </row>
    <row r="122" spans="1:15">
      <c r="A122" s="376"/>
      <c r="B122" s="2" t="s">
        <v>19</v>
      </c>
      <c r="C122" s="2" t="s">
        <v>20</v>
      </c>
      <c r="D122" s="2" t="s">
        <v>16</v>
      </c>
      <c r="E122" s="2" t="s">
        <v>136</v>
      </c>
      <c r="F122" s="2">
        <v>4542</v>
      </c>
      <c r="G122" s="2"/>
      <c r="H122" s="2">
        <v>19760</v>
      </c>
      <c r="I122" s="2">
        <v>380</v>
      </c>
      <c r="J122" s="2">
        <v>0.13</v>
      </c>
      <c r="K122" s="5">
        <f t="shared" si="10"/>
        <v>49.4</v>
      </c>
      <c r="L122" s="5">
        <f t="shared" si="11"/>
        <v>19710.599999999999</v>
      </c>
      <c r="M122" s="5">
        <f t="shared" si="12"/>
        <v>1383.2</v>
      </c>
      <c r="N122" s="2">
        <v>33570</v>
      </c>
      <c r="O122" s="74" t="s">
        <v>407</v>
      </c>
    </row>
    <row r="123" spans="1:15">
      <c r="A123" s="376"/>
      <c r="B123" s="2" t="s">
        <v>19</v>
      </c>
      <c r="C123" s="2" t="s">
        <v>20</v>
      </c>
      <c r="D123" s="2" t="s">
        <v>16</v>
      </c>
      <c r="E123" s="2" t="s">
        <v>137</v>
      </c>
      <c r="F123" s="2">
        <v>4576</v>
      </c>
      <c r="G123" s="2"/>
      <c r="H123" s="2">
        <v>14450</v>
      </c>
      <c r="I123" s="2">
        <v>312</v>
      </c>
      <c r="J123" s="2">
        <v>0.13</v>
      </c>
      <c r="K123" s="5">
        <f t="shared" si="10"/>
        <v>40.56</v>
      </c>
      <c r="L123" s="5">
        <f t="shared" si="11"/>
        <v>14409.44</v>
      </c>
      <c r="M123" s="5">
        <f t="shared" si="12"/>
        <v>1011.5</v>
      </c>
      <c r="N123" s="2">
        <v>24610</v>
      </c>
      <c r="O123" s="74" t="s">
        <v>407</v>
      </c>
    </row>
    <row r="124" spans="1:15">
      <c r="A124" s="386" t="s">
        <v>126</v>
      </c>
      <c r="B124" s="2" t="s">
        <v>146</v>
      </c>
      <c r="C124" s="2" t="s">
        <v>20</v>
      </c>
      <c r="D124" s="2" t="s">
        <v>16</v>
      </c>
      <c r="E124" s="2" t="s">
        <v>147</v>
      </c>
      <c r="F124" s="2">
        <v>4578</v>
      </c>
      <c r="G124" s="2"/>
      <c r="H124" s="2">
        <v>17770</v>
      </c>
      <c r="I124" s="2">
        <v>330</v>
      </c>
      <c r="J124" s="2">
        <v>0.13</v>
      </c>
      <c r="K124" s="5">
        <f t="shared" si="10"/>
        <v>42.9</v>
      </c>
      <c r="L124" s="19">
        <f t="shared" si="11"/>
        <v>17727.099999999999</v>
      </c>
      <c r="M124" s="5">
        <f t="shared" si="12"/>
        <v>1243.8999999999999</v>
      </c>
      <c r="N124" s="2">
        <v>30290</v>
      </c>
      <c r="O124" s="74" t="s">
        <v>407</v>
      </c>
    </row>
    <row r="125" spans="1:15">
      <c r="A125" s="374"/>
      <c r="B125" s="2" t="s">
        <v>146</v>
      </c>
      <c r="C125" s="2" t="s">
        <v>20</v>
      </c>
      <c r="D125" s="2" t="s">
        <v>16</v>
      </c>
      <c r="E125" s="2" t="s">
        <v>148</v>
      </c>
      <c r="F125" s="2">
        <v>4600</v>
      </c>
      <c r="G125" s="2"/>
      <c r="H125" s="2">
        <v>20560</v>
      </c>
      <c r="I125" s="2">
        <v>384</v>
      </c>
      <c r="J125" s="2">
        <v>0.13</v>
      </c>
      <c r="K125" s="5">
        <f t="shared" si="10"/>
        <v>49.92</v>
      </c>
      <c r="L125" s="19">
        <f t="shared" si="11"/>
        <v>20510.080000000002</v>
      </c>
      <c r="M125" s="5">
        <f t="shared" si="12"/>
        <v>1439.1999999999998</v>
      </c>
      <c r="N125" s="2">
        <v>35980</v>
      </c>
      <c r="O125" s="74" t="s">
        <v>407</v>
      </c>
    </row>
    <row r="126" spans="1:15">
      <c r="A126" s="374"/>
      <c r="B126" s="2" t="s">
        <v>146</v>
      </c>
      <c r="C126" s="2" t="s">
        <v>20</v>
      </c>
      <c r="D126" s="2" t="s">
        <v>16</v>
      </c>
      <c r="E126" s="2" t="s">
        <v>149</v>
      </c>
      <c r="F126" s="2">
        <v>2661</v>
      </c>
      <c r="G126" s="2"/>
      <c r="H126" s="2">
        <v>16040</v>
      </c>
      <c r="I126" s="2">
        <v>330</v>
      </c>
      <c r="J126" s="2">
        <v>0.13</v>
      </c>
      <c r="K126" s="5">
        <f t="shared" si="10"/>
        <v>42.9</v>
      </c>
      <c r="L126" s="19">
        <f t="shared" si="11"/>
        <v>15997.1</v>
      </c>
      <c r="M126" s="5">
        <f t="shared" si="12"/>
        <v>1122.8</v>
      </c>
      <c r="N126" s="2">
        <v>28070</v>
      </c>
      <c r="O126" s="74" t="s">
        <v>407</v>
      </c>
    </row>
    <row r="127" spans="1:15">
      <c r="A127" s="387"/>
      <c r="B127" s="2" t="s">
        <v>146</v>
      </c>
      <c r="C127" s="2" t="s">
        <v>20</v>
      </c>
      <c r="D127" s="2" t="s">
        <v>16</v>
      </c>
      <c r="E127" s="2" t="s">
        <v>150</v>
      </c>
      <c r="F127" s="2">
        <v>4583</v>
      </c>
      <c r="G127" s="2"/>
      <c r="H127" s="2">
        <v>16000</v>
      </c>
      <c r="I127" s="2">
        <v>324</v>
      </c>
      <c r="J127" s="2">
        <v>0.13</v>
      </c>
      <c r="K127" s="5">
        <f t="shared" si="10"/>
        <v>42.120000000000005</v>
      </c>
      <c r="L127" s="19">
        <f t="shared" si="11"/>
        <v>15957.88</v>
      </c>
      <c r="M127" s="5">
        <f t="shared" si="12"/>
        <v>1120</v>
      </c>
      <c r="N127" s="2">
        <v>27200</v>
      </c>
      <c r="O127" s="74" t="s">
        <v>407</v>
      </c>
    </row>
    <row r="128" spans="1:15">
      <c r="B128" s="2" t="s">
        <v>146</v>
      </c>
      <c r="C128" s="2" t="s">
        <v>20</v>
      </c>
      <c r="D128" s="2" t="s">
        <v>16</v>
      </c>
      <c r="E128" s="2" t="s">
        <v>167</v>
      </c>
      <c r="F128" s="2">
        <v>4995</v>
      </c>
      <c r="G128" s="2"/>
      <c r="H128" s="2">
        <v>14770</v>
      </c>
      <c r="I128" s="2">
        <v>300</v>
      </c>
      <c r="J128" s="2">
        <v>0.13</v>
      </c>
      <c r="K128" s="5">
        <v>39</v>
      </c>
      <c r="L128" s="19">
        <v>14731</v>
      </c>
      <c r="M128" s="5">
        <v>1033.8999999999999</v>
      </c>
      <c r="N128" s="2">
        <v>25840</v>
      </c>
      <c r="O128" s="74" t="s">
        <v>407</v>
      </c>
    </row>
    <row r="129" spans="2:15">
      <c r="B129" s="2" t="s">
        <v>146</v>
      </c>
      <c r="C129" s="2" t="s">
        <v>20</v>
      </c>
      <c r="D129" s="2" t="s">
        <v>16</v>
      </c>
      <c r="E129" s="2" t="s">
        <v>168</v>
      </c>
      <c r="F129" s="2">
        <v>4585</v>
      </c>
      <c r="G129" s="2"/>
      <c r="H129" s="2">
        <v>16600</v>
      </c>
      <c r="I129" s="2">
        <v>336</v>
      </c>
      <c r="J129" s="2">
        <v>0.13</v>
      </c>
      <c r="K129" s="5">
        <v>43.68</v>
      </c>
      <c r="L129" s="19">
        <v>16556.32</v>
      </c>
      <c r="M129" s="5">
        <v>1162</v>
      </c>
      <c r="N129" s="2">
        <v>29240</v>
      </c>
      <c r="O129" s="74" t="s">
        <v>407</v>
      </c>
    </row>
    <row r="130" spans="2:15">
      <c r="B130" s="2" t="s">
        <v>146</v>
      </c>
      <c r="C130" s="2" t="s">
        <v>20</v>
      </c>
      <c r="D130" s="2" t="s">
        <v>16</v>
      </c>
      <c r="E130" s="2" t="s">
        <v>169</v>
      </c>
      <c r="F130" s="2">
        <v>4584</v>
      </c>
      <c r="G130" s="2"/>
      <c r="H130" s="2">
        <v>16540</v>
      </c>
      <c r="I130" s="2">
        <v>335</v>
      </c>
      <c r="J130" s="2">
        <v>0.13</v>
      </c>
      <c r="K130" s="5">
        <v>43.550000000000004</v>
      </c>
      <c r="L130" s="19">
        <v>16496.45</v>
      </c>
      <c r="M130" s="5">
        <v>1157.8</v>
      </c>
      <c r="N130" s="2">
        <v>29100</v>
      </c>
      <c r="O130" s="74" t="s">
        <v>407</v>
      </c>
    </row>
    <row r="131" spans="2:15">
      <c r="B131" s="2" t="s">
        <v>146</v>
      </c>
      <c r="C131" s="2" t="s">
        <v>20</v>
      </c>
      <c r="D131" s="2" t="s">
        <v>16</v>
      </c>
      <c r="E131" s="2" t="s">
        <v>170</v>
      </c>
      <c r="F131" s="2">
        <v>2665</v>
      </c>
      <c r="G131" s="2"/>
      <c r="H131" s="2">
        <v>17320</v>
      </c>
      <c r="I131" s="2">
        <v>342</v>
      </c>
      <c r="J131" s="2">
        <v>0.13</v>
      </c>
      <c r="K131" s="5">
        <v>44.46</v>
      </c>
      <c r="L131" s="19">
        <v>17275.54</v>
      </c>
      <c r="M131" s="5">
        <v>1212.4000000000001</v>
      </c>
      <c r="N131" s="2">
        <v>30320</v>
      </c>
      <c r="O131" s="74" t="s">
        <v>407</v>
      </c>
    </row>
    <row r="132" spans="2:15">
      <c r="B132" s="2" t="s">
        <v>146</v>
      </c>
      <c r="C132" s="2" t="s">
        <v>20</v>
      </c>
      <c r="D132" s="2" t="s">
        <v>16</v>
      </c>
      <c r="E132" s="2" t="s">
        <v>172</v>
      </c>
      <c r="F132" s="2">
        <v>2662</v>
      </c>
      <c r="G132" s="2"/>
      <c r="H132" s="2">
        <v>14880</v>
      </c>
      <c r="I132" s="2">
        <v>315</v>
      </c>
      <c r="J132" s="2">
        <v>0.13</v>
      </c>
      <c r="K132" s="5">
        <v>40.950000000000003</v>
      </c>
      <c r="L132" s="19">
        <v>14839.05</v>
      </c>
      <c r="M132" s="5">
        <v>1041.6000000000001</v>
      </c>
      <c r="N132" s="2">
        <v>26040</v>
      </c>
      <c r="O132" s="74" t="s">
        <v>407</v>
      </c>
    </row>
    <row r="133" spans="2:15">
      <c r="B133" s="2" t="s">
        <v>146</v>
      </c>
      <c r="C133" s="2" t="s">
        <v>20</v>
      </c>
      <c r="D133" s="2" t="s">
        <v>16</v>
      </c>
      <c r="E133" s="2" t="s">
        <v>174</v>
      </c>
      <c r="F133" s="2">
        <v>4599</v>
      </c>
      <c r="G133" s="2"/>
      <c r="H133" s="2">
        <v>17160</v>
      </c>
      <c r="I133" s="2">
        <v>360</v>
      </c>
      <c r="J133" s="2">
        <v>0.13</v>
      </c>
      <c r="K133" s="5">
        <v>46.800000000000004</v>
      </c>
      <c r="L133" s="19">
        <v>17113.2</v>
      </c>
      <c r="M133" s="5">
        <v>1201.2</v>
      </c>
      <c r="N133" s="2">
        <v>30030</v>
      </c>
      <c r="O133" s="74" t="s">
        <v>407</v>
      </c>
    </row>
    <row r="134" spans="2:15">
      <c r="B134" s="2" t="s">
        <v>146</v>
      </c>
      <c r="C134" s="2" t="s">
        <v>20</v>
      </c>
      <c r="D134" s="2" t="s">
        <v>16</v>
      </c>
      <c r="E134" s="2" t="s">
        <v>175</v>
      </c>
      <c r="F134" s="2">
        <v>4592</v>
      </c>
      <c r="G134" s="2"/>
      <c r="H134" s="2">
        <v>15680</v>
      </c>
      <c r="I134" s="2">
        <v>330</v>
      </c>
      <c r="J134" s="2">
        <v>0.13</v>
      </c>
      <c r="K134" s="5">
        <v>42.9</v>
      </c>
      <c r="L134" s="19">
        <v>15637.1</v>
      </c>
      <c r="M134" s="5">
        <v>1097.5999999999999</v>
      </c>
      <c r="N134" s="2">
        <v>27470</v>
      </c>
      <c r="O134" s="74" t="s">
        <v>407</v>
      </c>
    </row>
    <row r="135" spans="2:15">
      <c r="B135" s="2" t="s">
        <v>146</v>
      </c>
      <c r="C135" s="2" t="s">
        <v>20</v>
      </c>
      <c r="D135" s="2" t="s">
        <v>16</v>
      </c>
      <c r="E135" s="2" t="s">
        <v>178</v>
      </c>
      <c r="F135" s="2">
        <v>2673</v>
      </c>
      <c r="G135" s="2"/>
      <c r="H135" s="2">
        <v>17630</v>
      </c>
      <c r="I135" s="2">
        <v>350</v>
      </c>
      <c r="J135" s="2">
        <v>0.13</v>
      </c>
      <c r="K135" s="5">
        <v>45.5</v>
      </c>
      <c r="L135" s="19">
        <v>17584.5</v>
      </c>
      <c r="M135" s="5">
        <v>1234.0999999999999</v>
      </c>
      <c r="N135" s="2">
        <v>30850</v>
      </c>
      <c r="O135" s="74" t="s">
        <v>407</v>
      </c>
    </row>
    <row r="136" spans="2:15">
      <c r="B136" s="2" t="s">
        <v>146</v>
      </c>
      <c r="C136" s="2" t="s">
        <v>20</v>
      </c>
      <c r="D136" s="2" t="s">
        <v>16</v>
      </c>
      <c r="E136" s="2" t="s">
        <v>179</v>
      </c>
      <c r="F136" s="2">
        <v>2667</v>
      </c>
      <c r="G136" s="2"/>
      <c r="H136" s="2">
        <v>17380</v>
      </c>
      <c r="I136" s="2">
        <v>330</v>
      </c>
      <c r="J136" s="2">
        <v>0.13</v>
      </c>
      <c r="K136" s="5">
        <v>42.9</v>
      </c>
      <c r="L136" s="19">
        <v>17337.099999999999</v>
      </c>
      <c r="M136" s="5">
        <v>1216.5999999999999</v>
      </c>
      <c r="N136" s="2">
        <v>30410</v>
      </c>
      <c r="O136" s="74" t="s">
        <v>407</v>
      </c>
    </row>
    <row r="137" spans="2:15">
      <c r="B137" s="2" t="s">
        <v>146</v>
      </c>
      <c r="C137" s="2" t="s">
        <v>20</v>
      </c>
      <c r="D137" s="2" t="s">
        <v>16</v>
      </c>
      <c r="E137" s="2" t="s">
        <v>181</v>
      </c>
      <c r="F137" s="2">
        <v>2670</v>
      </c>
      <c r="G137" s="2"/>
      <c r="H137" s="2">
        <v>17990</v>
      </c>
      <c r="I137" s="2">
        <v>366</v>
      </c>
      <c r="J137" s="2">
        <v>0.13</v>
      </c>
      <c r="K137" s="5">
        <v>47.58</v>
      </c>
      <c r="L137" s="19">
        <v>17942.419999999998</v>
      </c>
      <c r="M137" s="5">
        <v>1259.3</v>
      </c>
      <c r="N137" s="2">
        <v>31500</v>
      </c>
      <c r="O137" s="74" t="s">
        <v>407</v>
      </c>
    </row>
    <row r="138" spans="2:15">
      <c r="B138" s="2" t="s">
        <v>146</v>
      </c>
      <c r="C138" s="2" t="s">
        <v>20</v>
      </c>
      <c r="D138" s="2" t="s">
        <v>16</v>
      </c>
      <c r="E138" s="2" t="s">
        <v>182</v>
      </c>
      <c r="F138" s="2">
        <v>4598</v>
      </c>
      <c r="G138" s="2"/>
      <c r="H138" s="2">
        <v>16270</v>
      </c>
      <c r="I138" s="2">
        <v>340</v>
      </c>
      <c r="J138" s="2">
        <v>0.13</v>
      </c>
      <c r="K138" s="5">
        <v>44.2</v>
      </c>
      <c r="L138" s="19">
        <v>16225.8</v>
      </c>
      <c r="M138" s="5">
        <v>1138.8999999999999</v>
      </c>
      <c r="N138" s="2">
        <v>28680</v>
      </c>
      <c r="O138" s="74" t="s">
        <v>407</v>
      </c>
    </row>
    <row r="139" spans="2:15">
      <c r="B139" s="2" t="s">
        <v>146</v>
      </c>
      <c r="C139" s="2" t="s">
        <v>20</v>
      </c>
      <c r="D139" s="2" t="s">
        <v>16</v>
      </c>
      <c r="E139" s="2" t="s">
        <v>183</v>
      </c>
      <c r="F139" s="2">
        <v>2664</v>
      </c>
      <c r="G139" s="2"/>
      <c r="H139" s="2">
        <v>17090</v>
      </c>
      <c r="I139" s="2">
        <v>349</v>
      </c>
      <c r="J139" s="2">
        <v>0.13</v>
      </c>
      <c r="K139" s="5">
        <v>45.370000000000005</v>
      </c>
      <c r="L139" s="19">
        <v>17044.63</v>
      </c>
      <c r="M139" s="5">
        <v>1196.3</v>
      </c>
      <c r="N139" s="2">
        <v>29900</v>
      </c>
      <c r="O139" s="74" t="s">
        <v>407</v>
      </c>
    </row>
    <row r="140" spans="2:15">
      <c r="B140" s="2" t="s">
        <v>146</v>
      </c>
      <c r="C140" s="2" t="s">
        <v>20</v>
      </c>
      <c r="D140" s="2" t="s">
        <v>16</v>
      </c>
      <c r="E140" s="2" t="s">
        <v>184</v>
      </c>
      <c r="F140" s="2">
        <v>2668</v>
      </c>
      <c r="G140" s="2"/>
      <c r="H140" s="2">
        <v>11090</v>
      </c>
      <c r="I140" s="2">
        <v>230</v>
      </c>
      <c r="J140" s="2">
        <v>0.13</v>
      </c>
      <c r="K140" s="5">
        <v>29.900000000000002</v>
      </c>
      <c r="L140" s="19">
        <v>11060.1</v>
      </c>
      <c r="M140" s="5">
        <v>776.3</v>
      </c>
      <c r="N140" s="2">
        <v>19420</v>
      </c>
      <c r="O140" s="74" t="s">
        <v>407</v>
      </c>
    </row>
    <row r="141" spans="2:15">
      <c r="B141" s="2" t="s">
        <v>146</v>
      </c>
      <c r="C141" s="2" t="s">
        <v>20</v>
      </c>
      <c r="D141" s="2" t="s">
        <v>16</v>
      </c>
      <c r="E141" s="2" t="s">
        <v>185</v>
      </c>
      <c r="F141" s="2">
        <v>4597</v>
      </c>
      <c r="G141" s="2"/>
      <c r="H141" s="2">
        <v>16340</v>
      </c>
      <c r="I141" s="2">
        <v>304</v>
      </c>
      <c r="J141" s="2">
        <v>0.13</v>
      </c>
      <c r="K141" s="5">
        <v>39.520000000000003</v>
      </c>
      <c r="L141" s="19">
        <v>16300.48</v>
      </c>
      <c r="M141" s="5">
        <v>1143.8</v>
      </c>
      <c r="N141" s="2">
        <v>28600</v>
      </c>
      <c r="O141" s="74" t="s">
        <v>407</v>
      </c>
    </row>
    <row r="142" spans="2:15">
      <c r="B142" s="2" t="s">
        <v>146</v>
      </c>
      <c r="C142" s="2" t="s">
        <v>20</v>
      </c>
      <c r="D142" s="2" t="s">
        <v>16</v>
      </c>
      <c r="E142" s="2" t="s">
        <v>186</v>
      </c>
      <c r="F142" s="2">
        <v>4593</v>
      </c>
      <c r="G142" s="2"/>
      <c r="H142" s="2">
        <v>17290</v>
      </c>
      <c r="I142" s="2">
        <v>338</v>
      </c>
      <c r="J142" s="2">
        <v>0.13</v>
      </c>
      <c r="K142" s="5">
        <v>43.940000000000005</v>
      </c>
      <c r="L142" s="19">
        <v>17246.060000000001</v>
      </c>
      <c r="M142" s="5">
        <v>1210.3</v>
      </c>
      <c r="N142" s="2">
        <v>30270</v>
      </c>
      <c r="O142" s="74" t="s">
        <v>407</v>
      </c>
    </row>
    <row r="143" spans="2:15">
      <c r="B143" s="2" t="s">
        <v>146</v>
      </c>
      <c r="C143" s="2" t="s">
        <v>20</v>
      </c>
      <c r="D143" s="2" t="s">
        <v>16</v>
      </c>
      <c r="E143" s="2" t="s">
        <v>188</v>
      </c>
      <c r="F143" s="2">
        <v>4590</v>
      </c>
      <c r="G143" s="2"/>
      <c r="H143" s="2">
        <v>16560</v>
      </c>
      <c r="I143" s="2">
        <v>335</v>
      </c>
      <c r="J143" s="2">
        <v>0.13</v>
      </c>
      <c r="K143" s="5">
        <v>43.550000000000004</v>
      </c>
      <c r="L143" s="19">
        <v>16516.45</v>
      </c>
      <c r="M143" s="5">
        <v>1159.1999999999998</v>
      </c>
      <c r="N143" s="2">
        <v>28900</v>
      </c>
      <c r="O143" s="74" t="s">
        <v>407</v>
      </c>
    </row>
    <row r="144" spans="2:15">
      <c r="B144" s="2" t="s">
        <v>146</v>
      </c>
      <c r="C144" s="2" t="s">
        <v>20</v>
      </c>
      <c r="D144" s="2" t="s">
        <v>16</v>
      </c>
      <c r="E144" s="2" t="s">
        <v>189</v>
      </c>
      <c r="F144" s="2">
        <v>4594</v>
      </c>
      <c r="G144" s="2"/>
      <c r="H144" s="2">
        <v>17260</v>
      </c>
      <c r="I144" s="2">
        <v>345</v>
      </c>
      <c r="J144" s="2">
        <v>0.13</v>
      </c>
      <c r="K144" s="5">
        <v>44.85</v>
      </c>
      <c r="L144" s="19">
        <v>17215.150000000001</v>
      </c>
      <c r="M144" s="5">
        <v>1208.2</v>
      </c>
      <c r="N144" s="2">
        <v>30200</v>
      </c>
      <c r="O144" s="74" t="s">
        <v>407</v>
      </c>
    </row>
    <row r="145" spans="2:15">
      <c r="B145" s="2" t="s">
        <v>146</v>
      </c>
      <c r="C145" s="2" t="s">
        <v>20</v>
      </c>
      <c r="D145" s="2" t="s">
        <v>16</v>
      </c>
      <c r="E145" s="2" t="s">
        <v>190</v>
      </c>
      <c r="F145" s="2">
        <v>4591</v>
      </c>
      <c r="G145" s="2"/>
      <c r="H145" s="2">
        <v>17920</v>
      </c>
      <c r="I145" s="2">
        <v>360</v>
      </c>
      <c r="J145" s="2">
        <v>0.13</v>
      </c>
      <c r="K145" s="5">
        <v>46.800000000000004</v>
      </c>
      <c r="L145" s="19">
        <v>17873.2</v>
      </c>
      <c r="M145" s="5">
        <v>1254.4000000000001</v>
      </c>
      <c r="N145" s="2">
        <v>31440</v>
      </c>
      <c r="O145" s="74" t="s">
        <v>407</v>
      </c>
    </row>
    <row r="146" spans="2:15">
      <c r="B146" s="2" t="s">
        <v>146</v>
      </c>
      <c r="C146" s="2" t="s">
        <v>20</v>
      </c>
      <c r="D146" s="2" t="s">
        <v>16</v>
      </c>
      <c r="E146" s="2" t="s">
        <v>191</v>
      </c>
      <c r="F146" s="2">
        <v>4596</v>
      </c>
      <c r="G146" s="2"/>
      <c r="H146" s="2">
        <v>15640</v>
      </c>
      <c r="I146" s="2">
        <v>310</v>
      </c>
      <c r="J146" s="2">
        <v>0.13</v>
      </c>
      <c r="K146" s="5">
        <v>40.300000000000004</v>
      </c>
      <c r="L146" s="19">
        <v>15599.7</v>
      </c>
      <c r="M146" s="5">
        <v>1094.8</v>
      </c>
      <c r="N146" s="2">
        <v>27370</v>
      </c>
      <c r="O146" s="74" t="s">
        <v>407</v>
      </c>
    </row>
    <row r="147" spans="2:15">
      <c r="B147" s="2" t="s">
        <v>146</v>
      </c>
      <c r="C147" s="2" t="s">
        <v>20</v>
      </c>
      <c r="D147" s="2" t="s">
        <v>16</v>
      </c>
      <c r="E147" s="2" t="s">
        <v>201</v>
      </c>
      <c r="F147" s="2">
        <v>2676</v>
      </c>
      <c r="G147" s="2"/>
      <c r="H147" s="2">
        <v>17470</v>
      </c>
      <c r="I147" s="2">
        <v>385</v>
      </c>
      <c r="J147" s="2">
        <v>0.13</v>
      </c>
      <c r="K147" s="5">
        <v>50.050000000000004</v>
      </c>
      <c r="L147" s="19">
        <v>17419.95</v>
      </c>
      <c r="M147" s="5">
        <v>1222.8999999999999</v>
      </c>
      <c r="N147" s="2">
        <v>30590</v>
      </c>
      <c r="O147" s="74" t="s">
        <v>407</v>
      </c>
    </row>
    <row r="148" spans="2:15">
      <c r="B148" s="2" t="s">
        <v>146</v>
      </c>
      <c r="C148" s="2" t="s">
        <v>20</v>
      </c>
      <c r="D148" s="2" t="s">
        <v>16</v>
      </c>
      <c r="E148" s="2" t="s">
        <v>202</v>
      </c>
      <c r="F148" s="2">
        <v>2677</v>
      </c>
      <c r="G148" s="2"/>
      <c r="H148" s="2">
        <v>24050</v>
      </c>
      <c r="I148" s="2">
        <v>525</v>
      </c>
      <c r="J148" s="2">
        <v>0.13</v>
      </c>
      <c r="K148" s="5">
        <v>68.25</v>
      </c>
      <c r="L148" s="19">
        <v>23981.75</v>
      </c>
      <c r="M148" s="5">
        <v>1683.5</v>
      </c>
      <c r="N148" s="2">
        <v>42170</v>
      </c>
      <c r="O148" s="74" t="s">
        <v>407</v>
      </c>
    </row>
    <row r="149" spans="2:15">
      <c r="B149" s="2" t="s">
        <v>146</v>
      </c>
      <c r="C149" s="2" t="s">
        <v>20</v>
      </c>
      <c r="D149" s="2" t="s">
        <v>16</v>
      </c>
      <c r="E149" s="2" t="s">
        <v>203</v>
      </c>
      <c r="F149" s="2">
        <v>2675</v>
      </c>
      <c r="G149" s="2"/>
      <c r="H149" s="2">
        <v>18350</v>
      </c>
      <c r="I149" s="2">
        <v>404</v>
      </c>
      <c r="J149" s="2">
        <v>0.13</v>
      </c>
      <c r="K149" s="5">
        <v>52.52</v>
      </c>
      <c r="L149" s="19">
        <v>18297.48</v>
      </c>
      <c r="M149" s="5">
        <v>1284.5</v>
      </c>
      <c r="N149" s="2">
        <v>32110</v>
      </c>
      <c r="O149" s="74" t="s">
        <v>407</v>
      </c>
    </row>
    <row r="150" spans="2:15">
      <c r="B150" s="2" t="s">
        <v>146</v>
      </c>
      <c r="C150" s="2" t="s">
        <v>20</v>
      </c>
      <c r="D150" s="2" t="s">
        <v>16</v>
      </c>
      <c r="E150" s="2" t="s">
        <v>204</v>
      </c>
      <c r="F150" s="2">
        <v>2660</v>
      </c>
      <c r="G150" s="2"/>
      <c r="H150" s="2">
        <v>37060</v>
      </c>
      <c r="I150" s="2">
        <v>745</v>
      </c>
      <c r="J150" s="2">
        <v>0.13</v>
      </c>
      <c r="K150" s="5">
        <v>96.850000000000009</v>
      </c>
      <c r="L150" s="19">
        <v>36963.15</v>
      </c>
      <c r="M150" s="5">
        <v>2594.2000000000003</v>
      </c>
      <c r="N150" s="2">
        <v>64890</v>
      </c>
      <c r="O150" s="74" t="s">
        <v>407</v>
      </c>
    </row>
    <row r="151" spans="2:15">
      <c r="B151" s="2" t="s">
        <v>146</v>
      </c>
      <c r="C151" s="2" t="s">
        <v>20</v>
      </c>
      <c r="D151" s="2" t="s">
        <v>16</v>
      </c>
      <c r="E151" s="22" t="s">
        <v>194</v>
      </c>
      <c r="F151" s="22">
        <v>2666</v>
      </c>
      <c r="G151" s="22"/>
      <c r="H151" s="22">
        <v>17880</v>
      </c>
      <c r="I151" s="2">
        <v>372</v>
      </c>
      <c r="J151" s="2">
        <v>0.13</v>
      </c>
      <c r="K151" s="5">
        <v>48.36</v>
      </c>
      <c r="L151" s="19">
        <v>17831.64</v>
      </c>
      <c r="M151" s="5">
        <v>1251.5999999999999</v>
      </c>
      <c r="N151" s="2">
        <v>31320</v>
      </c>
      <c r="O151" s="74" t="s">
        <v>407</v>
      </c>
    </row>
    <row r="152" spans="2:15">
      <c r="B152" s="2" t="s">
        <v>146</v>
      </c>
      <c r="C152" s="2" t="s">
        <v>20</v>
      </c>
      <c r="D152" s="2" t="s">
        <v>16</v>
      </c>
      <c r="E152" s="22" t="s">
        <v>193</v>
      </c>
      <c r="F152" s="22">
        <v>2671</v>
      </c>
      <c r="G152" s="22"/>
      <c r="H152" s="22">
        <v>15670</v>
      </c>
      <c r="I152" s="2">
        <v>322</v>
      </c>
      <c r="J152" s="2">
        <v>0.13</v>
      </c>
      <c r="K152" s="5">
        <v>41.86</v>
      </c>
      <c r="L152" s="19">
        <v>15628.14</v>
      </c>
      <c r="M152" s="5">
        <v>1096.9000000000001</v>
      </c>
      <c r="N152" s="2">
        <v>27560</v>
      </c>
      <c r="O152" s="74" t="s">
        <v>407</v>
      </c>
    </row>
    <row r="153" spans="2:15">
      <c r="B153" s="2" t="s">
        <v>146</v>
      </c>
      <c r="C153" s="2" t="s">
        <v>20</v>
      </c>
      <c r="D153" s="2" t="s">
        <v>16</v>
      </c>
      <c r="E153" s="22" t="s">
        <v>192</v>
      </c>
      <c r="F153" s="22">
        <v>2672</v>
      </c>
      <c r="G153" s="22"/>
      <c r="H153" s="22">
        <v>17250</v>
      </c>
      <c r="I153" s="2">
        <v>334</v>
      </c>
      <c r="J153" s="2">
        <v>0.13</v>
      </c>
      <c r="K153" s="5">
        <v>43.42</v>
      </c>
      <c r="L153" s="19">
        <v>17206.580000000002</v>
      </c>
      <c r="M153" s="5">
        <v>1207.5</v>
      </c>
      <c r="N153" s="2">
        <v>30180</v>
      </c>
      <c r="O153" s="74" t="s">
        <v>407</v>
      </c>
    </row>
    <row r="154" spans="2:15">
      <c r="B154" s="2" t="s">
        <v>146</v>
      </c>
      <c r="C154" s="2" t="s">
        <v>20</v>
      </c>
      <c r="D154" s="2" t="s">
        <v>16</v>
      </c>
      <c r="E154" s="22" t="s">
        <v>206</v>
      </c>
      <c r="F154" s="23">
        <v>2669</v>
      </c>
      <c r="G154" s="24"/>
      <c r="H154" s="23">
        <v>16110</v>
      </c>
      <c r="I154" s="20">
        <v>310</v>
      </c>
      <c r="J154" s="20">
        <v>0.13</v>
      </c>
      <c r="K154" s="5">
        <v>40.300000000000004</v>
      </c>
      <c r="L154" s="19">
        <v>16069.7</v>
      </c>
      <c r="M154" s="5">
        <v>1127.7</v>
      </c>
      <c r="N154" s="20">
        <v>28190</v>
      </c>
      <c r="O154" s="74" t="s">
        <v>407</v>
      </c>
    </row>
    <row r="155" spans="2:15">
      <c r="B155" s="2" t="s">
        <v>146</v>
      </c>
      <c r="C155" s="2" t="s">
        <v>20</v>
      </c>
      <c r="D155" s="2" t="s">
        <v>16</v>
      </c>
      <c r="E155" s="2" t="s">
        <v>207</v>
      </c>
      <c r="F155" s="20">
        <v>2674</v>
      </c>
      <c r="G155" s="20"/>
      <c r="H155" s="20">
        <v>15860</v>
      </c>
      <c r="I155" s="20">
        <v>342</v>
      </c>
      <c r="J155" s="20">
        <v>0.13</v>
      </c>
      <c r="K155" s="5">
        <v>44.46</v>
      </c>
      <c r="L155" s="19">
        <v>15815.54</v>
      </c>
      <c r="M155" s="5">
        <v>1110.2</v>
      </c>
      <c r="N155" s="20">
        <v>27770</v>
      </c>
      <c r="O155" s="74" t="s">
        <v>407</v>
      </c>
    </row>
    <row r="156" spans="2:15">
      <c r="B156" s="2" t="s">
        <v>19</v>
      </c>
      <c r="C156" s="2" t="s">
        <v>20</v>
      </c>
      <c r="D156" s="2" t="s">
        <v>16</v>
      </c>
      <c r="E156" s="2" t="s">
        <v>217</v>
      </c>
      <c r="F156" s="2">
        <v>2686</v>
      </c>
      <c r="G156" s="2"/>
      <c r="H156" s="2">
        <v>18320</v>
      </c>
      <c r="I156" s="2">
        <v>375</v>
      </c>
      <c r="J156" s="2">
        <v>0.13</v>
      </c>
      <c r="K156" s="5">
        <v>48.75</v>
      </c>
      <c r="L156" s="19">
        <v>18271.25</v>
      </c>
      <c r="M156" s="5">
        <v>1282.4000000000001</v>
      </c>
      <c r="N156" s="2">
        <v>32060</v>
      </c>
      <c r="O156" s="74" t="s">
        <v>407</v>
      </c>
    </row>
    <row r="157" spans="2:15">
      <c r="B157" s="2" t="s">
        <v>19</v>
      </c>
      <c r="C157" s="2" t="s">
        <v>20</v>
      </c>
      <c r="D157" s="2" t="s">
        <v>16</v>
      </c>
      <c r="E157" s="2" t="s">
        <v>218</v>
      </c>
      <c r="F157" s="2">
        <v>2634</v>
      </c>
      <c r="G157" s="2"/>
      <c r="H157" s="2">
        <v>17550</v>
      </c>
      <c r="I157" s="2">
        <v>370</v>
      </c>
      <c r="J157" s="2">
        <v>0.13</v>
      </c>
      <c r="K157" s="5">
        <v>48.1</v>
      </c>
      <c r="L157" s="19">
        <v>17501.900000000001</v>
      </c>
      <c r="M157" s="5">
        <v>1228.5</v>
      </c>
      <c r="N157" s="2">
        <v>30710</v>
      </c>
      <c r="O157" s="74" t="s">
        <v>407</v>
      </c>
    </row>
    <row r="158" spans="2:15">
      <c r="B158" s="2" t="s">
        <v>19</v>
      </c>
      <c r="C158" s="2" t="s">
        <v>20</v>
      </c>
      <c r="D158" s="2" t="s">
        <v>16</v>
      </c>
      <c r="E158" s="2" t="s">
        <v>219</v>
      </c>
      <c r="F158" s="2">
        <v>2638</v>
      </c>
      <c r="G158" s="2"/>
      <c r="H158" s="2">
        <v>17210</v>
      </c>
      <c r="I158" s="2">
        <v>350</v>
      </c>
      <c r="J158" s="2">
        <v>0.13</v>
      </c>
      <c r="K158" s="5">
        <v>45.5</v>
      </c>
      <c r="L158" s="19">
        <v>17164.5</v>
      </c>
      <c r="M158" s="5">
        <v>1204.7</v>
      </c>
      <c r="N158" s="2">
        <v>30110</v>
      </c>
      <c r="O158" s="74" t="s">
        <v>407</v>
      </c>
    </row>
    <row r="159" spans="2:15">
      <c r="B159" s="2" t="s">
        <v>19</v>
      </c>
      <c r="C159" s="2" t="s">
        <v>20</v>
      </c>
      <c r="D159" s="2" t="s">
        <v>16</v>
      </c>
      <c r="E159" s="2" t="s">
        <v>220</v>
      </c>
      <c r="F159" s="2">
        <v>2682</v>
      </c>
      <c r="G159" s="2"/>
      <c r="H159" s="2">
        <v>17200</v>
      </c>
      <c r="I159" s="2">
        <v>345</v>
      </c>
      <c r="J159" s="2">
        <v>0.13</v>
      </c>
      <c r="K159" s="5">
        <v>44.85</v>
      </c>
      <c r="L159" s="19">
        <v>17155.150000000001</v>
      </c>
      <c r="M159" s="5">
        <v>1204</v>
      </c>
      <c r="N159" s="2">
        <v>30100</v>
      </c>
      <c r="O159" s="74" t="s">
        <v>407</v>
      </c>
    </row>
    <row r="160" spans="2:15">
      <c r="B160" s="2" t="s">
        <v>19</v>
      </c>
      <c r="C160" s="2" t="s">
        <v>20</v>
      </c>
      <c r="D160" s="2" t="s">
        <v>16</v>
      </c>
      <c r="E160" s="2" t="s">
        <v>221</v>
      </c>
      <c r="F160" s="2">
        <v>2687</v>
      </c>
      <c r="G160" s="2"/>
      <c r="H160" s="2">
        <v>17170</v>
      </c>
      <c r="I160" s="2">
        <v>340</v>
      </c>
      <c r="J160" s="2">
        <v>0.13</v>
      </c>
      <c r="K160" s="5">
        <v>44.2</v>
      </c>
      <c r="L160" s="19">
        <v>17125.8</v>
      </c>
      <c r="M160" s="5">
        <v>1201.9000000000001</v>
      </c>
      <c r="N160" s="2">
        <v>30040</v>
      </c>
      <c r="O160" s="74" t="s">
        <v>407</v>
      </c>
    </row>
    <row r="161" spans="2:15">
      <c r="B161" s="2" t="s">
        <v>19</v>
      </c>
      <c r="C161" s="2" t="s">
        <v>20</v>
      </c>
      <c r="D161" s="2" t="s">
        <v>16</v>
      </c>
      <c r="E161" s="2" t="s">
        <v>222</v>
      </c>
      <c r="F161" s="2">
        <v>2659</v>
      </c>
      <c r="G161" s="2"/>
      <c r="H161" s="2">
        <v>37630</v>
      </c>
      <c r="I161" s="2">
        <v>750</v>
      </c>
      <c r="J161" s="2">
        <v>0.13</v>
      </c>
      <c r="K161" s="5">
        <v>97.5</v>
      </c>
      <c r="L161" s="19">
        <v>37532.5</v>
      </c>
      <c r="M161" s="5">
        <v>2634.1000000000004</v>
      </c>
      <c r="N161" s="2">
        <v>65920</v>
      </c>
      <c r="O161" s="74" t="s">
        <v>407</v>
      </c>
    </row>
    <row r="162" spans="2:15">
      <c r="B162" s="2" t="s">
        <v>19</v>
      </c>
      <c r="C162" s="2" t="s">
        <v>20</v>
      </c>
      <c r="D162" s="2" t="s">
        <v>16</v>
      </c>
      <c r="E162" s="2" t="s">
        <v>223</v>
      </c>
      <c r="F162" s="2">
        <v>2681</v>
      </c>
      <c r="G162" s="2"/>
      <c r="H162" s="2">
        <v>16910</v>
      </c>
      <c r="I162" s="2">
        <v>350</v>
      </c>
      <c r="J162" s="2">
        <v>0.13</v>
      </c>
      <c r="K162" s="5">
        <v>45.5</v>
      </c>
      <c r="L162" s="19">
        <v>16864.5</v>
      </c>
      <c r="M162" s="5">
        <v>1183.7</v>
      </c>
      <c r="N162" s="2">
        <v>29610</v>
      </c>
      <c r="O162" s="74" t="s">
        <v>407</v>
      </c>
    </row>
    <row r="163" spans="2:15">
      <c r="B163" s="2" t="s">
        <v>19</v>
      </c>
      <c r="C163" s="2" t="s">
        <v>20</v>
      </c>
      <c r="D163" s="2" t="s">
        <v>16</v>
      </c>
      <c r="E163" s="2" t="s">
        <v>225</v>
      </c>
      <c r="F163" s="2">
        <v>2680</v>
      </c>
      <c r="G163" s="2"/>
      <c r="H163" s="2">
        <v>16960</v>
      </c>
      <c r="I163" s="2">
        <v>350</v>
      </c>
      <c r="J163" s="2">
        <v>0.13</v>
      </c>
      <c r="K163" s="5">
        <v>45.5</v>
      </c>
      <c r="L163" s="19">
        <v>16914.5</v>
      </c>
      <c r="M163" s="5">
        <v>1187.2</v>
      </c>
      <c r="N163" s="2">
        <v>29750</v>
      </c>
      <c r="O163" s="74" t="s">
        <v>407</v>
      </c>
    </row>
    <row r="164" spans="2:15">
      <c r="B164" s="2" t="s">
        <v>19</v>
      </c>
      <c r="C164" s="2" t="s">
        <v>20</v>
      </c>
      <c r="D164" s="2" t="s">
        <v>16</v>
      </c>
      <c r="E164" s="2" t="s">
        <v>227</v>
      </c>
      <c r="F164" s="2">
        <v>2690</v>
      </c>
      <c r="G164" s="2"/>
      <c r="H164" s="2">
        <v>18460</v>
      </c>
      <c r="I164" s="2">
        <v>380</v>
      </c>
      <c r="J164" s="2">
        <v>0.13</v>
      </c>
      <c r="K164" s="5">
        <v>49.4</v>
      </c>
      <c r="L164" s="19">
        <v>18410.599999999999</v>
      </c>
      <c r="M164" s="5">
        <v>1292.2</v>
      </c>
      <c r="N164" s="2">
        <v>32340</v>
      </c>
      <c r="O164" s="74" t="s">
        <v>407</v>
      </c>
    </row>
    <row r="165" spans="2:15">
      <c r="B165" s="2" t="s">
        <v>19</v>
      </c>
      <c r="C165" s="2" t="s">
        <v>20</v>
      </c>
      <c r="D165" s="2" t="s">
        <v>16</v>
      </c>
      <c r="E165" s="2" t="s">
        <v>228</v>
      </c>
      <c r="F165" s="2">
        <v>2685</v>
      </c>
      <c r="G165" s="2"/>
      <c r="H165" s="2">
        <v>16850</v>
      </c>
      <c r="I165" s="2">
        <v>342</v>
      </c>
      <c r="J165" s="2">
        <v>0.13</v>
      </c>
      <c r="K165" s="5">
        <v>44.46</v>
      </c>
      <c r="L165" s="19">
        <v>16805.54</v>
      </c>
      <c r="M165" s="5">
        <v>1179.5</v>
      </c>
      <c r="N165" s="2">
        <v>29480</v>
      </c>
      <c r="O165" s="74" t="s">
        <v>407</v>
      </c>
    </row>
    <row r="166" spans="2:15">
      <c r="B166" s="2" t="s">
        <v>19</v>
      </c>
      <c r="C166" s="2" t="s">
        <v>20</v>
      </c>
      <c r="D166" s="2" t="s">
        <v>16</v>
      </c>
      <c r="E166" s="2" t="s">
        <v>229</v>
      </c>
      <c r="F166" s="2">
        <v>2696</v>
      </c>
      <c r="G166" s="2"/>
      <c r="H166" s="2">
        <v>17530</v>
      </c>
      <c r="I166" s="2">
        <v>352</v>
      </c>
      <c r="J166" s="2">
        <v>0.13</v>
      </c>
      <c r="K166" s="5">
        <v>45.760000000000005</v>
      </c>
      <c r="L166" s="19">
        <v>17484.240000000002</v>
      </c>
      <c r="M166" s="5">
        <v>1227.1000000000001</v>
      </c>
      <c r="N166" s="2">
        <v>30150</v>
      </c>
      <c r="O166" s="74" t="s">
        <v>407</v>
      </c>
    </row>
    <row r="167" spans="2:15">
      <c r="B167" s="2" t="s">
        <v>19</v>
      </c>
      <c r="C167" s="2" t="s">
        <v>20</v>
      </c>
      <c r="D167" s="2" t="s">
        <v>16</v>
      </c>
      <c r="E167" s="2" t="s">
        <v>230</v>
      </c>
      <c r="F167" s="2">
        <v>2691</v>
      </c>
      <c r="G167" s="2"/>
      <c r="H167" s="2">
        <v>17900</v>
      </c>
      <c r="I167" s="2">
        <v>338</v>
      </c>
      <c r="J167" s="2">
        <v>0.13</v>
      </c>
      <c r="K167" s="5">
        <v>43.940000000000005</v>
      </c>
      <c r="L167" s="19">
        <v>17856.060000000001</v>
      </c>
      <c r="M167" s="5">
        <v>1253</v>
      </c>
      <c r="N167" s="2">
        <v>31360</v>
      </c>
      <c r="O167" s="74" t="s">
        <v>407</v>
      </c>
    </row>
    <row r="168" spans="2:15">
      <c r="B168" s="2" t="s">
        <v>19</v>
      </c>
      <c r="C168" s="2" t="s">
        <v>20</v>
      </c>
      <c r="D168" s="2" t="s">
        <v>16</v>
      </c>
      <c r="E168" s="2" t="s">
        <v>231</v>
      </c>
      <c r="F168" s="2">
        <v>2692</v>
      </c>
      <c r="G168" s="2"/>
      <c r="H168" s="2">
        <v>18440</v>
      </c>
      <c r="I168" s="2">
        <v>380</v>
      </c>
      <c r="J168" s="2">
        <v>0.13</v>
      </c>
      <c r="K168" s="5">
        <v>49.4</v>
      </c>
      <c r="L168" s="19">
        <v>18390.599999999999</v>
      </c>
      <c r="M168" s="5">
        <v>1290.8000000000002</v>
      </c>
      <c r="N168" s="2">
        <v>31760</v>
      </c>
      <c r="O168" s="74" t="s">
        <v>407</v>
      </c>
    </row>
    <row r="169" spans="2:15">
      <c r="B169" s="2" t="s">
        <v>19</v>
      </c>
      <c r="C169" s="2" t="s">
        <v>20</v>
      </c>
      <c r="D169" s="2" t="s">
        <v>16</v>
      </c>
      <c r="E169" s="2" t="s">
        <v>232</v>
      </c>
      <c r="F169" s="2">
        <v>2693</v>
      </c>
      <c r="G169" s="2"/>
      <c r="H169" s="2">
        <v>17380</v>
      </c>
      <c r="I169" s="2">
        <v>365</v>
      </c>
      <c r="J169" s="2">
        <v>0.13</v>
      </c>
      <c r="K169" s="5">
        <v>47.45</v>
      </c>
      <c r="L169" s="19">
        <v>17332.55</v>
      </c>
      <c r="M169" s="5">
        <v>1216.5999999999999</v>
      </c>
      <c r="N169" s="2">
        <v>29910</v>
      </c>
      <c r="O169" s="74" t="s">
        <v>407</v>
      </c>
    </row>
    <row r="170" spans="2:15">
      <c r="B170" s="2" t="s">
        <v>19</v>
      </c>
      <c r="C170" s="2" t="s">
        <v>20</v>
      </c>
      <c r="D170" s="2" t="s">
        <v>16</v>
      </c>
      <c r="E170" s="2" t="s">
        <v>233</v>
      </c>
      <c r="F170" s="2">
        <v>2689</v>
      </c>
      <c r="G170" s="2"/>
      <c r="H170" s="2">
        <v>16660</v>
      </c>
      <c r="I170" s="2">
        <v>350</v>
      </c>
      <c r="J170" s="2">
        <v>0.13</v>
      </c>
      <c r="K170" s="5">
        <v>45.5</v>
      </c>
      <c r="L170" s="19">
        <v>16614.5</v>
      </c>
      <c r="M170" s="5">
        <v>1166.2</v>
      </c>
      <c r="N170" s="2">
        <v>29190</v>
      </c>
      <c r="O170" s="74" t="s">
        <v>407</v>
      </c>
    </row>
    <row r="171" spans="2:15">
      <c r="B171" s="2" t="s">
        <v>19</v>
      </c>
      <c r="C171" s="2" t="s">
        <v>20</v>
      </c>
      <c r="D171" s="2" t="s">
        <v>16</v>
      </c>
      <c r="E171" s="2" t="s">
        <v>137</v>
      </c>
      <c r="F171" s="2">
        <v>2683</v>
      </c>
      <c r="G171" s="2"/>
      <c r="H171" s="2">
        <v>14980</v>
      </c>
      <c r="I171" s="2">
        <v>327</v>
      </c>
      <c r="J171" s="2">
        <v>0.13</v>
      </c>
      <c r="K171" s="5">
        <v>42.51</v>
      </c>
      <c r="L171" s="19">
        <v>14937.49</v>
      </c>
      <c r="M171" s="5">
        <v>1048.6000000000001</v>
      </c>
      <c r="N171" s="2">
        <v>26230</v>
      </c>
      <c r="O171" s="74" t="s">
        <v>407</v>
      </c>
    </row>
    <row r="172" spans="2:15">
      <c r="B172" s="2" t="s">
        <v>19</v>
      </c>
      <c r="C172" s="2" t="s">
        <v>20</v>
      </c>
      <c r="D172" s="2" t="s">
        <v>16</v>
      </c>
      <c r="E172" s="2" t="s">
        <v>235</v>
      </c>
      <c r="F172" s="2">
        <v>2694</v>
      </c>
      <c r="G172" s="2"/>
      <c r="H172" s="2">
        <v>14970</v>
      </c>
      <c r="I172" s="2">
        <v>315</v>
      </c>
      <c r="J172" s="2">
        <v>0.13</v>
      </c>
      <c r="K172" s="5">
        <v>40.950000000000003</v>
      </c>
      <c r="L172" s="19">
        <v>14929.05</v>
      </c>
      <c r="M172" s="5">
        <v>1047.9000000000001</v>
      </c>
      <c r="N172" s="2">
        <v>25740</v>
      </c>
      <c r="O172" s="74" t="s">
        <v>407</v>
      </c>
    </row>
    <row r="173" spans="2:15">
      <c r="B173" s="2" t="s">
        <v>19</v>
      </c>
      <c r="C173" s="2" t="s">
        <v>20</v>
      </c>
      <c r="D173" s="2" t="s">
        <v>16</v>
      </c>
      <c r="E173" s="2" t="s">
        <v>240</v>
      </c>
      <c r="F173" s="2">
        <v>2697</v>
      </c>
      <c r="G173" s="2"/>
      <c r="H173" s="2">
        <v>18350</v>
      </c>
      <c r="I173" s="2">
        <v>366</v>
      </c>
      <c r="J173" s="2">
        <v>0.13</v>
      </c>
      <c r="K173" s="5">
        <v>47.58</v>
      </c>
      <c r="L173" s="19">
        <v>18302.419999999998</v>
      </c>
      <c r="M173" s="5">
        <v>1284.5</v>
      </c>
      <c r="N173" s="2">
        <v>31660</v>
      </c>
      <c r="O173" s="74" t="s">
        <v>407</v>
      </c>
    </row>
    <row r="174" spans="2:15">
      <c r="B174" s="2" t="s">
        <v>19</v>
      </c>
      <c r="C174" s="2" t="s">
        <v>20</v>
      </c>
      <c r="D174" s="2" t="s">
        <v>16</v>
      </c>
      <c r="E174" s="2" t="s">
        <v>241</v>
      </c>
      <c r="F174" s="2">
        <v>2698</v>
      </c>
      <c r="G174" s="2"/>
      <c r="H174" s="2">
        <v>18680</v>
      </c>
      <c r="I174" s="2">
        <v>380</v>
      </c>
      <c r="J174" s="2">
        <v>0.13</v>
      </c>
      <c r="K174" s="5">
        <v>49.4</v>
      </c>
      <c r="L174" s="19">
        <v>18630.599999999999</v>
      </c>
      <c r="M174" s="5">
        <v>1307.5999999999999</v>
      </c>
      <c r="N174" s="2">
        <v>32260</v>
      </c>
      <c r="O174" s="74" t="s">
        <v>407</v>
      </c>
    </row>
    <row r="175" spans="2:15">
      <c r="B175" s="2" t="s">
        <v>19</v>
      </c>
      <c r="C175" s="2" t="s">
        <v>20</v>
      </c>
      <c r="D175" s="2" t="s">
        <v>16</v>
      </c>
      <c r="E175" s="2" t="s">
        <v>242</v>
      </c>
      <c r="F175" s="2">
        <v>2695</v>
      </c>
      <c r="G175" s="2"/>
      <c r="H175" s="2">
        <v>23280</v>
      </c>
      <c r="I175" s="2">
        <v>491</v>
      </c>
      <c r="J175" s="2">
        <v>0.13</v>
      </c>
      <c r="K175" s="5">
        <v>63.830000000000005</v>
      </c>
      <c r="L175" s="19">
        <v>23216.17</v>
      </c>
      <c r="M175" s="5">
        <v>1629.6000000000001</v>
      </c>
      <c r="N175" s="2">
        <v>40070</v>
      </c>
      <c r="O175" s="74" t="s">
        <v>407</v>
      </c>
    </row>
    <row r="176" spans="2:15">
      <c r="L176" s="70">
        <f>SUM(L105:L175)</f>
        <v>1246238.7900000003</v>
      </c>
    </row>
    <row r="180" spans="2:16">
      <c r="B180" s="12" t="s">
        <v>19</v>
      </c>
      <c r="C180" s="2" t="s">
        <v>20</v>
      </c>
      <c r="D180" s="2" t="s">
        <v>16</v>
      </c>
      <c r="E180" s="2" t="s">
        <v>39</v>
      </c>
      <c r="F180" s="2">
        <v>4552</v>
      </c>
      <c r="G180" s="2"/>
      <c r="H180" s="2">
        <v>16200</v>
      </c>
      <c r="I180" s="2">
        <v>340</v>
      </c>
      <c r="J180" s="2">
        <v>0.13</v>
      </c>
      <c r="K180" s="2">
        <v>44.2</v>
      </c>
      <c r="L180" s="5">
        <v>16155.8</v>
      </c>
      <c r="M180" s="5">
        <v>1134</v>
      </c>
      <c r="N180" s="2">
        <v>25260</v>
      </c>
      <c r="O180" s="73" t="s">
        <v>407</v>
      </c>
      <c r="P180" s="1">
        <v>10066</v>
      </c>
    </row>
    <row r="181" spans="2:16">
      <c r="B181" s="12" t="s">
        <v>19</v>
      </c>
      <c r="C181" s="2" t="s">
        <v>20</v>
      </c>
      <c r="D181" s="2" t="s">
        <v>16</v>
      </c>
      <c r="E181" s="2" t="s">
        <v>41</v>
      </c>
      <c r="F181" s="2">
        <v>4553</v>
      </c>
      <c r="G181" s="2"/>
      <c r="H181" s="2">
        <v>15570</v>
      </c>
      <c r="I181" s="2">
        <v>330</v>
      </c>
      <c r="J181" s="2">
        <v>0.13</v>
      </c>
      <c r="K181" s="2">
        <v>42.9</v>
      </c>
      <c r="L181" s="5">
        <v>15527.1</v>
      </c>
      <c r="M181" s="5">
        <v>1089.9000000000001</v>
      </c>
      <c r="N181" s="2">
        <v>24150</v>
      </c>
      <c r="O181" s="73" t="s">
        <v>407</v>
      </c>
      <c r="P181" s="1">
        <v>20291</v>
      </c>
    </row>
    <row r="182" spans="2:16">
      <c r="B182" s="12" t="s">
        <v>19</v>
      </c>
      <c r="C182" s="2" t="s">
        <v>20</v>
      </c>
      <c r="D182" s="2" t="s">
        <v>16</v>
      </c>
      <c r="E182" s="2" t="s">
        <v>58</v>
      </c>
      <c r="F182" s="2">
        <v>4551</v>
      </c>
      <c r="G182" s="2"/>
      <c r="H182" s="2">
        <v>17020</v>
      </c>
      <c r="I182" s="2">
        <v>357</v>
      </c>
      <c r="J182" s="2">
        <v>0.13</v>
      </c>
      <c r="K182" s="2">
        <v>46.410000000000004</v>
      </c>
      <c r="L182" s="5">
        <v>16973.59</v>
      </c>
      <c r="M182" s="5">
        <v>1191.3999999999999</v>
      </c>
      <c r="N182" s="2">
        <v>26450</v>
      </c>
      <c r="O182" s="73" t="s">
        <v>407</v>
      </c>
      <c r="P182" s="1">
        <v>10066</v>
      </c>
    </row>
    <row r="183" spans="2:16">
      <c r="B183" s="2" t="s">
        <v>146</v>
      </c>
      <c r="C183" s="2" t="s">
        <v>20</v>
      </c>
      <c r="D183" s="2" t="s">
        <v>16</v>
      </c>
      <c r="E183" s="2" t="s">
        <v>171</v>
      </c>
      <c r="F183" s="2">
        <v>4588</v>
      </c>
      <c r="G183" s="2"/>
      <c r="H183" s="2">
        <v>17680</v>
      </c>
      <c r="I183" s="2">
        <v>345</v>
      </c>
      <c r="J183" s="2">
        <v>0.13</v>
      </c>
      <c r="K183" s="5">
        <v>44.85</v>
      </c>
      <c r="L183" s="19">
        <v>17635.150000000001</v>
      </c>
      <c r="M183" s="5">
        <v>1237.5999999999999</v>
      </c>
      <c r="N183" s="2">
        <v>31010</v>
      </c>
      <c r="O183" s="73" t="s">
        <v>407</v>
      </c>
      <c r="P183" s="1">
        <v>20686</v>
      </c>
    </row>
    <row r="184" spans="2:16">
      <c r="B184" s="2" t="s">
        <v>146</v>
      </c>
      <c r="C184" s="2" t="s">
        <v>20</v>
      </c>
      <c r="D184" s="2" t="s">
        <v>16</v>
      </c>
      <c r="E184" s="2" t="s">
        <v>173</v>
      </c>
      <c r="F184" s="2">
        <v>4589</v>
      </c>
      <c r="G184" s="2"/>
      <c r="H184" s="2">
        <v>17050</v>
      </c>
      <c r="I184" s="2">
        <v>320</v>
      </c>
      <c r="J184" s="2">
        <v>0.13</v>
      </c>
      <c r="K184" s="5">
        <v>41.6</v>
      </c>
      <c r="L184" s="19">
        <v>17008.400000000001</v>
      </c>
      <c r="M184" s="5">
        <v>1193.5</v>
      </c>
      <c r="N184" s="2">
        <v>29990</v>
      </c>
      <c r="O184" s="73" t="s">
        <v>407</v>
      </c>
      <c r="P184" s="1">
        <v>20686</v>
      </c>
    </row>
    <row r="185" spans="2:16">
      <c r="B185" s="2" t="s">
        <v>146</v>
      </c>
      <c r="C185" s="2" t="s">
        <v>20</v>
      </c>
      <c r="D185" s="2" t="s">
        <v>16</v>
      </c>
      <c r="E185" s="2" t="s">
        <v>176</v>
      </c>
      <c r="F185" s="2">
        <v>4589</v>
      </c>
      <c r="G185" s="2"/>
      <c r="H185" s="2">
        <v>17890</v>
      </c>
      <c r="I185" s="2">
        <v>375</v>
      </c>
      <c r="J185" s="2">
        <v>0.13</v>
      </c>
      <c r="K185" s="5">
        <v>48.75</v>
      </c>
      <c r="L185" s="19">
        <v>17841.25</v>
      </c>
      <c r="M185" s="5">
        <v>1252.3</v>
      </c>
      <c r="N185" s="2">
        <v>31390</v>
      </c>
      <c r="O185" s="73" t="s">
        <v>407</v>
      </c>
      <c r="P185" s="1">
        <v>20686</v>
      </c>
    </row>
    <row r="186" spans="2:16">
      <c r="B186" s="2" t="s">
        <v>146</v>
      </c>
      <c r="C186" s="2" t="s">
        <v>20</v>
      </c>
      <c r="D186" s="2" t="s">
        <v>16</v>
      </c>
      <c r="E186" s="2" t="s">
        <v>187</v>
      </c>
      <c r="F186" s="2">
        <v>4587</v>
      </c>
      <c r="G186" s="2"/>
      <c r="H186" s="2">
        <v>18090</v>
      </c>
      <c r="I186" s="2">
        <v>350</v>
      </c>
      <c r="J186" s="2">
        <v>0.13</v>
      </c>
      <c r="K186" s="5">
        <v>45.5</v>
      </c>
      <c r="L186" s="19">
        <v>18044.5</v>
      </c>
      <c r="M186" s="5">
        <v>1266.3</v>
      </c>
      <c r="N186" s="2">
        <v>31710</v>
      </c>
      <c r="O186" s="73" t="s">
        <v>407</v>
      </c>
      <c r="P186" s="1">
        <v>20686</v>
      </c>
    </row>
    <row r="187" spans="2:16">
      <c r="L187" s="70">
        <f>SUM(L180:L186)</f>
        <v>119185.79000000001</v>
      </c>
    </row>
    <row r="188" spans="2:16">
      <c r="M188" s="16">
        <f>SUM(M105:M187)</f>
        <v>95832.10000000002</v>
      </c>
    </row>
    <row r="191" spans="2:16">
      <c r="B191" s="2" t="s">
        <v>19</v>
      </c>
      <c r="C191" s="2" t="s">
        <v>20</v>
      </c>
      <c r="D191" s="2" t="s">
        <v>16</v>
      </c>
      <c r="E191" s="2" t="s">
        <v>234</v>
      </c>
      <c r="F191" s="2">
        <v>6</v>
      </c>
      <c r="G191" s="72"/>
      <c r="H191" s="2">
        <v>18070</v>
      </c>
      <c r="I191" s="2">
        <v>350</v>
      </c>
      <c r="J191" s="2">
        <v>0.13</v>
      </c>
      <c r="K191" s="5">
        <v>45.5</v>
      </c>
      <c r="L191" s="19">
        <v>18024.5</v>
      </c>
      <c r="M191" s="5">
        <v>1264.9000000000001</v>
      </c>
      <c r="N191" s="2">
        <v>31620</v>
      </c>
      <c r="O191" s="72" t="s">
        <v>406</v>
      </c>
    </row>
    <row r="192" spans="2:16">
      <c r="B192" s="71" t="s">
        <v>19</v>
      </c>
      <c r="C192" s="71" t="s">
        <v>20</v>
      </c>
      <c r="D192" s="2" t="s">
        <v>16</v>
      </c>
      <c r="E192" s="2" t="s">
        <v>272</v>
      </c>
      <c r="F192" s="2">
        <v>7</v>
      </c>
      <c r="G192" s="72"/>
      <c r="H192" s="2">
        <v>18660</v>
      </c>
      <c r="I192" s="2">
        <v>365</v>
      </c>
      <c r="J192" s="2">
        <v>0.13</v>
      </c>
      <c r="K192" s="5">
        <v>47.45</v>
      </c>
      <c r="L192" s="19">
        <v>18612.55</v>
      </c>
      <c r="M192" s="5">
        <v>1306.2</v>
      </c>
      <c r="N192" s="2">
        <v>30800</v>
      </c>
      <c r="O192" s="72" t="s">
        <v>406</v>
      </c>
    </row>
    <row r="193" spans="2:16">
      <c r="B193" s="71" t="s">
        <v>19</v>
      </c>
      <c r="C193" s="71" t="s">
        <v>20</v>
      </c>
      <c r="D193" s="2" t="s">
        <v>16</v>
      </c>
      <c r="E193" s="2" t="s">
        <v>278</v>
      </c>
      <c r="F193" s="2">
        <v>8</v>
      </c>
      <c r="G193" s="72"/>
      <c r="H193" s="2">
        <v>18350</v>
      </c>
      <c r="I193" s="2">
        <v>365</v>
      </c>
      <c r="J193" s="2">
        <v>0.13</v>
      </c>
      <c r="K193" s="5">
        <v>47.45</v>
      </c>
      <c r="L193" s="19">
        <v>18302.55</v>
      </c>
      <c r="M193" s="5">
        <v>1284.5</v>
      </c>
      <c r="N193" s="2">
        <v>30270</v>
      </c>
      <c r="O193" s="72" t="s">
        <v>406</v>
      </c>
    </row>
    <row r="194" spans="2:16">
      <c r="B194" s="71" t="s">
        <v>19</v>
      </c>
      <c r="C194" s="71" t="s">
        <v>20</v>
      </c>
      <c r="D194" s="2" t="s">
        <v>16</v>
      </c>
      <c r="E194" s="2" t="s">
        <v>279</v>
      </c>
      <c r="F194" s="2">
        <v>12</v>
      </c>
      <c r="G194" s="72"/>
      <c r="H194" s="2">
        <v>17090</v>
      </c>
      <c r="I194" s="2">
        <v>340</v>
      </c>
      <c r="J194" s="2">
        <v>0.13</v>
      </c>
      <c r="K194" s="5">
        <v>44.2</v>
      </c>
      <c r="L194" s="19">
        <v>17045.8</v>
      </c>
      <c r="M194" s="5">
        <v>1196.3</v>
      </c>
      <c r="N194" s="2">
        <v>28200</v>
      </c>
      <c r="O194" s="72" t="s">
        <v>406</v>
      </c>
    </row>
    <row r="195" spans="2:16">
      <c r="B195" s="71" t="s">
        <v>19</v>
      </c>
      <c r="C195" s="71" t="s">
        <v>20</v>
      </c>
      <c r="D195" s="2" t="s">
        <v>16</v>
      </c>
      <c r="E195" s="2" t="s">
        <v>280</v>
      </c>
      <c r="F195" s="2">
        <v>11</v>
      </c>
      <c r="G195" s="72"/>
      <c r="H195" s="2">
        <v>17210</v>
      </c>
      <c r="I195" s="2">
        <v>345</v>
      </c>
      <c r="J195" s="2">
        <v>0.13</v>
      </c>
      <c r="K195" s="5">
        <v>44.85</v>
      </c>
      <c r="L195" s="19">
        <v>17165.150000000001</v>
      </c>
      <c r="M195" s="5">
        <v>1204.7</v>
      </c>
      <c r="N195" s="2">
        <v>28410</v>
      </c>
      <c r="O195" s="72" t="s">
        <v>406</v>
      </c>
    </row>
    <row r="196" spans="2:16">
      <c r="B196" s="71" t="s">
        <v>19</v>
      </c>
      <c r="C196" s="71" t="s">
        <v>20</v>
      </c>
      <c r="D196" s="2" t="s">
        <v>16</v>
      </c>
      <c r="E196" s="2" t="s">
        <v>281</v>
      </c>
      <c r="F196" s="2">
        <v>13</v>
      </c>
      <c r="G196" s="72"/>
      <c r="H196" s="2">
        <v>19820</v>
      </c>
      <c r="I196" s="2">
        <v>395</v>
      </c>
      <c r="J196" s="2">
        <v>0.13</v>
      </c>
      <c r="K196" s="5">
        <v>51.35</v>
      </c>
      <c r="L196" s="19">
        <v>19768.650000000001</v>
      </c>
      <c r="M196" s="5">
        <v>1387.4</v>
      </c>
      <c r="N196" s="2">
        <v>32680</v>
      </c>
      <c r="O196" s="72" t="s">
        <v>406</v>
      </c>
    </row>
    <row r="197" spans="2:16">
      <c r="B197" s="2" t="s">
        <v>19</v>
      </c>
      <c r="C197" s="2" t="s">
        <v>20</v>
      </c>
      <c r="D197" s="2" t="s">
        <v>16</v>
      </c>
      <c r="E197" s="2" t="s">
        <v>289</v>
      </c>
      <c r="F197" s="2">
        <v>10</v>
      </c>
      <c r="G197" s="72"/>
      <c r="H197" s="2">
        <v>17180</v>
      </c>
      <c r="I197" s="2">
        <v>345</v>
      </c>
      <c r="J197" s="2">
        <v>0.13</v>
      </c>
      <c r="K197" s="5">
        <v>44.85</v>
      </c>
      <c r="L197" s="19">
        <v>17135.150000000001</v>
      </c>
      <c r="M197" s="5">
        <v>1202.5999999999999</v>
      </c>
      <c r="N197" s="2">
        <v>28510</v>
      </c>
      <c r="O197" s="72" t="s">
        <v>406</v>
      </c>
    </row>
    <row r="198" spans="2:16">
      <c r="L198" s="70">
        <f>SUM(L191:L197)</f>
        <v>126054.35</v>
      </c>
    </row>
    <row r="201" spans="2:16">
      <c r="B201" s="2" t="s">
        <v>146</v>
      </c>
      <c r="C201" s="2" t="s">
        <v>20</v>
      </c>
      <c r="D201" s="2" t="s">
        <v>16</v>
      </c>
      <c r="E201" s="2" t="s">
        <v>180</v>
      </c>
      <c r="F201" s="2">
        <v>2678</v>
      </c>
      <c r="G201" s="72"/>
      <c r="H201" s="2">
        <v>17500</v>
      </c>
      <c r="I201" s="2">
        <v>360</v>
      </c>
      <c r="J201" s="2">
        <v>0.13</v>
      </c>
      <c r="K201" s="5">
        <v>46.800000000000004</v>
      </c>
      <c r="L201" s="19">
        <v>17453.2</v>
      </c>
      <c r="M201" s="5">
        <v>1225</v>
      </c>
      <c r="N201" s="2">
        <v>30620</v>
      </c>
      <c r="O201" s="72" t="s">
        <v>406</v>
      </c>
      <c r="P201" s="73" t="s">
        <v>407</v>
      </c>
    </row>
    <row r="202" spans="2:16">
      <c r="B202" s="2" t="s">
        <v>146</v>
      </c>
      <c r="C202" s="2" t="s">
        <v>20</v>
      </c>
      <c r="D202" s="2" t="s">
        <v>16</v>
      </c>
      <c r="E202" s="2" t="s">
        <v>148</v>
      </c>
      <c r="F202" s="2">
        <v>2</v>
      </c>
      <c r="G202" s="72"/>
      <c r="H202" s="2">
        <v>19360</v>
      </c>
      <c r="I202" s="2">
        <v>375</v>
      </c>
      <c r="J202" s="2">
        <v>0.13</v>
      </c>
      <c r="K202" s="5">
        <v>48.75</v>
      </c>
      <c r="L202" s="19">
        <v>19311.25</v>
      </c>
      <c r="M202" s="5">
        <v>1355.2</v>
      </c>
      <c r="N202" s="2">
        <v>33900</v>
      </c>
      <c r="O202" s="72" t="s">
        <v>406</v>
      </c>
      <c r="P202" s="73" t="s">
        <v>407</v>
      </c>
    </row>
    <row r="203" spans="2:16">
      <c r="B203" s="2" t="s">
        <v>146</v>
      </c>
      <c r="C203" s="2" t="s">
        <v>20</v>
      </c>
      <c r="D203" s="2" t="s">
        <v>16</v>
      </c>
      <c r="E203" s="2" t="s">
        <v>205</v>
      </c>
      <c r="F203" s="2">
        <v>2679</v>
      </c>
      <c r="G203" s="72"/>
      <c r="H203" s="2">
        <v>18240</v>
      </c>
      <c r="I203" s="2">
        <v>355</v>
      </c>
      <c r="J203" s="2">
        <v>0.13</v>
      </c>
      <c r="K203" s="5">
        <v>46.15</v>
      </c>
      <c r="L203" s="19">
        <v>18193.849999999999</v>
      </c>
      <c r="M203" s="5">
        <v>1276.8</v>
      </c>
      <c r="N203" s="2">
        <v>31990</v>
      </c>
      <c r="O203" s="72" t="s">
        <v>406</v>
      </c>
      <c r="P203" s="73" t="s">
        <v>407</v>
      </c>
    </row>
    <row r="204" spans="2:16">
      <c r="B204" s="2" t="s">
        <v>19</v>
      </c>
      <c r="C204" s="2" t="s">
        <v>20</v>
      </c>
      <c r="D204" s="2" t="s">
        <v>16</v>
      </c>
      <c r="E204" s="2" t="s">
        <v>224</v>
      </c>
      <c r="F204" s="2">
        <v>3</v>
      </c>
      <c r="G204" s="72"/>
      <c r="H204" s="2">
        <v>17060</v>
      </c>
      <c r="I204" s="2">
        <v>335</v>
      </c>
      <c r="J204" s="2">
        <v>0.13</v>
      </c>
      <c r="K204" s="5">
        <v>43.550000000000004</v>
      </c>
      <c r="L204" s="19">
        <v>17016.45</v>
      </c>
      <c r="M204" s="5">
        <v>1194.1999999999998</v>
      </c>
      <c r="N204" s="2">
        <v>29850</v>
      </c>
      <c r="O204" s="72" t="s">
        <v>406</v>
      </c>
      <c r="P204" s="73" t="s">
        <v>407</v>
      </c>
    </row>
    <row r="205" spans="2:16">
      <c r="L205" s="70">
        <f>SUM(L201:L204)</f>
        <v>71974.75</v>
      </c>
      <c r="M205" s="16">
        <f>SUM(M191:M204)</f>
        <v>13897.8</v>
      </c>
    </row>
    <row r="207" spans="2:16">
      <c r="L207" s="25">
        <f>L176+L187+L198+L205</f>
        <v>1563453.6800000004</v>
      </c>
    </row>
  </sheetData>
  <mergeCells count="19">
    <mergeCell ref="A86:A88"/>
    <mergeCell ref="A9:A10"/>
    <mergeCell ref="A12:A17"/>
    <mergeCell ref="A18:A19"/>
    <mergeCell ref="A20:A23"/>
    <mergeCell ref="A24:A27"/>
    <mergeCell ref="A28:A31"/>
    <mergeCell ref="A32:A41"/>
    <mergeCell ref="A42:A55"/>
    <mergeCell ref="A56:A66"/>
    <mergeCell ref="A67:A75"/>
    <mergeCell ref="A76:A85"/>
    <mergeCell ref="A124:A127"/>
    <mergeCell ref="A91:A94"/>
    <mergeCell ref="A105:A106"/>
    <mergeCell ref="A108:A113"/>
    <mergeCell ref="A114:A115"/>
    <mergeCell ref="A116:A119"/>
    <mergeCell ref="A120:A123"/>
  </mergeCells>
  <pageMargins left="0.7" right="0.7" top="0.75" bottom="0.75" header="0.3" footer="0.3"/>
  <pageSetup paperSize="9" orientation="portrait" verticalDpi="0" r:id="rId1"/>
</worksheet>
</file>

<file path=xl/worksheets/sheet48.xml><?xml version="1.0" encoding="utf-8"?>
<worksheet xmlns="http://schemas.openxmlformats.org/spreadsheetml/2006/main" xmlns:r="http://schemas.openxmlformats.org/officeDocument/2006/relationships">
  <dimension ref="A5:T207"/>
  <sheetViews>
    <sheetView workbookViewId="0">
      <selection activeCell="B22" sqref="B22"/>
    </sheetView>
  </sheetViews>
  <sheetFormatPr defaultRowHeight="14.4"/>
  <cols>
    <col min="1" max="1" width="8.88671875" style="1"/>
    <col min="2" max="2" width="21.6640625" style="1" customWidth="1"/>
    <col min="3" max="3" width="8.88671875" style="1"/>
    <col min="4" max="4" width="5.44140625" style="1" customWidth="1"/>
    <col min="5" max="5" width="12" style="1" customWidth="1"/>
    <col min="6" max="6" width="7.33203125" style="1" customWidth="1"/>
    <col min="7" max="7" width="6.33203125" style="1" customWidth="1"/>
    <col min="8" max="8" width="7.21875" style="1" customWidth="1"/>
    <col min="9" max="9" width="7.33203125" style="1" customWidth="1"/>
    <col min="10" max="10" width="6.44140625" style="1" customWidth="1"/>
    <col min="11" max="11" width="8.88671875" style="1"/>
    <col min="12" max="12" width="6.88671875" style="1" customWidth="1"/>
    <col min="13" max="13" width="7.33203125" style="1" customWidth="1"/>
    <col min="14" max="16384" width="8.88671875" style="1"/>
  </cols>
  <sheetData>
    <row r="5" spans="1:20" ht="20.399999999999999">
      <c r="A5" s="58" t="s">
        <v>3</v>
      </c>
      <c r="B5" s="58" t="s">
        <v>4</v>
      </c>
      <c r="C5" s="58" t="s">
        <v>5</v>
      </c>
      <c r="D5" s="58" t="s">
        <v>6</v>
      </c>
      <c r="E5" s="58" t="s">
        <v>37</v>
      </c>
      <c r="F5" s="58" t="s">
        <v>7</v>
      </c>
      <c r="G5" s="58" t="s">
        <v>8</v>
      </c>
      <c r="H5" s="58" t="s">
        <v>9</v>
      </c>
      <c r="I5" s="58" t="s">
        <v>10</v>
      </c>
      <c r="J5" s="59" t="s">
        <v>18</v>
      </c>
      <c r="K5" s="59" t="s">
        <v>17</v>
      </c>
      <c r="L5" s="58" t="s">
        <v>11</v>
      </c>
      <c r="M5" s="58" t="s">
        <v>36</v>
      </c>
      <c r="N5" s="58" t="s">
        <v>12</v>
      </c>
      <c r="O5" s="58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0">
      <c r="A6" s="62"/>
      <c r="B6" s="60"/>
      <c r="C6" s="60"/>
      <c r="D6" s="60"/>
      <c r="E6" s="60"/>
      <c r="F6" s="60"/>
      <c r="G6" s="60"/>
      <c r="H6" s="60"/>
      <c r="I6" s="60"/>
      <c r="J6" s="60"/>
      <c r="K6" s="60"/>
      <c r="L6" s="61"/>
      <c r="M6" s="61"/>
      <c r="N6" s="60"/>
      <c r="O6" s="120"/>
      <c r="P6" s="62"/>
    </row>
    <row r="7" spans="1:20">
      <c r="A7" s="62" t="s">
        <v>988</v>
      </c>
      <c r="B7" s="42" t="s">
        <v>991</v>
      </c>
      <c r="C7" s="42" t="s">
        <v>20</v>
      </c>
      <c r="D7" s="42" t="s">
        <v>16</v>
      </c>
      <c r="E7" s="42" t="s">
        <v>989</v>
      </c>
      <c r="F7" s="42">
        <v>1970</v>
      </c>
      <c r="G7" s="42"/>
      <c r="H7" s="42">
        <v>14330</v>
      </c>
      <c r="I7" s="42">
        <v>285</v>
      </c>
      <c r="J7" s="42">
        <v>0.13</v>
      </c>
      <c r="K7" s="42">
        <f t="shared" ref="K7" si="0">I7*J7</f>
        <v>37.050000000000004</v>
      </c>
      <c r="L7" s="43">
        <f t="shared" ref="L7" si="1">H7-K7</f>
        <v>14292.95</v>
      </c>
      <c r="M7" s="43"/>
      <c r="N7" s="43">
        <f t="shared" ref="N7" si="2">L7-M7</f>
        <v>14292.95</v>
      </c>
      <c r="O7" s="43">
        <f t="shared" ref="O7" si="3">H7/1000*70</f>
        <v>1003.1</v>
      </c>
      <c r="P7" s="42">
        <v>22210</v>
      </c>
      <c r="Q7" s="42"/>
      <c r="R7" s="42">
        <f t="shared" ref="R7" si="4">L7*Q7</f>
        <v>0</v>
      </c>
      <c r="S7" s="42"/>
    </row>
    <row r="8" spans="1:20">
      <c r="A8" s="21"/>
      <c r="B8" s="60"/>
      <c r="C8" s="60"/>
      <c r="D8" s="60"/>
      <c r="E8" s="60"/>
      <c r="F8" s="60"/>
      <c r="G8" s="60"/>
      <c r="H8" s="60"/>
      <c r="I8" s="60"/>
      <c r="J8" s="60"/>
      <c r="K8" s="60"/>
      <c r="L8" s="61"/>
      <c r="M8" s="61"/>
      <c r="N8" s="60"/>
      <c r="O8" s="120"/>
      <c r="P8" s="62"/>
    </row>
    <row r="9" spans="1:20">
      <c r="A9" s="63" t="s">
        <v>1081</v>
      </c>
      <c r="B9" s="42" t="s">
        <v>684</v>
      </c>
      <c r="C9" s="42" t="s">
        <v>20</v>
      </c>
      <c r="D9" s="42" t="s">
        <v>16</v>
      </c>
      <c r="E9" s="42" t="s">
        <v>1083</v>
      </c>
      <c r="F9" s="42">
        <v>364</v>
      </c>
      <c r="G9" s="42"/>
      <c r="H9" s="42">
        <v>15880</v>
      </c>
      <c r="I9" s="42">
        <v>300</v>
      </c>
      <c r="J9" s="42">
        <v>0.13</v>
      </c>
      <c r="K9" s="42">
        <f t="shared" ref="K9" si="5">I9*J9</f>
        <v>39</v>
      </c>
      <c r="L9" s="43">
        <f t="shared" ref="L9" si="6">H9-K9</f>
        <v>15841</v>
      </c>
      <c r="M9" s="43"/>
      <c r="N9" s="43">
        <f t="shared" ref="N9" si="7">L9-M9</f>
        <v>15841</v>
      </c>
      <c r="O9" s="43">
        <f t="shared" ref="O9" si="8">H9/1000*70</f>
        <v>1111.6000000000001</v>
      </c>
      <c r="P9" s="42">
        <v>21150</v>
      </c>
      <c r="Q9" s="42">
        <v>26</v>
      </c>
      <c r="R9" s="42">
        <f t="shared" ref="R9" si="9">L9*Q9</f>
        <v>411866</v>
      </c>
    </row>
    <row r="10" spans="1:20">
      <c r="A10" s="63"/>
      <c r="B10" s="60"/>
      <c r="C10" s="60"/>
      <c r="D10" s="60"/>
      <c r="E10" s="60"/>
      <c r="F10" s="60"/>
      <c r="G10" s="60"/>
      <c r="H10" s="60"/>
      <c r="I10" s="60"/>
      <c r="J10" s="60"/>
      <c r="K10" s="60"/>
      <c r="L10" s="61"/>
      <c r="M10" s="61"/>
      <c r="N10" s="60"/>
      <c r="O10" s="62"/>
      <c r="P10" s="62"/>
    </row>
    <row r="11" spans="1:20">
      <c r="A11" s="62" t="s">
        <v>1086</v>
      </c>
      <c r="B11" s="42" t="s">
        <v>684</v>
      </c>
      <c r="C11" s="42" t="s">
        <v>20</v>
      </c>
      <c r="D11" s="42" t="s">
        <v>16</v>
      </c>
      <c r="E11" s="42" t="s">
        <v>289</v>
      </c>
      <c r="F11" s="42">
        <v>332</v>
      </c>
      <c r="G11" s="42"/>
      <c r="H11" s="42">
        <v>15980</v>
      </c>
      <c r="I11" s="42">
        <v>300</v>
      </c>
      <c r="J11" s="42">
        <v>0.13</v>
      </c>
      <c r="K11" s="42">
        <f t="shared" ref="K11" si="10">I11*J11</f>
        <v>39</v>
      </c>
      <c r="L11" s="43">
        <f t="shared" ref="L11" si="11">H11-K11</f>
        <v>15941</v>
      </c>
      <c r="M11" s="43"/>
      <c r="N11" s="43">
        <f t="shared" ref="N11" si="12">L11-M11</f>
        <v>15941</v>
      </c>
      <c r="O11" s="43">
        <f t="shared" ref="O11" si="13">H11/1000*70</f>
        <v>1118.6000000000001</v>
      </c>
      <c r="P11" s="42">
        <v>22050</v>
      </c>
      <c r="Q11" s="42">
        <v>26</v>
      </c>
      <c r="R11" s="42">
        <f t="shared" ref="R11" si="14">L11*Q11</f>
        <v>414466</v>
      </c>
    </row>
    <row r="12" spans="1:20">
      <c r="A12" s="69"/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1"/>
      <c r="M12" s="61"/>
      <c r="N12" s="60"/>
      <c r="O12" s="62"/>
      <c r="P12" s="62"/>
    </row>
    <row r="13" spans="1:20">
      <c r="A13" s="69" t="s">
        <v>1191</v>
      </c>
      <c r="B13" s="42" t="s">
        <v>684</v>
      </c>
      <c r="C13" s="42" t="s">
        <v>20</v>
      </c>
      <c r="D13" s="42" t="s">
        <v>16</v>
      </c>
      <c r="E13" s="42" t="s">
        <v>1193</v>
      </c>
      <c r="F13" s="42">
        <v>16388</v>
      </c>
      <c r="G13" s="42"/>
      <c r="H13" s="42">
        <v>15580</v>
      </c>
      <c r="I13" s="42">
        <v>312</v>
      </c>
      <c r="J13" s="42">
        <v>0.13</v>
      </c>
      <c r="K13" s="42">
        <v>41</v>
      </c>
      <c r="L13" s="43">
        <f t="shared" ref="L13" si="15">H13-K13</f>
        <v>15539</v>
      </c>
      <c r="M13" s="43"/>
      <c r="N13" s="43">
        <f t="shared" ref="N13" si="16">L13-M13</f>
        <v>15539</v>
      </c>
      <c r="O13" s="43">
        <f t="shared" ref="O13" si="17">H13/1000*70</f>
        <v>1090.5999999999999</v>
      </c>
      <c r="P13" s="42">
        <v>16500</v>
      </c>
      <c r="Q13" s="42"/>
      <c r="R13" s="42">
        <f t="shared" ref="R13" si="18">L13*Q13</f>
        <v>0</v>
      </c>
    </row>
    <row r="14" spans="1:20">
      <c r="A14" s="69"/>
      <c r="B14" s="60"/>
      <c r="C14" s="60"/>
      <c r="D14" s="60"/>
      <c r="E14" s="60"/>
      <c r="F14" s="60"/>
      <c r="G14" s="60"/>
      <c r="H14" s="60"/>
      <c r="I14" s="60"/>
      <c r="J14" s="60"/>
      <c r="K14" s="60"/>
      <c r="L14" s="61"/>
      <c r="M14" s="61"/>
      <c r="N14" s="60"/>
      <c r="O14" s="62"/>
      <c r="P14" s="62"/>
    </row>
    <row r="15" spans="1:20">
      <c r="A15" s="69" t="s">
        <v>1241</v>
      </c>
      <c r="B15" s="42" t="s">
        <v>684</v>
      </c>
      <c r="C15" s="42" t="s">
        <v>20</v>
      </c>
      <c r="D15" s="42" t="s">
        <v>16</v>
      </c>
      <c r="E15" s="42" t="s">
        <v>1193</v>
      </c>
      <c r="F15" s="42">
        <v>20956</v>
      </c>
      <c r="G15" s="42"/>
      <c r="H15" s="42">
        <v>15470</v>
      </c>
      <c r="I15" s="42">
        <v>310</v>
      </c>
      <c r="J15" s="42">
        <v>0.13</v>
      </c>
      <c r="K15" s="42">
        <f t="shared" ref="K15" si="19">I15*J15</f>
        <v>40.300000000000004</v>
      </c>
      <c r="L15" s="43">
        <f t="shared" ref="L15" si="20">H15-K15</f>
        <v>15429.7</v>
      </c>
      <c r="M15" s="43"/>
      <c r="N15" s="43">
        <f t="shared" ref="N15" si="21">L15-M15</f>
        <v>15429.7</v>
      </c>
      <c r="O15" s="43">
        <f t="shared" ref="O15" si="22">H15/1000*70</f>
        <v>1082.9000000000001</v>
      </c>
      <c r="P15" s="42">
        <v>16000</v>
      </c>
    </row>
    <row r="16" spans="1:20">
      <c r="A16" s="69"/>
      <c r="B16" s="60"/>
      <c r="C16" s="60"/>
      <c r="D16" s="60"/>
      <c r="E16" s="60"/>
      <c r="F16" s="60"/>
      <c r="G16" s="60"/>
      <c r="H16" s="60"/>
      <c r="I16" s="60"/>
      <c r="J16" s="60"/>
      <c r="K16" s="60"/>
      <c r="L16" s="61"/>
      <c r="M16" s="61"/>
      <c r="N16" s="60"/>
      <c r="O16" s="62"/>
      <c r="P16" s="62"/>
    </row>
    <row r="17" spans="1:18">
      <c r="A17" s="69" t="s">
        <v>1260</v>
      </c>
      <c r="B17" s="42" t="s">
        <v>684</v>
      </c>
      <c r="C17" s="42" t="s">
        <v>20</v>
      </c>
      <c r="D17" s="42" t="s">
        <v>16</v>
      </c>
      <c r="E17" s="42" t="s">
        <v>1262</v>
      </c>
      <c r="F17" s="42">
        <v>29845</v>
      </c>
      <c r="G17" s="42"/>
      <c r="H17" s="42">
        <v>15000</v>
      </c>
      <c r="I17" s="42">
        <v>290</v>
      </c>
      <c r="J17" s="42">
        <v>0.13</v>
      </c>
      <c r="K17" s="42">
        <v>38</v>
      </c>
      <c r="L17" s="43">
        <f t="shared" ref="L17:L20" si="23">H17-K17</f>
        <v>14962</v>
      </c>
      <c r="M17" s="43"/>
      <c r="N17" s="43">
        <f t="shared" ref="N17:N20" si="24">L17-M17</f>
        <v>14962</v>
      </c>
      <c r="O17" s="43">
        <f t="shared" ref="O17:O20" si="25">H17/1000*70</f>
        <v>1050</v>
      </c>
      <c r="P17" s="42">
        <v>10000</v>
      </c>
      <c r="Q17" s="42">
        <v>27.5</v>
      </c>
      <c r="R17" s="42">
        <f t="shared" ref="R17:R20" si="26">L17*Q17</f>
        <v>411455</v>
      </c>
    </row>
    <row r="18" spans="1:18">
      <c r="A18" s="374" t="s">
        <v>1279</v>
      </c>
      <c r="B18" s="42" t="s">
        <v>684</v>
      </c>
      <c r="C18" s="42" t="s">
        <v>20</v>
      </c>
      <c r="D18" s="42" t="s">
        <v>16</v>
      </c>
      <c r="E18" s="42" t="s">
        <v>1284</v>
      </c>
      <c r="F18" s="42">
        <v>29858</v>
      </c>
      <c r="G18" s="42"/>
      <c r="H18" s="42">
        <v>15105</v>
      </c>
      <c r="I18" s="42">
        <v>290</v>
      </c>
      <c r="J18" s="42">
        <v>0.13</v>
      </c>
      <c r="K18" s="42">
        <v>38</v>
      </c>
      <c r="L18" s="43">
        <f t="shared" si="23"/>
        <v>15067</v>
      </c>
      <c r="M18" s="43"/>
      <c r="N18" s="43">
        <f t="shared" si="24"/>
        <v>15067</v>
      </c>
      <c r="O18" s="43">
        <f t="shared" si="25"/>
        <v>1057.3500000000001</v>
      </c>
      <c r="P18" s="42">
        <v>10000</v>
      </c>
      <c r="Q18" s="42">
        <v>27.5</v>
      </c>
      <c r="R18" s="42">
        <f t="shared" si="26"/>
        <v>414342.5</v>
      </c>
    </row>
    <row r="19" spans="1:18">
      <c r="A19" s="374"/>
      <c r="B19" s="42" t="s">
        <v>684</v>
      </c>
      <c r="C19" s="42" t="s">
        <v>20</v>
      </c>
      <c r="D19" s="42" t="s">
        <v>16</v>
      </c>
      <c r="E19" s="42" t="s">
        <v>1285</v>
      </c>
      <c r="F19" s="42">
        <v>29861</v>
      </c>
      <c r="G19" s="42"/>
      <c r="H19" s="42">
        <v>14995</v>
      </c>
      <c r="I19" s="42">
        <v>288</v>
      </c>
      <c r="J19" s="42">
        <v>0.13</v>
      </c>
      <c r="K19" s="42">
        <f t="shared" ref="K19:K20" si="27">I19*J19</f>
        <v>37.44</v>
      </c>
      <c r="L19" s="43">
        <f t="shared" si="23"/>
        <v>14957.56</v>
      </c>
      <c r="M19" s="43"/>
      <c r="N19" s="43">
        <f t="shared" si="24"/>
        <v>14957.56</v>
      </c>
      <c r="O19" s="43">
        <f t="shared" si="25"/>
        <v>1049.6499999999999</v>
      </c>
      <c r="P19" s="42">
        <v>10000</v>
      </c>
      <c r="Q19" s="42">
        <v>27.5</v>
      </c>
      <c r="R19" s="42">
        <f t="shared" si="26"/>
        <v>411332.89999999997</v>
      </c>
    </row>
    <row r="20" spans="1:18">
      <c r="A20" s="374"/>
      <c r="B20" s="42" t="s">
        <v>684</v>
      </c>
      <c r="C20" s="42" t="s">
        <v>20</v>
      </c>
      <c r="D20" s="42" t="s">
        <v>16</v>
      </c>
      <c r="E20" s="42" t="s">
        <v>1286</v>
      </c>
      <c r="F20" s="42">
        <v>29862</v>
      </c>
      <c r="G20" s="42"/>
      <c r="H20" s="42">
        <v>14900</v>
      </c>
      <c r="I20" s="42">
        <v>286</v>
      </c>
      <c r="J20" s="42">
        <v>0.13</v>
      </c>
      <c r="K20" s="42">
        <f t="shared" si="27"/>
        <v>37.18</v>
      </c>
      <c r="L20" s="43">
        <f t="shared" si="23"/>
        <v>14862.82</v>
      </c>
      <c r="M20" s="43"/>
      <c r="N20" s="43">
        <f t="shared" si="24"/>
        <v>14862.82</v>
      </c>
      <c r="O20" s="43">
        <f t="shared" si="25"/>
        <v>1043</v>
      </c>
      <c r="P20" s="42">
        <v>10000</v>
      </c>
      <c r="Q20" s="42">
        <v>27.5</v>
      </c>
      <c r="R20" s="42">
        <f t="shared" si="26"/>
        <v>408727.55</v>
      </c>
    </row>
    <row r="21" spans="1:18">
      <c r="A21" s="63"/>
      <c r="B21" s="60"/>
      <c r="C21" s="60"/>
      <c r="D21" s="60"/>
      <c r="E21" s="60"/>
      <c r="F21" s="60"/>
      <c r="G21" s="60"/>
      <c r="H21" s="60"/>
      <c r="I21" s="60"/>
      <c r="J21" s="60"/>
      <c r="K21" s="60"/>
      <c r="L21" s="61"/>
      <c r="M21" s="61"/>
      <c r="N21" s="60"/>
      <c r="O21" s="62"/>
      <c r="P21" s="62"/>
    </row>
    <row r="22" spans="1:18">
      <c r="A22" s="63"/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1"/>
      <c r="M22" s="61"/>
      <c r="N22" s="60"/>
      <c r="O22" s="62"/>
      <c r="P22" s="62"/>
    </row>
    <row r="23" spans="1:18">
      <c r="A23" s="63"/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1"/>
      <c r="M23" s="61"/>
      <c r="N23" s="60"/>
      <c r="O23" s="62"/>
      <c r="P23" s="62"/>
    </row>
    <row r="24" spans="1:18">
      <c r="A24" s="388"/>
      <c r="B24" s="60"/>
      <c r="C24" s="60"/>
      <c r="D24" s="60"/>
      <c r="E24" s="60"/>
      <c r="F24" s="60"/>
      <c r="G24" s="60"/>
      <c r="H24" s="60"/>
      <c r="I24" s="60"/>
      <c r="J24" s="60"/>
      <c r="K24" s="61"/>
      <c r="L24" s="61"/>
      <c r="M24" s="61"/>
      <c r="N24" s="60"/>
      <c r="O24" s="62"/>
      <c r="P24" s="62"/>
    </row>
    <row r="25" spans="1:18">
      <c r="A25" s="388"/>
      <c r="B25" s="60"/>
      <c r="C25" s="60"/>
      <c r="D25" s="60"/>
      <c r="E25" s="60"/>
      <c r="F25" s="60"/>
      <c r="G25" s="60"/>
      <c r="H25" s="60"/>
      <c r="I25" s="60"/>
      <c r="J25" s="60"/>
      <c r="K25" s="61"/>
      <c r="L25" s="61"/>
      <c r="M25" s="61"/>
      <c r="N25" s="60"/>
      <c r="O25" s="62"/>
      <c r="P25" s="62"/>
    </row>
    <row r="26" spans="1:18">
      <c r="A26" s="388"/>
      <c r="B26" s="60"/>
      <c r="C26" s="60"/>
      <c r="D26" s="60"/>
      <c r="E26" s="60"/>
      <c r="F26" s="60"/>
      <c r="G26" s="60"/>
      <c r="H26" s="60"/>
      <c r="I26" s="60"/>
      <c r="J26" s="60"/>
      <c r="K26" s="61"/>
      <c r="L26" s="61"/>
      <c r="M26" s="61"/>
      <c r="N26" s="60"/>
      <c r="O26" s="62"/>
      <c r="P26" s="62"/>
    </row>
    <row r="27" spans="1:18">
      <c r="A27" s="388"/>
      <c r="B27" s="60"/>
      <c r="C27" s="60"/>
      <c r="D27" s="60"/>
      <c r="E27" s="60"/>
      <c r="F27" s="60"/>
      <c r="G27" s="60"/>
      <c r="H27" s="60"/>
      <c r="I27" s="60"/>
      <c r="J27" s="60"/>
      <c r="K27" s="61"/>
      <c r="L27" s="61"/>
      <c r="M27" s="61"/>
      <c r="N27" s="60"/>
      <c r="O27" s="62"/>
      <c r="P27" s="62"/>
    </row>
    <row r="28" spans="1:18">
      <c r="A28" s="380"/>
      <c r="B28" s="60"/>
      <c r="C28" s="60"/>
      <c r="D28" s="60"/>
      <c r="E28" s="60"/>
      <c r="F28" s="60"/>
      <c r="G28" s="60"/>
      <c r="H28" s="60"/>
      <c r="I28" s="60"/>
      <c r="J28" s="60"/>
      <c r="K28" s="61"/>
      <c r="L28" s="65"/>
      <c r="M28" s="61"/>
      <c r="N28" s="60"/>
      <c r="O28" s="62"/>
      <c r="P28" s="62"/>
    </row>
    <row r="29" spans="1:18">
      <c r="A29" s="380"/>
      <c r="B29" s="60"/>
      <c r="C29" s="60"/>
      <c r="D29" s="60"/>
      <c r="E29" s="60"/>
      <c r="F29" s="60"/>
      <c r="G29" s="60"/>
      <c r="H29" s="60"/>
      <c r="I29" s="60"/>
      <c r="J29" s="60"/>
      <c r="K29" s="61"/>
      <c r="L29" s="65"/>
      <c r="M29" s="61"/>
      <c r="N29" s="60"/>
      <c r="O29" s="62"/>
      <c r="P29" s="62"/>
    </row>
    <row r="30" spans="1:18">
      <c r="A30" s="380"/>
      <c r="B30" s="60"/>
      <c r="C30" s="60"/>
      <c r="D30" s="60"/>
      <c r="E30" s="60"/>
      <c r="F30" s="60"/>
      <c r="G30" s="60"/>
      <c r="H30" s="60"/>
      <c r="I30" s="60"/>
      <c r="J30" s="60"/>
      <c r="K30" s="61"/>
      <c r="L30" s="65"/>
      <c r="M30" s="61"/>
      <c r="N30" s="60"/>
      <c r="O30" s="62"/>
      <c r="P30" s="62"/>
    </row>
    <row r="31" spans="1:18">
      <c r="A31" s="380"/>
      <c r="B31" s="60"/>
      <c r="C31" s="60"/>
      <c r="D31" s="60"/>
      <c r="E31" s="60"/>
      <c r="F31" s="60"/>
      <c r="G31" s="60"/>
      <c r="H31" s="60"/>
      <c r="I31" s="60"/>
      <c r="J31" s="60"/>
      <c r="K31" s="61"/>
      <c r="L31" s="65"/>
      <c r="M31" s="61"/>
      <c r="N31" s="60"/>
      <c r="O31" s="62"/>
      <c r="P31" s="62"/>
    </row>
    <row r="32" spans="1:18">
      <c r="A32" s="380"/>
      <c r="B32" s="60"/>
      <c r="C32" s="60"/>
      <c r="D32" s="60"/>
      <c r="E32" s="60"/>
      <c r="F32" s="60"/>
      <c r="G32" s="60"/>
      <c r="H32" s="60"/>
      <c r="I32" s="60"/>
      <c r="J32" s="60"/>
      <c r="K32" s="61"/>
      <c r="L32" s="65"/>
      <c r="M32" s="61"/>
      <c r="N32" s="60"/>
      <c r="O32" s="62"/>
      <c r="P32" s="62"/>
    </row>
    <row r="33" spans="1:16">
      <c r="A33" s="380"/>
      <c r="B33" s="60"/>
      <c r="C33" s="60"/>
      <c r="D33" s="60"/>
      <c r="E33" s="60"/>
      <c r="F33" s="60"/>
      <c r="G33" s="60"/>
      <c r="H33" s="60"/>
      <c r="I33" s="60"/>
      <c r="J33" s="60"/>
      <c r="K33" s="61"/>
      <c r="L33" s="65"/>
      <c r="M33" s="61"/>
      <c r="N33" s="60"/>
      <c r="O33" s="62"/>
      <c r="P33" s="62"/>
    </row>
    <row r="34" spans="1:16">
      <c r="A34" s="380"/>
      <c r="B34" s="60"/>
      <c r="C34" s="60"/>
      <c r="D34" s="60"/>
      <c r="E34" s="60"/>
      <c r="F34" s="60"/>
      <c r="G34" s="60"/>
      <c r="H34" s="60"/>
      <c r="I34" s="60"/>
      <c r="J34" s="60"/>
      <c r="K34" s="61"/>
      <c r="L34" s="65"/>
      <c r="M34" s="61"/>
      <c r="N34" s="60"/>
      <c r="O34" s="62"/>
      <c r="P34" s="62"/>
    </row>
    <row r="35" spans="1:16">
      <c r="A35" s="380"/>
      <c r="B35" s="60"/>
      <c r="C35" s="60"/>
      <c r="D35" s="60"/>
      <c r="E35" s="60"/>
      <c r="F35" s="60"/>
      <c r="G35" s="60"/>
      <c r="H35" s="60"/>
      <c r="I35" s="60"/>
      <c r="J35" s="60"/>
      <c r="K35" s="61"/>
      <c r="L35" s="65"/>
      <c r="M35" s="61"/>
      <c r="N35" s="60"/>
      <c r="O35" s="62"/>
      <c r="P35" s="62"/>
    </row>
    <row r="36" spans="1:16">
      <c r="A36" s="380"/>
      <c r="B36" s="60"/>
      <c r="C36" s="60"/>
      <c r="D36" s="60"/>
      <c r="E36" s="60"/>
      <c r="F36" s="60"/>
      <c r="G36" s="60"/>
      <c r="H36" s="60"/>
      <c r="I36" s="60"/>
      <c r="J36" s="60"/>
      <c r="K36" s="61"/>
      <c r="L36" s="65"/>
      <c r="M36" s="61"/>
      <c r="N36" s="60"/>
      <c r="O36" s="120"/>
      <c r="P36" s="62"/>
    </row>
    <row r="37" spans="1:16">
      <c r="A37" s="380"/>
      <c r="B37" s="60"/>
      <c r="C37" s="60"/>
      <c r="D37" s="60"/>
      <c r="E37" s="60"/>
      <c r="F37" s="60"/>
      <c r="G37" s="60"/>
      <c r="H37" s="60"/>
      <c r="I37" s="60"/>
      <c r="J37" s="60"/>
      <c r="K37" s="61"/>
      <c r="L37" s="65"/>
      <c r="M37" s="61"/>
      <c r="N37" s="60"/>
      <c r="O37" s="62"/>
      <c r="P37" s="62"/>
    </row>
    <row r="38" spans="1:16">
      <c r="A38" s="380"/>
      <c r="B38" s="60"/>
      <c r="C38" s="60"/>
      <c r="D38" s="60"/>
      <c r="E38" s="60"/>
      <c r="F38" s="60"/>
      <c r="G38" s="60"/>
      <c r="H38" s="60"/>
      <c r="I38" s="60"/>
      <c r="J38" s="60"/>
      <c r="K38" s="61"/>
      <c r="L38" s="65"/>
      <c r="M38" s="61"/>
      <c r="N38" s="60"/>
      <c r="O38" s="120"/>
      <c r="P38" s="62"/>
    </row>
    <row r="39" spans="1:16">
      <c r="A39" s="380"/>
      <c r="B39" s="60"/>
      <c r="C39" s="60"/>
      <c r="D39" s="60"/>
      <c r="E39" s="60"/>
      <c r="F39" s="60"/>
      <c r="G39" s="60"/>
      <c r="H39" s="60"/>
      <c r="I39" s="60"/>
      <c r="J39" s="60"/>
      <c r="K39" s="61"/>
      <c r="L39" s="65"/>
      <c r="M39" s="61"/>
      <c r="N39" s="60"/>
      <c r="O39" s="62"/>
      <c r="P39" s="62"/>
    </row>
    <row r="40" spans="1:16">
      <c r="A40" s="380"/>
      <c r="B40" s="60"/>
      <c r="C40" s="60"/>
      <c r="D40" s="60"/>
      <c r="E40" s="60"/>
      <c r="F40" s="60"/>
      <c r="G40" s="60"/>
      <c r="H40" s="60"/>
      <c r="I40" s="60"/>
      <c r="J40" s="60"/>
      <c r="K40" s="61"/>
      <c r="L40" s="65"/>
      <c r="M40" s="61"/>
      <c r="N40" s="60"/>
      <c r="O40" s="62"/>
      <c r="P40" s="62"/>
    </row>
    <row r="41" spans="1:16">
      <c r="A41" s="380"/>
      <c r="B41" s="60"/>
      <c r="C41" s="60"/>
      <c r="D41" s="60"/>
      <c r="E41" s="60"/>
      <c r="F41" s="60"/>
      <c r="G41" s="60"/>
      <c r="H41" s="60"/>
      <c r="I41" s="60"/>
      <c r="J41" s="60"/>
      <c r="K41" s="61"/>
      <c r="L41" s="65"/>
      <c r="M41" s="61"/>
      <c r="N41" s="60"/>
      <c r="O41" s="120"/>
      <c r="P41" s="62"/>
    </row>
    <row r="42" spans="1:16">
      <c r="A42" s="380"/>
      <c r="B42" s="60"/>
      <c r="C42" s="60"/>
      <c r="D42" s="60"/>
      <c r="E42" s="60"/>
      <c r="F42" s="60"/>
      <c r="G42" s="60"/>
      <c r="H42" s="60"/>
      <c r="I42" s="60"/>
      <c r="J42" s="60"/>
      <c r="K42" s="61"/>
      <c r="L42" s="65"/>
      <c r="M42" s="61"/>
      <c r="N42" s="60"/>
      <c r="O42" s="62"/>
      <c r="P42" s="62"/>
    </row>
    <row r="43" spans="1:16">
      <c r="A43" s="380"/>
      <c r="B43" s="60"/>
      <c r="C43" s="60"/>
      <c r="D43" s="60"/>
      <c r="E43" s="60"/>
      <c r="F43" s="60"/>
      <c r="G43" s="60"/>
      <c r="H43" s="60"/>
      <c r="I43" s="60"/>
      <c r="J43" s="60"/>
      <c r="K43" s="61"/>
      <c r="L43" s="65"/>
      <c r="M43" s="61"/>
      <c r="N43" s="60"/>
      <c r="O43" s="62"/>
      <c r="P43" s="62"/>
    </row>
    <row r="44" spans="1:16">
      <c r="A44" s="380"/>
      <c r="B44" s="60"/>
      <c r="C44" s="60"/>
      <c r="D44" s="60"/>
      <c r="E44" s="60"/>
      <c r="F44" s="60"/>
      <c r="G44" s="121"/>
      <c r="H44" s="60"/>
      <c r="I44" s="60"/>
      <c r="J44" s="60"/>
      <c r="K44" s="61"/>
      <c r="L44" s="65"/>
      <c r="M44" s="61"/>
      <c r="N44" s="60"/>
      <c r="O44" s="62"/>
      <c r="P44" s="120"/>
    </row>
    <row r="45" spans="1:16">
      <c r="A45" s="380"/>
      <c r="B45" s="60"/>
      <c r="C45" s="60"/>
      <c r="D45" s="60"/>
      <c r="E45" s="60"/>
      <c r="F45" s="60"/>
      <c r="G45" s="60"/>
      <c r="H45" s="60"/>
      <c r="I45" s="60"/>
      <c r="J45" s="60"/>
      <c r="K45" s="61"/>
      <c r="L45" s="65"/>
      <c r="M45" s="61"/>
      <c r="N45" s="60"/>
      <c r="O45" s="62"/>
      <c r="P45" s="62"/>
    </row>
    <row r="46" spans="1:16">
      <c r="A46" s="380"/>
      <c r="B46" s="60"/>
      <c r="C46" s="60"/>
      <c r="D46" s="60"/>
      <c r="E46" s="60"/>
      <c r="F46" s="60"/>
      <c r="G46" s="60"/>
      <c r="H46" s="60"/>
      <c r="I46" s="60"/>
      <c r="J46" s="60"/>
      <c r="K46" s="61"/>
      <c r="L46" s="65"/>
      <c r="M46" s="61"/>
      <c r="N46" s="60"/>
      <c r="O46" s="62"/>
      <c r="P46" s="62"/>
    </row>
    <row r="47" spans="1:16">
      <c r="A47" s="380"/>
      <c r="B47" s="60"/>
      <c r="C47" s="60"/>
      <c r="D47" s="60"/>
      <c r="E47" s="60"/>
      <c r="F47" s="60"/>
      <c r="G47" s="60"/>
      <c r="H47" s="60"/>
      <c r="I47" s="60"/>
      <c r="J47" s="60"/>
      <c r="K47" s="61"/>
      <c r="L47" s="65"/>
      <c r="M47" s="61"/>
      <c r="N47" s="60"/>
      <c r="O47" s="62"/>
      <c r="P47" s="62"/>
    </row>
    <row r="48" spans="1:16">
      <c r="A48" s="380"/>
      <c r="B48" s="60"/>
      <c r="C48" s="60"/>
      <c r="D48" s="60"/>
      <c r="E48" s="60"/>
      <c r="F48" s="60"/>
      <c r="G48" s="60"/>
      <c r="H48" s="60"/>
      <c r="I48" s="60"/>
      <c r="J48" s="60"/>
      <c r="K48" s="61"/>
      <c r="L48" s="65"/>
      <c r="M48" s="61"/>
      <c r="N48" s="60"/>
      <c r="O48" s="62"/>
      <c r="P48" s="62"/>
    </row>
    <row r="49" spans="1:16">
      <c r="A49" s="380"/>
      <c r="B49" s="60"/>
      <c r="C49" s="60"/>
      <c r="D49" s="60"/>
      <c r="E49" s="60"/>
      <c r="F49" s="60"/>
      <c r="G49" s="60"/>
      <c r="H49" s="60"/>
      <c r="I49" s="60"/>
      <c r="J49" s="60"/>
      <c r="K49" s="61"/>
      <c r="L49" s="65"/>
      <c r="M49" s="61"/>
      <c r="N49" s="60"/>
      <c r="O49" s="62"/>
      <c r="P49" s="62"/>
    </row>
    <row r="50" spans="1:16">
      <c r="A50" s="380"/>
      <c r="B50" s="60"/>
      <c r="C50" s="60"/>
      <c r="D50" s="60"/>
      <c r="E50" s="60"/>
      <c r="F50" s="60"/>
      <c r="G50" s="60"/>
      <c r="H50" s="60"/>
      <c r="I50" s="60"/>
      <c r="J50" s="60"/>
      <c r="K50" s="61"/>
      <c r="L50" s="65"/>
      <c r="M50" s="61"/>
      <c r="N50" s="60"/>
      <c r="O50" s="62"/>
      <c r="P50" s="62"/>
    </row>
    <row r="51" spans="1:16">
      <c r="A51" s="380"/>
      <c r="B51" s="60"/>
      <c r="C51" s="60"/>
      <c r="D51" s="60"/>
      <c r="E51" s="60"/>
      <c r="F51" s="60"/>
      <c r="G51" s="60"/>
      <c r="H51" s="60"/>
      <c r="I51" s="60"/>
      <c r="J51" s="60"/>
      <c r="K51" s="61"/>
      <c r="L51" s="65"/>
      <c r="M51" s="61"/>
      <c r="N51" s="60"/>
      <c r="O51" s="120"/>
      <c r="P51" s="62"/>
    </row>
    <row r="52" spans="1:16">
      <c r="A52" s="380"/>
      <c r="B52" s="60"/>
      <c r="C52" s="60"/>
      <c r="D52" s="60"/>
      <c r="E52" s="60"/>
      <c r="F52" s="60"/>
      <c r="G52" s="60"/>
      <c r="H52" s="60"/>
      <c r="I52" s="60"/>
      <c r="J52" s="60"/>
      <c r="K52" s="61"/>
      <c r="L52" s="65"/>
      <c r="M52" s="61"/>
      <c r="N52" s="60"/>
      <c r="O52" s="62"/>
      <c r="P52" s="62"/>
    </row>
    <row r="53" spans="1:16">
      <c r="A53" s="380"/>
      <c r="B53" s="60"/>
      <c r="C53" s="60"/>
      <c r="D53" s="60"/>
      <c r="E53" s="60"/>
      <c r="F53" s="60"/>
      <c r="G53" s="60"/>
      <c r="H53" s="60"/>
      <c r="I53" s="60"/>
      <c r="J53" s="60"/>
      <c r="K53" s="61"/>
      <c r="L53" s="65"/>
      <c r="M53" s="61"/>
      <c r="N53" s="60"/>
      <c r="O53" s="62"/>
      <c r="P53" s="62"/>
    </row>
    <row r="54" spans="1:16">
      <c r="A54" s="380"/>
      <c r="B54" s="60"/>
      <c r="C54" s="60"/>
      <c r="D54" s="60"/>
      <c r="E54" s="60"/>
      <c r="F54" s="60"/>
      <c r="G54" s="60"/>
      <c r="H54" s="60"/>
      <c r="I54" s="60"/>
      <c r="J54" s="60"/>
      <c r="K54" s="61"/>
      <c r="L54" s="65"/>
      <c r="M54" s="61"/>
      <c r="N54" s="60"/>
      <c r="O54" s="62"/>
      <c r="P54" s="62"/>
    </row>
    <row r="55" spans="1:16">
      <c r="A55" s="380"/>
      <c r="B55" s="60"/>
      <c r="C55" s="60"/>
      <c r="D55" s="60"/>
      <c r="E55" s="60"/>
      <c r="F55" s="60"/>
      <c r="G55" s="60"/>
      <c r="H55" s="60"/>
      <c r="I55" s="60"/>
      <c r="J55" s="60"/>
      <c r="K55" s="61"/>
      <c r="L55" s="65"/>
      <c r="M55" s="61"/>
      <c r="N55" s="60"/>
      <c r="O55" s="62"/>
      <c r="P55" s="62"/>
    </row>
    <row r="56" spans="1:16">
      <c r="A56" s="380"/>
      <c r="B56" s="60"/>
      <c r="C56" s="60"/>
      <c r="D56" s="60"/>
      <c r="E56" s="60"/>
      <c r="F56" s="60"/>
      <c r="G56" s="60"/>
      <c r="H56" s="60"/>
      <c r="I56" s="60"/>
      <c r="J56" s="60"/>
      <c r="K56" s="61"/>
      <c r="L56" s="65"/>
      <c r="M56" s="61"/>
      <c r="N56" s="60"/>
      <c r="O56" s="62"/>
      <c r="P56" s="62"/>
    </row>
    <row r="57" spans="1:16">
      <c r="A57" s="380"/>
      <c r="B57" s="60"/>
      <c r="C57" s="60"/>
      <c r="D57" s="60"/>
      <c r="E57" s="60"/>
      <c r="F57" s="60"/>
      <c r="G57" s="60"/>
      <c r="H57" s="60"/>
      <c r="I57" s="60"/>
      <c r="J57" s="60"/>
      <c r="K57" s="61"/>
      <c r="L57" s="65"/>
      <c r="M57" s="61"/>
      <c r="N57" s="60"/>
      <c r="O57" s="62"/>
      <c r="P57" s="62"/>
    </row>
    <row r="58" spans="1:16">
      <c r="A58" s="380"/>
      <c r="B58" s="60"/>
      <c r="C58" s="60"/>
      <c r="D58" s="60"/>
      <c r="E58" s="60"/>
      <c r="F58" s="60"/>
      <c r="G58" s="60"/>
      <c r="H58" s="60"/>
      <c r="I58" s="60"/>
      <c r="J58" s="60"/>
      <c r="K58" s="61"/>
      <c r="L58" s="65"/>
      <c r="M58" s="61"/>
      <c r="N58" s="60"/>
      <c r="O58" s="62"/>
      <c r="P58" s="62"/>
    </row>
    <row r="59" spans="1:16">
      <c r="A59" s="380"/>
      <c r="B59" s="60"/>
      <c r="C59" s="60"/>
      <c r="D59" s="60"/>
      <c r="E59" s="60"/>
      <c r="F59" s="60"/>
      <c r="G59" s="121"/>
      <c r="H59" s="60"/>
      <c r="I59" s="60"/>
      <c r="J59" s="60"/>
      <c r="K59" s="61"/>
      <c r="L59" s="65"/>
      <c r="M59" s="61"/>
      <c r="N59" s="60"/>
      <c r="O59" s="62"/>
      <c r="P59" s="120"/>
    </row>
    <row r="60" spans="1:16">
      <c r="A60" s="380"/>
      <c r="B60" s="60"/>
      <c r="C60" s="60"/>
      <c r="D60" s="60"/>
      <c r="E60" s="60"/>
      <c r="F60" s="60"/>
      <c r="G60" s="60"/>
      <c r="H60" s="60"/>
      <c r="I60" s="60"/>
      <c r="J60" s="60"/>
      <c r="K60" s="61"/>
      <c r="L60" s="65"/>
      <c r="M60" s="61"/>
      <c r="N60" s="60"/>
      <c r="O60" s="62"/>
      <c r="P60" s="62"/>
    </row>
    <row r="61" spans="1:16">
      <c r="A61" s="380"/>
      <c r="B61" s="60"/>
      <c r="C61" s="60"/>
      <c r="D61" s="60"/>
      <c r="E61" s="60"/>
      <c r="F61" s="60"/>
      <c r="G61" s="121"/>
      <c r="H61" s="60"/>
      <c r="I61" s="60"/>
      <c r="J61" s="60"/>
      <c r="K61" s="61"/>
      <c r="L61" s="65"/>
      <c r="M61" s="61"/>
      <c r="N61" s="60"/>
      <c r="O61" s="62"/>
      <c r="P61" s="120"/>
    </row>
    <row r="62" spans="1:16">
      <c r="A62" s="380"/>
      <c r="B62" s="60"/>
      <c r="C62" s="60"/>
      <c r="D62" s="60"/>
      <c r="E62" s="122"/>
      <c r="F62" s="122"/>
      <c r="G62" s="122"/>
      <c r="H62" s="122"/>
      <c r="I62" s="60"/>
      <c r="J62" s="60"/>
      <c r="K62" s="61"/>
      <c r="L62" s="65"/>
      <c r="M62" s="61"/>
      <c r="N62" s="60"/>
      <c r="O62" s="62"/>
      <c r="P62" s="62"/>
    </row>
    <row r="63" spans="1:16">
      <c r="A63" s="380"/>
      <c r="B63" s="60"/>
      <c r="C63" s="60"/>
      <c r="D63" s="60"/>
      <c r="E63" s="122"/>
      <c r="F63" s="122"/>
      <c r="G63" s="122"/>
      <c r="H63" s="122"/>
      <c r="I63" s="60"/>
      <c r="J63" s="60"/>
      <c r="K63" s="61"/>
      <c r="L63" s="65"/>
      <c r="M63" s="61"/>
      <c r="N63" s="60"/>
      <c r="O63" s="62"/>
      <c r="P63" s="62"/>
    </row>
    <row r="64" spans="1:16">
      <c r="A64" s="380"/>
      <c r="B64" s="60"/>
      <c r="C64" s="60"/>
      <c r="D64" s="60"/>
      <c r="E64" s="122"/>
      <c r="F64" s="122"/>
      <c r="G64" s="122"/>
      <c r="H64" s="122"/>
      <c r="I64" s="60"/>
      <c r="J64" s="60"/>
      <c r="K64" s="61"/>
      <c r="L64" s="65"/>
      <c r="M64" s="61"/>
      <c r="N64" s="60"/>
      <c r="O64" s="62"/>
      <c r="P64" s="62"/>
    </row>
    <row r="65" spans="1:16">
      <c r="A65" s="380"/>
      <c r="B65" s="60"/>
      <c r="C65" s="60"/>
      <c r="D65" s="60"/>
      <c r="E65" s="122"/>
      <c r="F65" s="123"/>
      <c r="G65" s="124"/>
      <c r="H65" s="123"/>
      <c r="I65" s="114"/>
      <c r="J65" s="114"/>
      <c r="K65" s="61"/>
      <c r="L65" s="65"/>
      <c r="M65" s="61"/>
      <c r="N65" s="114"/>
      <c r="O65" s="62"/>
      <c r="P65" s="62"/>
    </row>
    <row r="66" spans="1:16">
      <c r="A66" s="380"/>
      <c r="B66" s="60"/>
      <c r="C66" s="60"/>
      <c r="D66" s="60"/>
      <c r="E66" s="60"/>
      <c r="F66" s="114"/>
      <c r="G66" s="114"/>
      <c r="H66" s="114"/>
      <c r="I66" s="114"/>
      <c r="J66" s="114"/>
      <c r="K66" s="61"/>
      <c r="L66" s="65"/>
      <c r="M66" s="61"/>
      <c r="N66" s="114"/>
      <c r="O66" s="62"/>
      <c r="P66" s="62"/>
    </row>
    <row r="67" spans="1:16">
      <c r="A67" s="380"/>
      <c r="B67" s="60"/>
      <c r="C67" s="60"/>
      <c r="D67" s="60"/>
      <c r="E67" s="60"/>
      <c r="F67" s="60"/>
      <c r="G67" s="60"/>
      <c r="H67" s="60"/>
      <c r="I67" s="60"/>
      <c r="J67" s="60"/>
      <c r="K67" s="61"/>
      <c r="L67" s="65"/>
      <c r="M67" s="61"/>
      <c r="N67" s="60"/>
      <c r="O67" s="62"/>
      <c r="P67" s="62"/>
    </row>
    <row r="68" spans="1:16">
      <c r="A68" s="380"/>
      <c r="B68" s="60"/>
      <c r="C68" s="60"/>
      <c r="D68" s="60"/>
      <c r="E68" s="60"/>
      <c r="F68" s="60"/>
      <c r="G68" s="60"/>
      <c r="H68" s="60"/>
      <c r="I68" s="60"/>
      <c r="J68" s="60"/>
      <c r="K68" s="61"/>
      <c r="L68" s="65"/>
      <c r="M68" s="61"/>
      <c r="N68" s="60"/>
      <c r="O68" s="62"/>
      <c r="P68" s="62"/>
    </row>
    <row r="69" spans="1:16">
      <c r="A69" s="380"/>
      <c r="B69" s="60"/>
      <c r="C69" s="60"/>
      <c r="D69" s="60"/>
      <c r="E69" s="60"/>
      <c r="F69" s="60"/>
      <c r="G69" s="60"/>
      <c r="H69" s="60"/>
      <c r="I69" s="60"/>
      <c r="J69" s="60"/>
      <c r="K69" s="61"/>
      <c r="L69" s="65"/>
      <c r="M69" s="61"/>
      <c r="N69" s="60"/>
      <c r="O69" s="62"/>
      <c r="P69" s="62"/>
    </row>
    <row r="70" spans="1:16">
      <c r="A70" s="380"/>
      <c r="B70" s="60"/>
      <c r="C70" s="60"/>
      <c r="D70" s="60"/>
      <c r="E70" s="60"/>
      <c r="F70" s="60"/>
      <c r="G70" s="60"/>
      <c r="H70" s="60"/>
      <c r="I70" s="60"/>
      <c r="J70" s="60"/>
      <c r="K70" s="61"/>
      <c r="L70" s="65"/>
      <c r="M70" s="61"/>
      <c r="N70" s="60"/>
      <c r="O70" s="62"/>
      <c r="P70" s="62"/>
    </row>
    <row r="71" spans="1:16">
      <c r="A71" s="380"/>
      <c r="B71" s="60"/>
      <c r="C71" s="60"/>
      <c r="D71" s="60"/>
      <c r="E71" s="60"/>
      <c r="F71" s="60"/>
      <c r="G71" s="60"/>
      <c r="H71" s="60"/>
      <c r="I71" s="60"/>
      <c r="J71" s="60"/>
      <c r="K71" s="61"/>
      <c r="L71" s="65"/>
      <c r="M71" s="61"/>
      <c r="N71" s="60"/>
      <c r="O71" s="62"/>
      <c r="P71" s="62"/>
    </row>
    <row r="72" spans="1:16">
      <c r="A72" s="380"/>
      <c r="B72" s="60"/>
      <c r="C72" s="60"/>
      <c r="D72" s="60"/>
      <c r="E72" s="60"/>
      <c r="F72" s="60"/>
      <c r="G72" s="60"/>
      <c r="H72" s="60"/>
      <c r="I72" s="60"/>
      <c r="J72" s="60"/>
      <c r="K72" s="61"/>
      <c r="L72" s="65"/>
      <c r="M72" s="61"/>
      <c r="N72" s="60"/>
      <c r="O72" s="62"/>
      <c r="P72" s="62"/>
    </row>
    <row r="73" spans="1:16">
      <c r="A73" s="380"/>
      <c r="B73" s="60"/>
      <c r="C73" s="60"/>
      <c r="D73" s="60"/>
      <c r="E73" s="60"/>
      <c r="F73" s="60"/>
      <c r="G73" s="60"/>
      <c r="H73" s="60"/>
      <c r="I73" s="60"/>
      <c r="J73" s="60"/>
      <c r="K73" s="61"/>
      <c r="L73" s="65"/>
      <c r="M73" s="61"/>
      <c r="N73" s="60"/>
      <c r="O73" s="62"/>
      <c r="P73" s="62"/>
    </row>
    <row r="74" spans="1:16">
      <c r="A74" s="380"/>
      <c r="B74" s="60"/>
      <c r="C74" s="60"/>
      <c r="D74" s="60"/>
      <c r="E74" s="60"/>
      <c r="F74" s="60"/>
      <c r="G74" s="121"/>
      <c r="H74" s="60"/>
      <c r="I74" s="60"/>
      <c r="J74" s="60"/>
      <c r="K74" s="61"/>
      <c r="L74" s="65"/>
      <c r="M74" s="61"/>
      <c r="N74" s="60"/>
      <c r="O74" s="62"/>
      <c r="P74" s="120"/>
    </row>
    <row r="75" spans="1:16">
      <c r="A75" s="380"/>
      <c r="B75" s="60"/>
      <c r="C75" s="60"/>
      <c r="D75" s="60"/>
      <c r="E75" s="60"/>
      <c r="F75" s="60"/>
      <c r="G75" s="60"/>
      <c r="H75" s="60"/>
      <c r="I75" s="60"/>
      <c r="J75" s="60"/>
      <c r="K75" s="61"/>
      <c r="L75" s="65"/>
      <c r="M75" s="61"/>
      <c r="N75" s="60"/>
      <c r="O75" s="62"/>
      <c r="P75" s="62"/>
    </row>
    <row r="76" spans="1:16">
      <c r="A76" s="388"/>
      <c r="B76" s="60"/>
      <c r="C76" s="60"/>
      <c r="D76" s="60"/>
      <c r="E76" s="60"/>
      <c r="F76" s="60"/>
      <c r="G76" s="60"/>
      <c r="H76" s="60"/>
      <c r="I76" s="60"/>
      <c r="J76" s="60"/>
      <c r="K76" s="61"/>
      <c r="L76" s="65"/>
      <c r="M76" s="61"/>
      <c r="N76" s="60"/>
      <c r="O76" s="62"/>
      <c r="P76" s="62"/>
    </row>
    <row r="77" spans="1:16">
      <c r="A77" s="388"/>
      <c r="B77" s="60"/>
      <c r="C77" s="60"/>
      <c r="D77" s="60"/>
      <c r="E77" s="60"/>
      <c r="F77" s="60"/>
      <c r="G77" s="60"/>
      <c r="H77" s="60"/>
      <c r="I77" s="60"/>
      <c r="J77" s="60"/>
      <c r="K77" s="61"/>
      <c r="L77" s="65"/>
      <c r="M77" s="61"/>
      <c r="N77" s="60"/>
      <c r="O77" s="62"/>
      <c r="P77" s="62"/>
    </row>
    <row r="78" spans="1:16">
      <c r="A78" s="388"/>
      <c r="B78" s="60"/>
      <c r="C78" s="60"/>
      <c r="D78" s="60"/>
      <c r="E78" s="60"/>
      <c r="F78" s="60"/>
      <c r="G78" s="60"/>
      <c r="H78" s="60"/>
      <c r="I78" s="60"/>
      <c r="J78" s="60"/>
      <c r="K78" s="61"/>
      <c r="L78" s="65"/>
      <c r="M78" s="61"/>
      <c r="N78" s="60"/>
      <c r="O78" s="62"/>
      <c r="P78" s="62"/>
    </row>
    <row r="79" spans="1:16">
      <c r="A79" s="388"/>
      <c r="B79" s="60"/>
      <c r="C79" s="60"/>
      <c r="D79" s="60"/>
      <c r="E79" s="60"/>
      <c r="F79" s="60"/>
      <c r="G79" s="60"/>
      <c r="H79" s="60"/>
      <c r="I79" s="60"/>
      <c r="J79" s="60"/>
      <c r="K79" s="61"/>
      <c r="L79" s="65"/>
      <c r="M79" s="61"/>
      <c r="N79" s="60"/>
      <c r="O79" s="62"/>
      <c r="P79" s="62"/>
    </row>
    <row r="80" spans="1:16">
      <c r="A80" s="388"/>
      <c r="B80" s="60"/>
      <c r="C80" s="60"/>
      <c r="D80" s="60"/>
      <c r="E80" s="60"/>
      <c r="F80" s="60"/>
      <c r="G80" s="60"/>
      <c r="H80" s="60"/>
      <c r="I80" s="60"/>
      <c r="J80" s="60"/>
      <c r="K80" s="61"/>
      <c r="L80" s="65"/>
      <c r="M80" s="61"/>
      <c r="N80" s="60"/>
      <c r="O80" s="62"/>
      <c r="P80" s="62"/>
    </row>
    <row r="81" spans="1:16">
      <c r="A81" s="388"/>
      <c r="B81" s="60"/>
      <c r="C81" s="60"/>
      <c r="D81" s="60"/>
      <c r="E81" s="60"/>
      <c r="F81" s="60"/>
      <c r="G81" s="60"/>
      <c r="H81" s="60"/>
      <c r="I81" s="60"/>
      <c r="J81" s="60"/>
      <c r="K81" s="61"/>
      <c r="L81" s="65"/>
      <c r="M81" s="61"/>
      <c r="N81" s="60"/>
      <c r="O81" s="62"/>
      <c r="P81" s="62"/>
    </row>
    <row r="82" spans="1:16">
      <c r="A82" s="388"/>
      <c r="B82" s="60"/>
      <c r="C82" s="60"/>
      <c r="D82" s="60"/>
      <c r="E82" s="60"/>
      <c r="F82" s="60"/>
      <c r="G82" s="60"/>
      <c r="H82" s="60"/>
      <c r="I82" s="60"/>
      <c r="J82" s="60"/>
      <c r="K82" s="61"/>
      <c r="L82" s="65"/>
      <c r="M82" s="61"/>
      <c r="N82" s="60"/>
      <c r="O82" s="62"/>
      <c r="P82" s="62"/>
    </row>
    <row r="83" spans="1:16">
      <c r="A83" s="388"/>
      <c r="B83" s="60"/>
      <c r="C83" s="60"/>
      <c r="D83" s="60"/>
      <c r="E83" s="60"/>
      <c r="F83" s="60"/>
      <c r="G83" s="121"/>
      <c r="H83" s="60"/>
      <c r="I83" s="60"/>
      <c r="J83" s="60"/>
      <c r="K83" s="61"/>
      <c r="L83" s="65"/>
      <c r="M83" s="61"/>
      <c r="N83" s="60"/>
      <c r="O83" s="62"/>
      <c r="P83" s="62"/>
    </row>
    <row r="84" spans="1:16">
      <c r="A84" s="388"/>
      <c r="B84" s="60"/>
      <c r="C84" s="60"/>
      <c r="D84" s="60"/>
      <c r="E84" s="60"/>
      <c r="F84" s="60"/>
      <c r="G84" s="60"/>
      <c r="H84" s="60"/>
      <c r="I84" s="60"/>
      <c r="J84" s="60"/>
      <c r="K84" s="61"/>
      <c r="L84" s="65"/>
      <c r="M84" s="61"/>
      <c r="N84" s="60"/>
      <c r="O84" s="62"/>
      <c r="P84" s="62"/>
    </row>
    <row r="85" spans="1:16">
      <c r="A85" s="388"/>
      <c r="B85" s="60"/>
      <c r="C85" s="60"/>
      <c r="D85" s="60"/>
      <c r="E85" s="60"/>
      <c r="F85" s="60"/>
      <c r="G85" s="60"/>
      <c r="H85" s="60"/>
      <c r="I85" s="60"/>
      <c r="J85" s="60"/>
      <c r="K85" s="61"/>
      <c r="L85" s="65"/>
      <c r="M85" s="61"/>
      <c r="N85" s="60"/>
      <c r="O85" s="62"/>
      <c r="P85" s="62"/>
    </row>
    <row r="86" spans="1:16">
      <c r="A86" s="380"/>
      <c r="B86" s="60"/>
      <c r="C86" s="60"/>
      <c r="D86" s="60"/>
      <c r="E86" s="60"/>
      <c r="F86" s="60"/>
      <c r="G86" s="60"/>
      <c r="H86" s="60"/>
      <c r="I86" s="60"/>
      <c r="J86" s="60"/>
      <c r="K86" s="61"/>
      <c r="L86" s="65"/>
      <c r="M86" s="61"/>
      <c r="N86" s="60"/>
      <c r="O86" s="62"/>
      <c r="P86" s="62"/>
    </row>
    <row r="87" spans="1:16">
      <c r="A87" s="380"/>
      <c r="B87" s="60"/>
      <c r="C87" s="60"/>
      <c r="D87" s="60"/>
      <c r="E87" s="60"/>
      <c r="F87" s="60"/>
      <c r="G87" s="60"/>
      <c r="H87" s="60"/>
      <c r="I87" s="60"/>
      <c r="J87" s="60"/>
      <c r="K87" s="61"/>
      <c r="L87" s="65"/>
      <c r="M87" s="61"/>
      <c r="N87" s="60"/>
      <c r="O87" s="62"/>
      <c r="P87" s="62"/>
    </row>
    <row r="88" spans="1:16">
      <c r="A88" s="380"/>
      <c r="B88" s="60"/>
      <c r="C88" s="60"/>
      <c r="D88" s="60"/>
      <c r="E88" s="60"/>
      <c r="F88" s="60"/>
      <c r="G88" s="60"/>
      <c r="H88" s="60"/>
      <c r="I88" s="60"/>
      <c r="J88" s="60"/>
      <c r="K88" s="61"/>
      <c r="L88" s="65"/>
      <c r="M88" s="61"/>
      <c r="N88" s="60"/>
      <c r="O88" s="62"/>
      <c r="P88" s="62"/>
    </row>
    <row r="89" spans="1:16">
      <c r="A89" s="62"/>
      <c r="B89" s="62"/>
      <c r="C89" s="62"/>
      <c r="D89" s="62"/>
      <c r="E89" s="62"/>
      <c r="F89" s="62"/>
      <c r="G89" s="62"/>
      <c r="H89" s="62"/>
      <c r="I89" s="62"/>
      <c r="J89" s="62"/>
      <c r="K89" s="62"/>
      <c r="L89" s="125"/>
      <c r="M89" s="125"/>
      <c r="N89" s="126"/>
      <c r="O89" s="62"/>
      <c r="P89" s="62"/>
    </row>
    <row r="90" spans="1:16">
      <c r="A90" s="62"/>
      <c r="B90" s="118"/>
      <c r="C90" s="118"/>
      <c r="D90" s="60"/>
      <c r="E90" s="60"/>
      <c r="F90" s="60"/>
      <c r="G90" s="121"/>
      <c r="H90" s="60"/>
      <c r="I90" s="60"/>
      <c r="J90" s="60"/>
      <c r="K90" s="61"/>
      <c r="L90" s="65"/>
      <c r="M90" s="61"/>
      <c r="N90" s="60"/>
      <c r="O90" s="60"/>
      <c r="P90" s="60"/>
    </row>
    <row r="91" spans="1:16">
      <c r="A91" s="380"/>
      <c r="B91" s="118"/>
      <c r="C91" s="118"/>
      <c r="D91" s="60"/>
      <c r="E91" s="60"/>
      <c r="F91" s="60"/>
      <c r="G91" s="121"/>
      <c r="H91" s="60"/>
      <c r="I91" s="60"/>
      <c r="J91" s="60"/>
      <c r="K91" s="61"/>
      <c r="L91" s="65"/>
      <c r="M91" s="61"/>
      <c r="N91" s="60"/>
      <c r="O91" s="60"/>
      <c r="P91" s="60"/>
    </row>
    <row r="92" spans="1:16">
      <c r="A92" s="380"/>
      <c r="B92" s="118"/>
      <c r="C92" s="118"/>
      <c r="D92" s="60"/>
      <c r="E92" s="60"/>
      <c r="F92" s="60"/>
      <c r="G92" s="121"/>
      <c r="H92" s="60"/>
      <c r="I92" s="60"/>
      <c r="J92" s="60"/>
      <c r="K92" s="61"/>
      <c r="L92" s="65"/>
      <c r="M92" s="61"/>
      <c r="N92" s="60"/>
      <c r="O92" s="60"/>
      <c r="P92" s="60"/>
    </row>
    <row r="93" spans="1:16">
      <c r="A93" s="380"/>
      <c r="B93" s="118"/>
      <c r="C93" s="118"/>
      <c r="D93" s="60"/>
      <c r="E93" s="60"/>
      <c r="F93" s="60"/>
      <c r="G93" s="121"/>
      <c r="H93" s="60"/>
      <c r="I93" s="60"/>
      <c r="J93" s="60"/>
      <c r="K93" s="61"/>
      <c r="L93" s="65"/>
      <c r="M93" s="61"/>
      <c r="N93" s="60"/>
      <c r="O93" s="60"/>
      <c r="P93" s="60"/>
    </row>
    <row r="94" spans="1:16">
      <c r="A94" s="380"/>
      <c r="B94" s="118"/>
      <c r="C94" s="118"/>
      <c r="D94" s="60"/>
      <c r="E94" s="60"/>
      <c r="F94" s="60"/>
      <c r="G94" s="121"/>
      <c r="H94" s="60"/>
      <c r="I94" s="60"/>
      <c r="J94" s="60"/>
      <c r="K94" s="61"/>
      <c r="L94" s="65"/>
      <c r="M94" s="61"/>
      <c r="N94" s="60"/>
      <c r="O94" s="60"/>
      <c r="P94" s="60"/>
    </row>
    <row r="95" spans="1:16">
      <c r="A95" s="62"/>
      <c r="B95" s="60"/>
      <c r="C95" s="60"/>
      <c r="D95" s="60"/>
      <c r="E95" s="60"/>
      <c r="F95" s="60"/>
      <c r="G95" s="121"/>
      <c r="H95" s="60"/>
      <c r="I95" s="60"/>
      <c r="J95" s="60"/>
      <c r="K95" s="61"/>
      <c r="L95" s="65"/>
      <c r="M95" s="61"/>
      <c r="N95" s="60"/>
      <c r="O95" s="60"/>
      <c r="P95" s="60"/>
    </row>
    <row r="96" spans="1:16">
      <c r="A96" s="62"/>
      <c r="B96" s="62"/>
      <c r="C96" s="62"/>
      <c r="D96" s="62"/>
      <c r="E96" s="62"/>
      <c r="F96" s="62"/>
      <c r="G96" s="62"/>
      <c r="H96" s="62"/>
      <c r="I96" s="62"/>
      <c r="J96" s="62"/>
      <c r="K96" s="62"/>
      <c r="L96" s="62"/>
      <c r="M96" s="62"/>
      <c r="N96" s="127"/>
      <c r="O96" s="62"/>
      <c r="P96" s="62"/>
    </row>
    <row r="97" spans="1:16">
      <c r="A97" s="62"/>
      <c r="B97" s="62"/>
      <c r="C97" s="62"/>
      <c r="D97" s="62"/>
      <c r="E97" s="62"/>
      <c r="F97" s="62"/>
      <c r="G97" s="62"/>
      <c r="H97" s="62"/>
      <c r="I97" s="62"/>
      <c r="J97" s="62"/>
      <c r="K97" s="62"/>
      <c r="L97" s="62"/>
      <c r="M97" s="62"/>
      <c r="N97" s="62"/>
      <c r="O97" s="62"/>
      <c r="P97" s="62"/>
    </row>
    <row r="98" spans="1:16">
      <c r="A98" s="62"/>
      <c r="B98" s="62"/>
      <c r="C98" s="62"/>
      <c r="D98" s="62"/>
      <c r="E98" s="62"/>
      <c r="F98" s="62"/>
      <c r="G98" s="62"/>
      <c r="H98" s="62"/>
      <c r="I98" s="62"/>
      <c r="J98" s="62"/>
      <c r="K98" s="62"/>
      <c r="L98" s="62"/>
      <c r="M98" s="62"/>
      <c r="N98" s="62"/>
      <c r="O98" s="62"/>
      <c r="P98" s="62"/>
    </row>
    <row r="99" spans="1:16">
      <c r="A99" s="62"/>
      <c r="B99" s="62"/>
      <c r="C99" s="62"/>
      <c r="D99" s="62"/>
      <c r="E99" s="62"/>
      <c r="F99" s="62"/>
      <c r="G99" s="62"/>
      <c r="H99" s="62"/>
      <c r="I99" s="62"/>
      <c r="J99" s="62"/>
      <c r="K99" s="62"/>
      <c r="L99" s="125"/>
      <c r="M99" s="62"/>
      <c r="N99" s="62"/>
      <c r="O99" s="62"/>
      <c r="P99" s="62"/>
    </row>
    <row r="100" spans="1:16">
      <c r="A100" s="62"/>
      <c r="B100" s="62"/>
      <c r="C100" s="62"/>
      <c r="D100" s="62"/>
      <c r="E100" s="62"/>
      <c r="F100" s="62"/>
      <c r="G100" s="62"/>
      <c r="H100" s="62"/>
      <c r="I100" s="62"/>
      <c r="J100" s="62"/>
      <c r="K100" s="62"/>
      <c r="L100" s="62"/>
      <c r="M100" s="62"/>
      <c r="N100" s="62"/>
      <c r="O100" s="62"/>
      <c r="P100" s="62"/>
    </row>
    <row r="101" spans="1:16">
      <c r="A101" s="62"/>
      <c r="B101" s="62"/>
      <c r="C101" s="62"/>
      <c r="D101" s="62"/>
      <c r="E101" s="62"/>
      <c r="F101" s="62"/>
      <c r="G101" s="62"/>
      <c r="H101" s="62"/>
      <c r="I101" s="62"/>
      <c r="J101" s="62"/>
      <c r="K101" s="62"/>
      <c r="L101" s="62"/>
      <c r="M101" s="62"/>
      <c r="N101" s="62"/>
      <c r="O101" s="62"/>
      <c r="P101" s="62"/>
    </row>
    <row r="102" spans="1:16">
      <c r="A102" s="62"/>
      <c r="B102" s="62"/>
      <c r="C102" s="62"/>
      <c r="D102" s="62"/>
      <c r="E102" s="62"/>
      <c r="F102" s="62"/>
      <c r="G102" s="62"/>
      <c r="H102" s="62"/>
      <c r="I102" s="62"/>
      <c r="J102" s="62"/>
      <c r="K102" s="62"/>
      <c r="L102" s="62"/>
      <c r="M102" s="62"/>
      <c r="N102" s="62"/>
      <c r="O102" s="62"/>
      <c r="P102" s="62"/>
    </row>
    <row r="103" spans="1:16">
      <c r="A103" s="62"/>
      <c r="B103" s="62"/>
      <c r="C103" s="62"/>
      <c r="D103" s="62"/>
      <c r="E103" s="62"/>
      <c r="F103" s="62"/>
      <c r="G103" s="62"/>
      <c r="H103" s="62"/>
      <c r="I103" s="62"/>
      <c r="J103" s="62"/>
      <c r="K103" s="62"/>
      <c r="L103" s="62"/>
      <c r="M103" s="62"/>
      <c r="N103" s="62"/>
      <c r="O103" s="62"/>
      <c r="P103" s="62"/>
    </row>
    <row r="104" spans="1:16">
      <c r="A104" s="62"/>
      <c r="B104" s="62"/>
      <c r="C104" s="62"/>
      <c r="D104" s="62"/>
      <c r="E104" s="62"/>
      <c r="F104" s="62"/>
      <c r="G104" s="62"/>
      <c r="H104" s="62"/>
      <c r="I104" s="62"/>
      <c r="J104" s="62"/>
      <c r="K104" s="62"/>
      <c r="L104" s="62"/>
      <c r="M104" s="62"/>
      <c r="N104" s="62"/>
      <c r="O104" s="62"/>
      <c r="P104" s="62"/>
    </row>
    <row r="105" spans="1:16">
      <c r="A105" s="380"/>
      <c r="B105" s="60"/>
      <c r="C105" s="60"/>
      <c r="D105" s="60"/>
      <c r="E105" s="60"/>
      <c r="F105" s="60"/>
      <c r="G105" s="60"/>
      <c r="H105" s="60"/>
      <c r="I105" s="60"/>
      <c r="J105" s="60"/>
      <c r="K105" s="60"/>
      <c r="L105" s="61"/>
      <c r="M105" s="61"/>
      <c r="N105" s="60"/>
      <c r="O105" s="128"/>
      <c r="P105" s="62"/>
    </row>
    <row r="106" spans="1:16">
      <c r="A106" s="380"/>
      <c r="B106" s="60"/>
      <c r="C106" s="60"/>
      <c r="D106" s="60"/>
      <c r="E106" s="60"/>
      <c r="F106" s="60"/>
      <c r="G106" s="60"/>
      <c r="H106" s="60"/>
      <c r="I106" s="60"/>
      <c r="J106" s="60"/>
      <c r="K106" s="60"/>
      <c r="L106" s="61"/>
      <c r="M106" s="61"/>
      <c r="N106" s="60"/>
      <c r="O106" s="128"/>
      <c r="P106" s="62"/>
    </row>
    <row r="107" spans="1:16">
      <c r="A107" s="62"/>
      <c r="B107" s="60"/>
      <c r="C107" s="60"/>
      <c r="D107" s="60"/>
      <c r="E107" s="60"/>
      <c r="F107" s="60"/>
      <c r="G107" s="60"/>
      <c r="H107" s="60"/>
      <c r="I107" s="60"/>
      <c r="J107" s="60"/>
      <c r="K107" s="60"/>
      <c r="L107" s="61"/>
      <c r="M107" s="61"/>
      <c r="N107" s="60"/>
      <c r="O107" s="128"/>
      <c r="P107" s="62"/>
    </row>
    <row r="108" spans="1:16">
      <c r="A108" s="388"/>
      <c r="B108" s="60"/>
      <c r="C108" s="60"/>
      <c r="D108" s="60"/>
      <c r="E108" s="60"/>
      <c r="F108" s="60"/>
      <c r="G108" s="60"/>
      <c r="H108" s="60"/>
      <c r="I108" s="60"/>
      <c r="J108" s="60"/>
      <c r="K108" s="60"/>
      <c r="L108" s="61"/>
      <c r="M108" s="61"/>
      <c r="N108" s="60"/>
      <c r="O108" s="128"/>
      <c r="P108" s="62"/>
    </row>
    <row r="109" spans="1:16">
      <c r="A109" s="388"/>
      <c r="B109" s="60"/>
      <c r="C109" s="60"/>
      <c r="D109" s="60"/>
      <c r="E109" s="60"/>
      <c r="F109" s="60"/>
      <c r="G109" s="60"/>
      <c r="H109" s="60"/>
      <c r="I109" s="60"/>
      <c r="J109" s="60"/>
      <c r="K109" s="60"/>
      <c r="L109" s="61"/>
      <c r="M109" s="61"/>
      <c r="N109" s="60"/>
      <c r="O109" s="128"/>
      <c r="P109" s="62"/>
    </row>
    <row r="110" spans="1:16">
      <c r="A110" s="388"/>
      <c r="B110" s="60"/>
      <c r="C110" s="60"/>
      <c r="D110" s="60"/>
      <c r="E110" s="60"/>
      <c r="F110" s="60"/>
      <c r="G110" s="60"/>
      <c r="H110" s="60"/>
      <c r="I110" s="60"/>
      <c r="J110" s="60"/>
      <c r="K110" s="60"/>
      <c r="L110" s="61"/>
      <c r="M110" s="61"/>
      <c r="N110" s="60"/>
      <c r="O110" s="128"/>
      <c r="P110" s="62"/>
    </row>
    <row r="111" spans="1:16">
      <c r="A111" s="388"/>
      <c r="B111" s="60"/>
      <c r="C111" s="60"/>
      <c r="D111" s="60"/>
      <c r="E111" s="60"/>
      <c r="F111" s="60"/>
      <c r="G111" s="60"/>
      <c r="H111" s="60"/>
      <c r="I111" s="60"/>
      <c r="J111" s="60"/>
      <c r="K111" s="60"/>
      <c r="L111" s="61"/>
      <c r="M111" s="61"/>
      <c r="N111" s="60"/>
      <c r="O111" s="128"/>
      <c r="P111" s="62"/>
    </row>
    <row r="112" spans="1:16">
      <c r="A112" s="388"/>
      <c r="B112" s="60"/>
      <c r="C112" s="60"/>
      <c r="D112" s="60"/>
      <c r="E112" s="60"/>
      <c r="F112" s="60"/>
      <c r="G112" s="60"/>
      <c r="H112" s="60"/>
      <c r="I112" s="60"/>
      <c r="J112" s="60"/>
      <c r="K112" s="60"/>
      <c r="L112" s="61"/>
      <c r="M112" s="61"/>
      <c r="N112" s="60"/>
      <c r="O112" s="128"/>
      <c r="P112" s="62"/>
    </row>
    <row r="113" spans="1:16">
      <c r="A113" s="388"/>
      <c r="B113" s="60"/>
      <c r="C113" s="60"/>
      <c r="D113" s="60"/>
      <c r="E113" s="60"/>
      <c r="F113" s="60"/>
      <c r="G113" s="60"/>
      <c r="H113" s="60"/>
      <c r="I113" s="60"/>
      <c r="J113" s="60"/>
      <c r="K113" s="60"/>
      <c r="L113" s="61"/>
      <c r="M113" s="61"/>
      <c r="N113" s="60"/>
      <c r="O113" s="128"/>
      <c r="P113" s="62"/>
    </row>
    <row r="114" spans="1:16">
      <c r="A114" s="380"/>
      <c r="B114" s="60"/>
      <c r="C114" s="60"/>
      <c r="D114" s="60"/>
      <c r="E114" s="60"/>
      <c r="F114" s="60"/>
      <c r="G114" s="60"/>
      <c r="H114" s="60"/>
      <c r="I114" s="60"/>
      <c r="J114" s="60"/>
      <c r="K114" s="60"/>
      <c r="L114" s="61"/>
      <c r="M114" s="61"/>
      <c r="N114" s="60"/>
      <c r="O114" s="128"/>
      <c r="P114" s="62"/>
    </row>
    <row r="115" spans="1:16">
      <c r="A115" s="380"/>
      <c r="B115" s="60"/>
      <c r="C115" s="60"/>
      <c r="D115" s="60"/>
      <c r="E115" s="60"/>
      <c r="F115" s="60"/>
      <c r="G115" s="60"/>
      <c r="H115" s="60"/>
      <c r="I115" s="60"/>
      <c r="J115" s="60"/>
      <c r="K115" s="60"/>
      <c r="L115" s="61"/>
      <c r="M115" s="61"/>
      <c r="N115" s="60"/>
      <c r="O115" s="128"/>
      <c r="P115" s="62"/>
    </row>
    <row r="116" spans="1:16">
      <c r="A116" s="380"/>
      <c r="B116" s="60"/>
      <c r="C116" s="60"/>
      <c r="D116" s="60"/>
      <c r="E116" s="60"/>
      <c r="F116" s="60"/>
      <c r="G116" s="60"/>
      <c r="H116" s="60"/>
      <c r="I116" s="60"/>
      <c r="J116" s="60"/>
      <c r="K116" s="60"/>
      <c r="L116" s="61"/>
      <c r="M116" s="61"/>
      <c r="N116" s="60"/>
      <c r="O116" s="128"/>
      <c r="P116" s="62"/>
    </row>
    <row r="117" spans="1:16">
      <c r="A117" s="380"/>
      <c r="B117" s="60"/>
      <c r="C117" s="60"/>
      <c r="D117" s="60"/>
      <c r="E117" s="60"/>
      <c r="F117" s="60"/>
      <c r="G117" s="60"/>
      <c r="H117" s="60"/>
      <c r="I117" s="60"/>
      <c r="J117" s="60"/>
      <c r="K117" s="60"/>
      <c r="L117" s="61"/>
      <c r="M117" s="61"/>
      <c r="N117" s="60"/>
      <c r="O117" s="128"/>
      <c r="P117" s="62"/>
    </row>
    <row r="118" spans="1:16">
      <c r="A118" s="380"/>
      <c r="B118" s="60"/>
      <c r="C118" s="60"/>
      <c r="D118" s="60"/>
      <c r="E118" s="60"/>
      <c r="F118" s="60"/>
      <c r="G118" s="60"/>
      <c r="H118" s="60"/>
      <c r="I118" s="60"/>
      <c r="J118" s="60"/>
      <c r="K118" s="60"/>
      <c r="L118" s="61"/>
      <c r="M118" s="61"/>
      <c r="N118" s="60"/>
      <c r="O118" s="128"/>
      <c r="P118" s="62"/>
    </row>
    <row r="119" spans="1:16">
      <c r="A119" s="380"/>
      <c r="B119" s="60"/>
      <c r="C119" s="60"/>
      <c r="D119" s="60"/>
      <c r="E119" s="60"/>
      <c r="F119" s="60"/>
      <c r="G119" s="60"/>
      <c r="H119" s="60"/>
      <c r="I119" s="60"/>
      <c r="J119" s="60"/>
      <c r="K119" s="60"/>
      <c r="L119" s="61"/>
      <c r="M119" s="61"/>
      <c r="N119" s="60"/>
      <c r="O119" s="128"/>
      <c r="P119" s="62"/>
    </row>
    <row r="120" spans="1:16">
      <c r="A120" s="388"/>
      <c r="B120" s="60"/>
      <c r="C120" s="60"/>
      <c r="D120" s="60"/>
      <c r="E120" s="60"/>
      <c r="F120" s="60"/>
      <c r="G120" s="60"/>
      <c r="H120" s="60"/>
      <c r="I120" s="60"/>
      <c r="J120" s="60"/>
      <c r="K120" s="61"/>
      <c r="L120" s="61"/>
      <c r="M120" s="61"/>
      <c r="N120" s="60"/>
      <c r="O120" s="128"/>
      <c r="P120" s="62"/>
    </row>
    <row r="121" spans="1:16">
      <c r="A121" s="388"/>
      <c r="B121" s="60"/>
      <c r="C121" s="60"/>
      <c r="D121" s="60"/>
      <c r="E121" s="60"/>
      <c r="F121" s="60"/>
      <c r="G121" s="60"/>
      <c r="H121" s="60"/>
      <c r="I121" s="60"/>
      <c r="J121" s="60"/>
      <c r="K121" s="61"/>
      <c r="L121" s="61"/>
      <c r="M121" s="61"/>
      <c r="N121" s="60"/>
      <c r="O121" s="128"/>
      <c r="P121" s="62"/>
    </row>
    <row r="122" spans="1:16">
      <c r="A122" s="388"/>
      <c r="B122" s="60"/>
      <c r="C122" s="60"/>
      <c r="D122" s="60"/>
      <c r="E122" s="60"/>
      <c r="F122" s="60"/>
      <c r="G122" s="60"/>
      <c r="H122" s="60"/>
      <c r="I122" s="60"/>
      <c r="J122" s="60"/>
      <c r="K122" s="61"/>
      <c r="L122" s="61"/>
      <c r="M122" s="61"/>
      <c r="N122" s="60"/>
      <c r="O122" s="128"/>
      <c r="P122" s="62"/>
    </row>
    <row r="123" spans="1:16">
      <c r="A123" s="388"/>
      <c r="B123" s="60"/>
      <c r="C123" s="60"/>
      <c r="D123" s="60"/>
      <c r="E123" s="60"/>
      <c r="F123" s="60"/>
      <c r="G123" s="60"/>
      <c r="H123" s="60"/>
      <c r="I123" s="60"/>
      <c r="J123" s="60"/>
      <c r="K123" s="61"/>
      <c r="L123" s="61"/>
      <c r="M123" s="61"/>
      <c r="N123" s="60"/>
      <c r="O123" s="128"/>
      <c r="P123" s="62"/>
    </row>
    <row r="124" spans="1:16">
      <c r="A124" s="380"/>
      <c r="B124" s="60"/>
      <c r="C124" s="60"/>
      <c r="D124" s="60"/>
      <c r="E124" s="60"/>
      <c r="F124" s="60"/>
      <c r="G124" s="60"/>
      <c r="H124" s="60"/>
      <c r="I124" s="60"/>
      <c r="J124" s="60"/>
      <c r="K124" s="61"/>
      <c r="L124" s="65"/>
      <c r="M124" s="61"/>
      <c r="N124" s="60"/>
      <c r="O124" s="128"/>
      <c r="P124" s="62"/>
    </row>
    <row r="125" spans="1:16">
      <c r="A125" s="380"/>
      <c r="B125" s="60"/>
      <c r="C125" s="60"/>
      <c r="D125" s="60"/>
      <c r="E125" s="60"/>
      <c r="F125" s="60"/>
      <c r="G125" s="60"/>
      <c r="H125" s="60"/>
      <c r="I125" s="60"/>
      <c r="J125" s="60"/>
      <c r="K125" s="61"/>
      <c r="L125" s="65"/>
      <c r="M125" s="61"/>
      <c r="N125" s="60"/>
      <c r="O125" s="128"/>
      <c r="P125" s="62"/>
    </row>
    <row r="126" spans="1:16">
      <c r="A126" s="380"/>
      <c r="B126" s="60"/>
      <c r="C126" s="60"/>
      <c r="D126" s="60"/>
      <c r="E126" s="60"/>
      <c r="F126" s="60"/>
      <c r="G126" s="60"/>
      <c r="H126" s="60"/>
      <c r="I126" s="60"/>
      <c r="J126" s="60"/>
      <c r="K126" s="61"/>
      <c r="L126" s="65"/>
      <c r="M126" s="61"/>
      <c r="N126" s="60"/>
      <c r="O126" s="128"/>
      <c r="P126" s="62"/>
    </row>
    <row r="127" spans="1:16">
      <c r="A127" s="380"/>
      <c r="B127" s="60"/>
      <c r="C127" s="60"/>
      <c r="D127" s="60"/>
      <c r="E127" s="60"/>
      <c r="F127" s="60"/>
      <c r="G127" s="60"/>
      <c r="H127" s="60"/>
      <c r="I127" s="60"/>
      <c r="J127" s="60"/>
      <c r="K127" s="61"/>
      <c r="L127" s="65"/>
      <c r="M127" s="61"/>
      <c r="N127" s="60"/>
      <c r="O127" s="128"/>
      <c r="P127" s="62"/>
    </row>
    <row r="128" spans="1:16">
      <c r="A128" s="62"/>
      <c r="B128" s="60"/>
      <c r="C128" s="60"/>
      <c r="D128" s="60"/>
      <c r="E128" s="60"/>
      <c r="F128" s="60"/>
      <c r="G128" s="60"/>
      <c r="H128" s="60"/>
      <c r="I128" s="60"/>
      <c r="J128" s="60"/>
      <c r="K128" s="61"/>
      <c r="L128" s="65"/>
      <c r="M128" s="61"/>
      <c r="N128" s="60"/>
      <c r="O128" s="128"/>
      <c r="P128" s="62"/>
    </row>
    <row r="129" spans="1:16">
      <c r="A129" s="62"/>
      <c r="B129" s="60"/>
      <c r="C129" s="60"/>
      <c r="D129" s="60"/>
      <c r="E129" s="60"/>
      <c r="F129" s="60"/>
      <c r="G129" s="60"/>
      <c r="H129" s="60"/>
      <c r="I129" s="60"/>
      <c r="J129" s="60"/>
      <c r="K129" s="61"/>
      <c r="L129" s="65"/>
      <c r="M129" s="61"/>
      <c r="N129" s="60"/>
      <c r="O129" s="128"/>
      <c r="P129" s="62"/>
    </row>
    <row r="130" spans="1:16">
      <c r="A130" s="62"/>
      <c r="B130" s="60"/>
      <c r="C130" s="60"/>
      <c r="D130" s="60"/>
      <c r="E130" s="60"/>
      <c r="F130" s="60"/>
      <c r="G130" s="60"/>
      <c r="H130" s="60"/>
      <c r="I130" s="60"/>
      <c r="J130" s="60"/>
      <c r="K130" s="61"/>
      <c r="L130" s="65"/>
      <c r="M130" s="61"/>
      <c r="N130" s="60"/>
      <c r="O130" s="128"/>
      <c r="P130" s="62"/>
    </row>
    <row r="131" spans="1:16">
      <c r="A131" s="62"/>
      <c r="B131" s="60"/>
      <c r="C131" s="60"/>
      <c r="D131" s="60"/>
      <c r="E131" s="60"/>
      <c r="F131" s="60"/>
      <c r="G131" s="60"/>
      <c r="H131" s="60"/>
      <c r="I131" s="60"/>
      <c r="J131" s="60"/>
      <c r="K131" s="61"/>
      <c r="L131" s="65"/>
      <c r="M131" s="61"/>
      <c r="N131" s="60"/>
      <c r="O131" s="128"/>
      <c r="P131" s="62"/>
    </row>
    <row r="132" spans="1:16">
      <c r="A132" s="62"/>
      <c r="B132" s="60"/>
      <c r="C132" s="60"/>
      <c r="D132" s="60"/>
      <c r="E132" s="60"/>
      <c r="F132" s="60"/>
      <c r="G132" s="60"/>
      <c r="H132" s="60"/>
      <c r="I132" s="60"/>
      <c r="J132" s="60"/>
      <c r="K132" s="61"/>
      <c r="L132" s="65"/>
      <c r="M132" s="61"/>
      <c r="N132" s="60"/>
      <c r="O132" s="128"/>
      <c r="P132" s="62"/>
    </row>
    <row r="133" spans="1:16">
      <c r="A133" s="62"/>
      <c r="B133" s="60"/>
      <c r="C133" s="60"/>
      <c r="D133" s="60"/>
      <c r="E133" s="60"/>
      <c r="F133" s="60"/>
      <c r="G133" s="60"/>
      <c r="H133" s="60"/>
      <c r="I133" s="60"/>
      <c r="J133" s="60"/>
      <c r="K133" s="61"/>
      <c r="L133" s="65"/>
      <c r="M133" s="61"/>
      <c r="N133" s="60"/>
      <c r="O133" s="128"/>
      <c r="P133" s="62"/>
    </row>
    <row r="134" spans="1:16">
      <c r="A134" s="62"/>
      <c r="B134" s="60"/>
      <c r="C134" s="60"/>
      <c r="D134" s="60"/>
      <c r="E134" s="60"/>
      <c r="F134" s="60"/>
      <c r="G134" s="60"/>
      <c r="H134" s="60"/>
      <c r="I134" s="60"/>
      <c r="J134" s="60"/>
      <c r="K134" s="61"/>
      <c r="L134" s="65"/>
      <c r="M134" s="61"/>
      <c r="N134" s="60"/>
      <c r="O134" s="128"/>
      <c r="P134" s="62"/>
    </row>
    <row r="135" spans="1:16">
      <c r="A135" s="62"/>
      <c r="B135" s="60"/>
      <c r="C135" s="60"/>
      <c r="D135" s="60"/>
      <c r="E135" s="60"/>
      <c r="F135" s="60"/>
      <c r="G135" s="60"/>
      <c r="H135" s="60"/>
      <c r="I135" s="60"/>
      <c r="J135" s="60"/>
      <c r="K135" s="61"/>
      <c r="L135" s="65"/>
      <c r="M135" s="61"/>
      <c r="N135" s="60"/>
      <c r="O135" s="128"/>
      <c r="P135" s="62"/>
    </row>
    <row r="136" spans="1:16">
      <c r="A136" s="62"/>
      <c r="B136" s="60"/>
      <c r="C136" s="60"/>
      <c r="D136" s="60"/>
      <c r="E136" s="60"/>
      <c r="F136" s="60"/>
      <c r="G136" s="60"/>
      <c r="H136" s="60"/>
      <c r="I136" s="60"/>
      <c r="J136" s="60"/>
      <c r="K136" s="61"/>
      <c r="L136" s="65"/>
      <c r="M136" s="61"/>
      <c r="N136" s="60"/>
      <c r="O136" s="128"/>
      <c r="P136" s="62"/>
    </row>
    <row r="137" spans="1:16">
      <c r="A137" s="62"/>
      <c r="B137" s="60"/>
      <c r="C137" s="60"/>
      <c r="D137" s="60"/>
      <c r="E137" s="60"/>
      <c r="F137" s="60"/>
      <c r="G137" s="60"/>
      <c r="H137" s="60"/>
      <c r="I137" s="60"/>
      <c r="J137" s="60"/>
      <c r="K137" s="61"/>
      <c r="L137" s="65"/>
      <c r="M137" s="61"/>
      <c r="N137" s="60"/>
      <c r="O137" s="128"/>
      <c r="P137" s="62"/>
    </row>
    <row r="138" spans="1:16">
      <c r="A138" s="62"/>
      <c r="B138" s="60"/>
      <c r="C138" s="60"/>
      <c r="D138" s="60"/>
      <c r="E138" s="60"/>
      <c r="F138" s="60"/>
      <c r="G138" s="60"/>
      <c r="H138" s="60"/>
      <c r="I138" s="60"/>
      <c r="J138" s="60"/>
      <c r="K138" s="61"/>
      <c r="L138" s="65"/>
      <c r="M138" s="61"/>
      <c r="N138" s="60"/>
      <c r="O138" s="128"/>
      <c r="P138" s="62"/>
    </row>
    <row r="139" spans="1:16">
      <c r="A139" s="62"/>
      <c r="B139" s="60"/>
      <c r="C139" s="60"/>
      <c r="D139" s="60"/>
      <c r="E139" s="60"/>
      <c r="F139" s="60"/>
      <c r="G139" s="60"/>
      <c r="H139" s="60"/>
      <c r="I139" s="60"/>
      <c r="J139" s="60"/>
      <c r="K139" s="61"/>
      <c r="L139" s="65"/>
      <c r="M139" s="61"/>
      <c r="N139" s="60"/>
      <c r="O139" s="128"/>
      <c r="P139" s="62"/>
    </row>
    <row r="140" spans="1:16">
      <c r="A140" s="62"/>
      <c r="B140" s="60"/>
      <c r="C140" s="60"/>
      <c r="D140" s="60"/>
      <c r="E140" s="60"/>
      <c r="F140" s="60"/>
      <c r="G140" s="60"/>
      <c r="H140" s="60"/>
      <c r="I140" s="60"/>
      <c r="J140" s="60"/>
      <c r="K140" s="61"/>
      <c r="L140" s="65"/>
      <c r="M140" s="61"/>
      <c r="N140" s="60"/>
      <c r="O140" s="128"/>
      <c r="P140" s="62"/>
    </row>
    <row r="141" spans="1:16">
      <c r="A141" s="62"/>
      <c r="B141" s="60"/>
      <c r="C141" s="60"/>
      <c r="D141" s="60"/>
      <c r="E141" s="60"/>
      <c r="F141" s="60"/>
      <c r="G141" s="60"/>
      <c r="H141" s="60"/>
      <c r="I141" s="60"/>
      <c r="J141" s="60"/>
      <c r="K141" s="61"/>
      <c r="L141" s="65"/>
      <c r="M141" s="61"/>
      <c r="N141" s="60"/>
      <c r="O141" s="128"/>
      <c r="P141" s="62"/>
    </row>
    <row r="142" spans="1:16">
      <c r="A142" s="62"/>
      <c r="B142" s="60"/>
      <c r="C142" s="60"/>
      <c r="D142" s="60"/>
      <c r="E142" s="60"/>
      <c r="F142" s="60"/>
      <c r="G142" s="60"/>
      <c r="H142" s="60"/>
      <c r="I142" s="60"/>
      <c r="J142" s="60"/>
      <c r="K142" s="61"/>
      <c r="L142" s="65"/>
      <c r="M142" s="61"/>
      <c r="N142" s="60"/>
      <c r="O142" s="128"/>
      <c r="P142" s="62"/>
    </row>
    <row r="143" spans="1:16">
      <c r="A143" s="62"/>
      <c r="B143" s="60"/>
      <c r="C143" s="60"/>
      <c r="D143" s="60"/>
      <c r="E143" s="60"/>
      <c r="F143" s="60"/>
      <c r="G143" s="60"/>
      <c r="H143" s="60"/>
      <c r="I143" s="60"/>
      <c r="J143" s="60"/>
      <c r="K143" s="61"/>
      <c r="L143" s="65"/>
      <c r="M143" s="61"/>
      <c r="N143" s="60"/>
      <c r="O143" s="128"/>
      <c r="P143" s="62"/>
    </row>
    <row r="144" spans="1:16">
      <c r="A144" s="62"/>
      <c r="B144" s="60"/>
      <c r="C144" s="60"/>
      <c r="D144" s="60"/>
      <c r="E144" s="60"/>
      <c r="F144" s="60"/>
      <c r="G144" s="60"/>
      <c r="H144" s="60"/>
      <c r="I144" s="60"/>
      <c r="J144" s="60"/>
      <c r="K144" s="61"/>
      <c r="L144" s="65"/>
      <c r="M144" s="61"/>
      <c r="N144" s="60"/>
      <c r="O144" s="128"/>
      <c r="P144" s="62"/>
    </row>
    <row r="145" spans="1:16">
      <c r="A145" s="62"/>
      <c r="B145" s="60"/>
      <c r="C145" s="60"/>
      <c r="D145" s="60"/>
      <c r="E145" s="60"/>
      <c r="F145" s="60"/>
      <c r="G145" s="60"/>
      <c r="H145" s="60"/>
      <c r="I145" s="60"/>
      <c r="J145" s="60"/>
      <c r="K145" s="61"/>
      <c r="L145" s="65"/>
      <c r="M145" s="61"/>
      <c r="N145" s="60"/>
      <c r="O145" s="128"/>
      <c r="P145" s="62"/>
    </row>
    <row r="146" spans="1:16">
      <c r="A146" s="62"/>
      <c r="B146" s="60"/>
      <c r="C146" s="60"/>
      <c r="D146" s="60"/>
      <c r="E146" s="60"/>
      <c r="F146" s="60"/>
      <c r="G146" s="60"/>
      <c r="H146" s="60"/>
      <c r="I146" s="60"/>
      <c r="J146" s="60"/>
      <c r="K146" s="61"/>
      <c r="L146" s="65"/>
      <c r="M146" s="61"/>
      <c r="N146" s="60"/>
      <c r="O146" s="128"/>
      <c r="P146" s="62"/>
    </row>
    <row r="147" spans="1:16">
      <c r="A147" s="62"/>
      <c r="B147" s="60"/>
      <c r="C147" s="60"/>
      <c r="D147" s="60"/>
      <c r="E147" s="60"/>
      <c r="F147" s="60"/>
      <c r="G147" s="60"/>
      <c r="H147" s="60"/>
      <c r="I147" s="60"/>
      <c r="J147" s="60"/>
      <c r="K147" s="61"/>
      <c r="L147" s="65"/>
      <c r="M147" s="61"/>
      <c r="N147" s="60"/>
      <c r="O147" s="128"/>
      <c r="P147" s="62"/>
    </row>
    <row r="148" spans="1:16">
      <c r="A148" s="62"/>
      <c r="B148" s="60"/>
      <c r="C148" s="60"/>
      <c r="D148" s="60"/>
      <c r="E148" s="60"/>
      <c r="F148" s="60"/>
      <c r="G148" s="60"/>
      <c r="H148" s="60"/>
      <c r="I148" s="60"/>
      <c r="J148" s="60"/>
      <c r="K148" s="61"/>
      <c r="L148" s="65"/>
      <c r="M148" s="61"/>
      <c r="N148" s="60"/>
      <c r="O148" s="128"/>
      <c r="P148" s="62"/>
    </row>
    <row r="149" spans="1:16">
      <c r="A149" s="62"/>
      <c r="B149" s="60"/>
      <c r="C149" s="60"/>
      <c r="D149" s="60"/>
      <c r="E149" s="60"/>
      <c r="F149" s="60"/>
      <c r="G149" s="60"/>
      <c r="H149" s="60"/>
      <c r="I149" s="60"/>
      <c r="J149" s="60"/>
      <c r="K149" s="61"/>
      <c r="L149" s="65"/>
      <c r="M149" s="61"/>
      <c r="N149" s="60"/>
      <c r="O149" s="128"/>
      <c r="P149" s="62"/>
    </row>
    <row r="150" spans="1:16">
      <c r="A150" s="62"/>
      <c r="B150" s="60"/>
      <c r="C150" s="60"/>
      <c r="D150" s="60"/>
      <c r="E150" s="60"/>
      <c r="F150" s="60"/>
      <c r="G150" s="60"/>
      <c r="H150" s="60"/>
      <c r="I150" s="60"/>
      <c r="J150" s="60"/>
      <c r="K150" s="61"/>
      <c r="L150" s="65"/>
      <c r="M150" s="61"/>
      <c r="N150" s="60"/>
      <c r="O150" s="128"/>
      <c r="P150" s="62"/>
    </row>
    <row r="151" spans="1:16">
      <c r="A151" s="62"/>
      <c r="B151" s="60"/>
      <c r="C151" s="60"/>
      <c r="D151" s="60"/>
      <c r="E151" s="122"/>
      <c r="F151" s="122"/>
      <c r="G151" s="122"/>
      <c r="H151" s="122"/>
      <c r="I151" s="60"/>
      <c r="J151" s="60"/>
      <c r="K151" s="61"/>
      <c r="L151" s="65"/>
      <c r="M151" s="61"/>
      <c r="N151" s="60"/>
      <c r="O151" s="128"/>
      <c r="P151" s="62"/>
    </row>
    <row r="152" spans="1:16">
      <c r="A152" s="62"/>
      <c r="B152" s="60"/>
      <c r="C152" s="60"/>
      <c r="D152" s="60"/>
      <c r="E152" s="122"/>
      <c r="F152" s="122"/>
      <c r="G152" s="122"/>
      <c r="H152" s="122"/>
      <c r="I152" s="60"/>
      <c r="J152" s="60"/>
      <c r="K152" s="61"/>
      <c r="L152" s="65"/>
      <c r="M152" s="61"/>
      <c r="N152" s="60"/>
      <c r="O152" s="128"/>
      <c r="P152" s="62"/>
    </row>
    <row r="153" spans="1:16">
      <c r="A153" s="62"/>
      <c r="B153" s="60"/>
      <c r="C153" s="60"/>
      <c r="D153" s="60"/>
      <c r="E153" s="122"/>
      <c r="F153" s="122"/>
      <c r="G153" s="122"/>
      <c r="H153" s="122"/>
      <c r="I153" s="60"/>
      <c r="J153" s="60"/>
      <c r="K153" s="61"/>
      <c r="L153" s="65"/>
      <c r="M153" s="61"/>
      <c r="N153" s="60"/>
      <c r="O153" s="128"/>
      <c r="P153" s="62"/>
    </row>
    <row r="154" spans="1:16">
      <c r="A154" s="62"/>
      <c r="B154" s="60"/>
      <c r="C154" s="60"/>
      <c r="D154" s="60"/>
      <c r="E154" s="122"/>
      <c r="F154" s="123"/>
      <c r="G154" s="124"/>
      <c r="H154" s="123"/>
      <c r="I154" s="114"/>
      <c r="J154" s="114"/>
      <c r="K154" s="61"/>
      <c r="L154" s="65"/>
      <c r="M154" s="61"/>
      <c r="N154" s="114"/>
      <c r="O154" s="128"/>
      <c r="P154" s="62"/>
    </row>
    <row r="155" spans="1:16">
      <c r="A155" s="62"/>
      <c r="B155" s="60"/>
      <c r="C155" s="60"/>
      <c r="D155" s="60"/>
      <c r="E155" s="60"/>
      <c r="F155" s="114"/>
      <c r="G155" s="114"/>
      <c r="H155" s="114"/>
      <c r="I155" s="114"/>
      <c r="J155" s="114"/>
      <c r="K155" s="61"/>
      <c r="L155" s="65"/>
      <c r="M155" s="61"/>
      <c r="N155" s="114"/>
      <c r="O155" s="128"/>
      <c r="P155" s="62"/>
    </row>
    <row r="156" spans="1:16">
      <c r="A156" s="62"/>
      <c r="B156" s="60"/>
      <c r="C156" s="60"/>
      <c r="D156" s="60"/>
      <c r="E156" s="60"/>
      <c r="F156" s="60"/>
      <c r="G156" s="60"/>
      <c r="H156" s="60"/>
      <c r="I156" s="60"/>
      <c r="J156" s="60"/>
      <c r="K156" s="61"/>
      <c r="L156" s="65"/>
      <c r="M156" s="61"/>
      <c r="N156" s="60"/>
      <c r="O156" s="128"/>
      <c r="P156" s="62"/>
    </row>
    <row r="157" spans="1:16">
      <c r="A157" s="62"/>
      <c r="B157" s="60"/>
      <c r="C157" s="60"/>
      <c r="D157" s="60"/>
      <c r="E157" s="60"/>
      <c r="F157" s="60"/>
      <c r="G157" s="60"/>
      <c r="H157" s="60"/>
      <c r="I157" s="60"/>
      <c r="J157" s="60"/>
      <c r="K157" s="61"/>
      <c r="L157" s="65"/>
      <c r="M157" s="61"/>
      <c r="N157" s="60"/>
      <c r="O157" s="128"/>
      <c r="P157" s="62"/>
    </row>
    <row r="158" spans="1:16">
      <c r="A158" s="62"/>
      <c r="B158" s="60"/>
      <c r="C158" s="60"/>
      <c r="D158" s="60"/>
      <c r="E158" s="60"/>
      <c r="F158" s="60"/>
      <c r="G158" s="60"/>
      <c r="H158" s="60"/>
      <c r="I158" s="60"/>
      <c r="J158" s="60"/>
      <c r="K158" s="61"/>
      <c r="L158" s="65"/>
      <c r="M158" s="61"/>
      <c r="N158" s="60"/>
      <c r="O158" s="128"/>
      <c r="P158" s="62"/>
    </row>
    <row r="159" spans="1:16">
      <c r="A159" s="62"/>
      <c r="B159" s="60"/>
      <c r="C159" s="60"/>
      <c r="D159" s="60"/>
      <c r="E159" s="60"/>
      <c r="F159" s="60"/>
      <c r="G159" s="60"/>
      <c r="H159" s="60"/>
      <c r="I159" s="60"/>
      <c r="J159" s="60"/>
      <c r="K159" s="61"/>
      <c r="L159" s="65"/>
      <c r="M159" s="61"/>
      <c r="N159" s="60"/>
      <c r="O159" s="128"/>
      <c r="P159" s="62"/>
    </row>
    <row r="160" spans="1:16">
      <c r="A160" s="62"/>
      <c r="B160" s="60"/>
      <c r="C160" s="60"/>
      <c r="D160" s="60"/>
      <c r="E160" s="60"/>
      <c r="F160" s="60"/>
      <c r="G160" s="60"/>
      <c r="H160" s="60"/>
      <c r="I160" s="60"/>
      <c r="J160" s="60"/>
      <c r="K160" s="61"/>
      <c r="L160" s="65"/>
      <c r="M160" s="61"/>
      <c r="N160" s="60"/>
      <c r="O160" s="128"/>
      <c r="P160" s="62"/>
    </row>
    <row r="161" spans="1:16">
      <c r="A161" s="62"/>
      <c r="B161" s="60"/>
      <c r="C161" s="60"/>
      <c r="D161" s="60"/>
      <c r="E161" s="60"/>
      <c r="F161" s="60"/>
      <c r="G161" s="60"/>
      <c r="H161" s="60"/>
      <c r="I161" s="60"/>
      <c r="J161" s="60"/>
      <c r="K161" s="61"/>
      <c r="L161" s="65"/>
      <c r="M161" s="61"/>
      <c r="N161" s="60"/>
      <c r="O161" s="128"/>
      <c r="P161" s="62"/>
    </row>
    <row r="162" spans="1:16">
      <c r="A162" s="62"/>
      <c r="B162" s="60"/>
      <c r="C162" s="60"/>
      <c r="D162" s="60"/>
      <c r="E162" s="60"/>
      <c r="F162" s="60"/>
      <c r="G162" s="60"/>
      <c r="H162" s="60"/>
      <c r="I162" s="60"/>
      <c r="J162" s="60"/>
      <c r="K162" s="61"/>
      <c r="L162" s="65"/>
      <c r="M162" s="61"/>
      <c r="N162" s="60"/>
      <c r="O162" s="128"/>
      <c r="P162" s="62"/>
    </row>
    <row r="163" spans="1:16">
      <c r="A163" s="62"/>
      <c r="B163" s="60"/>
      <c r="C163" s="60"/>
      <c r="D163" s="60"/>
      <c r="E163" s="60"/>
      <c r="F163" s="60"/>
      <c r="G163" s="60"/>
      <c r="H163" s="60"/>
      <c r="I163" s="60"/>
      <c r="J163" s="60"/>
      <c r="K163" s="61"/>
      <c r="L163" s="65"/>
      <c r="M163" s="61"/>
      <c r="N163" s="60"/>
      <c r="O163" s="128"/>
      <c r="P163" s="62"/>
    </row>
    <row r="164" spans="1:16">
      <c r="A164" s="62"/>
      <c r="B164" s="60"/>
      <c r="C164" s="60"/>
      <c r="D164" s="60"/>
      <c r="E164" s="60"/>
      <c r="F164" s="60"/>
      <c r="G164" s="60"/>
      <c r="H164" s="60"/>
      <c r="I164" s="60"/>
      <c r="J164" s="60"/>
      <c r="K164" s="61"/>
      <c r="L164" s="65"/>
      <c r="M164" s="61"/>
      <c r="N164" s="60"/>
      <c r="O164" s="128"/>
      <c r="P164" s="62"/>
    </row>
    <row r="165" spans="1:16">
      <c r="A165" s="62"/>
      <c r="B165" s="60"/>
      <c r="C165" s="60"/>
      <c r="D165" s="60"/>
      <c r="E165" s="60"/>
      <c r="F165" s="60"/>
      <c r="G165" s="60"/>
      <c r="H165" s="60"/>
      <c r="I165" s="60"/>
      <c r="J165" s="60"/>
      <c r="K165" s="61"/>
      <c r="L165" s="65"/>
      <c r="M165" s="61"/>
      <c r="N165" s="60"/>
      <c r="O165" s="128"/>
      <c r="P165" s="62"/>
    </row>
    <row r="166" spans="1:16">
      <c r="A166" s="62"/>
      <c r="B166" s="60"/>
      <c r="C166" s="60"/>
      <c r="D166" s="60"/>
      <c r="E166" s="60"/>
      <c r="F166" s="60"/>
      <c r="G166" s="60"/>
      <c r="H166" s="60"/>
      <c r="I166" s="60"/>
      <c r="J166" s="60"/>
      <c r="K166" s="61"/>
      <c r="L166" s="65"/>
      <c r="M166" s="61"/>
      <c r="N166" s="60"/>
      <c r="O166" s="128"/>
      <c r="P166" s="62"/>
    </row>
    <row r="167" spans="1:16">
      <c r="A167" s="62"/>
      <c r="B167" s="60"/>
      <c r="C167" s="60"/>
      <c r="D167" s="60"/>
      <c r="E167" s="60"/>
      <c r="F167" s="60"/>
      <c r="G167" s="60"/>
      <c r="H167" s="60"/>
      <c r="I167" s="60"/>
      <c r="J167" s="60"/>
      <c r="K167" s="61"/>
      <c r="L167" s="65"/>
      <c r="M167" s="61"/>
      <c r="N167" s="60"/>
      <c r="O167" s="128"/>
      <c r="P167" s="62"/>
    </row>
    <row r="168" spans="1:16">
      <c r="A168" s="62"/>
      <c r="B168" s="60"/>
      <c r="C168" s="60"/>
      <c r="D168" s="60"/>
      <c r="E168" s="60"/>
      <c r="F168" s="60"/>
      <c r="G168" s="60"/>
      <c r="H168" s="60"/>
      <c r="I168" s="60"/>
      <c r="J168" s="60"/>
      <c r="K168" s="61"/>
      <c r="L168" s="65"/>
      <c r="M168" s="61"/>
      <c r="N168" s="60"/>
      <c r="O168" s="128"/>
      <c r="P168" s="62"/>
    </row>
    <row r="169" spans="1:16">
      <c r="A169" s="62"/>
      <c r="B169" s="60"/>
      <c r="C169" s="60"/>
      <c r="D169" s="60"/>
      <c r="E169" s="60"/>
      <c r="F169" s="60"/>
      <c r="G169" s="60"/>
      <c r="H169" s="60"/>
      <c r="I169" s="60"/>
      <c r="J169" s="60"/>
      <c r="K169" s="61"/>
      <c r="L169" s="65"/>
      <c r="M169" s="61"/>
      <c r="N169" s="60"/>
      <c r="O169" s="128"/>
      <c r="P169" s="62"/>
    </row>
    <row r="170" spans="1:16">
      <c r="A170" s="62"/>
      <c r="B170" s="60"/>
      <c r="C170" s="60"/>
      <c r="D170" s="60"/>
      <c r="E170" s="60"/>
      <c r="F170" s="60"/>
      <c r="G170" s="60"/>
      <c r="H170" s="60"/>
      <c r="I170" s="60"/>
      <c r="J170" s="60"/>
      <c r="K170" s="61"/>
      <c r="L170" s="65"/>
      <c r="M170" s="61"/>
      <c r="N170" s="60"/>
      <c r="O170" s="128"/>
      <c r="P170" s="62"/>
    </row>
    <row r="171" spans="1:16">
      <c r="A171" s="62"/>
      <c r="B171" s="60"/>
      <c r="C171" s="60"/>
      <c r="D171" s="60"/>
      <c r="E171" s="60"/>
      <c r="F171" s="60"/>
      <c r="G171" s="60"/>
      <c r="H171" s="60"/>
      <c r="I171" s="60"/>
      <c r="J171" s="60"/>
      <c r="K171" s="61"/>
      <c r="L171" s="65"/>
      <c r="M171" s="61"/>
      <c r="N171" s="60"/>
      <c r="O171" s="128"/>
      <c r="P171" s="62"/>
    </row>
    <row r="172" spans="1:16">
      <c r="A172" s="62"/>
      <c r="B172" s="60"/>
      <c r="C172" s="60"/>
      <c r="D172" s="60"/>
      <c r="E172" s="60"/>
      <c r="F172" s="60"/>
      <c r="G172" s="60"/>
      <c r="H172" s="60"/>
      <c r="I172" s="60"/>
      <c r="J172" s="60"/>
      <c r="K172" s="61"/>
      <c r="L172" s="65"/>
      <c r="M172" s="61"/>
      <c r="N172" s="60"/>
      <c r="O172" s="128"/>
      <c r="P172" s="62"/>
    </row>
    <row r="173" spans="1:16">
      <c r="A173" s="62"/>
      <c r="B173" s="60"/>
      <c r="C173" s="60"/>
      <c r="D173" s="60"/>
      <c r="E173" s="60"/>
      <c r="F173" s="60"/>
      <c r="G173" s="60"/>
      <c r="H173" s="60"/>
      <c r="I173" s="60"/>
      <c r="J173" s="60"/>
      <c r="K173" s="61"/>
      <c r="L173" s="65"/>
      <c r="M173" s="61"/>
      <c r="N173" s="60"/>
      <c r="O173" s="128"/>
      <c r="P173" s="62"/>
    </row>
    <row r="174" spans="1:16">
      <c r="A174" s="62"/>
      <c r="B174" s="60"/>
      <c r="C174" s="60"/>
      <c r="D174" s="60"/>
      <c r="E174" s="60"/>
      <c r="F174" s="60"/>
      <c r="G174" s="60"/>
      <c r="H174" s="60"/>
      <c r="I174" s="60"/>
      <c r="J174" s="60"/>
      <c r="K174" s="61"/>
      <c r="L174" s="65"/>
      <c r="M174" s="61"/>
      <c r="N174" s="60"/>
      <c r="O174" s="128"/>
      <c r="P174" s="62"/>
    </row>
    <row r="175" spans="1:16">
      <c r="A175" s="62"/>
      <c r="B175" s="60"/>
      <c r="C175" s="60"/>
      <c r="D175" s="60"/>
      <c r="E175" s="60"/>
      <c r="F175" s="60"/>
      <c r="G175" s="60"/>
      <c r="H175" s="60"/>
      <c r="I175" s="60"/>
      <c r="J175" s="60"/>
      <c r="K175" s="61"/>
      <c r="L175" s="65"/>
      <c r="M175" s="61"/>
      <c r="N175" s="60"/>
      <c r="O175" s="128"/>
      <c r="P175" s="62"/>
    </row>
    <row r="176" spans="1:16">
      <c r="A176" s="62"/>
      <c r="B176" s="62"/>
      <c r="C176" s="62"/>
      <c r="D176" s="62"/>
      <c r="E176" s="62"/>
      <c r="F176" s="62"/>
      <c r="G176" s="62"/>
      <c r="H176" s="62"/>
      <c r="I176" s="62"/>
      <c r="J176" s="62"/>
      <c r="K176" s="62"/>
      <c r="L176" s="126"/>
      <c r="M176" s="62"/>
      <c r="N176" s="62"/>
      <c r="O176" s="62"/>
      <c r="P176" s="62"/>
    </row>
    <row r="177" spans="1:16">
      <c r="A177" s="62"/>
      <c r="B177" s="62"/>
      <c r="C177" s="62"/>
      <c r="D177" s="62"/>
      <c r="E177" s="62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</row>
    <row r="178" spans="1:16">
      <c r="A178" s="62"/>
      <c r="B178" s="62"/>
      <c r="C178" s="62"/>
      <c r="D178" s="62"/>
      <c r="E178" s="62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</row>
    <row r="179" spans="1:16">
      <c r="A179" s="62"/>
      <c r="B179" s="62"/>
      <c r="C179" s="62"/>
      <c r="D179" s="62"/>
      <c r="E179" s="62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</row>
    <row r="180" spans="1:16">
      <c r="A180" s="62"/>
      <c r="B180" s="60"/>
      <c r="C180" s="60"/>
      <c r="D180" s="60"/>
      <c r="E180" s="60"/>
      <c r="F180" s="60"/>
      <c r="G180" s="60"/>
      <c r="H180" s="60"/>
      <c r="I180" s="60"/>
      <c r="J180" s="60"/>
      <c r="K180" s="60"/>
      <c r="L180" s="61"/>
      <c r="M180" s="61"/>
      <c r="N180" s="60"/>
      <c r="O180" s="120"/>
      <c r="P180" s="62"/>
    </row>
    <row r="181" spans="1:16">
      <c r="A181" s="62"/>
      <c r="B181" s="60"/>
      <c r="C181" s="60"/>
      <c r="D181" s="60"/>
      <c r="E181" s="60"/>
      <c r="F181" s="60"/>
      <c r="G181" s="60"/>
      <c r="H181" s="60"/>
      <c r="I181" s="60"/>
      <c r="J181" s="60"/>
      <c r="K181" s="60"/>
      <c r="L181" s="61"/>
      <c r="M181" s="61"/>
      <c r="N181" s="60"/>
      <c r="O181" s="120"/>
      <c r="P181" s="62"/>
    </row>
    <row r="182" spans="1:16">
      <c r="A182" s="62"/>
      <c r="B182" s="60"/>
      <c r="C182" s="60"/>
      <c r="D182" s="60"/>
      <c r="E182" s="60"/>
      <c r="F182" s="60"/>
      <c r="G182" s="60"/>
      <c r="H182" s="60"/>
      <c r="I182" s="60"/>
      <c r="J182" s="60"/>
      <c r="K182" s="60"/>
      <c r="L182" s="61"/>
      <c r="M182" s="61"/>
      <c r="N182" s="60"/>
      <c r="O182" s="120"/>
      <c r="P182" s="62"/>
    </row>
    <row r="183" spans="1:16">
      <c r="A183" s="62"/>
      <c r="B183" s="60"/>
      <c r="C183" s="60"/>
      <c r="D183" s="60"/>
      <c r="E183" s="60"/>
      <c r="F183" s="60"/>
      <c r="G183" s="60"/>
      <c r="H183" s="60"/>
      <c r="I183" s="60"/>
      <c r="J183" s="60"/>
      <c r="K183" s="61"/>
      <c r="L183" s="65"/>
      <c r="M183" s="61"/>
      <c r="N183" s="60"/>
      <c r="O183" s="120"/>
      <c r="P183" s="62"/>
    </row>
    <row r="184" spans="1:16">
      <c r="A184" s="62"/>
      <c r="B184" s="60"/>
      <c r="C184" s="60"/>
      <c r="D184" s="60"/>
      <c r="E184" s="60"/>
      <c r="F184" s="60"/>
      <c r="G184" s="60"/>
      <c r="H184" s="60"/>
      <c r="I184" s="60"/>
      <c r="J184" s="60"/>
      <c r="K184" s="61"/>
      <c r="L184" s="65"/>
      <c r="M184" s="61"/>
      <c r="N184" s="60"/>
      <c r="O184" s="120"/>
      <c r="P184" s="62"/>
    </row>
    <row r="185" spans="1:16">
      <c r="A185" s="62"/>
      <c r="B185" s="60"/>
      <c r="C185" s="60"/>
      <c r="D185" s="60"/>
      <c r="E185" s="60"/>
      <c r="F185" s="60"/>
      <c r="G185" s="60"/>
      <c r="H185" s="60"/>
      <c r="I185" s="60"/>
      <c r="J185" s="60"/>
      <c r="K185" s="61"/>
      <c r="L185" s="65"/>
      <c r="M185" s="61"/>
      <c r="N185" s="60"/>
      <c r="O185" s="120"/>
      <c r="P185" s="62"/>
    </row>
    <row r="186" spans="1:16">
      <c r="A186" s="62"/>
      <c r="B186" s="60"/>
      <c r="C186" s="60"/>
      <c r="D186" s="60"/>
      <c r="E186" s="60"/>
      <c r="F186" s="60"/>
      <c r="G186" s="60"/>
      <c r="H186" s="60"/>
      <c r="I186" s="60"/>
      <c r="J186" s="60"/>
      <c r="K186" s="61"/>
      <c r="L186" s="65"/>
      <c r="M186" s="61"/>
      <c r="N186" s="60"/>
      <c r="O186" s="120"/>
      <c r="P186" s="62"/>
    </row>
    <row r="187" spans="1:16">
      <c r="A187" s="62"/>
      <c r="B187" s="62"/>
      <c r="C187" s="62"/>
      <c r="D187" s="62"/>
      <c r="E187" s="62"/>
      <c r="F187" s="62"/>
      <c r="G187" s="62"/>
      <c r="H187" s="62"/>
      <c r="I187" s="62"/>
      <c r="J187" s="62"/>
      <c r="K187" s="62"/>
      <c r="L187" s="126"/>
      <c r="M187" s="62"/>
      <c r="N187" s="62"/>
      <c r="O187" s="62"/>
      <c r="P187" s="62"/>
    </row>
    <row r="188" spans="1:16">
      <c r="A188" s="62"/>
      <c r="B188" s="62"/>
      <c r="C188" s="62"/>
      <c r="D188" s="62"/>
      <c r="E188" s="62"/>
      <c r="F188" s="62"/>
      <c r="G188" s="62"/>
      <c r="H188" s="62"/>
      <c r="I188" s="62"/>
      <c r="J188" s="62"/>
      <c r="K188" s="62"/>
      <c r="L188" s="62"/>
      <c r="M188" s="66"/>
      <c r="N188" s="62"/>
      <c r="O188" s="62"/>
      <c r="P188" s="62"/>
    </row>
    <row r="189" spans="1:16">
      <c r="A189" s="62"/>
      <c r="B189" s="62"/>
      <c r="C189" s="62"/>
      <c r="D189" s="62"/>
      <c r="E189" s="62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</row>
    <row r="190" spans="1:16">
      <c r="A190" s="62"/>
      <c r="B190" s="62"/>
      <c r="C190" s="62"/>
      <c r="D190" s="62"/>
      <c r="E190" s="62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</row>
    <row r="191" spans="1:16">
      <c r="A191" s="62"/>
      <c r="B191" s="60"/>
      <c r="C191" s="60"/>
      <c r="D191" s="60"/>
      <c r="E191" s="60"/>
      <c r="F191" s="60"/>
      <c r="G191" s="121"/>
      <c r="H191" s="60"/>
      <c r="I191" s="60"/>
      <c r="J191" s="60"/>
      <c r="K191" s="61"/>
      <c r="L191" s="65"/>
      <c r="M191" s="61"/>
      <c r="N191" s="60"/>
      <c r="O191" s="121"/>
      <c r="P191" s="62"/>
    </row>
    <row r="192" spans="1:16">
      <c r="A192" s="62"/>
      <c r="B192" s="118"/>
      <c r="C192" s="118"/>
      <c r="D192" s="60"/>
      <c r="E192" s="60"/>
      <c r="F192" s="60"/>
      <c r="G192" s="121"/>
      <c r="H192" s="60"/>
      <c r="I192" s="60"/>
      <c r="J192" s="60"/>
      <c r="K192" s="61"/>
      <c r="L192" s="65"/>
      <c r="M192" s="61"/>
      <c r="N192" s="60"/>
      <c r="O192" s="121"/>
      <c r="P192" s="62"/>
    </row>
    <row r="193" spans="1:16">
      <c r="A193" s="62"/>
      <c r="B193" s="118"/>
      <c r="C193" s="118"/>
      <c r="D193" s="60"/>
      <c r="E193" s="60"/>
      <c r="F193" s="60"/>
      <c r="G193" s="121"/>
      <c r="H193" s="60"/>
      <c r="I193" s="60"/>
      <c r="J193" s="60"/>
      <c r="K193" s="61"/>
      <c r="L193" s="65"/>
      <c r="M193" s="61"/>
      <c r="N193" s="60"/>
      <c r="O193" s="121"/>
      <c r="P193" s="62"/>
    </row>
    <row r="194" spans="1:16">
      <c r="A194" s="62"/>
      <c r="B194" s="118"/>
      <c r="C194" s="118"/>
      <c r="D194" s="60"/>
      <c r="E194" s="60"/>
      <c r="F194" s="60"/>
      <c r="G194" s="121"/>
      <c r="H194" s="60"/>
      <c r="I194" s="60"/>
      <c r="J194" s="60"/>
      <c r="K194" s="61"/>
      <c r="L194" s="65"/>
      <c r="M194" s="61"/>
      <c r="N194" s="60"/>
      <c r="O194" s="121"/>
      <c r="P194" s="62"/>
    </row>
    <row r="195" spans="1:16">
      <c r="A195" s="62"/>
      <c r="B195" s="118"/>
      <c r="C195" s="118"/>
      <c r="D195" s="60"/>
      <c r="E195" s="60"/>
      <c r="F195" s="60"/>
      <c r="G195" s="121"/>
      <c r="H195" s="60"/>
      <c r="I195" s="60"/>
      <c r="J195" s="60"/>
      <c r="K195" s="61"/>
      <c r="L195" s="65"/>
      <c r="M195" s="61"/>
      <c r="N195" s="60"/>
      <c r="O195" s="121"/>
      <c r="P195" s="62"/>
    </row>
    <row r="196" spans="1:16">
      <c r="A196" s="62"/>
      <c r="B196" s="118"/>
      <c r="C196" s="118"/>
      <c r="D196" s="60"/>
      <c r="E196" s="60"/>
      <c r="F196" s="60"/>
      <c r="G196" s="121"/>
      <c r="H196" s="60"/>
      <c r="I196" s="60"/>
      <c r="J196" s="60"/>
      <c r="K196" s="61"/>
      <c r="L196" s="65"/>
      <c r="M196" s="61"/>
      <c r="N196" s="60"/>
      <c r="O196" s="121"/>
      <c r="P196" s="62"/>
    </row>
    <row r="197" spans="1:16">
      <c r="A197" s="62"/>
      <c r="B197" s="60"/>
      <c r="C197" s="60"/>
      <c r="D197" s="60"/>
      <c r="E197" s="60"/>
      <c r="F197" s="60"/>
      <c r="G197" s="121"/>
      <c r="H197" s="60"/>
      <c r="I197" s="60"/>
      <c r="J197" s="60"/>
      <c r="K197" s="61"/>
      <c r="L197" s="65"/>
      <c r="M197" s="61"/>
      <c r="N197" s="60"/>
      <c r="O197" s="121"/>
      <c r="P197" s="62"/>
    </row>
    <row r="198" spans="1:16">
      <c r="A198" s="62"/>
      <c r="B198" s="62"/>
      <c r="C198" s="62"/>
      <c r="D198" s="62"/>
      <c r="E198" s="62"/>
      <c r="F198" s="62"/>
      <c r="G198" s="62"/>
      <c r="H198" s="62"/>
      <c r="I198" s="62"/>
      <c r="J198" s="62"/>
      <c r="K198" s="62"/>
      <c r="L198" s="126"/>
      <c r="M198" s="62"/>
      <c r="N198" s="62"/>
      <c r="O198" s="62"/>
      <c r="P198" s="62"/>
    </row>
    <row r="199" spans="1:16">
      <c r="A199" s="62"/>
      <c r="B199" s="62"/>
      <c r="C199" s="62"/>
      <c r="D199" s="62"/>
      <c r="E199" s="62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</row>
    <row r="200" spans="1:16">
      <c r="A200" s="62"/>
      <c r="B200" s="62"/>
      <c r="C200" s="62"/>
      <c r="D200" s="62"/>
      <c r="E200" s="62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</row>
    <row r="201" spans="1:16">
      <c r="A201" s="62"/>
      <c r="B201" s="60"/>
      <c r="C201" s="60"/>
      <c r="D201" s="60"/>
      <c r="E201" s="60"/>
      <c r="F201" s="60"/>
      <c r="G201" s="121"/>
      <c r="H201" s="60"/>
      <c r="I201" s="60"/>
      <c r="J201" s="60"/>
      <c r="K201" s="61"/>
      <c r="L201" s="65"/>
      <c r="M201" s="61"/>
      <c r="N201" s="60"/>
      <c r="O201" s="121"/>
      <c r="P201" s="120"/>
    </row>
    <row r="202" spans="1:16">
      <c r="A202" s="62"/>
      <c r="B202" s="60"/>
      <c r="C202" s="60"/>
      <c r="D202" s="60"/>
      <c r="E202" s="60"/>
      <c r="F202" s="60"/>
      <c r="G202" s="121"/>
      <c r="H202" s="60"/>
      <c r="I202" s="60"/>
      <c r="J202" s="60"/>
      <c r="K202" s="61"/>
      <c r="L202" s="65"/>
      <c r="M202" s="61"/>
      <c r="N202" s="60"/>
      <c r="O202" s="121"/>
      <c r="P202" s="120"/>
    </row>
    <row r="203" spans="1:16">
      <c r="A203" s="62"/>
      <c r="B203" s="60"/>
      <c r="C203" s="60"/>
      <c r="D203" s="60"/>
      <c r="E203" s="60"/>
      <c r="F203" s="60"/>
      <c r="G203" s="121"/>
      <c r="H203" s="60"/>
      <c r="I203" s="60"/>
      <c r="J203" s="60"/>
      <c r="K203" s="61"/>
      <c r="L203" s="65"/>
      <c r="M203" s="61"/>
      <c r="N203" s="60"/>
      <c r="O203" s="121"/>
      <c r="P203" s="120"/>
    </row>
    <row r="204" spans="1:16">
      <c r="A204" s="62"/>
      <c r="B204" s="60"/>
      <c r="C204" s="60"/>
      <c r="D204" s="60"/>
      <c r="E204" s="60"/>
      <c r="F204" s="60"/>
      <c r="G204" s="121"/>
      <c r="H204" s="60"/>
      <c r="I204" s="60"/>
      <c r="J204" s="60"/>
      <c r="K204" s="61"/>
      <c r="L204" s="65"/>
      <c r="M204" s="61"/>
      <c r="N204" s="60"/>
      <c r="O204" s="121"/>
      <c r="P204" s="120"/>
    </row>
    <row r="205" spans="1:16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126"/>
      <c r="M205" s="66"/>
      <c r="N205" s="62"/>
      <c r="O205" s="62"/>
      <c r="P205" s="62"/>
    </row>
    <row r="206" spans="1:16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</row>
    <row r="207" spans="1:16">
      <c r="A207" s="62"/>
      <c r="B207" s="62"/>
      <c r="C207" s="62"/>
      <c r="D207" s="62"/>
      <c r="E207" s="62"/>
      <c r="F207" s="62"/>
      <c r="G207" s="62"/>
      <c r="H207" s="62"/>
      <c r="I207" s="62"/>
      <c r="J207" s="62"/>
      <c r="K207" s="62"/>
      <c r="L207" s="125"/>
      <c r="M207" s="62"/>
      <c r="N207" s="62"/>
      <c r="O207" s="62"/>
      <c r="P207" s="62"/>
    </row>
  </sheetData>
  <mergeCells count="16">
    <mergeCell ref="A124:A127"/>
    <mergeCell ref="A91:A94"/>
    <mergeCell ref="A105:A106"/>
    <mergeCell ref="A108:A113"/>
    <mergeCell ref="A114:A115"/>
    <mergeCell ref="A116:A119"/>
    <mergeCell ref="A120:A123"/>
    <mergeCell ref="A18:A20"/>
    <mergeCell ref="A86:A88"/>
    <mergeCell ref="A24:A27"/>
    <mergeCell ref="A28:A31"/>
    <mergeCell ref="A32:A41"/>
    <mergeCell ref="A42:A55"/>
    <mergeCell ref="A56:A66"/>
    <mergeCell ref="A67:A75"/>
    <mergeCell ref="A76:A85"/>
  </mergeCells>
  <pageMargins left="0.7" right="0.7" top="0.75" bottom="0.75" header="0.3" footer="0.3"/>
  <pageSetup paperSize="9" orientation="portrait" verticalDpi="0" r:id="rId1"/>
</worksheet>
</file>

<file path=xl/worksheets/sheet49.xml><?xml version="1.0" encoding="utf-8"?>
<worksheet xmlns="http://schemas.openxmlformats.org/spreadsheetml/2006/main" xmlns:r="http://schemas.openxmlformats.org/officeDocument/2006/relationships">
  <dimension ref="A5:T193"/>
  <sheetViews>
    <sheetView workbookViewId="0">
      <selection activeCell="B13" sqref="B13"/>
    </sheetView>
  </sheetViews>
  <sheetFormatPr defaultRowHeight="14.4"/>
  <cols>
    <col min="1" max="1" width="8.88671875" style="1"/>
    <col min="2" max="2" width="21.6640625" style="1" customWidth="1"/>
    <col min="3" max="3" width="8.88671875" style="1"/>
    <col min="4" max="4" width="5.44140625" style="1" customWidth="1"/>
    <col min="5" max="5" width="12" style="1" customWidth="1"/>
    <col min="6" max="6" width="7.33203125" style="1" customWidth="1"/>
    <col min="7" max="7" width="6.33203125" style="1" customWidth="1"/>
    <col min="8" max="8" width="7.21875" style="1" customWidth="1"/>
    <col min="9" max="9" width="7.33203125" style="1" customWidth="1"/>
    <col min="10" max="10" width="6.44140625" style="1" customWidth="1"/>
    <col min="11" max="11" width="8.88671875" style="1"/>
    <col min="12" max="12" width="6.88671875" style="1" customWidth="1"/>
    <col min="13" max="13" width="7.33203125" style="1" customWidth="1"/>
    <col min="14" max="16384" width="8.88671875" style="1"/>
  </cols>
  <sheetData>
    <row r="5" spans="1:20" ht="20.399999999999999">
      <c r="A5" s="58" t="s">
        <v>3</v>
      </c>
      <c r="B5" s="58" t="s">
        <v>4</v>
      </c>
      <c r="C5" s="58" t="s">
        <v>5</v>
      </c>
      <c r="D5" s="58" t="s">
        <v>6</v>
      </c>
      <c r="E5" s="58" t="s">
        <v>37</v>
      </c>
      <c r="F5" s="58" t="s">
        <v>7</v>
      </c>
      <c r="G5" s="58" t="s">
        <v>8</v>
      </c>
      <c r="H5" s="58" t="s">
        <v>9</v>
      </c>
      <c r="I5" s="58" t="s">
        <v>10</v>
      </c>
      <c r="J5" s="59" t="s">
        <v>18</v>
      </c>
      <c r="K5" s="59" t="s">
        <v>17</v>
      </c>
      <c r="L5" s="58" t="s">
        <v>11</v>
      </c>
      <c r="M5" s="58" t="s">
        <v>36</v>
      </c>
      <c r="N5" s="58" t="s">
        <v>12</v>
      </c>
      <c r="O5" s="58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0">
      <c r="A6" s="62"/>
      <c r="B6" s="176"/>
      <c r="C6" s="176"/>
      <c r="D6" s="176"/>
      <c r="E6" s="176"/>
      <c r="F6" s="176"/>
      <c r="G6" s="176"/>
      <c r="H6" s="176"/>
      <c r="I6" s="176"/>
      <c r="J6" s="176"/>
      <c r="K6" s="176"/>
      <c r="L6" s="61"/>
      <c r="M6" s="61"/>
      <c r="N6" s="176"/>
      <c r="O6" s="120"/>
      <c r="P6" s="62"/>
    </row>
    <row r="7" spans="1:20">
      <c r="A7" s="63" t="s">
        <v>1523</v>
      </c>
      <c r="B7" s="42" t="s">
        <v>464</v>
      </c>
      <c r="C7" s="42" t="s">
        <v>1524</v>
      </c>
      <c r="D7" s="42" t="s">
        <v>16</v>
      </c>
      <c r="E7" s="42" t="s">
        <v>1453</v>
      </c>
      <c r="F7" s="42">
        <v>1264</v>
      </c>
      <c r="G7" s="42"/>
      <c r="H7" s="42">
        <v>15080</v>
      </c>
      <c r="I7" s="42">
        <v>265</v>
      </c>
      <c r="J7" s="42">
        <v>0.13</v>
      </c>
      <c r="K7" s="42">
        <v>35</v>
      </c>
      <c r="L7" s="43">
        <f t="shared" ref="L7" si="0">H7-K7</f>
        <v>15045</v>
      </c>
      <c r="M7" s="43"/>
      <c r="N7" s="43">
        <f t="shared" ref="N7" si="1">L7-M7</f>
        <v>15045</v>
      </c>
      <c r="O7" s="43">
        <f t="shared" ref="O7" si="2">H7/1000*70</f>
        <v>1055.5999999999999</v>
      </c>
      <c r="P7" s="42">
        <v>0</v>
      </c>
      <c r="Q7" s="42"/>
      <c r="R7" s="42">
        <f t="shared" ref="R7" si="3">L7*Q7</f>
        <v>0</v>
      </c>
    </row>
    <row r="8" spans="1:20">
      <c r="A8" s="63"/>
      <c r="B8" s="176"/>
      <c r="C8" s="176"/>
      <c r="D8" s="176"/>
      <c r="E8" s="176"/>
      <c r="F8" s="176"/>
      <c r="G8" s="176"/>
      <c r="H8" s="176"/>
      <c r="I8" s="176"/>
      <c r="J8" s="176"/>
      <c r="K8" s="176"/>
      <c r="L8" s="61"/>
      <c r="M8" s="61"/>
      <c r="N8" s="176"/>
      <c r="O8" s="62"/>
      <c r="P8" s="62"/>
    </row>
    <row r="9" spans="1:20">
      <c r="A9" s="63"/>
      <c r="B9" s="176"/>
      <c r="C9" s="176"/>
      <c r="D9" s="176"/>
      <c r="E9" s="176"/>
      <c r="F9" s="176"/>
      <c r="G9" s="176"/>
      <c r="H9" s="176"/>
      <c r="I9" s="176"/>
      <c r="J9" s="176"/>
      <c r="K9" s="176"/>
      <c r="L9" s="61"/>
      <c r="M9" s="61"/>
      <c r="N9" s="176"/>
      <c r="O9" s="62"/>
      <c r="P9" s="62"/>
    </row>
    <row r="10" spans="1:20">
      <c r="A10" s="69"/>
      <c r="B10" s="176"/>
      <c r="C10" s="176"/>
      <c r="D10" s="176"/>
      <c r="E10" s="176"/>
      <c r="F10" s="176"/>
      <c r="G10" s="176"/>
      <c r="H10" s="176"/>
      <c r="I10" s="176"/>
      <c r="J10" s="176"/>
      <c r="K10" s="61"/>
      <c r="L10" s="61"/>
      <c r="M10" s="61"/>
      <c r="N10" s="176"/>
      <c r="O10" s="62"/>
      <c r="P10" s="62"/>
    </row>
    <row r="11" spans="1:20">
      <c r="A11" s="69" t="s">
        <v>2403</v>
      </c>
      <c r="B11" s="42" t="s">
        <v>2404</v>
      </c>
      <c r="C11" s="42" t="s">
        <v>20</v>
      </c>
      <c r="D11" s="42" t="s">
        <v>16</v>
      </c>
      <c r="E11" s="42" t="s">
        <v>1868</v>
      </c>
      <c r="F11" s="42">
        <v>2024</v>
      </c>
      <c r="G11" s="42"/>
      <c r="H11" s="42">
        <v>15030</v>
      </c>
      <c r="I11" s="42">
        <v>270</v>
      </c>
      <c r="J11" s="42">
        <v>0.13</v>
      </c>
      <c r="K11" s="43">
        <f t="shared" ref="K11" si="4">I11*J11</f>
        <v>35.1</v>
      </c>
      <c r="L11" s="43">
        <f t="shared" ref="L11" si="5">H11-K11</f>
        <v>14994.9</v>
      </c>
      <c r="M11" s="43"/>
      <c r="N11" s="43">
        <f t="shared" ref="N11" si="6">L11-M11</f>
        <v>14994.9</v>
      </c>
      <c r="O11" s="43">
        <f t="shared" ref="O11" si="7">H11/1000*70</f>
        <v>1052.0999999999999</v>
      </c>
      <c r="P11" s="42">
        <v>0</v>
      </c>
      <c r="Q11" s="42"/>
      <c r="R11" s="42">
        <f t="shared" ref="R11" si="8">L11*Q11</f>
        <v>0</v>
      </c>
    </row>
    <row r="12" spans="1:20">
      <c r="A12" s="1" t="s">
        <v>2421</v>
      </c>
      <c r="B12" s="42" t="s">
        <v>2404</v>
      </c>
      <c r="C12" s="42" t="s">
        <v>20</v>
      </c>
      <c r="D12" s="42" t="s">
        <v>16</v>
      </c>
      <c r="E12" s="42" t="s">
        <v>2423</v>
      </c>
      <c r="F12" s="42">
        <v>2036</v>
      </c>
      <c r="G12" s="42"/>
      <c r="H12" s="42">
        <v>15150</v>
      </c>
      <c r="I12" s="42">
        <v>306</v>
      </c>
      <c r="J12" s="42">
        <v>0.13</v>
      </c>
      <c r="K12" s="43">
        <f>I12*J12</f>
        <v>39.78</v>
      </c>
      <c r="L12" s="43">
        <f>H12-K12</f>
        <v>15110.22</v>
      </c>
      <c r="M12" s="43"/>
      <c r="N12" s="43">
        <f>L12-M12</f>
        <v>15110.22</v>
      </c>
      <c r="O12" s="43">
        <f>H12/1000*70</f>
        <v>1060.5</v>
      </c>
      <c r="P12" s="42">
        <v>0</v>
      </c>
      <c r="Q12" s="42">
        <v>11.5</v>
      </c>
      <c r="R12" s="42">
        <f>L12*Q12</f>
        <v>173767.53</v>
      </c>
    </row>
    <row r="13" spans="1:20">
      <c r="A13" s="69"/>
      <c r="B13" s="176"/>
      <c r="C13" s="176"/>
      <c r="D13" s="176"/>
      <c r="E13" s="176"/>
      <c r="F13" s="176"/>
      <c r="G13" s="176"/>
      <c r="H13" s="176"/>
      <c r="I13" s="176"/>
      <c r="J13" s="176"/>
      <c r="K13" s="61"/>
      <c r="L13" s="61"/>
      <c r="M13" s="61"/>
      <c r="N13" s="176"/>
      <c r="O13" s="62"/>
      <c r="P13" s="62"/>
    </row>
    <row r="14" spans="1:20">
      <c r="A14" s="63"/>
      <c r="B14" s="176"/>
      <c r="C14" s="176"/>
      <c r="D14" s="176"/>
      <c r="E14" s="176"/>
      <c r="F14" s="176"/>
      <c r="G14" s="176"/>
      <c r="H14" s="176"/>
      <c r="I14" s="176"/>
      <c r="J14" s="176"/>
      <c r="K14" s="61"/>
      <c r="L14" s="65"/>
      <c r="M14" s="61"/>
      <c r="N14" s="176"/>
      <c r="O14" s="62"/>
      <c r="P14" s="62"/>
    </row>
    <row r="15" spans="1:20">
      <c r="A15" s="63"/>
      <c r="B15" s="176"/>
      <c r="C15" s="176"/>
      <c r="D15" s="176"/>
      <c r="E15" s="176"/>
      <c r="F15" s="176"/>
      <c r="G15" s="176"/>
      <c r="H15" s="176"/>
      <c r="I15" s="176"/>
      <c r="J15" s="176"/>
      <c r="K15" s="61"/>
      <c r="L15" s="65"/>
      <c r="M15" s="61"/>
      <c r="N15" s="176"/>
      <c r="O15" s="62"/>
      <c r="P15" s="62"/>
    </row>
    <row r="16" spans="1:20">
      <c r="A16" s="63"/>
      <c r="B16" s="176"/>
      <c r="C16" s="176"/>
      <c r="D16" s="176"/>
      <c r="E16" s="176"/>
      <c r="F16" s="176"/>
      <c r="G16" s="176"/>
      <c r="H16" s="176"/>
      <c r="I16" s="176"/>
      <c r="J16" s="176"/>
      <c r="K16" s="61"/>
      <c r="L16" s="65"/>
      <c r="M16" s="61"/>
      <c r="N16" s="176"/>
      <c r="O16" s="62"/>
      <c r="P16" s="62"/>
    </row>
    <row r="17" spans="1:16">
      <c r="A17" s="63"/>
      <c r="B17" s="176"/>
      <c r="C17" s="176"/>
      <c r="D17" s="176"/>
      <c r="E17" s="176"/>
      <c r="F17" s="176"/>
      <c r="G17" s="176"/>
      <c r="H17" s="176"/>
      <c r="I17" s="176"/>
      <c r="J17" s="176"/>
      <c r="K17" s="61"/>
      <c r="L17" s="65"/>
      <c r="M17" s="61"/>
      <c r="N17" s="176"/>
      <c r="O17" s="62"/>
      <c r="P17" s="62"/>
    </row>
    <row r="18" spans="1:16">
      <c r="A18" s="63"/>
      <c r="B18" s="176"/>
      <c r="C18" s="176"/>
      <c r="D18" s="176"/>
      <c r="E18" s="176"/>
      <c r="F18" s="176"/>
      <c r="G18" s="176"/>
      <c r="H18" s="176"/>
      <c r="I18" s="176"/>
      <c r="J18" s="176"/>
      <c r="K18" s="61"/>
      <c r="L18" s="65"/>
      <c r="M18" s="61"/>
      <c r="N18" s="176"/>
      <c r="O18" s="62"/>
      <c r="P18" s="62"/>
    </row>
    <row r="19" spans="1:16">
      <c r="A19" s="63"/>
      <c r="B19" s="176"/>
      <c r="C19" s="176"/>
      <c r="D19" s="176"/>
      <c r="E19" s="176"/>
      <c r="F19" s="176"/>
      <c r="G19" s="176"/>
      <c r="H19" s="176"/>
      <c r="I19" s="176"/>
      <c r="J19" s="176"/>
      <c r="K19" s="61"/>
      <c r="L19" s="65"/>
      <c r="M19" s="61"/>
      <c r="N19" s="176"/>
      <c r="O19" s="62"/>
      <c r="P19" s="62"/>
    </row>
    <row r="20" spans="1:16">
      <c r="A20" s="63"/>
      <c r="B20" s="176"/>
      <c r="C20" s="176"/>
      <c r="D20" s="176"/>
      <c r="E20" s="176"/>
      <c r="F20" s="176"/>
      <c r="G20" s="176"/>
      <c r="H20" s="176"/>
      <c r="I20" s="176"/>
      <c r="J20" s="176"/>
      <c r="K20" s="61"/>
      <c r="L20" s="65"/>
      <c r="M20" s="61"/>
      <c r="N20" s="176"/>
      <c r="O20" s="62"/>
      <c r="P20" s="62"/>
    </row>
    <row r="21" spans="1:16">
      <c r="A21" s="63"/>
      <c r="B21" s="176"/>
      <c r="C21" s="176"/>
      <c r="D21" s="176"/>
      <c r="E21" s="176"/>
      <c r="F21" s="176"/>
      <c r="G21" s="176"/>
      <c r="H21" s="176"/>
      <c r="I21" s="176"/>
      <c r="J21" s="176"/>
      <c r="K21" s="61"/>
      <c r="L21" s="65"/>
      <c r="M21" s="61"/>
      <c r="N21" s="176"/>
      <c r="O21" s="62"/>
      <c r="P21" s="62"/>
    </row>
    <row r="22" spans="1:16">
      <c r="A22" s="63"/>
      <c r="B22" s="176"/>
      <c r="C22" s="176"/>
      <c r="D22" s="176"/>
      <c r="E22" s="176"/>
      <c r="F22" s="176"/>
      <c r="G22" s="176"/>
      <c r="H22" s="176"/>
      <c r="I22" s="176"/>
      <c r="J22" s="176"/>
      <c r="K22" s="61"/>
      <c r="L22" s="65"/>
      <c r="M22" s="61"/>
      <c r="N22" s="176"/>
      <c r="O22" s="120"/>
      <c r="P22" s="62"/>
    </row>
    <row r="23" spans="1:16">
      <c r="A23" s="63"/>
      <c r="B23" s="176"/>
      <c r="C23" s="176"/>
      <c r="D23" s="176"/>
      <c r="E23" s="176"/>
      <c r="F23" s="176"/>
      <c r="G23" s="176"/>
      <c r="H23" s="176"/>
      <c r="I23" s="176"/>
      <c r="J23" s="176"/>
      <c r="K23" s="61"/>
      <c r="L23" s="65"/>
      <c r="M23" s="61"/>
      <c r="N23" s="176"/>
      <c r="O23" s="62"/>
      <c r="P23" s="62"/>
    </row>
    <row r="24" spans="1:16">
      <c r="A24" s="63"/>
      <c r="B24" s="176"/>
      <c r="C24" s="176"/>
      <c r="D24" s="176"/>
      <c r="E24" s="176"/>
      <c r="F24" s="176"/>
      <c r="G24" s="176"/>
      <c r="H24" s="176"/>
      <c r="I24" s="176"/>
      <c r="J24" s="176"/>
      <c r="K24" s="61"/>
      <c r="L24" s="65"/>
      <c r="M24" s="61"/>
      <c r="N24" s="176"/>
      <c r="O24" s="120"/>
      <c r="P24" s="62"/>
    </row>
    <row r="25" spans="1:16">
      <c r="A25" s="63"/>
      <c r="B25" s="176"/>
      <c r="C25" s="176"/>
      <c r="D25" s="176"/>
      <c r="E25" s="176"/>
      <c r="F25" s="176"/>
      <c r="G25" s="176"/>
      <c r="H25" s="176"/>
      <c r="I25" s="176"/>
      <c r="J25" s="176"/>
      <c r="K25" s="61"/>
      <c r="L25" s="65"/>
      <c r="M25" s="61"/>
      <c r="N25" s="176"/>
      <c r="O25" s="62"/>
      <c r="P25" s="62"/>
    </row>
    <row r="26" spans="1:16">
      <c r="A26" s="63"/>
      <c r="B26" s="176"/>
      <c r="C26" s="176"/>
      <c r="D26" s="176"/>
      <c r="E26" s="176"/>
      <c r="F26" s="176"/>
      <c r="G26" s="176"/>
      <c r="H26" s="176"/>
      <c r="I26" s="176"/>
      <c r="J26" s="176"/>
      <c r="K26" s="61"/>
      <c r="L26" s="65"/>
      <c r="M26" s="61"/>
      <c r="N26" s="176"/>
      <c r="O26" s="62"/>
      <c r="P26" s="62"/>
    </row>
    <row r="27" spans="1:16">
      <c r="A27" s="63"/>
      <c r="B27" s="176"/>
      <c r="C27" s="176"/>
      <c r="D27" s="176"/>
      <c r="E27" s="176"/>
      <c r="F27" s="176"/>
      <c r="G27" s="176"/>
      <c r="H27" s="176"/>
      <c r="I27" s="176"/>
      <c r="J27" s="176"/>
      <c r="K27" s="61"/>
      <c r="L27" s="65"/>
      <c r="M27" s="61"/>
      <c r="N27" s="176"/>
      <c r="O27" s="120"/>
      <c r="P27" s="62"/>
    </row>
    <row r="28" spans="1:16">
      <c r="A28" s="380"/>
      <c r="B28" s="176"/>
      <c r="C28" s="176"/>
      <c r="D28" s="176"/>
      <c r="E28" s="176"/>
      <c r="F28" s="176"/>
      <c r="G28" s="176"/>
      <c r="H28" s="176"/>
      <c r="I28" s="176"/>
      <c r="J28" s="176"/>
      <c r="K28" s="61"/>
      <c r="L28" s="65"/>
      <c r="M28" s="61"/>
      <c r="N28" s="176"/>
      <c r="O28" s="62"/>
      <c r="P28" s="62"/>
    </row>
    <row r="29" spans="1:16">
      <c r="A29" s="380"/>
      <c r="B29" s="176"/>
      <c r="C29" s="176"/>
      <c r="D29" s="176"/>
      <c r="E29" s="176"/>
      <c r="F29" s="176"/>
      <c r="G29" s="176"/>
      <c r="H29" s="176"/>
      <c r="I29" s="176"/>
      <c r="J29" s="176"/>
      <c r="K29" s="61"/>
      <c r="L29" s="65"/>
      <c r="M29" s="61"/>
      <c r="N29" s="176"/>
      <c r="O29" s="62"/>
      <c r="P29" s="62"/>
    </row>
    <row r="30" spans="1:16">
      <c r="A30" s="380"/>
      <c r="B30" s="176"/>
      <c r="C30" s="176"/>
      <c r="D30" s="176"/>
      <c r="E30" s="176"/>
      <c r="F30" s="176"/>
      <c r="G30" s="121"/>
      <c r="H30" s="176"/>
      <c r="I30" s="176"/>
      <c r="J30" s="176"/>
      <c r="K30" s="61"/>
      <c r="L30" s="65"/>
      <c r="M30" s="61"/>
      <c r="N30" s="176"/>
      <c r="O30" s="62"/>
      <c r="P30" s="120"/>
    </row>
    <row r="31" spans="1:16">
      <c r="A31" s="380"/>
      <c r="B31" s="176"/>
      <c r="C31" s="176"/>
      <c r="D31" s="176"/>
      <c r="E31" s="176"/>
      <c r="F31" s="176"/>
      <c r="G31" s="176"/>
      <c r="H31" s="176"/>
      <c r="I31" s="176"/>
      <c r="J31" s="176"/>
      <c r="K31" s="61"/>
      <c r="L31" s="65"/>
      <c r="M31" s="61"/>
      <c r="N31" s="176"/>
      <c r="O31" s="62"/>
      <c r="P31" s="62"/>
    </row>
    <row r="32" spans="1:16">
      <c r="A32" s="380"/>
      <c r="B32" s="176"/>
      <c r="C32" s="176"/>
      <c r="D32" s="176"/>
      <c r="E32" s="176"/>
      <c r="F32" s="176"/>
      <c r="G32" s="176"/>
      <c r="H32" s="176"/>
      <c r="I32" s="176"/>
      <c r="J32" s="176"/>
      <c r="K32" s="61"/>
      <c r="L32" s="65"/>
      <c r="M32" s="61"/>
      <c r="N32" s="176"/>
      <c r="O32" s="62"/>
      <c r="P32" s="62"/>
    </row>
    <row r="33" spans="1:16">
      <c r="A33" s="380"/>
      <c r="B33" s="176"/>
      <c r="C33" s="176"/>
      <c r="D33" s="176"/>
      <c r="E33" s="176"/>
      <c r="F33" s="176"/>
      <c r="G33" s="176"/>
      <c r="H33" s="176"/>
      <c r="I33" s="176"/>
      <c r="J33" s="176"/>
      <c r="K33" s="61"/>
      <c r="L33" s="65"/>
      <c r="M33" s="61"/>
      <c r="N33" s="176"/>
      <c r="O33" s="62"/>
      <c r="P33" s="62"/>
    </row>
    <row r="34" spans="1:16">
      <c r="A34" s="380"/>
      <c r="B34" s="176"/>
      <c r="C34" s="176"/>
      <c r="D34" s="176"/>
      <c r="E34" s="176"/>
      <c r="F34" s="176"/>
      <c r="G34" s="176"/>
      <c r="H34" s="176"/>
      <c r="I34" s="176"/>
      <c r="J34" s="176"/>
      <c r="K34" s="61"/>
      <c r="L34" s="65"/>
      <c r="M34" s="61"/>
      <c r="N34" s="176"/>
      <c r="O34" s="62"/>
      <c r="P34" s="62"/>
    </row>
    <row r="35" spans="1:16">
      <c r="A35" s="380"/>
      <c r="B35" s="176"/>
      <c r="C35" s="176"/>
      <c r="D35" s="176"/>
      <c r="E35" s="176"/>
      <c r="F35" s="176"/>
      <c r="G35" s="176"/>
      <c r="H35" s="176"/>
      <c r="I35" s="176"/>
      <c r="J35" s="176"/>
      <c r="K35" s="61"/>
      <c r="L35" s="65"/>
      <c r="M35" s="61"/>
      <c r="N35" s="176"/>
      <c r="O35" s="62"/>
      <c r="P35" s="62"/>
    </row>
    <row r="36" spans="1:16">
      <c r="A36" s="380"/>
      <c r="B36" s="176"/>
      <c r="C36" s="176"/>
      <c r="D36" s="176"/>
      <c r="E36" s="176"/>
      <c r="F36" s="176"/>
      <c r="G36" s="176"/>
      <c r="H36" s="176"/>
      <c r="I36" s="176"/>
      <c r="J36" s="176"/>
      <c r="K36" s="61"/>
      <c r="L36" s="65"/>
      <c r="M36" s="61"/>
      <c r="N36" s="176"/>
      <c r="O36" s="62"/>
      <c r="P36" s="62"/>
    </row>
    <row r="37" spans="1:16">
      <c r="A37" s="380"/>
      <c r="B37" s="176"/>
      <c r="C37" s="176"/>
      <c r="D37" s="176"/>
      <c r="E37" s="176"/>
      <c r="F37" s="176"/>
      <c r="G37" s="176"/>
      <c r="H37" s="176"/>
      <c r="I37" s="176"/>
      <c r="J37" s="176"/>
      <c r="K37" s="61"/>
      <c r="L37" s="65"/>
      <c r="M37" s="61"/>
      <c r="N37" s="176"/>
      <c r="O37" s="120"/>
      <c r="P37" s="62"/>
    </row>
    <row r="38" spans="1:16">
      <c r="A38" s="380"/>
      <c r="B38" s="176"/>
      <c r="C38" s="176"/>
      <c r="D38" s="176"/>
      <c r="E38" s="176"/>
      <c r="F38" s="176"/>
      <c r="G38" s="176"/>
      <c r="H38" s="176"/>
      <c r="I38" s="176"/>
      <c r="J38" s="176"/>
      <c r="K38" s="61"/>
      <c r="L38" s="65"/>
      <c r="M38" s="61"/>
      <c r="N38" s="176"/>
      <c r="O38" s="62"/>
      <c r="P38" s="62"/>
    </row>
    <row r="39" spans="1:16">
      <c r="A39" s="380"/>
      <c r="B39" s="176"/>
      <c r="C39" s="176"/>
      <c r="D39" s="176"/>
      <c r="E39" s="176"/>
      <c r="F39" s="176"/>
      <c r="G39" s="176"/>
      <c r="H39" s="176"/>
      <c r="I39" s="176"/>
      <c r="J39" s="176"/>
      <c r="K39" s="61"/>
      <c r="L39" s="65"/>
      <c r="M39" s="61"/>
      <c r="N39" s="176"/>
      <c r="O39" s="62"/>
      <c r="P39" s="62"/>
    </row>
    <row r="40" spans="1:16">
      <c r="A40" s="380"/>
      <c r="B40" s="176"/>
      <c r="C40" s="176"/>
      <c r="D40" s="176"/>
      <c r="E40" s="176"/>
      <c r="F40" s="176"/>
      <c r="G40" s="176"/>
      <c r="H40" s="176"/>
      <c r="I40" s="176"/>
      <c r="J40" s="176"/>
      <c r="K40" s="61"/>
      <c r="L40" s="65"/>
      <c r="M40" s="61"/>
      <c r="N40" s="176"/>
      <c r="O40" s="62"/>
      <c r="P40" s="62"/>
    </row>
    <row r="41" spans="1:16">
      <c r="A41" s="380"/>
      <c r="B41" s="176"/>
      <c r="C41" s="176"/>
      <c r="D41" s="176"/>
      <c r="E41" s="176"/>
      <c r="F41" s="176"/>
      <c r="G41" s="176"/>
      <c r="H41" s="176"/>
      <c r="I41" s="176"/>
      <c r="J41" s="176"/>
      <c r="K41" s="61"/>
      <c r="L41" s="65"/>
      <c r="M41" s="61"/>
      <c r="N41" s="176"/>
      <c r="O41" s="62"/>
      <c r="P41" s="62"/>
    </row>
    <row r="42" spans="1:16">
      <c r="A42" s="380"/>
      <c r="B42" s="176"/>
      <c r="C42" s="176"/>
      <c r="D42" s="176"/>
      <c r="E42" s="176"/>
      <c r="F42" s="176"/>
      <c r="G42" s="176"/>
      <c r="H42" s="176"/>
      <c r="I42" s="176"/>
      <c r="J42" s="176"/>
      <c r="K42" s="61"/>
      <c r="L42" s="65"/>
      <c r="M42" s="61"/>
      <c r="N42" s="176"/>
      <c r="O42" s="62"/>
      <c r="P42" s="62"/>
    </row>
    <row r="43" spans="1:16">
      <c r="A43" s="380"/>
      <c r="B43" s="176"/>
      <c r="C43" s="176"/>
      <c r="D43" s="176"/>
      <c r="E43" s="176"/>
      <c r="F43" s="176"/>
      <c r="G43" s="176"/>
      <c r="H43" s="176"/>
      <c r="I43" s="176"/>
      <c r="J43" s="176"/>
      <c r="K43" s="61"/>
      <c r="L43" s="65"/>
      <c r="M43" s="61"/>
      <c r="N43" s="176"/>
      <c r="O43" s="62"/>
      <c r="P43" s="62"/>
    </row>
    <row r="44" spans="1:16">
      <c r="A44" s="380"/>
      <c r="B44" s="176"/>
      <c r="C44" s="176"/>
      <c r="D44" s="176"/>
      <c r="E44" s="176"/>
      <c r="F44" s="176"/>
      <c r="G44" s="176"/>
      <c r="H44" s="176"/>
      <c r="I44" s="176"/>
      <c r="J44" s="176"/>
      <c r="K44" s="61"/>
      <c r="L44" s="65"/>
      <c r="M44" s="61"/>
      <c r="N44" s="176"/>
      <c r="O44" s="62"/>
      <c r="P44" s="62"/>
    </row>
    <row r="45" spans="1:16">
      <c r="A45" s="380"/>
      <c r="B45" s="176"/>
      <c r="C45" s="176"/>
      <c r="D45" s="176"/>
      <c r="E45" s="176"/>
      <c r="F45" s="176"/>
      <c r="G45" s="121"/>
      <c r="H45" s="176"/>
      <c r="I45" s="176"/>
      <c r="J45" s="176"/>
      <c r="K45" s="61"/>
      <c r="L45" s="65"/>
      <c r="M45" s="61"/>
      <c r="N45" s="176"/>
      <c r="O45" s="62"/>
      <c r="P45" s="120"/>
    </row>
    <row r="46" spans="1:16">
      <c r="A46" s="380"/>
      <c r="B46" s="176"/>
      <c r="C46" s="176"/>
      <c r="D46" s="176"/>
      <c r="E46" s="176"/>
      <c r="F46" s="176"/>
      <c r="G46" s="176"/>
      <c r="H46" s="176"/>
      <c r="I46" s="176"/>
      <c r="J46" s="176"/>
      <c r="K46" s="61"/>
      <c r="L46" s="65"/>
      <c r="M46" s="61"/>
      <c r="N46" s="176"/>
      <c r="O46" s="62"/>
      <c r="P46" s="62"/>
    </row>
    <row r="47" spans="1:16">
      <c r="A47" s="380"/>
      <c r="B47" s="176"/>
      <c r="C47" s="176"/>
      <c r="D47" s="176"/>
      <c r="E47" s="176"/>
      <c r="F47" s="176"/>
      <c r="G47" s="121"/>
      <c r="H47" s="176"/>
      <c r="I47" s="176"/>
      <c r="J47" s="176"/>
      <c r="K47" s="61"/>
      <c r="L47" s="65"/>
      <c r="M47" s="61"/>
      <c r="N47" s="176"/>
      <c r="O47" s="62"/>
      <c r="P47" s="120"/>
    </row>
    <row r="48" spans="1:16">
      <c r="A48" s="380"/>
      <c r="B48" s="176"/>
      <c r="C48" s="176"/>
      <c r="D48" s="176"/>
      <c r="E48" s="122"/>
      <c r="F48" s="122"/>
      <c r="G48" s="122"/>
      <c r="H48" s="122"/>
      <c r="I48" s="176"/>
      <c r="J48" s="176"/>
      <c r="K48" s="61"/>
      <c r="L48" s="65"/>
      <c r="M48" s="61"/>
      <c r="N48" s="176"/>
      <c r="O48" s="62"/>
      <c r="P48" s="62"/>
    </row>
    <row r="49" spans="1:16">
      <c r="A49" s="380"/>
      <c r="B49" s="176"/>
      <c r="C49" s="176"/>
      <c r="D49" s="176"/>
      <c r="E49" s="122"/>
      <c r="F49" s="122"/>
      <c r="G49" s="122"/>
      <c r="H49" s="122"/>
      <c r="I49" s="176"/>
      <c r="J49" s="176"/>
      <c r="K49" s="61"/>
      <c r="L49" s="65"/>
      <c r="M49" s="61"/>
      <c r="N49" s="176"/>
      <c r="O49" s="62"/>
      <c r="P49" s="62"/>
    </row>
    <row r="50" spans="1:16">
      <c r="A50" s="380"/>
      <c r="B50" s="176"/>
      <c r="C50" s="176"/>
      <c r="D50" s="176"/>
      <c r="E50" s="122"/>
      <c r="F50" s="122"/>
      <c r="G50" s="122"/>
      <c r="H50" s="122"/>
      <c r="I50" s="176"/>
      <c r="J50" s="176"/>
      <c r="K50" s="61"/>
      <c r="L50" s="65"/>
      <c r="M50" s="61"/>
      <c r="N50" s="176"/>
      <c r="O50" s="62"/>
      <c r="P50" s="62"/>
    </row>
    <row r="51" spans="1:16">
      <c r="A51" s="380"/>
      <c r="B51" s="176"/>
      <c r="C51" s="176"/>
      <c r="D51" s="176"/>
      <c r="E51" s="122"/>
      <c r="F51" s="123"/>
      <c r="G51" s="124"/>
      <c r="H51" s="123"/>
      <c r="I51" s="114"/>
      <c r="J51" s="114"/>
      <c r="K51" s="61"/>
      <c r="L51" s="65"/>
      <c r="M51" s="61"/>
      <c r="N51" s="114"/>
      <c r="O51" s="62"/>
      <c r="P51" s="62"/>
    </row>
    <row r="52" spans="1:16">
      <c r="A52" s="380"/>
      <c r="B52" s="176"/>
      <c r="C52" s="176"/>
      <c r="D52" s="176"/>
      <c r="E52" s="176"/>
      <c r="F52" s="114"/>
      <c r="G52" s="114"/>
      <c r="H52" s="114"/>
      <c r="I52" s="114"/>
      <c r="J52" s="114"/>
      <c r="K52" s="61"/>
      <c r="L52" s="65"/>
      <c r="M52" s="61"/>
      <c r="N52" s="114"/>
      <c r="O52" s="62"/>
      <c r="P52" s="62"/>
    </row>
    <row r="53" spans="1:16">
      <c r="A53" s="380"/>
      <c r="B53" s="176"/>
      <c r="C53" s="176"/>
      <c r="D53" s="176"/>
      <c r="E53" s="176"/>
      <c r="F53" s="176"/>
      <c r="G53" s="176"/>
      <c r="H53" s="176"/>
      <c r="I53" s="176"/>
      <c r="J53" s="176"/>
      <c r="K53" s="61"/>
      <c r="L53" s="65"/>
      <c r="M53" s="61"/>
      <c r="N53" s="176"/>
      <c r="O53" s="62"/>
      <c r="P53" s="62"/>
    </row>
    <row r="54" spans="1:16">
      <c r="A54" s="380"/>
      <c r="B54" s="176"/>
      <c r="C54" s="176"/>
      <c r="D54" s="176"/>
      <c r="E54" s="176"/>
      <c r="F54" s="176"/>
      <c r="G54" s="176"/>
      <c r="H54" s="176"/>
      <c r="I54" s="176"/>
      <c r="J54" s="176"/>
      <c r="K54" s="61"/>
      <c r="L54" s="65"/>
      <c r="M54" s="61"/>
      <c r="N54" s="176"/>
      <c r="O54" s="62"/>
      <c r="P54" s="62"/>
    </row>
    <row r="55" spans="1:16">
      <c r="A55" s="380"/>
      <c r="B55" s="176"/>
      <c r="C55" s="176"/>
      <c r="D55" s="176"/>
      <c r="E55" s="176"/>
      <c r="F55" s="176"/>
      <c r="G55" s="176"/>
      <c r="H55" s="176"/>
      <c r="I55" s="176"/>
      <c r="J55" s="176"/>
      <c r="K55" s="61"/>
      <c r="L55" s="65"/>
      <c r="M55" s="61"/>
      <c r="N55" s="176"/>
      <c r="O55" s="62"/>
      <c r="P55" s="62"/>
    </row>
    <row r="56" spans="1:16">
      <c r="A56" s="380"/>
      <c r="B56" s="176"/>
      <c r="C56" s="176"/>
      <c r="D56" s="176"/>
      <c r="E56" s="176"/>
      <c r="F56" s="176"/>
      <c r="G56" s="176"/>
      <c r="H56" s="176"/>
      <c r="I56" s="176"/>
      <c r="J56" s="176"/>
      <c r="K56" s="61"/>
      <c r="L56" s="65"/>
      <c r="M56" s="61"/>
      <c r="N56" s="176"/>
      <c r="O56" s="62"/>
      <c r="P56" s="62"/>
    </row>
    <row r="57" spans="1:16">
      <c r="A57" s="380"/>
      <c r="B57" s="176"/>
      <c r="C57" s="176"/>
      <c r="D57" s="176"/>
      <c r="E57" s="176"/>
      <c r="F57" s="176"/>
      <c r="G57" s="176"/>
      <c r="H57" s="176"/>
      <c r="I57" s="176"/>
      <c r="J57" s="176"/>
      <c r="K57" s="61"/>
      <c r="L57" s="65"/>
      <c r="M57" s="61"/>
      <c r="N57" s="176"/>
      <c r="O57" s="62"/>
      <c r="P57" s="62"/>
    </row>
    <row r="58" spans="1:16">
      <c r="A58" s="380"/>
      <c r="B58" s="176"/>
      <c r="C58" s="176"/>
      <c r="D58" s="176"/>
      <c r="E58" s="176"/>
      <c r="F58" s="176"/>
      <c r="G58" s="176"/>
      <c r="H58" s="176"/>
      <c r="I58" s="176"/>
      <c r="J58" s="176"/>
      <c r="K58" s="61"/>
      <c r="L58" s="65"/>
      <c r="M58" s="61"/>
      <c r="N58" s="176"/>
      <c r="O58" s="62"/>
      <c r="P58" s="62"/>
    </row>
    <row r="59" spans="1:16">
      <c r="A59" s="380"/>
      <c r="B59" s="176"/>
      <c r="C59" s="176"/>
      <c r="D59" s="176"/>
      <c r="E59" s="176"/>
      <c r="F59" s="176"/>
      <c r="G59" s="176"/>
      <c r="H59" s="176"/>
      <c r="I59" s="176"/>
      <c r="J59" s="176"/>
      <c r="K59" s="61"/>
      <c r="L59" s="65"/>
      <c r="M59" s="61"/>
      <c r="N59" s="176"/>
      <c r="O59" s="62"/>
      <c r="P59" s="62"/>
    </row>
    <row r="60" spans="1:16">
      <c r="A60" s="380"/>
      <c r="B60" s="176"/>
      <c r="C60" s="176"/>
      <c r="D60" s="176"/>
      <c r="E60" s="176"/>
      <c r="F60" s="176"/>
      <c r="G60" s="121"/>
      <c r="H60" s="176"/>
      <c r="I60" s="176"/>
      <c r="J60" s="176"/>
      <c r="K60" s="61"/>
      <c r="L60" s="65"/>
      <c r="M60" s="61"/>
      <c r="N60" s="176"/>
      <c r="O60" s="62"/>
      <c r="P60" s="120"/>
    </row>
    <row r="61" spans="1:16">
      <c r="A61" s="380"/>
      <c r="B61" s="176"/>
      <c r="C61" s="176"/>
      <c r="D61" s="176"/>
      <c r="E61" s="176"/>
      <c r="F61" s="176"/>
      <c r="G61" s="176"/>
      <c r="H61" s="176"/>
      <c r="I61" s="176"/>
      <c r="J61" s="176"/>
      <c r="K61" s="61"/>
      <c r="L61" s="65"/>
      <c r="M61" s="61"/>
      <c r="N61" s="176"/>
      <c r="O61" s="62"/>
      <c r="P61" s="62"/>
    </row>
    <row r="62" spans="1:16">
      <c r="A62" s="388"/>
      <c r="B62" s="176"/>
      <c r="C62" s="176"/>
      <c r="D62" s="176"/>
      <c r="E62" s="176"/>
      <c r="F62" s="176"/>
      <c r="G62" s="176"/>
      <c r="H62" s="176"/>
      <c r="I62" s="176"/>
      <c r="J62" s="176"/>
      <c r="K62" s="61"/>
      <c r="L62" s="65"/>
      <c r="M62" s="61"/>
      <c r="N62" s="176"/>
      <c r="O62" s="62"/>
      <c r="P62" s="62"/>
    </row>
    <row r="63" spans="1:16">
      <c r="A63" s="388"/>
      <c r="B63" s="176"/>
      <c r="C63" s="176"/>
      <c r="D63" s="176"/>
      <c r="E63" s="176"/>
      <c r="F63" s="176"/>
      <c r="G63" s="176"/>
      <c r="H63" s="176"/>
      <c r="I63" s="176"/>
      <c r="J63" s="176"/>
      <c r="K63" s="61"/>
      <c r="L63" s="65"/>
      <c r="M63" s="61"/>
      <c r="N63" s="176"/>
      <c r="O63" s="62"/>
      <c r="P63" s="62"/>
    </row>
    <row r="64" spans="1:16">
      <c r="A64" s="388"/>
      <c r="B64" s="176"/>
      <c r="C64" s="176"/>
      <c r="D64" s="176"/>
      <c r="E64" s="176"/>
      <c r="F64" s="176"/>
      <c r="G64" s="176"/>
      <c r="H64" s="176"/>
      <c r="I64" s="176"/>
      <c r="J64" s="176"/>
      <c r="K64" s="61"/>
      <c r="L64" s="65"/>
      <c r="M64" s="61"/>
      <c r="N64" s="176"/>
      <c r="O64" s="62"/>
      <c r="P64" s="62"/>
    </row>
    <row r="65" spans="1:16">
      <c r="A65" s="388"/>
      <c r="B65" s="176"/>
      <c r="C65" s="176"/>
      <c r="D65" s="176"/>
      <c r="E65" s="176"/>
      <c r="F65" s="176"/>
      <c r="G65" s="176"/>
      <c r="H65" s="176"/>
      <c r="I65" s="176"/>
      <c r="J65" s="176"/>
      <c r="K65" s="61"/>
      <c r="L65" s="65"/>
      <c r="M65" s="61"/>
      <c r="N65" s="176"/>
      <c r="O65" s="62"/>
      <c r="P65" s="62"/>
    </row>
    <row r="66" spans="1:16">
      <c r="A66" s="388"/>
      <c r="B66" s="176"/>
      <c r="C66" s="176"/>
      <c r="D66" s="176"/>
      <c r="E66" s="176"/>
      <c r="F66" s="176"/>
      <c r="G66" s="176"/>
      <c r="H66" s="176"/>
      <c r="I66" s="176"/>
      <c r="J66" s="176"/>
      <c r="K66" s="61"/>
      <c r="L66" s="65"/>
      <c r="M66" s="61"/>
      <c r="N66" s="176"/>
      <c r="O66" s="62"/>
      <c r="P66" s="62"/>
    </row>
    <row r="67" spans="1:16">
      <c r="A67" s="388"/>
      <c r="B67" s="176"/>
      <c r="C67" s="176"/>
      <c r="D67" s="176"/>
      <c r="E67" s="176"/>
      <c r="F67" s="176"/>
      <c r="G67" s="176"/>
      <c r="H67" s="176"/>
      <c r="I67" s="176"/>
      <c r="J67" s="176"/>
      <c r="K67" s="61"/>
      <c r="L67" s="65"/>
      <c r="M67" s="61"/>
      <c r="N67" s="176"/>
      <c r="O67" s="62"/>
      <c r="P67" s="62"/>
    </row>
    <row r="68" spans="1:16">
      <c r="A68" s="388"/>
      <c r="B68" s="176"/>
      <c r="C68" s="176"/>
      <c r="D68" s="176"/>
      <c r="E68" s="176"/>
      <c r="F68" s="176"/>
      <c r="G68" s="176"/>
      <c r="H68" s="176"/>
      <c r="I68" s="176"/>
      <c r="J68" s="176"/>
      <c r="K68" s="61"/>
      <c r="L68" s="65"/>
      <c r="M68" s="61"/>
      <c r="N68" s="176"/>
      <c r="O68" s="62"/>
      <c r="P68" s="62"/>
    </row>
    <row r="69" spans="1:16">
      <c r="A69" s="388"/>
      <c r="B69" s="176"/>
      <c r="C69" s="176"/>
      <c r="D69" s="176"/>
      <c r="E69" s="176"/>
      <c r="F69" s="176"/>
      <c r="G69" s="121"/>
      <c r="H69" s="176"/>
      <c r="I69" s="176"/>
      <c r="J69" s="176"/>
      <c r="K69" s="61"/>
      <c r="L69" s="65"/>
      <c r="M69" s="61"/>
      <c r="N69" s="176"/>
      <c r="O69" s="62"/>
      <c r="P69" s="62"/>
    </row>
    <row r="70" spans="1:16">
      <c r="A70" s="388"/>
      <c r="B70" s="176"/>
      <c r="C70" s="176"/>
      <c r="D70" s="176"/>
      <c r="E70" s="176"/>
      <c r="F70" s="176"/>
      <c r="G70" s="176"/>
      <c r="H70" s="176"/>
      <c r="I70" s="176"/>
      <c r="J70" s="176"/>
      <c r="K70" s="61"/>
      <c r="L70" s="65"/>
      <c r="M70" s="61"/>
      <c r="N70" s="176"/>
      <c r="O70" s="62"/>
      <c r="P70" s="62"/>
    </row>
    <row r="71" spans="1:16">
      <c r="A71" s="388"/>
      <c r="B71" s="176"/>
      <c r="C71" s="176"/>
      <c r="D71" s="176"/>
      <c r="E71" s="176"/>
      <c r="F71" s="176"/>
      <c r="G71" s="176"/>
      <c r="H71" s="176"/>
      <c r="I71" s="176"/>
      <c r="J71" s="176"/>
      <c r="K71" s="61"/>
      <c r="L71" s="65"/>
      <c r="M71" s="61"/>
      <c r="N71" s="176"/>
      <c r="O71" s="62"/>
      <c r="P71" s="62"/>
    </row>
    <row r="72" spans="1:16">
      <c r="A72" s="380"/>
      <c r="B72" s="176"/>
      <c r="C72" s="176"/>
      <c r="D72" s="176"/>
      <c r="E72" s="176"/>
      <c r="F72" s="176"/>
      <c r="G72" s="176"/>
      <c r="H72" s="176"/>
      <c r="I72" s="176"/>
      <c r="J72" s="176"/>
      <c r="K72" s="61"/>
      <c r="L72" s="65"/>
      <c r="M72" s="61"/>
      <c r="N72" s="176"/>
      <c r="O72" s="62"/>
      <c r="P72" s="62"/>
    </row>
    <row r="73" spans="1:16">
      <c r="A73" s="380"/>
      <c r="B73" s="176"/>
      <c r="C73" s="176"/>
      <c r="D73" s="176"/>
      <c r="E73" s="176"/>
      <c r="F73" s="176"/>
      <c r="G73" s="176"/>
      <c r="H73" s="176"/>
      <c r="I73" s="176"/>
      <c r="J73" s="176"/>
      <c r="K73" s="61"/>
      <c r="L73" s="65"/>
      <c r="M73" s="61"/>
      <c r="N73" s="176"/>
      <c r="O73" s="62"/>
      <c r="P73" s="62"/>
    </row>
    <row r="74" spans="1:16">
      <c r="A74" s="380"/>
      <c r="B74" s="176"/>
      <c r="C74" s="176"/>
      <c r="D74" s="176"/>
      <c r="E74" s="176"/>
      <c r="F74" s="176"/>
      <c r="G74" s="176"/>
      <c r="H74" s="176"/>
      <c r="I74" s="176"/>
      <c r="J74" s="176"/>
      <c r="K74" s="61"/>
      <c r="L74" s="65"/>
      <c r="M74" s="61"/>
      <c r="N74" s="176"/>
      <c r="O74" s="62"/>
      <c r="P74" s="62"/>
    </row>
    <row r="75" spans="1:16">
      <c r="A75" s="62"/>
      <c r="B75" s="62"/>
      <c r="C75" s="62"/>
      <c r="D75" s="62"/>
      <c r="E75" s="62"/>
      <c r="F75" s="62"/>
      <c r="G75" s="62"/>
      <c r="H75" s="62"/>
      <c r="I75" s="62"/>
      <c r="J75" s="62"/>
      <c r="K75" s="62"/>
      <c r="L75" s="125"/>
      <c r="M75" s="125"/>
      <c r="N75" s="126"/>
      <c r="O75" s="62"/>
      <c r="P75" s="62"/>
    </row>
    <row r="76" spans="1:16">
      <c r="A76" s="62"/>
      <c r="B76" s="175"/>
      <c r="C76" s="175"/>
      <c r="D76" s="176"/>
      <c r="E76" s="176"/>
      <c r="F76" s="176"/>
      <c r="G76" s="121"/>
      <c r="H76" s="176"/>
      <c r="I76" s="176"/>
      <c r="J76" s="176"/>
      <c r="K76" s="61"/>
      <c r="L76" s="65"/>
      <c r="M76" s="61"/>
      <c r="N76" s="176"/>
      <c r="O76" s="176"/>
      <c r="P76" s="176"/>
    </row>
    <row r="77" spans="1:16">
      <c r="A77" s="380"/>
      <c r="B77" s="175"/>
      <c r="C77" s="175"/>
      <c r="D77" s="176"/>
      <c r="E77" s="176"/>
      <c r="F77" s="176"/>
      <c r="G77" s="121"/>
      <c r="H77" s="176"/>
      <c r="I77" s="176"/>
      <c r="J77" s="176"/>
      <c r="K77" s="61"/>
      <c r="L77" s="65"/>
      <c r="M77" s="61"/>
      <c r="N77" s="176"/>
      <c r="O77" s="176"/>
      <c r="P77" s="176"/>
    </row>
    <row r="78" spans="1:16">
      <c r="A78" s="380"/>
      <c r="B78" s="175"/>
      <c r="C78" s="175"/>
      <c r="D78" s="176"/>
      <c r="E78" s="176"/>
      <c r="F78" s="176"/>
      <c r="G78" s="121"/>
      <c r="H78" s="176"/>
      <c r="I78" s="176"/>
      <c r="J78" s="176"/>
      <c r="K78" s="61"/>
      <c r="L78" s="65"/>
      <c r="M78" s="61"/>
      <c r="N78" s="176"/>
      <c r="O78" s="176"/>
      <c r="P78" s="176"/>
    </row>
    <row r="79" spans="1:16">
      <c r="A79" s="380"/>
      <c r="B79" s="175"/>
      <c r="C79" s="175"/>
      <c r="D79" s="176"/>
      <c r="E79" s="176"/>
      <c r="F79" s="176"/>
      <c r="G79" s="121"/>
      <c r="H79" s="176"/>
      <c r="I79" s="176"/>
      <c r="J79" s="176"/>
      <c r="K79" s="61"/>
      <c r="L79" s="65"/>
      <c r="M79" s="61"/>
      <c r="N79" s="176"/>
      <c r="O79" s="176"/>
      <c r="P79" s="176"/>
    </row>
    <row r="80" spans="1:16">
      <c r="A80" s="380"/>
      <c r="B80" s="175"/>
      <c r="C80" s="175"/>
      <c r="D80" s="176"/>
      <c r="E80" s="176"/>
      <c r="F80" s="176"/>
      <c r="G80" s="121"/>
      <c r="H80" s="176"/>
      <c r="I80" s="176"/>
      <c r="J80" s="176"/>
      <c r="K80" s="61"/>
      <c r="L80" s="65"/>
      <c r="M80" s="61"/>
      <c r="N80" s="176"/>
      <c r="O80" s="176"/>
      <c r="P80" s="176"/>
    </row>
    <row r="81" spans="1:16">
      <c r="A81" s="62"/>
      <c r="B81" s="176"/>
      <c r="C81" s="176"/>
      <c r="D81" s="176"/>
      <c r="E81" s="176"/>
      <c r="F81" s="176"/>
      <c r="G81" s="121"/>
      <c r="H81" s="176"/>
      <c r="I81" s="176"/>
      <c r="J81" s="176"/>
      <c r="K81" s="61"/>
      <c r="L81" s="65"/>
      <c r="M81" s="61"/>
      <c r="N81" s="176"/>
      <c r="O81" s="176"/>
      <c r="P81" s="176"/>
    </row>
    <row r="82" spans="1:16">
      <c r="A82" s="62"/>
      <c r="B82" s="62"/>
      <c r="C82" s="62"/>
      <c r="D82" s="62"/>
      <c r="E82" s="62"/>
      <c r="F82" s="62"/>
      <c r="G82" s="62"/>
      <c r="H82" s="62"/>
      <c r="I82" s="62"/>
      <c r="J82" s="62"/>
      <c r="K82" s="62"/>
      <c r="L82" s="62"/>
      <c r="M82" s="62"/>
      <c r="N82" s="127"/>
      <c r="O82" s="62"/>
      <c r="P82" s="62"/>
    </row>
    <row r="83" spans="1:16">
      <c r="A83" s="62"/>
      <c r="B83" s="62"/>
      <c r="C83" s="62"/>
      <c r="D83" s="62"/>
      <c r="E83" s="62"/>
      <c r="F83" s="62"/>
      <c r="G83" s="62"/>
      <c r="H83" s="62"/>
      <c r="I83" s="62"/>
      <c r="J83" s="62"/>
      <c r="K83" s="62"/>
      <c r="L83" s="62"/>
      <c r="M83" s="62"/>
      <c r="N83" s="62"/>
      <c r="O83" s="62"/>
      <c r="P83" s="62"/>
    </row>
    <row r="84" spans="1:16">
      <c r="A84" s="62"/>
      <c r="B84" s="62"/>
      <c r="C84" s="62"/>
      <c r="D84" s="62"/>
      <c r="E84" s="62"/>
      <c r="F84" s="62"/>
      <c r="G84" s="62"/>
      <c r="H84" s="62"/>
      <c r="I84" s="62"/>
      <c r="J84" s="62"/>
      <c r="K84" s="62"/>
      <c r="L84" s="62"/>
      <c r="M84" s="62"/>
      <c r="N84" s="62"/>
      <c r="O84" s="62"/>
      <c r="P84" s="62"/>
    </row>
    <row r="85" spans="1:16">
      <c r="A85" s="62"/>
      <c r="B85" s="62"/>
      <c r="C85" s="62"/>
      <c r="D85" s="62"/>
      <c r="E85" s="62"/>
      <c r="F85" s="62"/>
      <c r="G85" s="62"/>
      <c r="H85" s="62"/>
      <c r="I85" s="62"/>
      <c r="J85" s="62"/>
      <c r="K85" s="62"/>
      <c r="L85" s="125"/>
      <c r="M85" s="62"/>
      <c r="N85" s="62"/>
      <c r="O85" s="62"/>
      <c r="P85" s="62"/>
    </row>
    <row r="86" spans="1:16">
      <c r="A86" s="62"/>
      <c r="B86" s="62"/>
      <c r="C86" s="62"/>
      <c r="D86" s="62"/>
      <c r="E86" s="62"/>
      <c r="F86" s="62"/>
      <c r="G86" s="62"/>
      <c r="H86" s="62"/>
      <c r="I86" s="62"/>
      <c r="J86" s="62"/>
      <c r="K86" s="62"/>
      <c r="L86" s="62"/>
      <c r="M86" s="62"/>
      <c r="N86" s="62"/>
      <c r="O86" s="62"/>
      <c r="P86" s="62"/>
    </row>
    <row r="87" spans="1:16">
      <c r="A87" s="62"/>
      <c r="B87" s="62"/>
      <c r="C87" s="62"/>
      <c r="D87" s="62"/>
      <c r="E87" s="62"/>
      <c r="F87" s="62"/>
      <c r="G87" s="62"/>
      <c r="H87" s="62"/>
      <c r="I87" s="62"/>
      <c r="J87" s="62"/>
      <c r="K87" s="62"/>
      <c r="L87" s="62"/>
      <c r="M87" s="62"/>
      <c r="N87" s="62"/>
      <c r="O87" s="62"/>
      <c r="P87" s="62"/>
    </row>
    <row r="88" spans="1:16">
      <c r="A88" s="62"/>
      <c r="B88" s="62"/>
      <c r="C88" s="62"/>
      <c r="D88" s="62"/>
      <c r="E88" s="62"/>
      <c r="F88" s="62"/>
      <c r="G88" s="62"/>
      <c r="H88" s="62"/>
      <c r="I88" s="62"/>
      <c r="J88" s="62"/>
      <c r="K88" s="62"/>
      <c r="L88" s="62"/>
      <c r="M88" s="62"/>
      <c r="N88" s="62"/>
      <c r="O88" s="62"/>
      <c r="P88" s="62"/>
    </row>
    <row r="89" spans="1:16">
      <c r="A89" s="62"/>
      <c r="B89" s="62"/>
      <c r="C89" s="62"/>
      <c r="D89" s="62"/>
      <c r="E89" s="62"/>
      <c r="F89" s="62"/>
      <c r="G89" s="62"/>
      <c r="H89" s="62"/>
      <c r="I89" s="62"/>
      <c r="J89" s="62"/>
      <c r="K89" s="62"/>
      <c r="L89" s="62"/>
      <c r="M89" s="62"/>
      <c r="N89" s="62"/>
      <c r="O89" s="62"/>
      <c r="P89" s="62"/>
    </row>
    <row r="90" spans="1:16">
      <c r="A90" s="62"/>
      <c r="B90" s="62"/>
      <c r="C90" s="62"/>
      <c r="D90" s="62"/>
      <c r="E90" s="62"/>
      <c r="F90" s="62"/>
      <c r="G90" s="62"/>
      <c r="H90" s="62"/>
      <c r="I90" s="62"/>
      <c r="J90" s="62"/>
      <c r="K90" s="62"/>
      <c r="L90" s="62"/>
      <c r="M90" s="62"/>
      <c r="N90" s="62"/>
      <c r="O90" s="62"/>
      <c r="P90" s="62"/>
    </row>
    <row r="91" spans="1:16">
      <c r="A91" s="380"/>
      <c r="B91" s="176"/>
      <c r="C91" s="176"/>
      <c r="D91" s="176"/>
      <c r="E91" s="176"/>
      <c r="F91" s="176"/>
      <c r="G91" s="176"/>
      <c r="H91" s="176"/>
      <c r="I91" s="176"/>
      <c r="J91" s="176"/>
      <c r="K91" s="176"/>
      <c r="L91" s="61"/>
      <c r="M91" s="61"/>
      <c r="N91" s="176"/>
      <c r="O91" s="128"/>
      <c r="P91" s="62"/>
    </row>
    <row r="92" spans="1:16">
      <c r="A92" s="380"/>
      <c r="B92" s="176"/>
      <c r="C92" s="176"/>
      <c r="D92" s="176"/>
      <c r="E92" s="176"/>
      <c r="F92" s="176"/>
      <c r="G92" s="176"/>
      <c r="H92" s="176"/>
      <c r="I92" s="176"/>
      <c r="J92" s="176"/>
      <c r="K92" s="176"/>
      <c r="L92" s="61"/>
      <c r="M92" s="61"/>
      <c r="N92" s="176"/>
      <c r="O92" s="128"/>
      <c r="P92" s="62"/>
    </row>
    <row r="93" spans="1:16">
      <c r="A93" s="62"/>
      <c r="B93" s="176"/>
      <c r="C93" s="176"/>
      <c r="D93" s="176"/>
      <c r="E93" s="176"/>
      <c r="F93" s="176"/>
      <c r="G93" s="176"/>
      <c r="H93" s="176"/>
      <c r="I93" s="176"/>
      <c r="J93" s="176"/>
      <c r="K93" s="176"/>
      <c r="L93" s="61"/>
      <c r="M93" s="61"/>
      <c r="N93" s="176"/>
      <c r="O93" s="128"/>
      <c r="P93" s="62"/>
    </row>
    <row r="94" spans="1:16">
      <c r="A94" s="388"/>
      <c r="B94" s="176"/>
      <c r="C94" s="176"/>
      <c r="D94" s="176"/>
      <c r="E94" s="176"/>
      <c r="F94" s="176"/>
      <c r="G94" s="176"/>
      <c r="H94" s="176"/>
      <c r="I94" s="176"/>
      <c r="J94" s="176"/>
      <c r="K94" s="176"/>
      <c r="L94" s="61"/>
      <c r="M94" s="61"/>
      <c r="N94" s="176"/>
      <c r="O94" s="128"/>
      <c r="P94" s="62"/>
    </row>
    <row r="95" spans="1:16">
      <c r="A95" s="388"/>
      <c r="B95" s="176"/>
      <c r="C95" s="176"/>
      <c r="D95" s="176"/>
      <c r="E95" s="176"/>
      <c r="F95" s="176"/>
      <c r="G95" s="176"/>
      <c r="H95" s="176"/>
      <c r="I95" s="176"/>
      <c r="J95" s="176"/>
      <c r="K95" s="176"/>
      <c r="L95" s="61"/>
      <c r="M95" s="61"/>
      <c r="N95" s="176"/>
      <c r="O95" s="128"/>
      <c r="P95" s="62"/>
    </row>
    <row r="96" spans="1:16">
      <c r="A96" s="388"/>
      <c r="B96" s="176"/>
      <c r="C96" s="176"/>
      <c r="D96" s="176"/>
      <c r="E96" s="176"/>
      <c r="F96" s="176"/>
      <c r="G96" s="176"/>
      <c r="H96" s="176"/>
      <c r="I96" s="176"/>
      <c r="J96" s="176"/>
      <c r="K96" s="176"/>
      <c r="L96" s="61"/>
      <c r="M96" s="61"/>
      <c r="N96" s="176"/>
      <c r="O96" s="128"/>
      <c r="P96" s="62"/>
    </row>
    <row r="97" spans="1:16">
      <c r="A97" s="388"/>
      <c r="B97" s="176"/>
      <c r="C97" s="176"/>
      <c r="D97" s="176"/>
      <c r="E97" s="176"/>
      <c r="F97" s="176"/>
      <c r="G97" s="176"/>
      <c r="H97" s="176"/>
      <c r="I97" s="176"/>
      <c r="J97" s="176"/>
      <c r="K97" s="176"/>
      <c r="L97" s="61"/>
      <c r="M97" s="61"/>
      <c r="N97" s="176"/>
      <c r="O97" s="128"/>
      <c r="P97" s="62"/>
    </row>
    <row r="98" spans="1:16">
      <c r="A98" s="388"/>
      <c r="B98" s="176"/>
      <c r="C98" s="176"/>
      <c r="D98" s="176"/>
      <c r="E98" s="176"/>
      <c r="F98" s="176"/>
      <c r="G98" s="176"/>
      <c r="H98" s="176"/>
      <c r="I98" s="176"/>
      <c r="J98" s="176"/>
      <c r="K98" s="176"/>
      <c r="L98" s="61"/>
      <c r="M98" s="61"/>
      <c r="N98" s="176"/>
      <c r="O98" s="128"/>
      <c r="P98" s="62"/>
    </row>
    <row r="99" spans="1:16">
      <c r="A99" s="388"/>
      <c r="B99" s="176"/>
      <c r="C99" s="176"/>
      <c r="D99" s="176"/>
      <c r="E99" s="176"/>
      <c r="F99" s="176"/>
      <c r="G99" s="176"/>
      <c r="H99" s="176"/>
      <c r="I99" s="176"/>
      <c r="J99" s="176"/>
      <c r="K99" s="176"/>
      <c r="L99" s="61"/>
      <c r="M99" s="61"/>
      <c r="N99" s="176"/>
      <c r="O99" s="128"/>
      <c r="P99" s="62"/>
    </row>
    <row r="100" spans="1:16">
      <c r="A100" s="380"/>
      <c r="B100" s="176"/>
      <c r="C100" s="176"/>
      <c r="D100" s="176"/>
      <c r="E100" s="176"/>
      <c r="F100" s="176"/>
      <c r="G100" s="176"/>
      <c r="H100" s="176"/>
      <c r="I100" s="176"/>
      <c r="J100" s="176"/>
      <c r="K100" s="176"/>
      <c r="L100" s="61"/>
      <c r="M100" s="61"/>
      <c r="N100" s="176"/>
      <c r="O100" s="128"/>
      <c r="P100" s="62"/>
    </row>
    <row r="101" spans="1:16">
      <c r="A101" s="380"/>
      <c r="B101" s="176"/>
      <c r="C101" s="176"/>
      <c r="D101" s="176"/>
      <c r="E101" s="176"/>
      <c r="F101" s="176"/>
      <c r="G101" s="176"/>
      <c r="H101" s="176"/>
      <c r="I101" s="176"/>
      <c r="J101" s="176"/>
      <c r="K101" s="176"/>
      <c r="L101" s="61"/>
      <c r="M101" s="61"/>
      <c r="N101" s="176"/>
      <c r="O101" s="128"/>
      <c r="P101" s="62"/>
    </row>
    <row r="102" spans="1:16">
      <c r="A102" s="380"/>
      <c r="B102" s="176"/>
      <c r="C102" s="176"/>
      <c r="D102" s="176"/>
      <c r="E102" s="176"/>
      <c r="F102" s="176"/>
      <c r="G102" s="176"/>
      <c r="H102" s="176"/>
      <c r="I102" s="176"/>
      <c r="J102" s="176"/>
      <c r="K102" s="176"/>
      <c r="L102" s="61"/>
      <c r="M102" s="61"/>
      <c r="N102" s="176"/>
      <c r="O102" s="128"/>
      <c r="P102" s="62"/>
    </row>
    <row r="103" spans="1:16">
      <c r="A103" s="380"/>
      <c r="B103" s="176"/>
      <c r="C103" s="176"/>
      <c r="D103" s="176"/>
      <c r="E103" s="176"/>
      <c r="F103" s="176"/>
      <c r="G103" s="176"/>
      <c r="H103" s="176"/>
      <c r="I103" s="176"/>
      <c r="J103" s="176"/>
      <c r="K103" s="176"/>
      <c r="L103" s="61"/>
      <c r="M103" s="61"/>
      <c r="N103" s="176"/>
      <c r="O103" s="128"/>
      <c r="P103" s="62"/>
    </row>
    <row r="104" spans="1:16">
      <c r="A104" s="380"/>
      <c r="B104" s="176"/>
      <c r="C104" s="176"/>
      <c r="D104" s="176"/>
      <c r="E104" s="176"/>
      <c r="F104" s="176"/>
      <c r="G104" s="176"/>
      <c r="H104" s="176"/>
      <c r="I104" s="176"/>
      <c r="J104" s="176"/>
      <c r="K104" s="176"/>
      <c r="L104" s="61"/>
      <c r="M104" s="61"/>
      <c r="N104" s="176"/>
      <c r="O104" s="128"/>
      <c r="P104" s="62"/>
    </row>
    <row r="105" spans="1:16">
      <c r="A105" s="380"/>
      <c r="B105" s="176"/>
      <c r="C105" s="176"/>
      <c r="D105" s="176"/>
      <c r="E105" s="176"/>
      <c r="F105" s="176"/>
      <c r="G105" s="176"/>
      <c r="H105" s="176"/>
      <c r="I105" s="176"/>
      <c r="J105" s="176"/>
      <c r="K105" s="176"/>
      <c r="L105" s="61"/>
      <c r="M105" s="61"/>
      <c r="N105" s="176"/>
      <c r="O105" s="128"/>
      <c r="P105" s="62"/>
    </row>
    <row r="106" spans="1:16">
      <c r="A106" s="388"/>
      <c r="B106" s="176"/>
      <c r="C106" s="176"/>
      <c r="D106" s="176"/>
      <c r="E106" s="176"/>
      <c r="F106" s="176"/>
      <c r="G106" s="176"/>
      <c r="H106" s="176"/>
      <c r="I106" s="176"/>
      <c r="J106" s="176"/>
      <c r="K106" s="61"/>
      <c r="L106" s="61"/>
      <c r="M106" s="61"/>
      <c r="N106" s="176"/>
      <c r="O106" s="128"/>
      <c r="P106" s="62"/>
    </row>
    <row r="107" spans="1:16">
      <c r="A107" s="388"/>
      <c r="B107" s="176"/>
      <c r="C107" s="176"/>
      <c r="D107" s="176"/>
      <c r="E107" s="176"/>
      <c r="F107" s="176"/>
      <c r="G107" s="176"/>
      <c r="H107" s="176"/>
      <c r="I107" s="176"/>
      <c r="J107" s="176"/>
      <c r="K107" s="61"/>
      <c r="L107" s="61"/>
      <c r="M107" s="61"/>
      <c r="N107" s="176"/>
      <c r="O107" s="128"/>
      <c r="P107" s="62"/>
    </row>
    <row r="108" spans="1:16">
      <c r="A108" s="388"/>
      <c r="B108" s="176"/>
      <c r="C108" s="176"/>
      <c r="D108" s="176"/>
      <c r="E108" s="176"/>
      <c r="F108" s="176"/>
      <c r="G108" s="176"/>
      <c r="H108" s="176"/>
      <c r="I108" s="176"/>
      <c r="J108" s="176"/>
      <c r="K108" s="61"/>
      <c r="L108" s="61"/>
      <c r="M108" s="61"/>
      <c r="N108" s="176"/>
      <c r="O108" s="128"/>
      <c r="P108" s="62"/>
    </row>
    <row r="109" spans="1:16">
      <c r="A109" s="388"/>
      <c r="B109" s="176"/>
      <c r="C109" s="176"/>
      <c r="D109" s="176"/>
      <c r="E109" s="176"/>
      <c r="F109" s="176"/>
      <c r="G109" s="176"/>
      <c r="H109" s="176"/>
      <c r="I109" s="176"/>
      <c r="J109" s="176"/>
      <c r="K109" s="61"/>
      <c r="L109" s="61"/>
      <c r="M109" s="61"/>
      <c r="N109" s="176"/>
      <c r="O109" s="128"/>
      <c r="P109" s="62"/>
    </row>
    <row r="110" spans="1:16">
      <c r="A110" s="380"/>
      <c r="B110" s="176"/>
      <c r="C110" s="176"/>
      <c r="D110" s="176"/>
      <c r="E110" s="176"/>
      <c r="F110" s="176"/>
      <c r="G110" s="176"/>
      <c r="H110" s="176"/>
      <c r="I110" s="176"/>
      <c r="J110" s="176"/>
      <c r="K110" s="61"/>
      <c r="L110" s="65"/>
      <c r="M110" s="61"/>
      <c r="N110" s="176"/>
      <c r="O110" s="128"/>
      <c r="P110" s="62"/>
    </row>
    <row r="111" spans="1:16">
      <c r="A111" s="380"/>
      <c r="B111" s="176"/>
      <c r="C111" s="176"/>
      <c r="D111" s="176"/>
      <c r="E111" s="176"/>
      <c r="F111" s="176"/>
      <c r="G111" s="176"/>
      <c r="H111" s="176"/>
      <c r="I111" s="176"/>
      <c r="J111" s="176"/>
      <c r="K111" s="61"/>
      <c r="L111" s="65"/>
      <c r="M111" s="61"/>
      <c r="N111" s="176"/>
      <c r="O111" s="128"/>
      <c r="P111" s="62"/>
    </row>
    <row r="112" spans="1:16">
      <c r="A112" s="380"/>
      <c r="B112" s="176"/>
      <c r="C112" s="176"/>
      <c r="D112" s="176"/>
      <c r="E112" s="176"/>
      <c r="F112" s="176"/>
      <c r="G112" s="176"/>
      <c r="H112" s="176"/>
      <c r="I112" s="176"/>
      <c r="J112" s="176"/>
      <c r="K112" s="61"/>
      <c r="L112" s="65"/>
      <c r="M112" s="61"/>
      <c r="N112" s="176"/>
      <c r="O112" s="128"/>
      <c r="P112" s="62"/>
    </row>
    <row r="113" spans="1:16">
      <c r="A113" s="380"/>
      <c r="B113" s="176"/>
      <c r="C113" s="176"/>
      <c r="D113" s="176"/>
      <c r="E113" s="176"/>
      <c r="F113" s="176"/>
      <c r="G113" s="176"/>
      <c r="H113" s="176"/>
      <c r="I113" s="176"/>
      <c r="J113" s="176"/>
      <c r="K113" s="61"/>
      <c r="L113" s="65"/>
      <c r="M113" s="61"/>
      <c r="N113" s="176"/>
      <c r="O113" s="128"/>
      <c r="P113" s="62"/>
    </row>
    <row r="114" spans="1:16">
      <c r="A114" s="62"/>
      <c r="B114" s="176"/>
      <c r="C114" s="176"/>
      <c r="D114" s="176"/>
      <c r="E114" s="176"/>
      <c r="F114" s="176"/>
      <c r="G114" s="176"/>
      <c r="H114" s="176"/>
      <c r="I114" s="176"/>
      <c r="J114" s="176"/>
      <c r="K114" s="61"/>
      <c r="L114" s="65"/>
      <c r="M114" s="61"/>
      <c r="N114" s="176"/>
      <c r="O114" s="128"/>
      <c r="P114" s="62"/>
    </row>
    <row r="115" spans="1:16">
      <c r="A115" s="62"/>
      <c r="B115" s="176"/>
      <c r="C115" s="176"/>
      <c r="D115" s="176"/>
      <c r="E115" s="176"/>
      <c r="F115" s="176"/>
      <c r="G115" s="176"/>
      <c r="H115" s="176"/>
      <c r="I115" s="176"/>
      <c r="J115" s="176"/>
      <c r="K115" s="61"/>
      <c r="L115" s="65"/>
      <c r="M115" s="61"/>
      <c r="N115" s="176"/>
      <c r="O115" s="128"/>
      <c r="P115" s="62"/>
    </row>
    <row r="116" spans="1:16">
      <c r="A116" s="62"/>
      <c r="B116" s="176"/>
      <c r="C116" s="176"/>
      <c r="D116" s="176"/>
      <c r="E116" s="176"/>
      <c r="F116" s="176"/>
      <c r="G116" s="176"/>
      <c r="H116" s="176"/>
      <c r="I116" s="176"/>
      <c r="J116" s="176"/>
      <c r="K116" s="61"/>
      <c r="L116" s="65"/>
      <c r="M116" s="61"/>
      <c r="N116" s="176"/>
      <c r="O116" s="128"/>
      <c r="P116" s="62"/>
    </row>
    <row r="117" spans="1:16">
      <c r="A117" s="62"/>
      <c r="B117" s="176"/>
      <c r="C117" s="176"/>
      <c r="D117" s="176"/>
      <c r="E117" s="176"/>
      <c r="F117" s="176"/>
      <c r="G117" s="176"/>
      <c r="H117" s="176"/>
      <c r="I117" s="176"/>
      <c r="J117" s="176"/>
      <c r="K117" s="61"/>
      <c r="L117" s="65"/>
      <c r="M117" s="61"/>
      <c r="N117" s="176"/>
      <c r="O117" s="128"/>
      <c r="P117" s="62"/>
    </row>
    <row r="118" spans="1:16">
      <c r="A118" s="62"/>
      <c r="B118" s="176"/>
      <c r="C118" s="176"/>
      <c r="D118" s="176"/>
      <c r="E118" s="176"/>
      <c r="F118" s="176"/>
      <c r="G118" s="176"/>
      <c r="H118" s="176"/>
      <c r="I118" s="176"/>
      <c r="J118" s="176"/>
      <c r="K118" s="61"/>
      <c r="L118" s="65"/>
      <c r="M118" s="61"/>
      <c r="N118" s="176"/>
      <c r="O118" s="128"/>
      <c r="P118" s="62"/>
    </row>
    <row r="119" spans="1:16">
      <c r="A119" s="62"/>
      <c r="B119" s="176"/>
      <c r="C119" s="176"/>
      <c r="D119" s="176"/>
      <c r="E119" s="176"/>
      <c r="F119" s="176"/>
      <c r="G119" s="176"/>
      <c r="H119" s="176"/>
      <c r="I119" s="176"/>
      <c r="J119" s="176"/>
      <c r="K119" s="61"/>
      <c r="L119" s="65"/>
      <c r="M119" s="61"/>
      <c r="N119" s="176"/>
      <c r="O119" s="128"/>
      <c r="P119" s="62"/>
    </row>
    <row r="120" spans="1:16">
      <c r="A120" s="62"/>
      <c r="B120" s="176"/>
      <c r="C120" s="176"/>
      <c r="D120" s="176"/>
      <c r="E120" s="176"/>
      <c r="F120" s="176"/>
      <c r="G120" s="176"/>
      <c r="H120" s="176"/>
      <c r="I120" s="176"/>
      <c r="J120" s="176"/>
      <c r="K120" s="61"/>
      <c r="L120" s="65"/>
      <c r="M120" s="61"/>
      <c r="N120" s="176"/>
      <c r="O120" s="128"/>
      <c r="P120" s="62"/>
    </row>
    <row r="121" spans="1:16">
      <c r="A121" s="62"/>
      <c r="B121" s="176"/>
      <c r="C121" s="176"/>
      <c r="D121" s="176"/>
      <c r="E121" s="176"/>
      <c r="F121" s="176"/>
      <c r="G121" s="176"/>
      <c r="H121" s="176"/>
      <c r="I121" s="176"/>
      <c r="J121" s="176"/>
      <c r="K121" s="61"/>
      <c r="L121" s="65"/>
      <c r="M121" s="61"/>
      <c r="N121" s="176"/>
      <c r="O121" s="128"/>
      <c r="P121" s="62"/>
    </row>
    <row r="122" spans="1:16">
      <c r="A122" s="62"/>
      <c r="B122" s="176"/>
      <c r="C122" s="176"/>
      <c r="D122" s="176"/>
      <c r="E122" s="176"/>
      <c r="F122" s="176"/>
      <c r="G122" s="176"/>
      <c r="H122" s="176"/>
      <c r="I122" s="176"/>
      <c r="J122" s="176"/>
      <c r="K122" s="61"/>
      <c r="L122" s="65"/>
      <c r="M122" s="61"/>
      <c r="N122" s="176"/>
      <c r="O122" s="128"/>
      <c r="P122" s="62"/>
    </row>
    <row r="123" spans="1:16">
      <c r="A123" s="62"/>
      <c r="B123" s="176"/>
      <c r="C123" s="176"/>
      <c r="D123" s="176"/>
      <c r="E123" s="176"/>
      <c r="F123" s="176"/>
      <c r="G123" s="176"/>
      <c r="H123" s="176"/>
      <c r="I123" s="176"/>
      <c r="J123" s="176"/>
      <c r="K123" s="61"/>
      <c r="L123" s="65"/>
      <c r="M123" s="61"/>
      <c r="N123" s="176"/>
      <c r="O123" s="128"/>
      <c r="P123" s="62"/>
    </row>
    <row r="124" spans="1:16">
      <c r="A124" s="62"/>
      <c r="B124" s="176"/>
      <c r="C124" s="176"/>
      <c r="D124" s="176"/>
      <c r="E124" s="176"/>
      <c r="F124" s="176"/>
      <c r="G124" s="176"/>
      <c r="H124" s="176"/>
      <c r="I124" s="176"/>
      <c r="J124" s="176"/>
      <c r="K124" s="61"/>
      <c r="L124" s="65"/>
      <c r="M124" s="61"/>
      <c r="N124" s="176"/>
      <c r="O124" s="128"/>
      <c r="P124" s="62"/>
    </row>
    <row r="125" spans="1:16">
      <c r="A125" s="62"/>
      <c r="B125" s="176"/>
      <c r="C125" s="176"/>
      <c r="D125" s="176"/>
      <c r="E125" s="176"/>
      <c r="F125" s="176"/>
      <c r="G125" s="176"/>
      <c r="H125" s="176"/>
      <c r="I125" s="176"/>
      <c r="J125" s="176"/>
      <c r="K125" s="61"/>
      <c r="L125" s="65"/>
      <c r="M125" s="61"/>
      <c r="N125" s="176"/>
      <c r="O125" s="128"/>
      <c r="P125" s="62"/>
    </row>
    <row r="126" spans="1:16">
      <c r="A126" s="62"/>
      <c r="B126" s="176"/>
      <c r="C126" s="176"/>
      <c r="D126" s="176"/>
      <c r="E126" s="176"/>
      <c r="F126" s="176"/>
      <c r="G126" s="176"/>
      <c r="H126" s="176"/>
      <c r="I126" s="176"/>
      <c r="J126" s="176"/>
      <c r="K126" s="61"/>
      <c r="L126" s="65"/>
      <c r="M126" s="61"/>
      <c r="N126" s="176"/>
      <c r="O126" s="128"/>
      <c r="P126" s="62"/>
    </row>
    <row r="127" spans="1:16">
      <c r="A127" s="62"/>
      <c r="B127" s="176"/>
      <c r="C127" s="176"/>
      <c r="D127" s="176"/>
      <c r="E127" s="176"/>
      <c r="F127" s="176"/>
      <c r="G127" s="176"/>
      <c r="H127" s="176"/>
      <c r="I127" s="176"/>
      <c r="J127" s="176"/>
      <c r="K127" s="61"/>
      <c r="L127" s="65"/>
      <c r="M127" s="61"/>
      <c r="N127" s="176"/>
      <c r="O127" s="128"/>
      <c r="P127" s="62"/>
    </row>
    <row r="128" spans="1:16">
      <c r="A128" s="62"/>
      <c r="B128" s="176"/>
      <c r="C128" s="176"/>
      <c r="D128" s="176"/>
      <c r="E128" s="176"/>
      <c r="F128" s="176"/>
      <c r="G128" s="176"/>
      <c r="H128" s="176"/>
      <c r="I128" s="176"/>
      <c r="J128" s="176"/>
      <c r="K128" s="61"/>
      <c r="L128" s="65"/>
      <c r="M128" s="61"/>
      <c r="N128" s="176"/>
      <c r="O128" s="128"/>
      <c r="P128" s="62"/>
    </row>
    <row r="129" spans="1:16">
      <c r="A129" s="62"/>
      <c r="B129" s="176"/>
      <c r="C129" s="176"/>
      <c r="D129" s="176"/>
      <c r="E129" s="176"/>
      <c r="F129" s="176"/>
      <c r="G129" s="176"/>
      <c r="H129" s="176"/>
      <c r="I129" s="176"/>
      <c r="J129" s="176"/>
      <c r="K129" s="61"/>
      <c r="L129" s="65"/>
      <c r="M129" s="61"/>
      <c r="N129" s="176"/>
      <c r="O129" s="128"/>
      <c r="P129" s="62"/>
    </row>
    <row r="130" spans="1:16">
      <c r="A130" s="62"/>
      <c r="B130" s="176"/>
      <c r="C130" s="176"/>
      <c r="D130" s="176"/>
      <c r="E130" s="176"/>
      <c r="F130" s="176"/>
      <c r="G130" s="176"/>
      <c r="H130" s="176"/>
      <c r="I130" s="176"/>
      <c r="J130" s="176"/>
      <c r="K130" s="61"/>
      <c r="L130" s="65"/>
      <c r="M130" s="61"/>
      <c r="N130" s="176"/>
      <c r="O130" s="128"/>
      <c r="P130" s="62"/>
    </row>
    <row r="131" spans="1:16">
      <c r="A131" s="62"/>
      <c r="B131" s="176"/>
      <c r="C131" s="176"/>
      <c r="D131" s="176"/>
      <c r="E131" s="176"/>
      <c r="F131" s="176"/>
      <c r="G131" s="176"/>
      <c r="H131" s="176"/>
      <c r="I131" s="176"/>
      <c r="J131" s="176"/>
      <c r="K131" s="61"/>
      <c r="L131" s="65"/>
      <c r="M131" s="61"/>
      <c r="N131" s="176"/>
      <c r="O131" s="128"/>
      <c r="P131" s="62"/>
    </row>
    <row r="132" spans="1:16">
      <c r="A132" s="62"/>
      <c r="B132" s="176"/>
      <c r="C132" s="176"/>
      <c r="D132" s="176"/>
      <c r="E132" s="176"/>
      <c r="F132" s="176"/>
      <c r="G132" s="176"/>
      <c r="H132" s="176"/>
      <c r="I132" s="176"/>
      <c r="J132" s="176"/>
      <c r="K132" s="61"/>
      <c r="L132" s="65"/>
      <c r="M132" s="61"/>
      <c r="N132" s="176"/>
      <c r="O132" s="128"/>
      <c r="P132" s="62"/>
    </row>
    <row r="133" spans="1:16">
      <c r="A133" s="62"/>
      <c r="B133" s="176"/>
      <c r="C133" s="176"/>
      <c r="D133" s="176"/>
      <c r="E133" s="176"/>
      <c r="F133" s="176"/>
      <c r="G133" s="176"/>
      <c r="H133" s="176"/>
      <c r="I133" s="176"/>
      <c r="J133" s="176"/>
      <c r="K133" s="61"/>
      <c r="L133" s="65"/>
      <c r="M133" s="61"/>
      <c r="N133" s="176"/>
      <c r="O133" s="128"/>
      <c r="P133" s="62"/>
    </row>
    <row r="134" spans="1:16">
      <c r="A134" s="62"/>
      <c r="B134" s="176"/>
      <c r="C134" s="176"/>
      <c r="D134" s="176"/>
      <c r="E134" s="176"/>
      <c r="F134" s="176"/>
      <c r="G134" s="176"/>
      <c r="H134" s="176"/>
      <c r="I134" s="176"/>
      <c r="J134" s="176"/>
      <c r="K134" s="61"/>
      <c r="L134" s="65"/>
      <c r="M134" s="61"/>
      <c r="N134" s="176"/>
      <c r="O134" s="128"/>
      <c r="P134" s="62"/>
    </row>
    <row r="135" spans="1:16">
      <c r="A135" s="62"/>
      <c r="B135" s="176"/>
      <c r="C135" s="176"/>
      <c r="D135" s="176"/>
      <c r="E135" s="176"/>
      <c r="F135" s="176"/>
      <c r="G135" s="176"/>
      <c r="H135" s="176"/>
      <c r="I135" s="176"/>
      <c r="J135" s="176"/>
      <c r="K135" s="61"/>
      <c r="L135" s="65"/>
      <c r="M135" s="61"/>
      <c r="N135" s="176"/>
      <c r="O135" s="128"/>
      <c r="P135" s="62"/>
    </row>
    <row r="136" spans="1:16">
      <c r="A136" s="62"/>
      <c r="B136" s="176"/>
      <c r="C136" s="176"/>
      <c r="D136" s="176"/>
      <c r="E136" s="176"/>
      <c r="F136" s="176"/>
      <c r="G136" s="176"/>
      <c r="H136" s="176"/>
      <c r="I136" s="176"/>
      <c r="J136" s="176"/>
      <c r="K136" s="61"/>
      <c r="L136" s="65"/>
      <c r="M136" s="61"/>
      <c r="N136" s="176"/>
      <c r="O136" s="128"/>
      <c r="P136" s="62"/>
    </row>
    <row r="137" spans="1:16">
      <c r="A137" s="62"/>
      <c r="B137" s="176"/>
      <c r="C137" s="176"/>
      <c r="D137" s="176"/>
      <c r="E137" s="122"/>
      <c r="F137" s="122"/>
      <c r="G137" s="122"/>
      <c r="H137" s="122"/>
      <c r="I137" s="176"/>
      <c r="J137" s="176"/>
      <c r="K137" s="61"/>
      <c r="L137" s="65"/>
      <c r="M137" s="61"/>
      <c r="N137" s="176"/>
      <c r="O137" s="128"/>
      <c r="P137" s="62"/>
    </row>
    <row r="138" spans="1:16">
      <c r="A138" s="62"/>
      <c r="B138" s="176"/>
      <c r="C138" s="176"/>
      <c r="D138" s="176"/>
      <c r="E138" s="122"/>
      <c r="F138" s="122"/>
      <c r="G138" s="122"/>
      <c r="H138" s="122"/>
      <c r="I138" s="176"/>
      <c r="J138" s="176"/>
      <c r="K138" s="61"/>
      <c r="L138" s="65"/>
      <c r="M138" s="61"/>
      <c r="N138" s="176"/>
      <c r="O138" s="128"/>
      <c r="P138" s="62"/>
    </row>
    <row r="139" spans="1:16">
      <c r="A139" s="62"/>
      <c r="B139" s="176"/>
      <c r="C139" s="176"/>
      <c r="D139" s="176"/>
      <c r="E139" s="122"/>
      <c r="F139" s="122"/>
      <c r="G139" s="122"/>
      <c r="H139" s="122"/>
      <c r="I139" s="176"/>
      <c r="J139" s="176"/>
      <c r="K139" s="61"/>
      <c r="L139" s="65"/>
      <c r="M139" s="61"/>
      <c r="N139" s="176"/>
      <c r="O139" s="128"/>
      <c r="P139" s="62"/>
    </row>
    <row r="140" spans="1:16">
      <c r="A140" s="62"/>
      <c r="B140" s="176"/>
      <c r="C140" s="176"/>
      <c r="D140" s="176"/>
      <c r="E140" s="122"/>
      <c r="F140" s="123"/>
      <c r="G140" s="124"/>
      <c r="H140" s="123"/>
      <c r="I140" s="114"/>
      <c r="J140" s="114"/>
      <c r="K140" s="61"/>
      <c r="L140" s="65"/>
      <c r="M140" s="61"/>
      <c r="N140" s="114"/>
      <c r="O140" s="128"/>
      <c r="P140" s="62"/>
    </row>
    <row r="141" spans="1:16">
      <c r="A141" s="62"/>
      <c r="B141" s="176"/>
      <c r="C141" s="176"/>
      <c r="D141" s="176"/>
      <c r="E141" s="176"/>
      <c r="F141" s="114"/>
      <c r="G141" s="114"/>
      <c r="H141" s="114"/>
      <c r="I141" s="114"/>
      <c r="J141" s="114"/>
      <c r="K141" s="61"/>
      <c r="L141" s="65"/>
      <c r="M141" s="61"/>
      <c r="N141" s="114"/>
      <c r="O141" s="128"/>
      <c r="P141" s="62"/>
    </row>
    <row r="142" spans="1:16">
      <c r="A142" s="62"/>
      <c r="B142" s="176"/>
      <c r="C142" s="176"/>
      <c r="D142" s="176"/>
      <c r="E142" s="176"/>
      <c r="F142" s="176"/>
      <c r="G142" s="176"/>
      <c r="H142" s="176"/>
      <c r="I142" s="176"/>
      <c r="J142" s="176"/>
      <c r="K142" s="61"/>
      <c r="L142" s="65"/>
      <c r="M142" s="61"/>
      <c r="N142" s="176"/>
      <c r="O142" s="128"/>
      <c r="P142" s="62"/>
    </row>
    <row r="143" spans="1:16">
      <c r="A143" s="62"/>
      <c r="B143" s="176"/>
      <c r="C143" s="176"/>
      <c r="D143" s="176"/>
      <c r="E143" s="176"/>
      <c r="F143" s="176"/>
      <c r="G143" s="176"/>
      <c r="H143" s="176"/>
      <c r="I143" s="176"/>
      <c r="J143" s="176"/>
      <c r="K143" s="61"/>
      <c r="L143" s="65"/>
      <c r="M143" s="61"/>
      <c r="N143" s="176"/>
      <c r="O143" s="128"/>
      <c r="P143" s="62"/>
    </row>
    <row r="144" spans="1:16">
      <c r="A144" s="62"/>
      <c r="B144" s="176"/>
      <c r="C144" s="176"/>
      <c r="D144" s="176"/>
      <c r="E144" s="176"/>
      <c r="F144" s="176"/>
      <c r="G144" s="176"/>
      <c r="H144" s="176"/>
      <c r="I144" s="176"/>
      <c r="J144" s="176"/>
      <c r="K144" s="61"/>
      <c r="L144" s="65"/>
      <c r="M144" s="61"/>
      <c r="N144" s="176"/>
      <c r="O144" s="128"/>
      <c r="P144" s="62"/>
    </row>
    <row r="145" spans="1:16">
      <c r="A145" s="62"/>
      <c r="B145" s="176"/>
      <c r="C145" s="176"/>
      <c r="D145" s="176"/>
      <c r="E145" s="176"/>
      <c r="F145" s="176"/>
      <c r="G145" s="176"/>
      <c r="H145" s="176"/>
      <c r="I145" s="176"/>
      <c r="J145" s="176"/>
      <c r="K145" s="61"/>
      <c r="L145" s="65"/>
      <c r="M145" s="61"/>
      <c r="N145" s="176"/>
      <c r="O145" s="128"/>
      <c r="P145" s="62"/>
    </row>
    <row r="146" spans="1:16">
      <c r="A146" s="62"/>
      <c r="B146" s="176"/>
      <c r="C146" s="176"/>
      <c r="D146" s="176"/>
      <c r="E146" s="176"/>
      <c r="F146" s="176"/>
      <c r="G146" s="176"/>
      <c r="H146" s="176"/>
      <c r="I146" s="176"/>
      <c r="J146" s="176"/>
      <c r="K146" s="61"/>
      <c r="L146" s="65"/>
      <c r="M146" s="61"/>
      <c r="N146" s="176"/>
      <c r="O146" s="128"/>
      <c r="P146" s="62"/>
    </row>
    <row r="147" spans="1:16">
      <c r="A147" s="62"/>
      <c r="B147" s="176"/>
      <c r="C147" s="176"/>
      <c r="D147" s="176"/>
      <c r="E147" s="176"/>
      <c r="F147" s="176"/>
      <c r="G147" s="176"/>
      <c r="H147" s="176"/>
      <c r="I147" s="176"/>
      <c r="J147" s="176"/>
      <c r="K147" s="61"/>
      <c r="L147" s="65"/>
      <c r="M147" s="61"/>
      <c r="N147" s="176"/>
      <c r="O147" s="128"/>
      <c r="P147" s="62"/>
    </row>
    <row r="148" spans="1:16">
      <c r="A148" s="62"/>
      <c r="B148" s="176"/>
      <c r="C148" s="176"/>
      <c r="D148" s="176"/>
      <c r="E148" s="176"/>
      <c r="F148" s="176"/>
      <c r="G148" s="176"/>
      <c r="H148" s="176"/>
      <c r="I148" s="176"/>
      <c r="J148" s="176"/>
      <c r="K148" s="61"/>
      <c r="L148" s="65"/>
      <c r="M148" s="61"/>
      <c r="N148" s="176"/>
      <c r="O148" s="128"/>
      <c r="P148" s="62"/>
    </row>
    <row r="149" spans="1:16">
      <c r="A149" s="62"/>
      <c r="B149" s="176"/>
      <c r="C149" s="176"/>
      <c r="D149" s="176"/>
      <c r="E149" s="176"/>
      <c r="F149" s="176"/>
      <c r="G149" s="176"/>
      <c r="H149" s="176"/>
      <c r="I149" s="176"/>
      <c r="J149" s="176"/>
      <c r="K149" s="61"/>
      <c r="L149" s="65"/>
      <c r="M149" s="61"/>
      <c r="N149" s="176"/>
      <c r="O149" s="128"/>
      <c r="P149" s="62"/>
    </row>
    <row r="150" spans="1:16">
      <c r="A150" s="62"/>
      <c r="B150" s="176"/>
      <c r="C150" s="176"/>
      <c r="D150" s="176"/>
      <c r="E150" s="176"/>
      <c r="F150" s="176"/>
      <c r="G150" s="176"/>
      <c r="H150" s="176"/>
      <c r="I150" s="176"/>
      <c r="J150" s="176"/>
      <c r="K150" s="61"/>
      <c r="L150" s="65"/>
      <c r="M150" s="61"/>
      <c r="N150" s="176"/>
      <c r="O150" s="128"/>
      <c r="P150" s="62"/>
    </row>
    <row r="151" spans="1:16">
      <c r="A151" s="62"/>
      <c r="B151" s="176"/>
      <c r="C151" s="176"/>
      <c r="D151" s="176"/>
      <c r="E151" s="176"/>
      <c r="F151" s="176"/>
      <c r="G151" s="176"/>
      <c r="H151" s="176"/>
      <c r="I151" s="176"/>
      <c r="J151" s="176"/>
      <c r="K151" s="61"/>
      <c r="L151" s="65"/>
      <c r="M151" s="61"/>
      <c r="N151" s="176"/>
      <c r="O151" s="128"/>
      <c r="P151" s="62"/>
    </row>
    <row r="152" spans="1:16">
      <c r="A152" s="62"/>
      <c r="B152" s="176"/>
      <c r="C152" s="176"/>
      <c r="D152" s="176"/>
      <c r="E152" s="176"/>
      <c r="F152" s="176"/>
      <c r="G152" s="176"/>
      <c r="H152" s="176"/>
      <c r="I152" s="176"/>
      <c r="J152" s="176"/>
      <c r="K152" s="61"/>
      <c r="L152" s="65"/>
      <c r="M152" s="61"/>
      <c r="N152" s="176"/>
      <c r="O152" s="128"/>
      <c r="P152" s="62"/>
    </row>
    <row r="153" spans="1:16">
      <c r="A153" s="62"/>
      <c r="B153" s="176"/>
      <c r="C153" s="176"/>
      <c r="D153" s="176"/>
      <c r="E153" s="176"/>
      <c r="F153" s="176"/>
      <c r="G153" s="176"/>
      <c r="H153" s="176"/>
      <c r="I153" s="176"/>
      <c r="J153" s="176"/>
      <c r="K153" s="61"/>
      <c r="L153" s="65"/>
      <c r="M153" s="61"/>
      <c r="N153" s="176"/>
      <c r="O153" s="128"/>
      <c r="P153" s="62"/>
    </row>
    <row r="154" spans="1:16">
      <c r="A154" s="62"/>
      <c r="B154" s="176"/>
      <c r="C154" s="176"/>
      <c r="D154" s="176"/>
      <c r="E154" s="176"/>
      <c r="F154" s="176"/>
      <c r="G154" s="176"/>
      <c r="H154" s="176"/>
      <c r="I154" s="176"/>
      <c r="J154" s="176"/>
      <c r="K154" s="61"/>
      <c r="L154" s="65"/>
      <c r="M154" s="61"/>
      <c r="N154" s="176"/>
      <c r="O154" s="128"/>
      <c r="P154" s="62"/>
    </row>
    <row r="155" spans="1:16">
      <c r="A155" s="62"/>
      <c r="B155" s="176"/>
      <c r="C155" s="176"/>
      <c r="D155" s="176"/>
      <c r="E155" s="176"/>
      <c r="F155" s="176"/>
      <c r="G155" s="176"/>
      <c r="H155" s="176"/>
      <c r="I155" s="176"/>
      <c r="J155" s="176"/>
      <c r="K155" s="61"/>
      <c r="L155" s="65"/>
      <c r="M155" s="61"/>
      <c r="N155" s="176"/>
      <c r="O155" s="128"/>
      <c r="P155" s="62"/>
    </row>
    <row r="156" spans="1:16">
      <c r="A156" s="62"/>
      <c r="B156" s="176"/>
      <c r="C156" s="176"/>
      <c r="D156" s="176"/>
      <c r="E156" s="176"/>
      <c r="F156" s="176"/>
      <c r="G156" s="176"/>
      <c r="H156" s="176"/>
      <c r="I156" s="176"/>
      <c r="J156" s="176"/>
      <c r="K156" s="61"/>
      <c r="L156" s="65"/>
      <c r="M156" s="61"/>
      <c r="N156" s="176"/>
      <c r="O156" s="128"/>
      <c r="P156" s="62"/>
    </row>
    <row r="157" spans="1:16">
      <c r="A157" s="62"/>
      <c r="B157" s="176"/>
      <c r="C157" s="176"/>
      <c r="D157" s="176"/>
      <c r="E157" s="176"/>
      <c r="F157" s="176"/>
      <c r="G157" s="176"/>
      <c r="H157" s="176"/>
      <c r="I157" s="176"/>
      <c r="J157" s="176"/>
      <c r="K157" s="61"/>
      <c r="L157" s="65"/>
      <c r="M157" s="61"/>
      <c r="N157" s="176"/>
      <c r="O157" s="128"/>
      <c r="P157" s="62"/>
    </row>
    <row r="158" spans="1:16">
      <c r="A158" s="62"/>
      <c r="B158" s="176"/>
      <c r="C158" s="176"/>
      <c r="D158" s="176"/>
      <c r="E158" s="176"/>
      <c r="F158" s="176"/>
      <c r="G158" s="176"/>
      <c r="H158" s="176"/>
      <c r="I158" s="176"/>
      <c r="J158" s="176"/>
      <c r="K158" s="61"/>
      <c r="L158" s="65"/>
      <c r="M158" s="61"/>
      <c r="N158" s="176"/>
      <c r="O158" s="128"/>
      <c r="P158" s="62"/>
    </row>
    <row r="159" spans="1:16">
      <c r="A159" s="62"/>
      <c r="B159" s="176"/>
      <c r="C159" s="176"/>
      <c r="D159" s="176"/>
      <c r="E159" s="176"/>
      <c r="F159" s="176"/>
      <c r="G159" s="176"/>
      <c r="H159" s="176"/>
      <c r="I159" s="176"/>
      <c r="J159" s="176"/>
      <c r="K159" s="61"/>
      <c r="L159" s="65"/>
      <c r="M159" s="61"/>
      <c r="N159" s="176"/>
      <c r="O159" s="128"/>
      <c r="P159" s="62"/>
    </row>
    <row r="160" spans="1:16">
      <c r="A160" s="62"/>
      <c r="B160" s="176"/>
      <c r="C160" s="176"/>
      <c r="D160" s="176"/>
      <c r="E160" s="176"/>
      <c r="F160" s="176"/>
      <c r="G160" s="176"/>
      <c r="H160" s="176"/>
      <c r="I160" s="176"/>
      <c r="J160" s="176"/>
      <c r="K160" s="61"/>
      <c r="L160" s="65"/>
      <c r="M160" s="61"/>
      <c r="N160" s="176"/>
      <c r="O160" s="128"/>
      <c r="P160" s="62"/>
    </row>
    <row r="161" spans="1:16">
      <c r="A161" s="62"/>
      <c r="B161" s="176"/>
      <c r="C161" s="176"/>
      <c r="D161" s="176"/>
      <c r="E161" s="176"/>
      <c r="F161" s="176"/>
      <c r="G161" s="176"/>
      <c r="H161" s="176"/>
      <c r="I161" s="176"/>
      <c r="J161" s="176"/>
      <c r="K161" s="61"/>
      <c r="L161" s="65"/>
      <c r="M161" s="61"/>
      <c r="N161" s="176"/>
      <c r="O161" s="128"/>
      <c r="P161" s="62"/>
    </row>
    <row r="162" spans="1:16">
      <c r="A162" s="62"/>
      <c r="B162" s="62"/>
      <c r="C162" s="62"/>
      <c r="D162" s="62"/>
      <c r="E162" s="62"/>
      <c r="F162" s="62"/>
      <c r="G162" s="62"/>
      <c r="H162" s="62"/>
      <c r="I162" s="62"/>
      <c r="J162" s="62"/>
      <c r="K162" s="62"/>
      <c r="L162" s="126"/>
      <c r="M162" s="62"/>
      <c r="N162" s="62"/>
      <c r="O162" s="62"/>
      <c r="P162" s="62"/>
    </row>
    <row r="163" spans="1:16">
      <c r="A163" s="62"/>
      <c r="B163" s="62"/>
      <c r="C163" s="62"/>
      <c r="D163" s="62"/>
      <c r="E163" s="62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</row>
    <row r="164" spans="1:16">
      <c r="A164" s="62"/>
      <c r="B164" s="62"/>
      <c r="C164" s="62"/>
      <c r="D164" s="62"/>
      <c r="E164" s="62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</row>
    <row r="165" spans="1:16">
      <c r="A165" s="62"/>
      <c r="B165" s="62"/>
      <c r="C165" s="62"/>
      <c r="D165" s="62"/>
      <c r="E165" s="62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</row>
    <row r="166" spans="1:16">
      <c r="A166" s="62"/>
      <c r="B166" s="176"/>
      <c r="C166" s="176"/>
      <c r="D166" s="176"/>
      <c r="E166" s="176"/>
      <c r="F166" s="176"/>
      <c r="G166" s="176"/>
      <c r="H166" s="176"/>
      <c r="I166" s="176"/>
      <c r="J166" s="176"/>
      <c r="K166" s="176"/>
      <c r="L166" s="61"/>
      <c r="M166" s="61"/>
      <c r="N166" s="176"/>
      <c r="O166" s="120"/>
      <c r="P166" s="62"/>
    </row>
    <row r="167" spans="1:16">
      <c r="A167" s="62"/>
      <c r="B167" s="176"/>
      <c r="C167" s="176"/>
      <c r="D167" s="176"/>
      <c r="E167" s="176"/>
      <c r="F167" s="176"/>
      <c r="G167" s="176"/>
      <c r="H167" s="176"/>
      <c r="I167" s="176"/>
      <c r="J167" s="176"/>
      <c r="K167" s="176"/>
      <c r="L167" s="61"/>
      <c r="M167" s="61"/>
      <c r="N167" s="176"/>
      <c r="O167" s="120"/>
      <c r="P167" s="62"/>
    </row>
    <row r="168" spans="1:16">
      <c r="A168" s="62"/>
      <c r="B168" s="176"/>
      <c r="C168" s="176"/>
      <c r="D168" s="176"/>
      <c r="E168" s="176"/>
      <c r="F168" s="176"/>
      <c r="G168" s="176"/>
      <c r="H168" s="176"/>
      <c r="I168" s="176"/>
      <c r="J168" s="176"/>
      <c r="K168" s="176"/>
      <c r="L168" s="61"/>
      <c r="M168" s="61"/>
      <c r="N168" s="176"/>
      <c r="O168" s="120"/>
      <c r="P168" s="62"/>
    </row>
    <row r="169" spans="1:16">
      <c r="A169" s="62"/>
      <c r="B169" s="176"/>
      <c r="C169" s="176"/>
      <c r="D169" s="176"/>
      <c r="E169" s="176"/>
      <c r="F169" s="176"/>
      <c r="G169" s="176"/>
      <c r="H169" s="176"/>
      <c r="I169" s="176"/>
      <c r="J169" s="176"/>
      <c r="K169" s="61"/>
      <c r="L169" s="65"/>
      <c r="M169" s="61"/>
      <c r="N169" s="176"/>
      <c r="O169" s="120"/>
      <c r="P169" s="62"/>
    </row>
    <row r="170" spans="1:16">
      <c r="A170" s="62"/>
      <c r="B170" s="176"/>
      <c r="C170" s="176"/>
      <c r="D170" s="176"/>
      <c r="E170" s="176"/>
      <c r="F170" s="176"/>
      <c r="G170" s="176"/>
      <c r="H170" s="176"/>
      <c r="I170" s="176"/>
      <c r="J170" s="176"/>
      <c r="K170" s="61"/>
      <c r="L170" s="65"/>
      <c r="M170" s="61"/>
      <c r="N170" s="176"/>
      <c r="O170" s="120"/>
      <c r="P170" s="62"/>
    </row>
    <row r="171" spans="1:16">
      <c r="A171" s="62"/>
      <c r="B171" s="176"/>
      <c r="C171" s="176"/>
      <c r="D171" s="176"/>
      <c r="E171" s="176"/>
      <c r="F171" s="176"/>
      <c r="G171" s="176"/>
      <c r="H171" s="176"/>
      <c r="I171" s="176"/>
      <c r="J171" s="176"/>
      <c r="K171" s="61"/>
      <c r="L171" s="65"/>
      <c r="M171" s="61"/>
      <c r="N171" s="176"/>
      <c r="O171" s="120"/>
      <c r="P171" s="62"/>
    </row>
    <row r="172" spans="1:16">
      <c r="A172" s="62"/>
      <c r="B172" s="176"/>
      <c r="C172" s="176"/>
      <c r="D172" s="176"/>
      <c r="E172" s="176"/>
      <c r="F172" s="176"/>
      <c r="G172" s="176"/>
      <c r="H172" s="176"/>
      <c r="I172" s="176"/>
      <c r="J172" s="176"/>
      <c r="K172" s="61"/>
      <c r="L172" s="65"/>
      <c r="M172" s="61"/>
      <c r="N172" s="176"/>
      <c r="O172" s="120"/>
      <c r="P172" s="62"/>
    </row>
    <row r="173" spans="1:16">
      <c r="A173" s="62"/>
      <c r="B173" s="62"/>
      <c r="C173" s="62"/>
      <c r="D173" s="62"/>
      <c r="E173" s="62"/>
      <c r="F173" s="62"/>
      <c r="G173" s="62"/>
      <c r="H173" s="62"/>
      <c r="I173" s="62"/>
      <c r="J173" s="62"/>
      <c r="K173" s="62"/>
      <c r="L173" s="126"/>
      <c r="M173" s="62"/>
      <c r="N173" s="62"/>
      <c r="O173" s="62"/>
      <c r="P173" s="62"/>
    </row>
    <row r="174" spans="1:16">
      <c r="A174" s="62"/>
      <c r="B174" s="62"/>
      <c r="C174" s="62"/>
      <c r="D174" s="62"/>
      <c r="E174" s="62"/>
      <c r="F174" s="62"/>
      <c r="G174" s="62"/>
      <c r="H174" s="62"/>
      <c r="I174" s="62"/>
      <c r="J174" s="62"/>
      <c r="K174" s="62"/>
      <c r="L174" s="62"/>
      <c r="M174" s="66"/>
      <c r="N174" s="62"/>
      <c r="O174" s="62"/>
      <c r="P174" s="62"/>
    </row>
    <row r="175" spans="1:16">
      <c r="A175" s="62"/>
      <c r="B175" s="62"/>
      <c r="C175" s="62"/>
      <c r="D175" s="62"/>
      <c r="E175" s="62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</row>
    <row r="176" spans="1:16">
      <c r="A176" s="62"/>
      <c r="B176" s="62"/>
      <c r="C176" s="62"/>
      <c r="D176" s="62"/>
      <c r="E176" s="62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</row>
    <row r="177" spans="1:16">
      <c r="A177" s="62"/>
      <c r="B177" s="176"/>
      <c r="C177" s="176"/>
      <c r="D177" s="176"/>
      <c r="E177" s="176"/>
      <c r="F177" s="176"/>
      <c r="G177" s="121"/>
      <c r="H177" s="176"/>
      <c r="I177" s="176"/>
      <c r="J177" s="176"/>
      <c r="K177" s="61"/>
      <c r="L177" s="65"/>
      <c r="M177" s="61"/>
      <c r="N177" s="176"/>
      <c r="O177" s="121"/>
      <c r="P177" s="62"/>
    </row>
    <row r="178" spans="1:16">
      <c r="A178" s="62"/>
      <c r="B178" s="175"/>
      <c r="C178" s="175"/>
      <c r="D178" s="176"/>
      <c r="E178" s="176"/>
      <c r="F178" s="176"/>
      <c r="G178" s="121"/>
      <c r="H178" s="176"/>
      <c r="I178" s="176"/>
      <c r="J178" s="176"/>
      <c r="K178" s="61"/>
      <c r="L178" s="65"/>
      <c r="M178" s="61"/>
      <c r="N178" s="176"/>
      <c r="O178" s="121"/>
      <c r="P178" s="62"/>
    </row>
    <row r="179" spans="1:16">
      <c r="A179" s="62"/>
      <c r="B179" s="175"/>
      <c r="C179" s="175"/>
      <c r="D179" s="176"/>
      <c r="E179" s="176"/>
      <c r="F179" s="176"/>
      <c r="G179" s="121"/>
      <c r="H179" s="176"/>
      <c r="I179" s="176"/>
      <c r="J179" s="176"/>
      <c r="K179" s="61"/>
      <c r="L179" s="65"/>
      <c r="M179" s="61"/>
      <c r="N179" s="176"/>
      <c r="O179" s="121"/>
      <c r="P179" s="62"/>
    </row>
    <row r="180" spans="1:16">
      <c r="A180" s="62"/>
      <c r="B180" s="175"/>
      <c r="C180" s="175"/>
      <c r="D180" s="176"/>
      <c r="E180" s="176"/>
      <c r="F180" s="176"/>
      <c r="G180" s="121"/>
      <c r="H180" s="176"/>
      <c r="I180" s="176"/>
      <c r="J180" s="176"/>
      <c r="K180" s="61"/>
      <c r="L180" s="65"/>
      <c r="M180" s="61"/>
      <c r="N180" s="176"/>
      <c r="O180" s="121"/>
      <c r="P180" s="62"/>
    </row>
    <row r="181" spans="1:16">
      <c r="A181" s="62"/>
      <c r="B181" s="175"/>
      <c r="C181" s="175"/>
      <c r="D181" s="176"/>
      <c r="E181" s="176"/>
      <c r="F181" s="176"/>
      <c r="G181" s="121"/>
      <c r="H181" s="176"/>
      <c r="I181" s="176"/>
      <c r="J181" s="176"/>
      <c r="K181" s="61"/>
      <c r="L181" s="65"/>
      <c r="M181" s="61"/>
      <c r="N181" s="176"/>
      <c r="O181" s="121"/>
      <c r="P181" s="62"/>
    </row>
    <row r="182" spans="1:16">
      <c r="A182" s="62"/>
      <c r="B182" s="175"/>
      <c r="C182" s="175"/>
      <c r="D182" s="176"/>
      <c r="E182" s="176"/>
      <c r="F182" s="176"/>
      <c r="G182" s="121"/>
      <c r="H182" s="176"/>
      <c r="I182" s="176"/>
      <c r="J182" s="176"/>
      <c r="K182" s="61"/>
      <c r="L182" s="65"/>
      <c r="M182" s="61"/>
      <c r="N182" s="176"/>
      <c r="O182" s="121"/>
      <c r="P182" s="62"/>
    </row>
    <row r="183" spans="1:16">
      <c r="A183" s="62"/>
      <c r="B183" s="176"/>
      <c r="C183" s="176"/>
      <c r="D183" s="176"/>
      <c r="E183" s="176"/>
      <c r="F183" s="176"/>
      <c r="G183" s="121"/>
      <c r="H183" s="176"/>
      <c r="I183" s="176"/>
      <c r="J183" s="176"/>
      <c r="K183" s="61"/>
      <c r="L183" s="65"/>
      <c r="M183" s="61"/>
      <c r="N183" s="176"/>
      <c r="O183" s="121"/>
      <c r="P183" s="62"/>
    </row>
    <row r="184" spans="1:16">
      <c r="A184" s="62"/>
      <c r="B184" s="62"/>
      <c r="C184" s="62"/>
      <c r="D184" s="62"/>
      <c r="E184" s="62"/>
      <c r="F184" s="62"/>
      <c r="G184" s="62"/>
      <c r="H184" s="62"/>
      <c r="I184" s="62"/>
      <c r="J184" s="62"/>
      <c r="K184" s="62"/>
      <c r="L184" s="126"/>
      <c r="M184" s="62"/>
      <c r="N184" s="62"/>
      <c r="O184" s="62"/>
      <c r="P184" s="62"/>
    </row>
    <row r="185" spans="1:16">
      <c r="A185" s="62"/>
      <c r="B185" s="62"/>
      <c r="C185" s="62"/>
      <c r="D185" s="62"/>
      <c r="E185" s="62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</row>
    <row r="186" spans="1:16">
      <c r="A186" s="62"/>
      <c r="B186" s="62"/>
      <c r="C186" s="62"/>
      <c r="D186" s="62"/>
      <c r="E186" s="62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</row>
    <row r="187" spans="1:16">
      <c r="A187" s="62"/>
      <c r="B187" s="176"/>
      <c r="C187" s="176"/>
      <c r="D187" s="176"/>
      <c r="E187" s="176"/>
      <c r="F187" s="176"/>
      <c r="G187" s="121"/>
      <c r="H187" s="176"/>
      <c r="I187" s="176"/>
      <c r="J187" s="176"/>
      <c r="K187" s="61"/>
      <c r="L187" s="65"/>
      <c r="M187" s="61"/>
      <c r="N187" s="176"/>
      <c r="O187" s="121"/>
      <c r="P187" s="120"/>
    </row>
    <row r="188" spans="1:16">
      <c r="A188" s="62"/>
      <c r="B188" s="176"/>
      <c r="C188" s="176"/>
      <c r="D188" s="176"/>
      <c r="E188" s="176"/>
      <c r="F188" s="176"/>
      <c r="G188" s="121"/>
      <c r="H188" s="176"/>
      <c r="I188" s="176"/>
      <c r="J188" s="176"/>
      <c r="K188" s="61"/>
      <c r="L188" s="65"/>
      <c r="M188" s="61"/>
      <c r="N188" s="176"/>
      <c r="O188" s="121"/>
      <c r="P188" s="120"/>
    </row>
    <row r="189" spans="1:16">
      <c r="A189" s="62"/>
      <c r="B189" s="176"/>
      <c r="C189" s="176"/>
      <c r="D189" s="176"/>
      <c r="E189" s="176"/>
      <c r="F189" s="176"/>
      <c r="G189" s="121"/>
      <c r="H189" s="176"/>
      <c r="I189" s="176"/>
      <c r="J189" s="176"/>
      <c r="K189" s="61"/>
      <c r="L189" s="65"/>
      <c r="M189" s="61"/>
      <c r="N189" s="176"/>
      <c r="O189" s="121"/>
      <c r="P189" s="120"/>
    </row>
    <row r="190" spans="1:16">
      <c r="A190" s="62"/>
      <c r="B190" s="176"/>
      <c r="C190" s="176"/>
      <c r="D190" s="176"/>
      <c r="E190" s="176"/>
      <c r="F190" s="176"/>
      <c r="G190" s="121"/>
      <c r="H190" s="176"/>
      <c r="I190" s="176"/>
      <c r="J190" s="176"/>
      <c r="K190" s="61"/>
      <c r="L190" s="65"/>
      <c r="M190" s="61"/>
      <c r="N190" s="176"/>
      <c r="O190" s="121"/>
      <c r="P190" s="120"/>
    </row>
    <row r="191" spans="1:16">
      <c r="A191" s="62"/>
      <c r="B191" s="62"/>
      <c r="C191" s="62"/>
      <c r="D191" s="62"/>
      <c r="E191" s="62"/>
      <c r="F191" s="62"/>
      <c r="G191" s="62"/>
      <c r="H191" s="62"/>
      <c r="I191" s="62"/>
      <c r="J191" s="62"/>
      <c r="K191" s="62"/>
      <c r="L191" s="126"/>
      <c r="M191" s="66"/>
      <c r="N191" s="62"/>
      <c r="O191" s="62"/>
      <c r="P191" s="62"/>
    </row>
    <row r="192" spans="1:16">
      <c r="A192" s="62"/>
      <c r="B192" s="62"/>
      <c r="C192" s="62"/>
      <c r="D192" s="62"/>
      <c r="E192" s="62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</row>
    <row r="193" spans="1:16">
      <c r="A193" s="62"/>
      <c r="B193" s="62"/>
      <c r="C193" s="62"/>
      <c r="D193" s="62"/>
      <c r="E193" s="62"/>
      <c r="F193" s="62"/>
      <c r="G193" s="62"/>
      <c r="H193" s="62"/>
      <c r="I193" s="62"/>
      <c r="J193" s="62"/>
      <c r="K193" s="62"/>
      <c r="L193" s="125"/>
      <c r="M193" s="62"/>
      <c r="N193" s="62"/>
      <c r="O193" s="62"/>
      <c r="P193" s="62"/>
    </row>
  </sheetData>
  <mergeCells count="12">
    <mergeCell ref="A28:A41"/>
    <mergeCell ref="A42:A52"/>
    <mergeCell ref="A100:A101"/>
    <mergeCell ref="A102:A105"/>
    <mergeCell ref="A106:A109"/>
    <mergeCell ref="A110:A113"/>
    <mergeCell ref="A53:A61"/>
    <mergeCell ref="A62:A71"/>
    <mergeCell ref="A72:A74"/>
    <mergeCell ref="A77:A80"/>
    <mergeCell ref="A91:A92"/>
    <mergeCell ref="A94:A99"/>
  </mergeCells>
  <pageMargins left="0.7" right="0.7" top="0.75" bottom="0.75" header="0.3" footer="0.3"/>
  <pageSetup paperSize="9" orientation="portrait" verticalDpi="0" r:id="rId1"/>
</worksheet>
</file>

<file path=xl/worksheets/sheet50.xml><?xml version="1.0" encoding="utf-8"?>
<worksheet xmlns="http://schemas.openxmlformats.org/spreadsheetml/2006/main" xmlns:r="http://schemas.openxmlformats.org/officeDocument/2006/relationships">
  <dimension ref="A5:T183"/>
  <sheetViews>
    <sheetView workbookViewId="0">
      <selection activeCell="A19" sqref="A19"/>
    </sheetView>
  </sheetViews>
  <sheetFormatPr defaultRowHeight="14.4"/>
  <cols>
    <col min="1" max="1" width="8.88671875" style="1"/>
    <col min="2" max="2" width="21.6640625" style="1" customWidth="1"/>
    <col min="3" max="3" width="8.88671875" style="1"/>
    <col min="4" max="4" width="5.44140625" style="1" customWidth="1"/>
    <col min="5" max="5" width="12" style="1" customWidth="1"/>
    <col min="6" max="6" width="7.33203125" style="1" customWidth="1"/>
    <col min="7" max="7" width="6.33203125" style="1" customWidth="1"/>
    <col min="8" max="8" width="7.21875" style="1" customWidth="1"/>
    <col min="9" max="9" width="7.33203125" style="1" customWidth="1"/>
    <col min="10" max="10" width="6.44140625" style="1" customWidth="1"/>
    <col min="11" max="11" width="8.88671875" style="1"/>
    <col min="12" max="12" width="6.88671875" style="1" customWidth="1"/>
    <col min="13" max="13" width="7.33203125" style="1" customWidth="1"/>
    <col min="14" max="16384" width="8.88671875" style="1"/>
  </cols>
  <sheetData>
    <row r="5" spans="1:20" ht="20.399999999999999">
      <c r="A5" s="58" t="s">
        <v>3</v>
      </c>
      <c r="B5" s="58" t="s">
        <v>4</v>
      </c>
      <c r="C5" s="58" t="s">
        <v>5</v>
      </c>
      <c r="D5" s="58" t="s">
        <v>6</v>
      </c>
      <c r="E5" s="58" t="s">
        <v>37</v>
      </c>
      <c r="F5" s="58" t="s">
        <v>7</v>
      </c>
      <c r="G5" s="58" t="s">
        <v>8</v>
      </c>
      <c r="H5" s="58" t="s">
        <v>9</v>
      </c>
      <c r="I5" s="58" t="s">
        <v>10</v>
      </c>
      <c r="J5" s="59" t="s">
        <v>18</v>
      </c>
      <c r="K5" s="59" t="s">
        <v>17</v>
      </c>
      <c r="L5" s="58" t="s">
        <v>11</v>
      </c>
      <c r="M5" s="58" t="s">
        <v>36</v>
      </c>
      <c r="N5" s="58" t="s">
        <v>12</v>
      </c>
      <c r="O5" s="58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0">
      <c r="A6" s="63"/>
      <c r="B6" s="301"/>
      <c r="C6" s="301"/>
      <c r="D6" s="301"/>
      <c r="E6" s="301"/>
      <c r="F6" s="301"/>
      <c r="G6" s="301"/>
      <c r="H6" s="301"/>
      <c r="I6" s="301"/>
      <c r="J6" s="301"/>
      <c r="K6" s="61"/>
      <c r="L6" s="65"/>
      <c r="M6" s="61"/>
      <c r="N6" s="301"/>
      <c r="O6" s="62"/>
      <c r="P6" s="62"/>
    </row>
    <row r="7" spans="1:20">
      <c r="A7" s="63"/>
      <c r="B7" s="301"/>
      <c r="C7" s="301"/>
      <c r="D7" s="301"/>
      <c r="E7" s="301"/>
      <c r="F7" s="301"/>
      <c r="G7" s="301"/>
      <c r="H7" s="301"/>
      <c r="I7" s="301"/>
      <c r="J7" s="301"/>
      <c r="K7" s="61"/>
      <c r="L7" s="65"/>
      <c r="M7" s="61"/>
      <c r="N7" s="301"/>
      <c r="O7" s="62"/>
      <c r="P7" s="62"/>
    </row>
    <row r="8" spans="1:20">
      <c r="A8" s="63"/>
      <c r="B8" s="301"/>
      <c r="C8" s="301"/>
      <c r="D8" s="301"/>
      <c r="E8" s="301"/>
      <c r="F8" s="301"/>
      <c r="G8" s="301"/>
      <c r="H8" s="301"/>
      <c r="I8" s="301"/>
      <c r="J8" s="301"/>
      <c r="K8" s="61"/>
      <c r="L8" s="65"/>
      <c r="M8" s="61"/>
      <c r="N8" s="301"/>
      <c r="O8" s="62"/>
      <c r="P8" s="62"/>
    </row>
    <row r="9" spans="1:20">
      <c r="A9" s="374" t="s">
        <v>4034</v>
      </c>
      <c r="B9" s="356" t="s">
        <v>4035</v>
      </c>
      <c r="C9" s="356" t="s">
        <v>20</v>
      </c>
      <c r="D9" s="42" t="s">
        <v>16</v>
      </c>
      <c r="E9" s="356" t="s">
        <v>4036</v>
      </c>
      <c r="F9" s="356">
        <v>1104</v>
      </c>
      <c r="G9" s="356"/>
      <c r="H9" s="356">
        <v>15000</v>
      </c>
      <c r="I9" s="356">
        <v>300</v>
      </c>
      <c r="J9" s="356">
        <v>0.13</v>
      </c>
      <c r="K9" s="43">
        <f t="shared" ref="K9:K14" si="0">I9*J9</f>
        <v>39</v>
      </c>
      <c r="L9" s="43">
        <f t="shared" ref="L9:L14" si="1">H9-K9</f>
        <v>14961</v>
      </c>
      <c r="M9" s="43"/>
      <c r="N9" s="43">
        <f t="shared" ref="N9:N14" si="2">L9-M9</f>
        <v>14961</v>
      </c>
      <c r="O9" s="43">
        <f t="shared" ref="O9:O14" si="3">H9/1000*70</f>
        <v>1050</v>
      </c>
      <c r="P9" s="42">
        <v>11500</v>
      </c>
      <c r="Q9" s="42"/>
      <c r="R9" s="42">
        <f t="shared" ref="R9:R14" si="4">L9*Q9</f>
        <v>0</v>
      </c>
    </row>
    <row r="10" spans="1:20">
      <c r="A10" s="374"/>
      <c r="B10" s="356" t="s">
        <v>4035</v>
      </c>
      <c r="C10" s="356" t="s">
        <v>20</v>
      </c>
      <c r="D10" s="42" t="s">
        <v>16</v>
      </c>
      <c r="E10" s="356" t="s">
        <v>4037</v>
      </c>
      <c r="F10" s="356">
        <v>1105</v>
      </c>
      <c r="G10" s="356"/>
      <c r="H10" s="356">
        <v>14970</v>
      </c>
      <c r="I10" s="356">
        <v>300</v>
      </c>
      <c r="J10" s="356">
        <v>0.13</v>
      </c>
      <c r="K10" s="43">
        <f t="shared" si="0"/>
        <v>39</v>
      </c>
      <c r="L10" s="43">
        <f t="shared" si="1"/>
        <v>14931</v>
      </c>
      <c r="M10" s="43"/>
      <c r="N10" s="43">
        <f t="shared" si="2"/>
        <v>14931</v>
      </c>
      <c r="O10" s="43">
        <f t="shared" si="3"/>
        <v>1047.9000000000001</v>
      </c>
      <c r="P10" s="42">
        <v>11500</v>
      </c>
      <c r="Q10" s="42"/>
      <c r="R10" s="42">
        <f t="shared" si="4"/>
        <v>0</v>
      </c>
    </row>
    <row r="11" spans="1:20">
      <c r="A11" s="374" t="s">
        <v>4045</v>
      </c>
      <c r="B11" s="357" t="s">
        <v>4035</v>
      </c>
      <c r="C11" s="357" t="s">
        <v>20</v>
      </c>
      <c r="D11" s="42" t="s">
        <v>16</v>
      </c>
      <c r="E11" s="357" t="s">
        <v>4044</v>
      </c>
      <c r="F11" s="357">
        <v>1111</v>
      </c>
      <c r="G11" s="357"/>
      <c r="H11" s="357">
        <v>15000</v>
      </c>
      <c r="I11" s="357">
        <v>300</v>
      </c>
      <c r="J11" s="357">
        <v>0.13</v>
      </c>
      <c r="K11" s="43">
        <f t="shared" si="0"/>
        <v>39</v>
      </c>
      <c r="L11" s="43">
        <f t="shared" si="1"/>
        <v>14961</v>
      </c>
      <c r="M11" s="43"/>
      <c r="N11" s="43">
        <f t="shared" si="2"/>
        <v>14961</v>
      </c>
      <c r="O11" s="43">
        <f t="shared" si="3"/>
        <v>1050</v>
      </c>
      <c r="P11" s="42">
        <v>10500</v>
      </c>
      <c r="Q11" s="42"/>
      <c r="R11" s="42">
        <f t="shared" si="4"/>
        <v>0</v>
      </c>
    </row>
    <row r="12" spans="1:20">
      <c r="A12" s="374"/>
      <c r="B12" s="357" t="s">
        <v>4035</v>
      </c>
      <c r="C12" s="357" t="s">
        <v>20</v>
      </c>
      <c r="D12" s="42" t="s">
        <v>16</v>
      </c>
      <c r="E12" s="357" t="s">
        <v>2777</v>
      </c>
      <c r="F12" s="357">
        <v>1115</v>
      </c>
      <c r="G12" s="357"/>
      <c r="H12" s="357">
        <v>14990</v>
      </c>
      <c r="I12" s="357">
        <v>300</v>
      </c>
      <c r="J12" s="357">
        <v>0.13</v>
      </c>
      <c r="K12" s="43">
        <f t="shared" si="0"/>
        <v>39</v>
      </c>
      <c r="L12" s="43">
        <f t="shared" si="1"/>
        <v>14951</v>
      </c>
      <c r="M12" s="43"/>
      <c r="N12" s="43">
        <f t="shared" si="2"/>
        <v>14951</v>
      </c>
      <c r="O12" s="43">
        <f t="shared" si="3"/>
        <v>1049.3</v>
      </c>
      <c r="P12" s="42">
        <v>10500</v>
      </c>
      <c r="Q12" s="42"/>
      <c r="R12" s="42">
        <f t="shared" si="4"/>
        <v>0</v>
      </c>
    </row>
    <row r="13" spans="1:20">
      <c r="A13" s="374" t="s">
        <v>4062</v>
      </c>
      <c r="B13" s="359" t="s">
        <v>4035</v>
      </c>
      <c r="C13" s="359" t="s">
        <v>20</v>
      </c>
      <c r="D13" s="42" t="s">
        <v>16</v>
      </c>
      <c r="E13" s="359" t="s">
        <v>2860</v>
      </c>
      <c r="F13" s="359">
        <v>1135</v>
      </c>
      <c r="G13" s="359"/>
      <c r="H13" s="359">
        <v>14970</v>
      </c>
      <c r="I13" s="359">
        <v>300</v>
      </c>
      <c r="J13" s="359">
        <v>0.13</v>
      </c>
      <c r="K13" s="43">
        <f t="shared" si="0"/>
        <v>39</v>
      </c>
      <c r="L13" s="43">
        <f t="shared" si="1"/>
        <v>14931</v>
      </c>
      <c r="M13" s="43"/>
      <c r="N13" s="43">
        <f t="shared" si="2"/>
        <v>14931</v>
      </c>
      <c r="O13" s="43">
        <f t="shared" si="3"/>
        <v>1047.9000000000001</v>
      </c>
      <c r="P13" s="42">
        <v>0</v>
      </c>
      <c r="Q13" s="42"/>
      <c r="R13" s="42">
        <f t="shared" si="4"/>
        <v>0</v>
      </c>
    </row>
    <row r="14" spans="1:20">
      <c r="A14" s="374"/>
      <c r="B14" s="359" t="s">
        <v>4035</v>
      </c>
      <c r="C14" s="359" t="s">
        <v>20</v>
      </c>
      <c r="D14" s="42" t="s">
        <v>16</v>
      </c>
      <c r="E14" s="359" t="s">
        <v>4066</v>
      </c>
      <c r="F14" s="359">
        <v>1133</v>
      </c>
      <c r="G14" s="359"/>
      <c r="H14" s="359">
        <v>15000</v>
      </c>
      <c r="I14" s="359">
        <v>300</v>
      </c>
      <c r="J14" s="359">
        <v>0.13</v>
      </c>
      <c r="K14" s="43">
        <f t="shared" si="0"/>
        <v>39</v>
      </c>
      <c r="L14" s="43">
        <f t="shared" si="1"/>
        <v>14961</v>
      </c>
      <c r="M14" s="43"/>
      <c r="N14" s="43">
        <f t="shared" si="2"/>
        <v>14961</v>
      </c>
      <c r="O14" s="43">
        <f t="shared" si="3"/>
        <v>1050</v>
      </c>
      <c r="P14" s="42">
        <v>9800</v>
      </c>
      <c r="Q14" s="42"/>
      <c r="R14" s="42">
        <f t="shared" si="4"/>
        <v>0</v>
      </c>
    </row>
    <row r="15" spans="1:20">
      <c r="A15" s="374" t="s">
        <v>4070</v>
      </c>
      <c r="B15" s="360" t="s">
        <v>4035</v>
      </c>
      <c r="C15" s="360" t="s">
        <v>20</v>
      </c>
      <c r="D15" s="42" t="s">
        <v>16</v>
      </c>
      <c r="E15" s="360" t="s">
        <v>3819</v>
      </c>
      <c r="F15" s="360">
        <v>1149</v>
      </c>
      <c r="G15" s="360"/>
      <c r="H15" s="360">
        <v>14980</v>
      </c>
      <c r="I15" s="360">
        <v>300</v>
      </c>
      <c r="J15" s="360">
        <v>0.13</v>
      </c>
      <c r="K15" s="43">
        <f>I15*J15</f>
        <v>39</v>
      </c>
      <c r="L15" s="43">
        <f>H15-K15</f>
        <v>14941</v>
      </c>
      <c r="M15" s="43"/>
      <c r="N15" s="43">
        <f>L15-M15</f>
        <v>14941</v>
      </c>
      <c r="O15" s="43">
        <f>H15/1000*70</f>
        <v>1048.6000000000001</v>
      </c>
      <c r="P15" s="42">
        <v>9800</v>
      </c>
      <c r="Q15" s="42">
        <v>27.9</v>
      </c>
      <c r="R15" s="42">
        <f>L15*Q15</f>
        <v>416853.89999999997</v>
      </c>
    </row>
    <row r="16" spans="1:20">
      <c r="A16" s="374"/>
      <c r="B16" s="360" t="s">
        <v>4035</v>
      </c>
      <c r="C16" s="360" t="s">
        <v>20</v>
      </c>
      <c r="D16" s="42" t="s">
        <v>16</v>
      </c>
      <c r="E16" s="360" t="s">
        <v>2621</v>
      </c>
      <c r="F16" s="360">
        <v>1146</v>
      </c>
      <c r="G16" s="360"/>
      <c r="H16" s="360">
        <v>14970</v>
      </c>
      <c r="I16" s="360">
        <v>300</v>
      </c>
      <c r="J16" s="360">
        <v>0.13</v>
      </c>
      <c r="K16" s="43">
        <f t="shared" ref="K16:K18" si="5">I16*J16</f>
        <v>39</v>
      </c>
      <c r="L16" s="43">
        <f t="shared" ref="L16:L18" si="6">H16-K16</f>
        <v>14931</v>
      </c>
      <c r="M16" s="43"/>
      <c r="N16" s="43">
        <f t="shared" ref="N16:N18" si="7">L16-M16</f>
        <v>14931</v>
      </c>
      <c r="O16" s="43">
        <f t="shared" ref="O16:O18" si="8">H16/1000*70</f>
        <v>1047.9000000000001</v>
      </c>
      <c r="P16" s="42">
        <v>9800</v>
      </c>
      <c r="Q16" s="42">
        <v>27.9</v>
      </c>
      <c r="R16" s="42">
        <f t="shared" ref="R16:R18" si="9">L16*Q16</f>
        <v>416574.89999999997</v>
      </c>
    </row>
    <row r="17" spans="1:18">
      <c r="A17" s="374"/>
      <c r="B17" s="360" t="s">
        <v>4035</v>
      </c>
      <c r="C17" s="360" t="s">
        <v>20</v>
      </c>
      <c r="D17" s="42" t="s">
        <v>16</v>
      </c>
      <c r="E17" s="360" t="s">
        <v>2860</v>
      </c>
      <c r="F17" s="360">
        <v>1151</v>
      </c>
      <c r="G17" s="360"/>
      <c r="H17" s="360">
        <v>15000</v>
      </c>
      <c r="I17" s="360">
        <v>300</v>
      </c>
      <c r="J17" s="360">
        <v>0.13</v>
      </c>
      <c r="K17" s="43">
        <f t="shared" si="5"/>
        <v>39</v>
      </c>
      <c r="L17" s="43">
        <f t="shared" si="6"/>
        <v>14961</v>
      </c>
      <c r="M17" s="43"/>
      <c r="N17" s="43">
        <f t="shared" si="7"/>
        <v>14961</v>
      </c>
      <c r="O17" s="43">
        <f t="shared" si="8"/>
        <v>1050</v>
      </c>
      <c r="P17" s="42">
        <v>19600</v>
      </c>
      <c r="Q17" s="42">
        <v>27.9</v>
      </c>
      <c r="R17" s="42">
        <f t="shared" si="9"/>
        <v>417411.89999999997</v>
      </c>
    </row>
    <row r="18" spans="1:18">
      <c r="A18" s="63" t="s">
        <v>4082</v>
      </c>
      <c r="B18" s="366" t="s">
        <v>4035</v>
      </c>
      <c r="C18" s="366" t="s">
        <v>20</v>
      </c>
      <c r="D18" s="42" t="s">
        <v>16</v>
      </c>
      <c r="E18" s="366" t="s">
        <v>4084</v>
      </c>
      <c r="F18" s="366">
        <v>1158</v>
      </c>
      <c r="G18" s="366"/>
      <c r="H18" s="366">
        <v>14980</v>
      </c>
      <c r="I18" s="366">
        <v>300</v>
      </c>
      <c r="J18" s="366">
        <v>0.13</v>
      </c>
      <c r="K18" s="366">
        <f t="shared" si="5"/>
        <v>39</v>
      </c>
      <c r="L18" s="364">
        <f t="shared" si="6"/>
        <v>14941</v>
      </c>
      <c r="M18" s="364"/>
      <c r="N18" s="364">
        <f t="shared" si="7"/>
        <v>14941</v>
      </c>
      <c r="O18" s="43">
        <f t="shared" si="8"/>
        <v>1048.6000000000001</v>
      </c>
      <c r="P18" s="366">
        <v>9800</v>
      </c>
      <c r="Q18" s="190">
        <v>27.9</v>
      </c>
      <c r="R18" s="366">
        <f t="shared" si="9"/>
        <v>416853.89999999997</v>
      </c>
    </row>
    <row r="19" spans="1:18">
      <c r="A19" s="63"/>
      <c r="B19" s="301"/>
      <c r="C19" s="301"/>
      <c r="D19" s="301"/>
      <c r="E19" s="301"/>
      <c r="F19" s="301"/>
      <c r="G19" s="301"/>
      <c r="H19" s="301"/>
      <c r="I19" s="301"/>
      <c r="J19" s="301"/>
      <c r="K19" s="61"/>
      <c r="L19" s="65"/>
      <c r="M19" s="61"/>
      <c r="N19" s="301"/>
      <c r="O19" s="62"/>
      <c r="P19" s="62"/>
    </row>
    <row r="20" spans="1:18">
      <c r="A20" s="63"/>
      <c r="B20" s="301"/>
      <c r="C20" s="301"/>
      <c r="D20" s="301"/>
      <c r="E20" s="301"/>
      <c r="F20" s="301"/>
      <c r="G20" s="121"/>
      <c r="H20" s="301"/>
      <c r="I20" s="301"/>
      <c r="J20" s="301"/>
      <c r="K20" s="61"/>
      <c r="L20" s="65"/>
      <c r="M20" s="61"/>
      <c r="N20" s="301"/>
      <c r="O20" s="62"/>
      <c r="P20" s="120"/>
    </row>
    <row r="21" spans="1:18">
      <c r="A21" s="63"/>
      <c r="B21" s="301"/>
      <c r="C21" s="301"/>
      <c r="D21" s="301"/>
      <c r="E21" s="301"/>
      <c r="F21" s="301"/>
      <c r="G21" s="301"/>
      <c r="H21" s="301"/>
      <c r="I21" s="301"/>
      <c r="J21" s="301"/>
      <c r="K21" s="61"/>
      <c r="L21" s="65"/>
      <c r="M21" s="61"/>
      <c r="N21" s="301"/>
      <c r="O21" s="62"/>
      <c r="P21" s="62"/>
    </row>
    <row r="22" spans="1:18">
      <c r="A22" s="63"/>
      <c r="B22" s="301"/>
      <c r="C22" s="301"/>
      <c r="D22" s="301"/>
      <c r="E22" s="301"/>
      <c r="F22" s="301"/>
      <c r="G22" s="301"/>
      <c r="H22" s="301"/>
      <c r="I22" s="301"/>
      <c r="J22" s="301"/>
      <c r="K22" s="61"/>
      <c r="L22" s="65"/>
      <c r="M22" s="61"/>
      <c r="N22" s="301"/>
      <c r="O22" s="62"/>
      <c r="P22" s="62"/>
    </row>
    <row r="23" spans="1:18">
      <c r="A23" s="63"/>
      <c r="B23" s="301"/>
      <c r="C23" s="301"/>
      <c r="D23" s="301"/>
      <c r="E23" s="301"/>
      <c r="F23" s="301"/>
      <c r="G23" s="301"/>
      <c r="H23" s="301"/>
      <c r="I23" s="301"/>
      <c r="J23" s="301"/>
      <c r="K23" s="61"/>
      <c r="L23" s="65"/>
      <c r="M23" s="61"/>
      <c r="N23" s="301"/>
      <c r="O23" s="62"/>
      <c r="P23" s="62"/>
    </row>
    <row r="24" spans="1:18">
      <c r="A24" s="63"/>
      <c r="B24" s="301"/>
      <c r="C24" s="301"/>
      <c r="D24" s="301"/>
      <c r="E24" s="301"/>
      <c r="F24" s="301"/>
      <c r="G24" s="301"/>
      <c r="H24" s="301"/>
      <c r="I24" s="301"/>
      <c r="J24" s="301"/>
      <c r="K24" s="61"/>
      <c r="L24" s="65"/>
      <c r="M24" s="61"/>
      <c r="N24" s="301"/>
      <c r="O24" s="62"/>
      <c r="P24" s="62"/>
    </row>
    <row r="25" spans="1:18">
      <c r="A25" s="63"/>
      <c r="B25" s="301"/>
      <c r="C25" s="301"/>
      <c r="D25" s="301"/>
      <c r="E25" s="301"/>
      <c r="F25" s="301"/>
      <c r="G25" s="301"/>
      <c r="H25" s="301"/>
      <c r="I25" s="301"/>
      <c r="J25" s="301"/>
      <c r="K25" s="61"/>
      <c r="L25" s="65"/>
      <c r="M25" s="61"/>
      <c r="N25" s="301"/>
      <c r="O25" s="62"/>
      <c r="P25" s="62"/>
    </row>
    <row r="26" spans="1:18">
      <c r="A26" s="63"/>
      <c r="B26" s="301"/>
      <c r="C26" s="301"/>
      <c r="D26" s="301"/>
      <c r="E26" s="301"/>
      <c r="F26" s="301"/>
      <c r="G26" s="301"/>
      <c r="H26" s="301"/>
      <c r="I26" s="301"/>
      <c r="J26" s="301"/>
      <c r="K26" s="61"/>
      <c r="L26" s="65"/>
      <c r="M26" s="61"/>
      <c r="N26" s="301"/>
      <c r="O26" s="62"/>
      <c r="P26" s="62"/>
    </row>
    <row r="27" spans="1:18">
      <c r="A27" s="63"/>
      <c r="B27" s="301"/>
      <c r="C27" s="301"/>
      <c r="D27" s="301"/>
      <c r="E27" s="301"/>
      <c r="F27" s="301"/>
      <c r="G27" s="301"/>
      <c r="H27" s="301"/>
      <c r="I27" s="301"/>
      <c r="J27" s="301"/>
      <c r="K27" s="61"/>
      <c r="L27" s="65"/>
      <c r="M27" s="61"/>
      <c r="N27" s="301"/>
      <c r="O27" s="120"/>
      <c r="P27" s="62"/>
    </row>
    <row r="28" spans="1:18">
      <c r="A28" s="63"/>
      <c r="B28" s="301"/>
      <c r="C28" s="301"/>
      <c r="D28" s="301"/>
      <c r="E28" s="301"/>
      <c r="F28" s="301"/>
      <c r="G28" s="301"/>
      <c r="H28" s="301"/>
      <c r="I28" s="301"/>
      <c r="J28" s="301"/>
      <c r="K28" s="61"/>
      <c r="L28" s="65"/>
      <c r="M28" s="61"/>
      <c r="N28" s="301"/>
      <c r="O28" s="62"/>
      <c r="P28" s="62"/>
    </row>
    <row r="29" spans="1:18">
      <c r="A29" s="63"/>
      <c r="B29" s="301"/>
      <c r="C29" s="301"/>
      <c r="D29" s="301"/>
      <c r="E29" s="301"/>
      <c r="F29" s="301"/>
      <c r="G29" s="301"/>
      <c r="H29" s="301"/>
      <c r="I29" s="301"/>
      <c r="J29" s="301"/>
      <c r="K29" s="61"/>
      <c r="L29" s="65"/>
      <c r="M29" s="61"/>
      <c r="N29" s="301"/>
      <c r="O29" s="62"/>
      <c r="P29" s="62"/>
    </row>
    <row r="30" spans="1:18">
      <c r="A30" s="63"/>
      <c r="B30" s="301"/>
      <c r="C30" s="301"/>
      <c r="D30" s="301"/>
      <c r="E30" s="301"/>
      <c r="F30" s="301"/>
      <c r="G30" s="301"/>
      <c r="H30" s="301"/>
      <c r="I30" s="301"/>
      <c r="J30" s="301"/>
      <c r="K30" s="61"/>
      <c r="L30" s="65"/>
      <c r="M30" s="61"/>
      <c r="N30" s="301"/>
      <c r="O30" s="62"/>
      <c r="P30" s="62"/>
    </row>
    <row r="31" spans="1:18">
      <c r="A31" s="63"/>
      <c r="B31" s="301"/>
      <c r="C31" s="301"/>
      <c r="D31" s="301"/>
      <c r="E31" s="301"/>
      <c r="F31" s="301"/>
      <c r="G31" s="301"/>
      <c r="H31" s="301"/>
      <c r="I31" s="301"/>
      <c r="J31" s="301"/>
      <c r="K31" s="61"/>
      <c r="L31" s="65"/>
      <c r="M31" s="61"/>
      <c r="N31" s="301"/>
      <c r="O31" s="62"/>
      <c r="P31" s="62"/>
    </row>
    <row r="32" spans="1:18">
      <c r="A32" s="380"/>
      <c r="B32" s="301"/>
      <c r="C32" s="301"/>
      <c r="D32" s="301"/>
      <c r="E32" s="301"/>
      <c r="F32" s="301"/>
      <c r="G32" s="301"/>
      <c r="H32" s="301"/>
      <c r="I32" s="301"/>
      <c r="J32" s="301"/>
      <c r="K32" s="61"/>
      <c r="L32" s="65"/>
      <c r="M32" s="61"/>
      <c r="N32" s="301"/>
      <c r="O32" s="62"/>
      <c r="P32" s="62"/>
    </row>
    <row r="33" spans="1:16">
      <c r="A33" s="380"/>
      <c r="B33" s="301"/>
      <c r="C33" s="301"/>
      <c r="D33" s="301"/>
      <c r="E33" s="301"/>
      <c r="F33" s="301"/>
      <c r="G33" s="301"/>
      <c r="H33" s="301"/>
      <c r="I33" s="301"/>
      <c r="J33" s="301"/>
      <c r="K33" s="61"/>
      <c r="L33" s="65"/>
      <c r="M33" s="61"/>
      <c r="N33" s="301"/>
      <c r="O33" s="62"/>
      <c r="P33" s="62"/>
    </row>
    <row r="34" spans="1:16">
      <c r="A34" s="380"/>
      <c r="B34" s="301"/>
      <c r="C34" s="301"/>
      <c r="D34" s="301"/>
      <c r="E34" s="301"/>
      <c r="F34" s="301"/>
      <c r="G34" s="301"/>
      <c r="H34" s="301"/>
      <c r="I34" s="301"/>
      <c r="J34" s="301"/>
      <c r="K34" s="61"/>
      <c r="L34" s="65"/>
      <c r="M34" s="61"/>
      <c r="N34" s="301"/>
      <c r="O34" s="62"/>
      <c r="P34" s="62"/>
    </row>
    <row r="35" spans="1:16">
      <c r="A35" s="380"/>
      <c r="B35" s="301"/>
      <c r="C35" s="301"/>
      <c r="D35" s="301"/>
      <c r="E35" s="301"/>
      <c r="F35" s="301"/>
      <c r="G35" s="121"/>
      <c r="H35" s="301"/>
      <c r="I35" s="301"/>
      <c r="J35" s="301"/>
      <c r="K35" s="61"/>
      <c r="L35" s="65"/>
      <c r="M35" s="61"/>
      <c r="N35" s="301"/>
      <c r="O35" s="62"/>
      <c r="P35" s="120"/>
    </row>
    <row r="36" spans="1:16">
      <c r="A36" s="380"/>
      <c r="B36" s="301"/>
      <c r="C36" s="301"/>
      <c r="D36" s="301"/>
      <c r="E36" s="301"/>
      <c r="F36" s="301"/>
      <c r="G36" s="301"/>
      <c r="H36" s="301"/>
      <c r="I36" s="301"/>
      <c r="J36" s="301"/>
      <c r="K36" s="61"/>
      <c r="L36" s="65"/>
      <c r="M36" s="61"/>
      <c r="N36" s="301"/>
      <c r="O36" s="62"/>
      <c r="P36" s="62"/>
    </row>
    <row r="37" spans="1:16">
      <c r="A37" s="380"/>
      <c r="B37" s="301"/>
      <c r="C37" s="301"/>
      <c r="D37" s="301"/>
      <c r="E37" s="301"/>
      <c r="F37" s="301"/>
      <c r="G37" s="121"/>
      <c r="H37" s="301"/>
      <c r="I37" s="301"/>
      <c r="J37" s="301"/>
      <c r="K37" s="61"/>
      <c r="L37" s="65"/>
      <c r="M37" s="61"/>
      <c r="N37" s="301"/>
      <c r="O37" s="62"/>
      <c r="P37" s="120"/>
    </row>
    <row r="38" spans="1:16">
      <c r="A38" s="380"/>
      <c r="B38" s="301"/>
      <c r="C38" s="301"/>
      <c r="D38" s="301"/>
      <c r="E38" s="122"/>
      <c r="F38" s="122"/>
      <c r="G38" s="122"/>
      <c r="H38" s="122"/>
      <c r="I38" s="301"/>
      <c r="J38" s="301"/>
      <c r="K38" s="61"/>
      <c r="L38" s="65"/>
      <c r="M38" s="61"/>
      <c r="N38" s="301"/>
      <c r="O38" s="62"/>
      <c r="P38" s="62"/>
    </row>
    <row r="39" spans="1:16">
      <c r="A39" s="380"/>
      <c r="B39" s="301"/>
      <c r="C39" s="301"/>
      <c r="D39" s="301"/>
      <c r="E39" s="122"/>
      <c r="F39" s="122"/>
      <c r="G39" s="122"/>
      <c r="H39" s="122"/>
      <c r="I39" s="301"/>
      <c r="J39" s="301"/>
      <c r="K39" s="61"/>
      <c r="L39" s="65"/>
      <c r="M39" s="61"/>
      <c r="N39" s="301"/>
      <c r="O39" s="62"/>
      <c r="P39" s="62"/>
    </row>
    <row r="40" spans="1:16">
      <c r="A40" s="380"/>
      <c r="B40" s="301"/>
      <c r="C40" s="301"/>
      <c r="D40" s="301"/>
      <c r="E40" s="122"/>
      <c r="F40" s="122"/>
      <c r="G40" s="122"/>
      <c r="H40" s="122"/>
      <c r="I40" s="301"/>
      <c r="J40" s="301"/>
      <c r="K40" s="61"/>
      <c r="L40" s="65"/>
      <c r="M40" s="61"/>
      <c r="N40" s="301"/>
      <c r="O40" s="62"/>
      <c r="P40" s="62"/>
    </row>
    <row r="41" spans="1:16">
      <c r="A41" s="380"/>
      <c r="B41" s="301"/>
      <c r="C41" s="301"/>
      <c r="D41" s="301"/>
      <c r="E41" s="122"/>
      <c r="F41" s="123"/>
      <c r="G41" s="124"/>
      <c r="H41" s="123"/>
      <c r="I41" s="114"/>
      <c r="J41" s="114"/>
      <c r="K41" s="61"/>
      <c r="L41" s="65"/>
      <c r="M41" s="61"/>
      <c r="N41" s="114"/>
      <c r="O41" s="62"/>
      <c r="P41" s="62"/>
    </row>
    <row r="42" spans="1:16">
      <c r="A42" s="380"/>
      <c r="B42" s="301"/>
      <c r="C42" s="301"/>
      <c r="D42" s="301"/>
      <c r="E42" s="301"/>
      <c r="F42" s="114"/>
      <c r="G42" s="114"/>
      <c r="H42" s="114"/>
      <c r="I42" s="114"/>
      <c r="J42" s="114"/>
      <c r="K42" s="61"/>
      <c r="L42" s="65"/>
      <c r="M42" s="61"/>
      <c r="N42" s="114"/>
      <c r="O42" s="62"/>
      <c r="P42" s="62"/>
    </row>
    <row r="43" spans="1:16">
      <c r="A43" s="380"/>
      <c r="B43" s="301"/>
      <c r="C43" s="301"/>
      <c r="D43" s="301"/>
      <c r="E43" s="301"/>
      <c r="F43" s="301"/>
      <c r="G43" s="301"/>
      <c r="H43" s="301"/>
      <c r="I43" s="301"/>
      <c r="J43" s="301"/>
      <c r="K43" s="61"/>
      <c r="L43" s="65"/>
      <c r="M43" s="61"/>
      <c r="N43" s="301"/>
      <c r="O43" s="62"/>
      <c r="P43" s="62"/>
    </row>
    <row r="44" spans="1:16">
      <c r="A44" s="380"/>
      <c r="B44" s="301"/>
      <c r="C44" s="301"/>
      <c r="D44" s="301"/>
      <c r="E44" s="301"/>
      <c r="F44" s="301"/>
      <c r="G44" s="301"/>
      <c r="H44" s="301"/>
      <c r="I44" s="301"/>
      <c r="J44" s="301"/>
      <c r="K44" s="61"/>
      <c r="L44" s="65"/>
      <c r="M44" s="61"/>
      <c r="N44" s="301"/>
      <c r="O44" s="62"/>
      <c r="P44" s="62"/>
    </row>
    <row r="45" spans="1:16">
      <c r="A45" s="380"/>
      <c r="B45" s="301"/>
      <c r="C45" s="301"/>
      <c r="D45" s="301"/>
      <c r="E45" s="301"/>
      <c r="F45" s="301"/>
      <c r="G45" s="301"/>
      <c r="H45" s="301"/>
      <c r="I45" s="301"/>
      <c r="J45" s="301"/>
      <c r="K45" s="61"/>
      <c r="L45" s="65"/>
      <c r="M45" s="61"/>
      <c r="N45" s="301"/>
      <c r="O45" s="62"/>
      <c r="P45" s="62"/>
    </row>
    <row r="46" spans="1:16">
      <c r="A46" s="380"/>
      <c r="B46" s="301"/>
      <c r="C46" s="301"/>
      <c r="D46" s="301"/>
      <c r="E46" s="301"/>
      <c r="F46" s="301"/>
      <c r="G46" s="301"/>
      <c r="H46" s="301"/>
      <c r="I46" s="301"/>
      <c r="J46" s="301"/>
      <c r="K46" s="61"/>
      <c r="L46" s="65"/>
      <c r="M46" s="61"/>
      <c r="N46" s="301"/>
      <c r="O46" s="62"/>
      <c r="P46" s="62"/>
    </row>
    <row r="47" spans="1:16">
      <c r="A47" s="380"/>
      <c r="B47" s="301"/>
      <c r="C47" s="301"/>
      <c r="D47" s="301"/>
      <c r="E47" s="301"/>
      <c r="F47" s="301"/>
      <c r="G47" s="301"/>
      <c r="H47" s="301"/>
      <c r="I47" s="301"/>
      <c r="J47" s="301"/>
      <c r="K47" s="61"/>
      <c r="L47" s="65"/>
      <c r="M47" s="61"/>
      <c r="N47" s="301"/>
      <c r="O47" s="62"/>
      <c r="P47" s="62"/>
    </row>
    <row r="48" spans="1:16">
      <c r="A48" s="380"/>
      <c r="B48" s="301"/>
      <c r="C48" s="301"/>
      <c r="D48" s="301"/>
      <c r="E48" s="301"/>
      <c r="F48" s="301"/>
      <c r="G48" s="301"/>
      <c r="H48" s="301"/>
      <c r="I48" s="301"/>
      <c r="J48" s="301"/>
      <c r="K48" s="61"/>
      <c r="L48" s="65"/>
      <c r="M48" s="61"/>
      <c r="N48" s="301"/>
      <c r="O48" s="62"/>
      <c r="P48" s="62"/>
    </row>
    <row r="49" spans="1:16">
      <c r="A49" s="380"/>
      <c r="B49" s="301"/>
      <c r="C49" s="301"/>
      <c r="D49" s="301"/>
      <c r="E49" s="301"/>
      <c r="F49" s="301"/>
      <c r="G49" s="301"/>
      <c r="H49" s="301"/>
      <c r="I49" s="301"/>
      <c r="J49" s="301"/>
      <c r="K49" s="61"/>
      <c r="L49" s="65"/>
      <c r="M49" s="61"/>
      <c r="N49" s="301"/>
      <c r="O49" s="62"/>
      <c r="P49" s="62"/>
    </row>
    <row r="50" spans="1:16">
      <c r="A50" s="380"/>
      <c r="B50" s="301"/>
      <c r="C50" s="301"/>
      <c r="D50" s="301"/>
      <c r="E50" s="301"/>
      <c r="F50" s="301"/>
      <c r="G50" s="121"/>
      <c r="H50" s="301"/>
      <c r="I50" s="301"/>
      <c r="J50" s="301"/>
      <c r="K50" s="61"/>
      <c r="L50" s="65"/>
      <c r="M50" s="61"/>
      <c r="N50" s="301"/>
      <c r="O50" s="62"/>
      <c r="P50" s="120"/>
    </row>
    <row r="51" spans="1:16">
      <c r="A51" s="380"/>
      <c r="B51" s="301"/>
      <c r="C51" s="301"/>
      <c r="D51" s="301"/>
      <c r="E51" s="301"/>
      <c r="F51" s="301"/>
      <c r="G51" s="301"/>
      <c r="H51" s="301"/>
      <c r="I51" s="301"/>
      <c r="J51" s="301"/>
      <c r="K51" s="61"/>
      <c r="L51" s="65"/>
      <c r="M51" s="61"/>
      <c r="N51" s="301"/>
      <c r="O51" s="62"/>
      <c r="P51" s="62"/>
    </row>
    <row r="52" spans="1:16">
      <c r="A52" s="388"/>
      <c r="B52" s="301"/>
      <c r="C52" s="301"/>
      <c r="D52" s="301"/>
      <c r="E52" s="301"/>
      <c r="F52" s="301"/>
      <c r="G52" s="301"/>
      <c r="H52" s="301"/>
      <c r="I52" s="301"/>
      <c r="J52" s="301"/>
      <c r="K52" s="61"/>
      <c r="L52" s="65"/>
      <c r="M52" s="61"/>
      <c r="N52" s="301"/>
      <c r="O52" s="62"/>
      <c r="P52" s="62"/>
    </row>
    <row r="53" spans="1:16">
      <c r="A53" s="388"/>
      <c r="B53" s="301"/>
      <c r="C53" s="301"/>
      <c r="D53" s="301"/>
      <c r="E53" s="301"/>
      <c r="F53" s="301"/>
      <c r="G53" s="301"/>
      <c r="H53" s="301"/>
      <c r="I53" s="301"/>
      <c r="J53" s="301"/>
      <c r="K53" s="61"/>
      <c r="L53" s="65"/>
      <c r="M53" s="61"/>
      <c r="N53" s="301"/>
      <c r="O53" s="62"/>
      <c r="P53" s="62"/>
    </row>
    <row r="54" spans="1:16">
      <c r="A54" s="388"/>
      <c r="B54" s="301"/>
      <c r="C54" s="301"/>
      <c r="D54" s="301"/>
      <c r="E54" s="301"/>
      <c r="F54" s="301"/>
      <c r="G54" s="301"/>
      <c r="H54" s="301"/>
      <c r="I54" s="301"/>
      <c r="J54" s="301"/>
      <c r="K54" s="61"/>
      <c r="L54" s="65"/>
      <c r="M54" s="61"/>
      <c r="N54" s="301"/>
      <c r="O54" s="62"/>
      <c r="P54" s="62"/>
    </row>
    <row r="55" spans="1:16">
      <c r="A55" s="388"/>
      <c r="B55" s="301"/>
      <c r="C55" s="301"/>
      <c r="D55" s="301"/>
      <c r="E55" s="301"/>
      <c r="F55" s="301"/>
      <c r="G55" s="301"/>
      <c r="H55" s="301"/>
      <c r="I55" s="301"/>
      <c r="J55" s="301"/>
      <c r="K55" s="61"/>
      <c r="L55" s="65"/>
      <c r="M55" s="61"/>
      <c r="N55" s="301"/>
      <c r="O55" s="62"/>
      <c r="P55" s="62"/>
    </row>
    <row r="56" spans="1:16">
      <c r="A56" s="388"/>
      <c r="B56" s="301"/>
      <c r="C56" s="301"/>
      <c r="D56" s="301"/>
      <c r="E56" s="301"/>
      <c r="F56" s="301"/>
      <c r="G56" s="301"/>
      <c r="H56" s="301"/>
      <c r="I56" s="301"/>
      <c r="J56" s="301"/>
      <c r="K56" s="61"/>
      <c r="L56" s="65"/>
      <c r="M56" s="61"/>
      <c r="N56" s="301"/>
      <c r="O56" s="62"/>
      <c r="P56" s="62"/>
    </row>
    <row r="57" spans="1:16">
      <c r="A57" s="388"/>
      <c r="B57" s="301"/>
      <c r="C57" s="301"/>
      <c r="D57" s="301"/>
      <c r="E57" s="301"/>
      <c r="F57" s="301"/>
      <c r="G57" s="301"/>
      <c r="H57" s="301"/>
      <c r="I57" s="301"/>
      <c r="J57" s="301"/>
      <c r="K57" s="61"/>
      <c r="L57" s="65"/>
      <c r="M57" s="61"/>
      <c r="N57" s="301"/>
      <c r="O57" s="62"/>
      <c r="P57" s="62"/>
    </row>
    <row r="58" spans="1:16">
      <c r="A58" s="388"/>
      <c r="B58" s="301"/>
      <c r="C58" s="301"/>
      <c r="D58" s="301"/>
      <c r="E58" s="301"/>
      <c r="F58" s="301"/>
      <c r="G58" s="301"/>
      <c r="H58" s="301"/>
      <c r="I58" s="301"/>
      <c r="J58" s="301"/>
      <c r="K58" s="61"/>
      <c r="L58" s="65"/>
      <c r="M58" s="61"/>
      <c r="N58" s="301"/>
      <c r="O58" s="62"/>
      <c r="P58" s="62"/>
    </row>
    <row r="59" spans="1:16">
      <c r="A59" s="388"/>
      <c r="B59" s="301"/>
      <c r="C59" s="301"/>
      <c r="D59" s="301"/>
      <c r="E59" s="301"/>
      <c r="F59" s="301"/>
      <c r="G59" s="121"/>
      <c r="H59" s="301"/>
      <c r="I59" s="301"/>
      <c r="J59" s="301"/>
      <c r="K59" s="61"/>
      <c r="L59" s="65"/>
      <c r="M59" s="61"/>
      <c r="N59" s="301"/>
      <c r="O59" s="62"/>
      <c r="P59" s="62"/>
    </row>
    <row r="60" spans="1:16">
      <c r="A60" s="388"/>
      <c r="B60" s="301"/>
      <c r="C60" s="301"/>
      <c r="D60" s="301"/>
      <c r="E60" s="301"/>
      <c r="F60" s="301"/>
      <c r="G60" s="301"/>
      <c r="H60" s="301"/>
      <c r="I60" s="301"/>
      <c r="J60" s="301"/>
      <c r="K60" s="61"/>
      <c r="L60" s="65"/>
      <c r="M60" s="61"/>
      <c r="N60" s="301"/>
      <c r="O60" s="62"/>
      <c r="P60" s="62"/>
    </row>
    <row r="61" spans="1:16">
      <c r="A61" s="388"/>
      <c r="B61" s="301"/>
      <c r="C61" s="301"/>
      <c r="D61" s="301"/>
      <c r="E61" s="301"/>
      <c r="F61" s="301"/>
      <c r="G61" s="301"/>
      <c r="H61" s="301"/>
      <c r="I61" s="301"/>
      <c r="J61" s="301"/>
      <c r="K61" s="61"/>
      <c r="L61" s="65"/>
      <c r="M61" s="61"/>
      <c r="N61" s="301"/>
      <c r="O61" s="62"/>
      <c r="P61" s="62"/>
    </row>
    <row r="62" spans="1:16">
      <c r="A62" s="380"/>
      <c r="B62" s="301"/>
      <c r="C62" s="301"/>
      <c r="D62" s="301"/>
      <c r="E62" s="301"/>
      <c r="F62" s="301"/>
      <c r="G62" s="301"/>
      <c r="H62" s="301"/>
      <c r="I62" s="301"/>
      <c r="J62" s="301"/>
      <c r="K62" s="61"/>
      <c r="L62" s="65"/>
      <c r="M62" s="61"/>
      <c r="N62" s="301"/>
      <c r="O62" s="62"/>
      <c r="P62" s="62"/>
    </row>
    <row r="63" spans="1:16">
      <c r="A63" s="380"/>
      <c r="B63" s="301"/>
      <c r="C63" s="301"/>
      <c r="D63" s="301"/>
      <c r="E63" s="301"/>
      <c r="F63" s="301"/>
      <c r="G63" s="301"/>
      <c r="H63" s="301"/>
      <c r="I63" s="301"/>
      <c r="J63" s="301"/>
      <c r="K63" s="61"/>
      <c r="L63" s="65"/>
      <c r="M63" s="61"/>
      <c r="N63" s="301"/>
      <c r="O63" s="62"/>
      <c r="P63" s="62"/>
    </row>
    <row r="64" spans="1:16">
      <c r="A64" s="380"/>
      <c r="B64" s="301"/>
      <c r="C64" s="301"/>
      <c r="D64" s="301"/>
      <c r="E64" s="301"/>
      <c r="F64" s="301"/>
      <c r="G64" s="301"/>
      <c r="H64" s="301"/>
      <c r="I64" s="301"/>
      <c r="J64" s="301"/>
      <c r="K64" s="61"/>
      <c r="L64" s="65"/>
      <c r="M64" s="61"/>
      <c r="N64" s="301"/>
      <c r="O64" s="62"/>
      <c r="P64" s="62"/>
    </row>
    <row r="65" spans="1:16">
      <c r="A65" s="62"/>
      <c r="B65" s="62"/>
      <c r="C65" s="62"/>
      <c r="D65" s="62"/>
      <c r="E65" s="62"/>
      <c r="F65" s="62"/>
      <c r="G65" s="62"/>
      <c r="H65" s="62"/>
      <c r="I65" s="62"/>
      <c r="J65" s="62"/>
      <c r="K65" s="62"/>
      <c r="L65" s="125"/>
      <c r="M65" s="125"/>
      <c r="N65" s="126"/>
      <c r="O65" s="62"/>
      <c r="P65" s="62"/>
    </row>
    <row r="66" spans="1:16">
      <c r="A66" s="62"/>
      <c r="B66" s="355"/>
      <c r="C66" s="355"/>
      <c r="D66" s="301"/>
      <c r="E66" s="301"/>
      <c r="F66" s="301"/>
      <c r="G66" s="121"/>
      <c r="H66" s="301"/>
      <c r="I66" s="301"/>
      <c r="J66" s="301"/>
      <c r="K66" s="61"/>
      <c r="L66" s="65"/>
      <c r="M66" s="61"/>
      <c r="N66" s="301"/>
      <c r="O66" s="301"/>
      <c r="P66" s="301"/>
    </row>
    <row r="67" spans="1:16">
      <c r="A67" s="380"/>
      <c r="B67" s="355"/>
      <c r="C67" s="355"/>
      <c r="D67" s="301"/>
      <c r="E67" s="301"/>
      <c r="F67" s="301"/>
      <c r="G67" s="121"/>
      <c r="H67" s="301"/>
      <c r="I67" s="301"/>
      <c r="J67" s="301"/>
      <c r="K67" s="61"/>
      <c r="L67" s="65"/>
      <c r="M67" s="61"/>
      <c r="N67" s="301"/>
      <c r="O67" s="301"/>
      <c r="P67" s="301"/>
    </row>
    <row r="68" spans="1:16">
      <c r="A68" s="380"/>
      <c r="B68" s="355"/>
      <c r="C68" s="355"/>
      <c r="D68" s="301"/>
      <c r="E68" s="301"/>
      <c r="F68" s="301"/>
      <c r="G68" s="121"/>
      <c r="H68" s="301"/>
      <c r="I68" s="301"/>
      <c r="J68" s="301"/>
      <c r="K68" s="61"/>
      <c r="L68" s="65"/>
      <c r="M68" s="61"/>
      <c r="N68" s="301"/>
      <c r="O68" s="301"/>
      <c r="P68" s="301"/>
    </row>
    <row r="69" spans="1:16">
      <c r="A69" s="380"/>
      <c r="B69" s="355"/>
      <c r="C69" s="355"/>
      <c r="D69" s="301"/>
      <c r="E69" s="301"/>
      <c r="F69" s="301"/>
      <c r="G69" s="121"/>
      <c r="H69" s="301"/>
      <c r="I69" s="301"/>
      <c r="J69" s="301"/>
      <c r="K69" s="61"/>
      <c r="L69" s="65"/>
      <c r="M69" s="61"/>
      <c r="N69" s="301"/>
      <c r="O69" s="301"/>
      <c r="P69" s="301"/>
    </row>
    <row r="70" spans="1:16">
      <c r="A70" s="380"/>
      <c r="B70" s="355"/>
      <c r="C70" s="355"/>
      <c r="D70" s="301"/>
      <c r="E70" s="301"/>
      <c r="F70" s="301"/>
      <c r="G70" s="121"/>
      <c r="H70" s="301"/>
      <c r="I70" s="301"/>
      <c r="J70" s="301"/>
      <c r="K70" s="61"/>
      <c r="L70" s="65"/>
      <c r="M70" s="61"/>
      <c r="N70" s="301"/>
      <c r="O70" s="301"/>
      <c r="P70" s="301"/>
    </row>
    <row r="71" spans="1:16">
      <c r="A71" s="62"/>
      <c r="B71" s="301"/>
      <c r="C71" s="301"/>
      <c r="D71" s="301"/>
      <c r="E71" s="301"/>
      <c r="F71" s="301"/>
      <c r="G71" s="121"/>
      <c r="H71" s="301"/>
      <c r="I71" s="301"/>
      <c r="J71" s="301"/>
      <c r="K71" s="61"/>
      <c r="L71" s="65"/>
      <c r="M71" s="61"/>
      <c r="N71" s="301"/>
      <c r="O71" s="301"/>
      <c r="P71" s="301"/>
    </row>
    <row r="72" spans="1:16">
      <c r="A72" s="62"/>
      <c r="B72" s="62"/>
      <c r="C72" s="62"/>
      <c r="D72" s="62"/>
      <c r="E72" s="62"/>
      <c r="F72" s="62"/>
      <c r="G72" s="62"/>
      <c r="H72" s="62"/>
      <c r="I72" s="62"/>
      <c r="J72" s="62"/>
      <c r="K72" s="62"/>
      <c r="L72" s="62"/>
      <c r="M72" s="62"/>
      <c r="N72" s="127"/>
      <c r="O72" s="62"/>
      <c r="P72" s="62"/>
    </row>
    <row r="73" spans="1:16">
      <c r="A73" s="62"/>
      <c r="B73" s="62"/>
      <c r="C73" s="62"/>
      <c r="D73" s="62"/>
      <c r="E73" s="62"/>
      <c r="F73" s="62"/>
      <c r="G73" s="62"/>
      <c r="H73" s="62"/>
      <c r="I73" s="62"/>
      <c r="J73" s="62"/>
      <c r="K73" s="62"/>
      <c r="L73" s="62"/>
      <c r="M73" s="62"/>
      <c r="N73" s="62"/>
      <c r="O73" s="62"/>
      <c r="P73" s="62"/>
    </row>
    <row r="74" spans="1:16">
      <c r="A74" s="62"/>
      <c r="B74" s="62"/>
      <c r="C74" s="62"/>
      <c r="D74" s="62"/>
      <c r="E74" s="62"/>
      <c r="F74" s="62"/>
      <c r="G74" s="62"/>
      <c r="H74" s="62"/>
      <c r="I74" s="62"/>
      <c r="J74" s="62"/>
      <c r="K74" s="62"/>
      <c r="L74" s="62"/>
      <c r="M74" s="62"/>
      <c r="N74" s="62"/>
      <c r="O74" s="62"/>
      <c r="P74" s="62"/>
    </row>
    <row r="75" spans="1:16">
      <c r="A75" s="62"/>
      <c r="B75" s="62"/>
      <c r="C75" s="62"/>
      <c r="D75" s="62"/>
      <c r="E75" s="62"/>
      <c r="F75" s="62"/>
      <c r="G75" s="62"/>
      <c r="H75" s="62"/>
      <c r="I75" s="62"/>
      <c r="J75" s="62"/>
      <c r="K75" s="62"/>
      <c r="L75" s="125"/>
      <c r="M75" s="62"/>
      <c r="N75" s="62"/>
      <c r="O75" s="62"/>
      <c r="P75" s="62"/>
    </row>
    <row r="76" spans="1:16">
      <c r="A76" s="62"/>
      <c r="B76" s="62"/>
      <c r="C76" s="62"/>
      <c r="D76" s="62"/>
      <c r="E76" s="62"/>
      <c r="F76" s="62"/>
      <c r="G76" s="62"/>
      <c r="H76" s="62"/>
      <c r="I76" s="62"/>
      <c r="J76" s="62"/>
      <c r="K76" s="62"/>
      <c r="L76" s="62"/>
      <c r="M76" s="62"/>
      <c r="N76" s="62"/>
      <c r="O76" s="62"/>
      <c r="P76" s="62"/>
    </row>
    <row r="77" spans="1:16">
      <c r="A77" s="62"/>
      <c r="B77" s="62"/>
      <c r="C77" s="62"/>
      <c r="D77" s="62"/>
      <c r="E77" s="62"/>
      <c r="F77" s="62"/>
      <c r="G77" s="62"/>
      <c r="H77" s="62"/>
      <c r="I77" s="62"/>
      <c r="J77" s="62"/>
      <c r="K77" s="62"/>
      <c r="L77" s="62"/>
      <c r="M77" s="62"/>
      <c r="N77" s="62"/>
      <c r="O77" s="62"/>
      <c r="P77" s="62"/>
    </row>
    <row r="78" spans="1:16">
      <c r="A78" s="62"/>
      <c r="B78" s="62"/>
      <c r="C78" s="62"/>
      <c r="D78" s="62"/>
      <c r="E78" s="62"/>
      <c r="F78" s="62"/>
      <c r="G78" s="62"/>
      <c r="H78" s="62"/>
      <c r="I78" s="62"/>
      <c r="J78" s="62"/>
      <c r="K78" s="62"/>
      <c r="L78" s="62"/>
      <c r="M78" s="62"/>
      <c r="N78" s="62"/>
      <c r="O78" s="62"/>
      <c r="P78" s="62"/>
    </row>
    <row r="79" spans="1:16">
      <c r="A79" s="62"/>
      <c r="B79" s="62"/>
      <c r="C79" s="62"/>
      <c r="D79" s="62"/>
      <c r="E79" s="62"/>
      <c r="F79" s="62"/>
      <c r="G79" s="62"/>
      <c r="H79" s="62"/>
      <c r="I79" s="62"/>
      <c r="J79" s="62"/>
      <c r="K79" s="62"/>
      <c r="L79" s="62"/>
      <c r="M79" s="62"/>
      <c r="N79" s="62"/>
      <c r="O79" s="62"/>
      <c r="P79" s="62"/>
    </row>
    <row r="80" spans="1:16">
      <c r="A80" s="62"/>
      <c r="B80" s="62"/>
      <c r="C80" s="62"/>
      <c r="D80" s="62"/>
      <c r="E80" s="62"/>
      <c r="F80" s="62"/>
      <c r="G80" s="62"/>
      <c r="H80" s="62"/>
      <c r="I80" s="62"/>
      <c r="J80" s="62"/>
      <c r="K80" s="62"/>
      <c r="L80" s="62"/>
      <c r="M80" s="62"/>
      <c r="N80" s="62"/>
      <c r="O80" s="62"/>
      <c r="P80" s="62"/>
    </row>
    <row r="81" spans="1:16">
      <c r="A81" s="380"/>
      <c r="B81" s="301"/>
      <c r="C81" s="301"/>
      <c r="D81" s="301"/>
      <c r="E81" s="301"/>
      <c r="F81" s="301"/>
      <c r="G81" s="301"/>
      <c r="H81" s="301"/>
      <c r="I81" s="301"/>
      <c r="J81" s="301"/>
      <c r="K81" s="301"/>
      <c r="L81" s="61"/>
      <c r="M81" s="61"/>
      <c r="N81" s="301"/>
      <c r="O81" s="128"/>
      <c r="P81" s="62"/>
    </row>
    <row r="82" spans="1:16">
      <c r="A82" s="380"/>
      <c r="B82" s="301"/>
      <c r="C82" s="301"/>
      <c r="D82" s="301"/>
      <c r="E82" s="301"/>
      <c r="F82" s="301"/>
      <c r="G82" s="301"/>
      <c r="H82" s="301"/>
      <c r="I82" s="301"/>
      <c r="J82" s="301"/>
      <c r="K82" s="301"/>
      <c r="L82" s="61"/>
      <c r="M82" s="61"/>
      <c r="N82" s="301"/>
      <c r="O82" s="128"/>
      <c r="P82" s="62"/>
    </row>
    <row r="83" spans="1:16">
      <c r="A83" s="62"/>
      <c r="B83" s="301"/>
      <c r="C83" s="301"/>
      <c r="D83" s="301"/>
      <c r="E83" s="301"/>
      <c r="F83" s="301"/>
      <c r="G83" s="301"/>
      <c r="H83" s="301"/>
      <c r="I83" s="301"/>
      <c r="J83" s="301"/>
      <c r="K83" s="301"/>
      <c r="L83" s="61"/>
      <c r="M83" s="61"/>
      <c r="N83" s="301"/>
      <c r="O83" s="128"/>
      <c r="P83" s="62"/>
    </row>
    <row r="84" spans="1:16">
      <c r="A84" s="388"/>
      <c r="B84" s="301"/>
      <c r="C84" s="301"/>
      <c r="D84" s="301"/>
      <c r="E84" s="301"/>
      <c r="F84" s="301"/>
      <c r="G84" s="301"/>
      <c r="H84" s="301"/>
      <c r="I84" s="301"/>
      <c r="J84" s="301"/>
      <c r="K84" s="301"/>
      <c r="L84" s="61"/>
      <c r="M84" s="61"/>
      <c r="N84" s="301"/>
      <c r="O84" s="128"/>
      <c r="P84" s="62"/>
    </row>
    <row r="85" spans="1:16">
      <c r="A85" s="388"/>
      <c r="B85" s="301"/>
      <c r="C85" s="301"/>
      <c r="D85" s="301"/>
      <c r="E85" s="301"/>
      <c r="F85" s="301"/>
      <c r="G85" s="301"/>
      <c r="H85" s="301"/>
      <c r="I85" s="301"/>
      <c r="J85" s="301"/>
      <c r="K85" s="301"/>
      <c r="L85" s="61"/>
      <c r="M85" s="61"/>
      <c r="N85" s="301"/>
      <c r="O85" s="128"/>
      <c r="P85" s="62"/>
    </row>
    <row r="86" spans="1:16">
      <c r="A86" s="388"/>
      <c r="B86" s="301"/>
      <c r="C86" s="301"/>
      <c r="D86" s="301"/>
      <c r="E86" s="301"/>
      <c r="F86" s="301"/>
      <c r="G86" s="301"/>
      <c r="H86" s="301"/>
      <c r="I86" s="301"/>
      <c r="J86" s="301"/>
      <c r="K86" s="301"/>
      <c r="L86" s="61"/>
      <c r="M86" s="61"/>
      <c r="N86" s="301"/>
      <c r="O86" s="128"/>
      <c r="P86" s="62"/>
    </row>
    <row r="87" spans="1:16">
      <c r="A87" s="388"/>
      <c r="B87" s="301"/>
      <c r="C87" s="301"/>
      <c r="D87" s="301"/>
      <c r="E87" s="301"/>
      <c r="F87" s="301"/>
      <c r="G87" s="301"/>
      <c r="H87" s="301"/>
      <c r="I87" s="301"/>
      <c r="J87" s="301"/>
      <c r="K87" s="301"/>
      <c r="L87" s="61"/>
      <c r="M87" s="61"/>
      <c r="N87" s="301"/>
      <c r="O87" s="128"/>
      <c r="P87" s="62"/>
    </row>
    <row r="88" spans="1:16">
      <c r="A88" s="388"/>
      <c r="B88" s="301"/>
      <c r="C88" s="301"/>
      <c r="D88" s="301"/>
      <c r="E88" s="301"/>
      <c r="F88" s="301"/>
      <c r="G88" s="301"/>
      <c r="H88" s="301"/>
      <c r="I88" s="301"/>
      <c r="J88" s="301"/>
      <c r="K88" s="301"/>
      <c r="L88" s="61"/>
      <c r="M88" s="61"/>
      <c r="N88" s="301"/>
      <c r="O88" s="128"/>
      <c r="P88" s="62"/>
    </row>
    <row r="89" spans="1:16">
      <c r="A89" s="388"/>
      <c r="B89" s="301"/>
      <c r="C89" s="301"/>
      <c r="D89" s="301"/>
      <c r="E89" s="301"/>
      <c r="F89" s="301"/>
      <c r="G89" s="301"/>
      <c r="H89" s="301"/>
      <c r="I89" s="301"/>
      <c r="J89" s="301"/>
      <c r="K89" s="301"/>
      <c r="L89" s="61"/>
      <c r="M89" s="61"/>
      <c r="N89" s="301"/>
      <c r="O89" s="128"/>
      <c r="P89" s="62"/>
    </row>
    <row r="90" spans="1:16">
      <c r="A90" s="380"/>
      <c r="B90" s="301"/>
      <c r="C90" s="301"/>
      <c r="D90" s="301"/>
      <c r="E90" s="301"/>
      <c r="F90" s="301"/>
      <c r="G90" s="301"/>
      <c r="H90" s="301"/>
      <c r="I90" s="301"/>
      <c r="J90" s="301"/>
      <c r="K90" s="301"/>
      <c r="L90" s="61"/>
      <c r="M90" s="61"/>
      <c r="N90" s="301"/>
      <c r="O90" s="128"/>
      <c r="P90" s="62"/>
    </row>
    <row r="91" spans="1:16">
      <c r="A91" s="380"/>
      <c r="B91" s="301"/>
      <c r="C91" s="301"/>
      <c r="D91" s="301"/>
      <c r="E91" s="301"/>
      <c r="F91" s="301"/>
      <c r="G91" s="301"/>
      <c r="H91" s="301"/>
      <c r="I91" s="301"/>
      <c r="J91" s="301"/>
      <c r="K91" s="301"/>
      <c r="L91" s="61"/>
      <c r="M91" s="61"/>
      <c r="N91" s="301"/>
      <c r="O91" s="128"/>
      <c r="P91" s="62"/>
    </row>
    <row r="92" spans="1:16">
      <c r="A92" s="380"/>
      <c r="B92" s="301"/>
      <c r="C92" s="301"/>
      <c r="D92" s="301"/>
      <c r="E92" s="301"/>
      <c r="F92" s="301"/>
      <c r="G92" s="301"/>
      <c r="H92" s="301"/>
      <c r="I92" s="301"/>
      <c r="J92" s="301"/>
      <c r="K92" s="301"/>
      <c r="L92" s="61"/>
      <c r="M92" s="61"/>
      <c r="N92" s="301"/>
      <c r="O92" s="128"/>
      <c r="P92" s="62"/>
    </row>
    <row r="93" spans="1:16">
      <c r="A93" s="380"/>
      <c r="B93" s="301"/>
      <c r="C93" s="301"/>
      <c r="D93" s="301"/>
      <c r="E93" s="301"/>
      <c r="F93" s="301"/>
      <c r="G93" s="301"/>
      <c r="H93" s="301"/>
      <c r="I93" s="301"/>
      <c r="J93" s="301"/>
      <c r="K93" s="301"/>
      <c r="L93" s="61"/>
      <c r="M93" s="61"/>
      <c r="N93" s="301"/>
      <c r="O93" s="128"/>
      <c r="P93" s="62"/>
    </row>
    <row r="94" spans="1:16">
      <c r="A94" s="380"/>
      <c r="B94" s="301"/>
      <c r="C94" s="301"/>
      <c r="D94" s="301"/>
      <c r="E94" s="301"/>
      <c r="F94" s="301"/>
      <c r="G94" s="301"/>
      <c r="H94" s="301"/>
      <c r="I94" s="301"/>
      <c r="J94" s="301"/>
      <c r="K94" s="301"/>
      <c r="L94" s="61"/>
      <c r="M94" s="61"/>
      <c r="N94" s="301"/>
      <c r="O94" s="128"/>
      <c r="P94" s="62"/>
    </row>
    <row r="95" spans="1:16">
      <c r="A95" s="380"/>
      <c r="B95" s="301"/>
      <c r="C95" s="301"/>
      <c r="D95" s="301"/>
      <c r="E95" s="301"/>
      <c r="F95" s="301"/>
      <c r="G95" s="301"/>
      <c r="H95" s="301"/>
      <c r="I95" s="301"/>
      <c r="J95" s="301"/>
      <c r="K95" s="301"/>
      <c r="L95" s="61"/>
      <c r="M95" s="61"/>
      <c r="N95" s="301"/>
      <c r="O95" s="128"/>
      <c r="P95" s="62"/>
    </row>
    <row r="96" spans="1:16">
      <c r="A96" s="388"/>
      <c r="B96" s="301"/>
      <c r="C96" s="301"/>
      <c r="D96" s="301"/>
      <c r="E96" s="301"/>
      <c r="F96" s="301"/>
      <c r="G96" s="301"/>
      <c r="H96" s="301"/>
      <c r="I96" s="301"/>
      <c r="J96" s="301"/>
      <c r="K96" s="61"/>
      <c r="L96" s="61"/>
      <c r="M96" s="61"/>
      <c r="N96" s="301"/>
      <c r="O96" s="128"/>
      <c r="P96" s="62"/>
    </row>
    <row r="97" spans="1:16">
      <c r="A97" s="388"/>
      <c r="B97" s="301"/>
      <c r="C97" s="301"/>
      <c r="D97" s="301"/>
      <c r="E97" s="301"/>
      <c r="F97" s="301"/>
      <c r="G97" s="301"/>
      <c r="H97" s="301"/>
      <c r="I97" s="301"/>
      <c r="J97" s="301"/>
      <c r="K97" s="61"/>
      <c r="L97" s="61"/>
      <c r="M97" s="61"/>
      <c r="N97" s="301"/>
      <c r="O97" s="128"/>
      <c r="P97" s="62"/>
    </row>
    <row r="98" spans="1:16">
      <c r="A98" s="388"/>
      <c r="B98" s="301"/>
      <c r="C98" s="301"/>
      <c r="D98" s="301"/>
      <c r="E98" s="301"/>
      <c r="F98" s="301"/>
      <c r="G98" s="301"/>
      <c r="H98" s="301"/>
      <c r="I98" s="301"/>
      <c r="J98" s="301"/>
      <c r="K98" s="61"/>
      <c r="L98" s="61"/>
      <c r="M98" s="61"/>
      <c r="N98" s="301"/>
      <c r="O98" s="128"/>
      <c r="P98" s="62"/>
    </row>
    <row r="99" spans="1:16">
      <c r="A99" s="388"/>
      <c r="B99" s="301"/>
      <c r="C99" s="301"/>
      <c r="D99" s="301"/>
      <c r="E99" s="301"/>
      <c r="F99" s="301"/>
      <c r="G99" s="301"/>
      <c r="H99" s="301"/>
      <c r="I99" s="301"/>
      <c r="J99" s="301"/>
      <c r="K99" s="61"/>
      <c r="L99" s="61"/>
      <c r="M99" s="61"/>
      <c r="N99" s="301"/>
      <c r="O99" s="128"/>
      <c r="P99" s="62"/>
    </row>
    <row r="100" spans="1:16">
      <c r="A100" s="380"/>
      <c r="B100" s="301"/>
      <c r="C100" s="301"/>
      <c r="D100" s="301"/>
      <c r="E100" s="301"/>
      <c r="F100" s="301"/>
      <c r="G100" s="301"/>
      <c r="H100" s="301"/>
      <c r="I100" s="301"/>
      <c r="J100" s="301"/>
      <c r="K100" s="61"/>
      <c r="L100" s="65"/>
      <c r="M100" s="61"/>
      <c r="N100" s="301"/>
      <c r="O100" s="128"/>
      <c r="P100" s="62"/>
    </row>
    <row r="101" spans="1:16">
      <c r="A101" s="380"/>
      <c r="B101" s="301"/>
      <c r="C101" s="301"/>
      <c r="D101" s="301"/>
      <c r="E101" s="301"/>
      <c r="F101" s="301"/>
      <c r="G101" s="301"/>
      <c r="H101" s="301"/>
      <c r="I101" s="301"/>
      <c r="J101" s="301"/>
      <c r="K101" s="61"/>
      <c r="L101" s="65"/>
      <c r="M101" s="61"/>
      <c r="N101" s="301"/>
      <c r="O101" s="128"/>
      <c r="P101" s="62"/>
    </row>
    <row r="102" spans="1:16">
      <c r="A102" s="380"/>
      <c r="B102" s="301"/>
      <c r="C102" s="301"/>
      <c r="D102" s="301"/>
      <c r="E102" s="301"/>
      <c r="F102" s="301"/>
      <c r="G102" s="301"/>
      <c r="H102" s="301"/>
      <c r="I102" s="301"/>
      <c r="J102" s="301"/>
      <c r="K102" s="61"/>
      <c r="L102" s="65"/>
      <c r="M102" s="61"/>
      <c r="N102" s="301"/>
      <c r="O102" s="128"/>
      <c r="P102" s="62"/>
    </row>
    <row r="103" spans="1:16">
      <c r="A103" s="380"/>
      <c r="B103" s="301"/>
      <c r="C103" s="301"/>
      <c r="D103" s="301"/>
      <c r="E103" s="301"/>
      <c r="F103" s="301"/>
      <c r="G103" s="301"/>
      <c r="H103" s="301"/>
      <c r="I103" s="301"/>
      <c r="J103" s="301"/>
      <c r="K103" s="61"/>
      <c r="L103" s="65"/>
      <c r="M103" s="61"/>
      <c r="N103" s="301"/>
      <c r="O103" s="128"/>
      <c r="P103" s="62"/>
    </row>
    <row r="104" spans="1:16">
      <c r="A104" s="62"/>
      <c r="B104" s="301"/>
      <c r="C104" s="301"/>
      <c r="D104" s="301"/>
      <c r="E104" s="301"/>
      <c r="F104" s="301"/>
      <c r="G104" s="301"/>
      <c r="H104" s="301"/>
      <c r="I104" s="301"/>
      <c r="J104" s="301"/>
      <c r="K104" s="61"/>
      <c r="L104" s="65"/>
      <c r="M104" s="61"/>
      <c r="N104" s="301"/>
      <c r="O104" s="128"/>
      <c r="P104" s="62"/>
    </row>
    <row r="105" spans="1:16">
      <c r="A105" s="62"/>
      <c r="B105" s="301"/>
      <c r="C105" s="301"/>
      <c r="D105" s="301"/>
      <c r="E105" s="301"/>
      <c r="F105" s="301"/>
      <c r="G105" s="301"/>
      <c r="H105" s="301"/>
      <c r="I105" s="301"/>
      <c r="J105" s="301"/>
      <c r="K105" s="61"/>
      <c r="L105" s="65"/>
      <c r="M105" s="61"/>
      <c r="N105" s="301"/>
      <c r="O105" s="128"/>
      <c r="P105" s="62"/>
    </row>
    <row r="106" spans="1:16">
      <c r="A106" s="62"/>
      <c r="B106" s="301"/>
      <c r="C106" s="301"/>
      <c r="D106" s="301"/>
      <c r="E106" s="301"/>
      <c r="F106" s="301"/>
      <c r="G106" s="301"/>
      <c r="H106" s="301"/>
      <c r="I106" s="301"/>
      <c r="J106" s="301"/>
      <c r="K106" s="61"/>
      <c r="L106" s="65"/>
      <c r="M106" s="61"/>
      <c r="N106" s="301"/>
      <c r="O106" s="128"/>
      <c r="P106" s="62"/>
    </row>
    <row r="107" spans="1:16">
      <c r="A107" s="62"/>
      <c r="B107" s="301"/>
      <c r="C107" s="301"/>
      <c r="D107" s="301"/>
      <c r="E107" s="301"/>
      <c r="F107" s="301"/>
      <c r="G107" s="301"/>
      <c r="H107" s="301"/>
      <c r="I107" s="301"/>
      <c r="J107" s="301"/>
      <c r="K107" s="61"/>
      <c r="L107" s="65"/>
      <c r="M107" s="61"/>
      <c r="N107" s="301"/>
      <c r="O107" s="128"/>
      <c r="P107" s="62"/>
    </row>
    <row r="108" spans="1:16">
      <c r="A108" s="62"/>
      <c r="B108" s="301"/>
      <c r="C108" s="301"/>
      <c r="D108" s="301"/>
      <c r="E108" s="301"/>
      <c r="F108" s="301"/>
      <c r="G108" s="301"/>
      <c r="H108" s="301"/>
      <c r="I108" s="301"/>
      <c r="J108" s="301"/>
      <c r="K108" s="61"/>
      <c r="L108" s="65"/>
      <c r="M108" s="61"/>
      <c r="N108" s="301"/>
      <c r="O108" s="128"/>
      <c r="P108" s="62"/>
    </row>
    <row r="109" spans="1:16">
      <c r="A109" s="62"/>
      <c r="B109" s="301"/>
      <c r="C109" s="301"/>
      <c r="D109" s="301"/>
      <c r="E109" s="301"/>
      <c r="F109" s="301"/>
      <c r="G109" s="301"/>
      <c r="H109" s="301"/>
      <c r="I109" s="301"/>
      <c r="J109" s="301"/>
      <c r="K109" s="61"/>
      <c r="L109" s="65"/>
      <c r="M109" s="61"/>
      <c r="N109" s="301"/>
      <c r="O109" s="128"/>
      <c r="P109" s="62"/>
    </row>
    <row r="110" spans="1:16">
      <c r="A110" s="62"/>
      <c r="B110" s="301"/>
      <c r="C110" s="301"/>
      <c r="D110" s="301"/>
      <c r="E110" s="301"/>
      <c r="F110" s="301"/>
      <c r="G110" s="301"/>
      <c r="H110" s="301"/>
      <c r="I110" s="301"/>
      <c r="J110" s="301"/>
      <c r="K110" s="61"/>
      <c r="L110" s="65"/>
      <c r="M110" s="61"/>
      <c r="N110" s="301"/>
      <c r="O110" s="128"/>
      <c r="P110" s="62"/>
    </row>
    <row r="111" spans="1:16">
      <c r="A111" s="62"/>
      <c r="B111" s="301"/>
      <c r="C111" s="301"/>
      <c r="D111" s="301"/>
      <c r="E111" s="301"/>
      <c r="F111" s="301"/>
      <c r="G111" s="301"/>
      <c r="H111" s="301"/>
      <c r="I111" s="301"/>
      <c r="J111" s="301"/>
      <c r="K111" s="61"/>
      <c r="L111" s="65"/>
      <c r="M111" s="61"/>
      <c r="N111" s="301"/>
      <c r="O111" s="128"/>
      <c r="P111" s="62"/>
    </row>
    <row r="112" spans="1:16">
      <c r="A112" s="62"/>
      <c r="B112" s="301"/>
      <c r="C112" s="301"/>
      <c r="D112" s="301"/>
      <c r="E112" s="301"/>
      <c r="F112" s="301"/>
      <c r="G112" s="301"/>
      <c r="H112" s="301"/>
      <c r="I112" s="301"/>
      <c r="J112" s="301"/>
      <c r="K112" s="61"/>
      <c r="L112" s="65"/>
      <c r="M112" s="61"/>
      <c r="N112" s="301"/>
      <c r="O112" s="128"/>
      <c r="P112" s="62"/>
    </row>
    <row r="113" spans="1:16">
      <c r="A113" s="62"/>
      <c r="B113" s="301"/>
      <c r="C113" s="301"/>
      <c r="D113" s="301"/>
      <c r="E113" s="301"/>
      <c r="F113" s="301"/>
      <c r="G113" s="301"/>
      <c r="H113" s="301"/>
      <c r="I113" s="301"/>
      <c r="J113" s="301"/>
      <c r="K113" s="61"/>
      <c r="L113" s="65"/>
      <c r="M113" s="61"/>
      <c r="N113" s="301"/>
      <c r="O113" s="128"/>
      <c r="P113" s="62"/>
    </row>
    <row r="114" spans="1:16">
      <c r="A114" s="62"/>
      <c r="B114" s="301"/>
      <c r="C114" s="301"/>
      <c r="D114" s="301"/>
      <c r="E114" s="301"/>
      <c r="F114" s="301"/>
      <c r="G114" s="301"/>
      <c r="H114" s="301"/>
      <c r="I114" s="301"/>
      <c r="J114" s="301"/>
      <c r="K114" s="61"/>
      <c r="L114" s="65"/>
      <c r="M114" s="61"/>
      <c r="N114" s="301"/>
      <c r="O114" s="128"/>
      <c r="P114" s="62"/>
    </row>
    <row r="115" spans="1:16">
      <c r="A115" s="62"/>
      <c r="B115" s="301"/>
      <c r="C115" s="301"/>
      <c r="D115" s="301"/>
      <c r="E115" s="301"/>
      <c r="F115" s="301"/>
      <c r="G115" s="301"/>
      <c r="H115" s="301"/>
      <c r="I115" s="301"/>
      <c r="J115" s="301"/>
      <c r="K115" s="61"/>
      <c r="L115" s="65"/>
      <c r="M115" s="61"/>
      <c r="N115" s="301"/>
      <c r="O115" s="128"/>
      <c r="P115" s="62"/>
    </row>
    <row r="116" spans="1:16">
      <c r="A116" s="62"/>
      <c r="B116" s="301"/>
      <c r="C116" s="301"/>
      <c r="D116" s="301"/>
      <c r="E116" s="301"/>
      <c r="F116" s="301"/>
      <c r="G116" s="301"/>
      <c r="H116" s="301"/>
      <c r="I116" s="301"/>
      <c r="J116" s="301"/>
      <c r="K116" s="61"/>
      <c r="L116" s="65"/>
      <c r="M116" s="61"/>
      <c r="N116" s="301"/>
      <c r="O116" s="128"/>
      <c r="P116" s="62"/>
    </row>
    <row r="117" spans="1:16">
      <c r="A117" s="62"/>
      <c r="B117" s="301"/>
      <c r="C117" s="301"/>
      <c r="D117" s="301"/>
      <c r="E117" s="301"/>
      <c r="F117" s="301"/>
      <c r="G117" s="301"/>
      <c r="H117" s="301"/>
      <c r="I117" s="301"/>
      <c r="J117" s="301"/>
      <c r="K117" s="61"/>
      <c r="L117" s="65"/>
      <c r="M117" s="61"/>
      <c r="N117" s="301"/>
      <c r="O117" s="128"/>
      <c r="P117" s="62"/>
    </row>
    <row r="118" spans="1:16">
      <c r="A118" s="62"/>
      <c r="B118" s="301"/>
      <c r="C118" s="301"/>
      <c r="D118" s="301"/>
      <c r="E118" s="301"/>
      <c r="F118" s="301"/>
      <c r="G118" s="301"/>
      <c r="H118" s="301"/>
      <c r="I118" s="301"/>
      <c r="J118" s="301"/>
      <c r="K118" s="61"/>
      <c r="L118" s="65"/>
      <c r="M118" s="61"/>
      <c r="N118" s="301"/>
      <c r="O118" s="128"/>
      <c r="P118" s="62"/>
    </row>
    <row r="119" spans="1:16">
      <c r="A119" s="62"/>
      <c r="B119" s="301"/>
      <c r="C119" s="301"/>
      <c r="D119" s="301"/>
      <c r="E119" s="301"/>
      <c r="F119" s="301"/>
      <c r="G119" s="301"/>
      <c r="H119" s="301"/>
      <c r="I119" s="301"/>
      <c r="J119" s="301"/>
      <c r="K119" s="61"/>
      <c r="L119" s="65"/>
      <c r="M119" s="61"/>
      <c r="N119" s="301"/>
      <c r="O119" s="128"/>
      <c r="P119" s="62"/>
    </row>
    <row r="120" spans="1:16">
      <c r="A120" s="62"/>
      <c r="B120" s="301"/>
      <c r="C120" s="301"/>
      <c r="D120" s="301"/>
      <c r="E120" s="301"/>
      <c r="F120" s="301"/>
      <c r="G120" s="301"/>
      <c r="H120" s="301"/>
      <c r="I120" s="301"/>
      <c r="J120" s="301"/>
      <c r="K120" s="61"/>
      <c r="L120" s="65"/>
      <c r="M120" s="61"/>
      <c r="N120" s="301"/>
      <c r="O120" s="128"/>
      <c r="P120" s="62"/>
    </row>
    <row r="121" spans="1:16">
      <c r="A121" s="62"/>
      <c r="B121" s="301"/>
      <c r="C121" s="301"/>
      <c r="D121" s="301"/>
      <c r="E121" s="301"/>
      <c r="F121" s="301"/>
      <c r="G121" s="301"/>
      <c r="H121" s="301"/>
      <c r="I121" s="301"/>
      <c r="J121" s="301"/>
      <c r="K121" s="61"/>
      <c r="L121" s="65"/>
      <c r="M121" s="61"/>
      <c r="N121" s="301"/>
      <c r="O121" s="128"/>
      <c r="P121" s="62"/>
    </row>
    <row r="122" spans="1:16">
      <c r="A122" s="62"/>
      <c r="B122" s="301"/>
      <c r="C122" s="301"/>
      <c r="D122" s="301"/>
      <c r="E122" s="301"/>
      <c r="F122" s="301"/>
      <c r="G122" s="301"/>
      <c r="H122" s="301"/>
      <c r="I122" s="301"/>
      <c r="J122" s="301"/>
      <c r="K122" s="61"/>
      <c r="L122" s="65"/>
      <c r="M122" s="61"/>
      <c r="N122" s="301"/>
      <c r="O122" s="128"/>
      <c r="P122" s="62"/>
    </row>
    <row r="123" spans="1:16">
      <c r="A123" s="62"/>
      <c r="B123" s="301"/>
      <c r="C123" s="301"/>
      <c r="D123" s="301"/>
      <c r="E123" s="301"/>
      <c r="F123" s="301"/>
      <c r="G123" s="301"/>
      <c r="H123" s="301"/>
      <c r="I123" s="301"/>
      <c r="J123" s="301"/>
      <c r="K123" s="61"/>
      <c r="L123" s="65"/>
      <c r="M123" s="61"/>
      <c r="N123" s="301"/>
      <c r="O123" s="128"/>
      <c r="P123" s="62"/>
    </row>
    <row r="124" spans="1:16">
      <c r="A124" s="62"/>
      <c r="B124" s="301"/>
      <c r="C124" s="301"/>
      <c r="D124" s="301"/>
      <c r="E124" s="301"/>
      <c r="F124" s="301"/>
      <c r="G124" s="301"/>
      <c r="H124" s="301"/>
      <c r="I124" s="301"/>
      <c r="J124" s="301"/>
      <c r="K124" s="61"/>
      <c r="L124" s="65"/>
      <c r="M124" s="61"/>
      <c r="N124" s="301"/>
      <c r="O124" s="128"/>
      <c r="P124" s="62"/>
    </row>
    <row r="125" spans="1:16">
      <c r="A125" s="62"/>
      <c r="B125" s="301"/>
      <c r="C125" s="301"/>
      <c r="D125" s="301"/>
      <c r="E125" s="301"/>
      <c r="F125" s="301"/>
      <c r="G125" s="301"/>
      <c r="H125" s="301"/>
      <c r="I125" s="301"/>
      <c r="J125" s="301"/>
      <c r="K125" s="61"/>
      <c r="L125" s="65"/>
      <c r="M125" s="61"/>
      <c r="N125" s="301"/>
      <c r="O125" s="128"/>
      <c r="P125" s="62"/>
    </row>
    <row r="126" spans="1:16">
      <c r="A126" s="62"/>
      <c r="B126" s="301"/>
      <c r="C126" s="301"/>
      <c r="D126" s="301"/>
      <c r="E126" s="301"/>
      <c r="F126" s="301"/>
      <c r="G126" s="301"/>
      <c r="H126" s="301"/>
      <c r="I126" s="301"/>
      <c r="J126" s="301"/>
      <c r="K126" s="61"/>
      <c r="L126" s="65"/>
      <c r="M126" s="61"/>
      <c r="N126" s="301"/>
      <c r="O126" s="128"/>
      <c r="P126" s="62"/>
    </row>
    <row r="127" spans="1:16">
      <c r="A127" s="62"/>
      <c r="B127" s="301"/>
      <c r="C127" s="301"/>
      <c r="D127" s="301"/>
      <c r="E127" s="122"/>
      <c r="F127" s="122"/>
      <c r="G127" s="122"/>
      <c r="H127" s="122"/>
      <c r="I127" s="301"/>
      <c r="J127" s="301"/>
      <c r="K127" s="61"/>
      <c r="L127" s="65"/>
      <c r="M127" s="61"/>
      <c r="N127" s="301"/>
      <c r="O127" s="128"/>
      <c r="P127" s="62"/>
    </row>
    <row r="128" spans="1:16">
      <c r="A128" s="62"/>
      <c r="B128" s="301"/>
      <c r="C128" s="301"/>
      <c r="D128" s="301"/>
      <c r="E128" s="122"/>
      <c r="F128" s="122"/>
      <c r="G128" s="122"/>
      <c r="H128" s="122"/>
      <c r="I128" s="301"/>
      <c r="J128" s="301"/>
      <c r="K128" s="61"/>
      <c r="L128" s="65"/>
      <c r="M128" s="61"/>
      <c r="N128" s="301"/>
      <c r="O128" s="128"/>
      <c r="P128" s="62"/>
    </row>
    <row r="129" spans="1:16">
      <c r="A129" s="62"/>
      <c r="B129" s="301"/>
      <c r="C129" s="301"/>
      <c r="D129" s="301"/>
      <c r="E129" s="122"/>
      <c r="F129" s="122"/>
      <c r="G129" s="122"/>
      <c r="H129" s="122"/>
      <c r="I129" s="301"/>
      <c r="J129" s="301"/>
      <c r="K129" s="61"/>
      <c r="L129" s="65"/>
      <c r="M129" s="61"/>
      <c r="N129" s="301"/>
      <c r="O129" s="128"/>
      <c r="P129" s="62"/>
    </row>
    <row r="130" spans="1:16">
      <c r="A130" s="62"/>
      <c r="B130" s="301"/>
      <c r="C130" s="301"/>
      <c r="D130" s="301"/>
      <c r="E130" s="122"/>
      <c r="F130" s="123"/>
      <c r="G130" s="124"/>
      <c r="H130" s="123"/>
      <c r="I130" s="114"/>
      <c r="J130" s="114"/>
      <c r="K130" s="61"/>
      <c r="L130" s="65"/>
      <c r="M130" s="61"/>
      <c r="N130" s="114"/>
      <c r="O130" s="128"/>
      <c r="P130" s="62"/>
    </row>
    <row r="131" spans="1:16">
      <c r="A131" s="62"/>
      <c r="B131" s="301"/>
      <c r="C131" s="301"/>
      <c r="D131" s="301"/>
      <c r="E131" s="301"/>
      <c r="F131" s="114"/>
      <c r="G131" s="114"/>
      <c r="H131" s="114"/>
      <c r="I131" s="114"/>
      <c r="J131" s="114"/>
      <c r="K131" s="61"/>
      <c r="L131" s="65"/>
      <c r="M131" s="61"/>
      <c r="N131" s="114"/>
      <c r="O131" s="128"/>
      <c r="P131" s="62"/>
    </row>
    <row r="132" spans="1:16">
      <c r="A132" s="62"/>
      <c r="B132" s="301"/>
      <c r="C132" s="301"/>
      <c r="D132" s="301"/>
      <c r="E132" s="301"/>
      <c r="F132" s="301"/>
      <c r="G132" s="301"/>
      <c r="H132" s="301"/>
      <c r="I132" s="301"/>
      <c r="J132" s="301"/>
      <c r="K132" s="61"/>
      <c r="L132" s="65"/>
      <c r="M132" s="61"/>
      <c r="N132" s="301"/>
      <c r="O132" s="128"/>
      <c r="P132" s="62"/>
    </row>
    <row r="133" spans="1:16">
      <c r="A133" s="62"/>
      <c r="B133" s="301"/>
      <c r="C133" s="301"/>
      <c r="D133" s="301"/>
      <c r="E133" s="301"/>
      <c r="F133" s="301"/>
      <c r="G133" s="301"/>
      <c r="H133" s="301"/>
      <c r="I133" s="301"/>
      <c r="J133" s="301"/>
      <c r="K133" s="61"/>
      <c r="L133" s="65"/>
      <c r="M133" s="61"/>
      <c r="N133" s="301"/>
      <c r="O133" s="128"/>
      <c r="P133" s="62"/>
    </row>
    <row r="134" spans="1:16">
      <c r="A134" s="62"/>
      <c r="B134" s="301"/>
      <c r="C134" s="301"/>
      <c r="D134" s="301"/>
      <c r="E134" s="301"/>
      <c r="F134" s="301"/>
      <c r="G134" s="301"/>
      <c r="H134" s="301"/>
      <c r="I134" s="301"/>
      <c r="J134" s="301"/>
      <c r="K134" s="61"/>
      <c r="L134" s="65"/>
      <c r="M134" s="61"/>
      <c r="N134" s="301"/>
      <c r="O134" s="128"/>
      <c r="P134" s="62"/>
    </row>
    <row r="135" spans="1:16">
      <c r="A135" s="62"/>
      <c r="B135" s="301"/>
      <c r="C135" s="301"/>
      <c r="D135" s="301"/>
      <c r="E135" s="301"/>
      <c r="F135" s="301"/>
      <c r="G135" s="301"/>
      <c r="H135" s="301"/>
      <c r="I135" s="301"/>
      <c r="J135" s="301"/>
      <c r="K135" s="61"/>
      <c r="L135" s="65"/>
      <c r="M135" s="61"/>
      <c r="N135" s="301"/>
      <c r="O135" s="128"/>
      <c r="P135" s="62"/>
    </row>
    <row r="136" spans="1:16">
      <c r="A136" s="62"/>
      <c r="B136" s="301"/>
      <c r="C136" s="301"/>
      <c r="D136" s="301"/>
      <c r="E136" s="301"/>
      <c r="F136" s="301"/>
      <c r="G136" s="301"/>
      <c r="H136" s="301"/>
      <c r="I136" s="301"/>
      <c r="J136" s="301"/>
      <c r="K136" s="61"/>
      <c r="L136" s="65"/>
      <c r="M136" s="61"/>
      <c r="N136" s="301"/>
      <c r="O136" s="128"/>
      <c r="P136" s="62"/>
    </row>
    <row r="137" spans="1:16">
      <c r="A137" s="62"/>
      <c r="B137" s="301"/>
      <c r="C137" s="301"/>
      <c r="D137" s="301"/>
      <c r="E137" s="301"/>
      <c r="F137" s="301"/>
      <c r="G137" s="301"/>
      <c r="H137" s="301"/>
      <c r="I137" s="301"/>
      <c r="J137" s="301"/>
      <c r="K137" s="61"/>
      <c r="L137" s="65"/>
      <c r="M137" s="61"/>
      <c r="N137" s="301"/>
      <c r="O137" s="128"/>
      <c r="P137" s="62"/>
    </row>
    <row r="138" spans="1:16">
      <c r="A138" s="62"/>
      <c r="B138" s="301"/>
      <c r="C138" s="301"/>
      <c r="D138" s="301"/>
      <c r="E138" s="301"/>
      <c r="F138" s="301"/>
      <c r="G138" s="301"/>
      <c r="H138" s="301"/>
      <c r="I138" s="301"/>
      <c r="J138" s="301"/>
      <c r="K138" s="61"/>
      <c r="L138" s="65"/>
      <c r="M138" s="61"/>
      <c r="N138" s="301"/>
      <c r="O138" s="128"/>
      <c r="P138" s="62"/>
    </row>
    <row r="139" spans="1:16">
      <c r="A139" s="62"/>
      <c r="B139" s="301"/>
      <c r="C139" s="301"/>
      <c r="D139" s="301"/>
      <c r="E139" s="301"/>
      <c r="F139" s="301"/>
      <c r="G139" s="301"/>
      <c r="H139" s="301"/>
      <c r="I139" s="301"/>
      <c r="J139" s="301"/>
      <c r="K139" s="61"/>
      <c r="L139" s="65"/>
      <c r="M139" s="61"/>
      <c r="N139" s="301"/>
      <c r="O139" s="128"/>
      <c r="P139" s="62"/>
    </row>
    <row r="140" spans="1:16">
      <c r="A140" s="62"/>
      <c r="B140" s="301"/>
      <c r="C140" s="301"/>
      <c r="D140" s="301"/>
      <c r="E140" s="301"/>
      <c r="F140" s="301"/>
      <c r="G140" s="301"/>
      <c r="H140" s="301"/>
      <c r="I140" s="301"/>
      <c r="J140" s="301"/>
      <c r="K140" s="61"/>
      <c r="L140" s="65"/>
      <c r="M140" s="61"/>
      <c r="N140" s="301"/>
      <c r="O140" s="128"/>
      <c r="P140" s="62"/>
    </row>
    <row r="141" spans="1:16">
      <c r="A141" s="62"/>
      <c r="B141" s="301"/>
      <c r="C141" s="301"/>
      <c r="D141" s="301"/>
      <c r="E141" s="301"/>
      <c r="F141" s="301"/>
      <c r="G141" s="301"/>
      <c r="H141" s="301"/>
      <c r="I141" s="301"/>
      <c r="J141" s="301"/>
      <c r="K141" s="61"/>
      <c r="L141" s="65"/>
      <c r="M141" s="61"/>
      <c r="N141" s="301"/>
      <c r="O141" s="128"/>
      <c r="P141" s="62"/>
    </row>
    <row r="142" spans="1:16">
      <c r="A142" s="62"/>
      <c r="B142" s="301"/>
      <c r="C142" s="301"/>
      <c r="D142" s="301"/>
      <c r="E142" s="301"/>
      <c r="F142" s="301"/>
      <c r="G142" s="301"/>
      <c r="H142" s="301"/>
      <c r="I142" s="301"/>
      <c r="J142" s="301"/>
      <c r="K142" s="61"/>
      <c r="L142" s="65"/>
      <c r="M142" s="61"/>
      <c r="N142" s="301"/>
      <c r="O142" s="128"/>
      <c r="P142" s="62"/>
    </row>
    <row r="143" spans="1:16">
      <c r="A143" s="62"/>
      <c r="B143" s="301"/>
      <c r="C143" s="301"/>
      <c r="D143" s="301"/>
      <c r="E143" s="301"/>
      <c r="F143" s="301"/>
      <c r="G143" s="301"/>
      <c r="H143" s="301"/>
      <c r="I143" s="301"/>
      <c r="J143" s="301"/>
      <c r="K143" s="61"/>
      <c r="L143" s="65"/>
      <c r="M143" s="61"/>
      <c r="N143" s="301"/>
      <c r="O143" s="128"/>
      <c r="P143" s="62"/>
    </row>
    <row r="144" spans="1:16">
      <c r="A144" s="62"/>
      <c r="B144" s="301"/>
      <c r="C144" s="301"/>
      <c r="D144" s="301"/>
      <c r="E144" s="301"/>
      <c r="F144" s="301"/>
      <c r="G144" s="301"/>
      <c r="H144" s="301"/>
      <c r="I144" s="301"/>
      <c r="J144" s="301"/>
      <c r="K144" s="61"/>
      <c r="L144" s="65"/>
      <c r="M144" s="61"/>
      <c r="N144" s="301"/>
      <c r="O144" s="128"/>
      <c r="P144" s="62"/>
    </row>
    <row r="145" spans="1:16">
      <c r="A145" s="62"/>
      <c r="B145" s="301"/>
      <c r="C145" s="301"/>
      <c r="D145" s="301"/>
      <c r="E145" s="301"/>
      <c r="F145" s="301"/>
      <c r="G145" s="301"/>
      <c r="H145" s="301"/>
      <c r="I145" s="301"/>
      <c r="J145" s="301"/>
      <c r="K145" s="61"/>
      <c r="L145" s="65"/>
      <c r="M145" s="61"/>
      <c r="N145" s="301"/>
      <c r="O145" s="128"/>
      <c r="P145" s="62"/>
    </row>
    <row r="146" spans="1:16">
      <c r="A146" s="62"/>
      <c r="B146" s="301"/>
      <c r="C146" s="301"/>
      <c r="D146" s="301"/>
      <c r="E146" s="301"/>
      <c r="F146" s="301"/>
      <c r="G146" s="301"/>
      <c r="H146" s="301"/>
      <c r="I146" s="301"/>
      <c r="J146" s="301"/>
      <c r="K146" s="61"/>
      <c r="L146" s="65"/>
      <c r="M146" s="61"/>
      <c r="N146" s="301"/>
      <c r="O146" s="128"/>
      <c r="P146" s="62"/>
    </row>
    <row r="147" spans="1:16">
      <c r="A147" s="62"/>
      <c r="B147" s="301"/>
      <c r="C147" s="301"/>
      <c r="D147" s="301"/>
      <c r="E147" s="301"/>
      <c r="F147" s="301"/>
      <c r="G147" s="301"/>
      <c r="H147" s="301"/>
      <c r="I147" s="301"/>
      <c r="J147" s="301"/>
      <c r="K147" s="61"/>
      <c r="L147" s="65"/>
      <c r="M147" s="61"/>
      <c r="N147" s="301"/>
      <c r="O147" s="128"/>
      <c r="P147" s="62"/>
    </row>
    <row r="148" spans="1:16">
      <c r="A148" s="62"/>
      <c r="B148" s="301"/>
      <c r="C148" s="301"/>
      <c r="D148" s="301"/>
      <c r="E148" s="301"/>
      <c r="F148" s="301"/>
      <c r="G148" s="301"/>
      <c r="H148" s="301"/>
      <c r="I148" s="301"/>
      <c r="J148" s="301"/>
      <c r="K148" s="61"/>
      <c r="L148" s="65"/>
      <c r="M148" s="61"/>
      <c r="N148" s="301"/>
      <c r="O148" s="128"/>
      <c r="P148" s="62"/>
    </row>
    <row r="149" spans="1:16">
      <c r="A149" s="62"/>
      <c r="B149" s="301"/>
      <c r="C149" s="301"/>
      <c r="D149" s="301"/>
      <c r="E149" s="301"/>
      <c r="F149" s="301"/>
      <c r="G149" s="301"/>
      <c r="H149" s="301"/>
      <c r="I149" s="301"/>
      <c r="J149" s="301"/>
      <c r="K149" s="61"/>
      <c r="L149" s="65"/>
      <c r="M149" s="61"/>
      <c r="N149" s="301"/>
      <c r="O149" s="128"/>
      <c r="P149" s="62"/>
    </row>
    <row r="150" spans="1:16">
      <c r="A150" s="62"/>
      <c r="B150" s="301"/>
      <c r="C150" s="301"/>
      <c r="D150" s="301"/>
      <c r="E150" s="301"/>
      <c r="F150" s="301"/>
      <c r="G150" s="301"/>
      <c r="H150" s="301"/>
      <c r="I150" s="301"/>
      <c r="J150" s="301"/>
      <c r="K150" s="61"/>
      <c r="L150" s="65"/>
      <c r="M150" s="61"/>
      <c r="N150" s="301"/>
      <c r="O150" s="128"/>
      <c r="P150" s="62"/>
    </row>
    <row r="151" spans="1:16">
      <c r="A151" s="62"/>
      <c r="B151" s="301"/>
      <c r="C151" s="301"/>
      <c r="D151" s="301"/>
      <c r="E151" s="301"/>
      <c r="F151" s="301"/>
      <c r="G151" s="301"/>
      <c r="H151" s="301"/>
      <c r="I151" s="301"/>
      <c r="J151" s="301"/>
      <c r="K151" s="61"/>
      <c r="L151" s="65"/>
      <c r="M151" s="61"/>
      <c r="N151" s="301"/>
      <c r="O151" s="128"/>
      <c r="P151" s="62"/>
    </row>
    <row r="152" spans="1:16">
      <c r="A152" s="62"/>
      <c r="B152" s="62"/>
      <c r="C152" s="62"/>
      <c r="D152" s="62"/>
      <c r="E152" s="62"/>
      <c r="F152" s="62"/>
      <c r="G152" s="62"/>
      <c r="H152" s="62"/>
      <c r="I152" s="62"/>
      <c r="J152" s="62"/>
      <c r="K152" s="62"/>
      <c r="L152" s="126"/>
      <c r="M152" s="62"/>
      <c r="N152" s="62"/>
      <c r="O152" s="62"/>
      <c r="P152" s="62"/>
    </row>
    <row r="153" spans="1:16">
      <c r="A153" s="62"/>
      <c r="B153" s="62"/>
      <c r="C153" s="62"/>
      <c r="D153" s="62"/>
      <c r="E153" s="62"/>
      <c r="F153" s="62"/>
      <c r="G153" s="62"/>
      <c r="H153" s="62"/>
      <c r="I153" s="62"/>
      <c r="J153" s="62"/>
      <c r="K153" s="62"/>
      <c r="L153" s="62"/>
      <c r="M153" s="62"/>
      <c r="N153" s="62"/>
      <c r="O153" s="62"/>
      <c r="P153" s="62"/>
    </row>
    <row r="154" spans="1:16">
      <c r="A154" s="62"/>
      <c r="B154" s="62"/>
      <c r="C154" s="62"/>
      <c r="D154" s="62"/>
      <c r="E154" s="62"/>
      <c r="F154" s="62"/>
      <c r="G154" s="62"/>
      <c r="H154" s="62"/>
      <c r="I154" s="62"/>
      <c r="J154" s="62"/>
      <c r="K154" s="62"/>
      <c r="L154" s="62"/>
      <c r="M154" s="62"/>
      <c r="N154" s="62"/>
      <c r="O154" s="62"/>
      <c r="P154" s="62"/>
    </row>
    <row r="155" spans="1:16">
      <c r="A155" s="62"/>
      <c r="B155" s="62"/>
      <c r="C155" s="62"/>
      <c r="D155" s="62"/>
      <c r="E155" s="62"/>
      <c r="F155" s="62"/>
      <c r="G155" s="62"/>
      <c r="H155" s="62"/>
      <c r="I155" s="62"/>
      <c r="J155" s="62"/>
      <c r="K155" s="62"/>
      <c r="L155" s="62"/>
      <c r="M155" s="62"/>
      <c r="N155" s="62"/>
      <c r="O155" s="62"/>
      <c r="P155" s="62"/>
    </row>
    <row r="156" spans="1:16">
      <c r="A156" s="62"/>
      <c r="B156" s="301"/>
      <c r="C156" s="301"/>
      <c r="D156" s="301"/>
      <c r="E156" s="301"/>
      <c r="F156" s="301"/>
      <c r="G156" s="301"/>
      <c r="H156" s="301"/>
      <c r="I156" s="301"/>
      <c r="J156" s="301"/>
      <c r="K156" s="301"/>
      <c r="L156" s="61"/>
      <c r="M156" s="61"/>
      <c r="N156" s="301"/>
      <c r="O156" s="120"/>
      <c r="P156" s="62"/>
    </row>
    <row r="157" spans="1:16">
      <c r="A157" s="62"/>
      <c r="B157" s="301"/>
      <c r="C157" s="301"/>
      <c r="D157" s="301"/>
      <c r="E157" s="301"/>
      <c r="F157" s="301"/>
      <c r="G157" s="301"/>
      <c r="H157" s="301"/>
      <c r="I157" s="301"/>
      <c r="J157" s="301"/>
      <c r="K157" s="301"/>
      <c r="L157" s="61"/>
      <c r="M157" s="61"/>
      <c r="N157" s="301"/>
      <c r="O157" s="120"/>
      <c r="P157" s="62"/>
    </row>
    <row r="158" spans="1:16">
      <c r="A158" s="62"/>
      <c r="B158" s="301"/>
      <c r="C158" s="301"/>
      <c r="D158" s="301"/>
      <c r="E158" s="301"/>
      <c r="F158" s="301"/>
      <c r="G158" s="301"/>
      <c r="H158" s="301"/>
      <c r="I158" s="301"/>
      <c r="J158" s="301"/>
      <c r="K158" s="301"/>
      <c r="L158" s="61"/>
      <c r="M158" s="61"/>
      <c r="N158" s="301"/>
      <c r="O158" s="120"/>
      <c r="P158" s="62"/>
    </row>
    <row r="159" spans="1:16">
      <c r="A159" s="62"/>
      <c r="B159" s="301"/>
      <c r="C159" s="301"/>
      <c r="D159" s="301"/>
      <c r="E159" s="301"/>
      <c r="F159" s="301"/>
      <c r="G159" s="301"/>
      <c r="H159" s="301"/>
      <c r="I159" s="301"/>
      <c r="J159" s="301"/>
      <c r="K159" s="61"/>
      <c r="L159" s="65"/>
      <c r="M159" s="61"/>
      <c r="N159" s="301"/>
      <c r="O159" s="120"/>
      <c r="P159" s="62"/>
    </row>
    <row r="160" spans="1:16">
      <c r="A160" s="62"/>
      <c r="B160" s="301"/>
      <c r="C160" s="301"/>
      <c r="D160" s="301"/>
      <c r="E160" s="301"/>
      <c r="F160" s="301"/>
      <c r="G160" s="301"/>
      <c r="H160" s="301"/>
      <c r="I160" s="301"/>
      <c r="J160" s="301"/>
      <c r="K160" s="61"/>
      <c r="L160" s="65"/>
      <c r="M160" s="61"/>
      <c r="N160" s="301"/>
      <c r="O160" s="120"/>
      <c r="P160" s="62"/>
    </row>
    <row r="161" spans="1:16">
      <c r="A161" s="62"/>
      <c r="B161" s="301"/>
      <c r="C161" s="301"/>
      <c r="D161" s="301"/>
      <c r="E161" s="301"/>
      <c r="F161" s="301"/>
      <c r="G161" s="301"/>
      <c r="H161" s="301"/>
      <c r="I161" s="301"/>
      <c r="J161" s="301"/>
      <c r="K161" s="61"/>
      <c r="L161" s="65"/>
      <c r="M161" s="61"/>
      <c r="N161" s="301"/>
      <c r="O161" s="120"/>
      <c r="P161" s="62"/>
    </row>
    <row r="162" spans="1:16">
      <c r="A162" s="62"/>
      <c r="B162" s="301"/>
      <c r="C162" s="301"/>
      <c r="D162" s="301"/>
      <c r="E162" s="301"/>
      <c r="F162" s="301"/>
      <c r="G162" s="301"/>
      <c r="H162" s="301"/>
      <c r="I162" s="301"/>
      <c r="J162" s="301"/>
      <c r="K162" s="61"/>
      <c r="L162" s="65"/>
      <c r="M162" s="61"/>
      <c r="N162" s="301"/>
      <c r="O162" s="120"/>
      <c r="P162" s="62"/>
    </row>
    <row r="163" spans="1:16">
      <c r="A163" s="62"/>
      <c r="B163" s="62"/>
      <c r="C163" s="62"/>
      <c r="D163" s="62"/>
      <c r="E163" s="62"/>
      <c r="F163" s="62"/>
      <c r="G163" s="62"/>
      <c r="H163" s="62"/>
      <c r="I163" s="62"/>
      <c r="J163" s="62"/>
      <c r="K163" s="62"/>
      <c r="L163" s="126"/>
      <c r="M163" s="62"/>
      <c r="N163" s="62"/>
      <c r="O163" s="62"/>
      <c r="P163" s="62"/>
    </row>
    <row r="164" spans="1:16">
      <c r="A164" s="62"/>
      <c r="B164" s="62"/>
      <c r="C164" s="62"/>
      <c r="D164" s="62"/>
      <c r="E164" s="62"/>
      <c r="F164" s="62"/>
      <c r="G164" s="62"/>
      <c r="H164" s="62"/>
      <c r="I164" s="62"/>
      <c r="J164" s="62"/>
      <c r="K164" s="62"/>
      <c r="L164" s="62"/>
      <c r="M164" s="66"/>
      <c r="N164" s="62"/>
      <c r="O164" s="62"/>
      <c r="P164" s="62"/>
    </row>
    <row r="165" spans="1:16">
      <c r="A165" s="62"/>
      <c r="B165" s="62"/>
      <c r="C165" s="62"/>
      <c r="D165" s="62"/>
      <c r="E165" s="62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</row>
    <row r="166" spans="1:16">
      <c r="A166" s="62"/>
      <c r="B166" s="62"/>
      <c r="C166" s="62"/>
      <c r="D166" s="62"/>
      <c r="E166" s="62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</row>
    <row r="167" spans="1:16">
      <c r="A167" s="62"/>
      <c r="B167" s="301"/>
      <c r="C167" s="301"/>
      <c r="D167" s="301"/>
      <c r="E167" s="301"/>
      <c r="F167" s="301"/>
      <c r="G167" s="121"/>
      <c r="H167" s="301"/>
      <c r="I167" s="301"/>
      <c r="J167" s="301"/>
      <c r="K167" s="61"/>
      <c r="L167" s="65"/>
      <c r="M167" s="61"/>
      <c r="N167" s="301"/>
      <c r="O167" s="121"/>
      <c r="P167" s="62"/>
    </row>
    <row r="168" spans="1:16">
      <c r="A168" s="62"/>
      <c r="B168" s="355"/>
      <c r="C168" s="355"/>
      <c r="D168" s="301"/>
      <c r="E168" s="301"/>
      <c r="F168" s="301"/>
      <c r="G168" s="121"/>
      <c r="H168" s="301"/>
      <c r="I168" s="301"/>
      <c r="J168" s="301"/>
      <c r="K168" s="61"/>
      <c r="L168" s="65"/>
      <c r="M168" s="61"/>
      <c r="N168" s="301"/>
      <c r="O168" s="121"/>
      <c r="P168" s="62"/>
    </row>
    <row r="169" spans="1:16">
      <c r="A169" s="62"/>
      <c r="B169" s="355"/>
      <c r="C169" s="355"/>
      <c r="D169" s="301"/>
      <c r="E169" s="301"/>
      <c r="F169" s="301"/>
      <c r="G169" s="121"/>
      <c r="H169" s="301"/>
      <c r="I169" s="301"/>
      <c r="J169" s="301"/>
      <c r="K169" s="61"/>
      <c r="L169" s="65"/>
      <c r="M169" s="61"/>
      <c r="N169" s="301"/>
      <c r="O169" s="121"/>
      <c r="P169" s="62"/>
    </row>
    <row r="170" spans="1:16">
      <c r="A170" s="62"/>
      <c r="B170" s="355"/>
      <c r="C170" s="355"/>
      <c r="D170" s="301"/>
      <c r="E170" s="301"/>
      <c r="F170" s="301"/>
      <c r="G170" s="121"/>
      <c r="H170" s="301"/>
      <c r="I170" s="301"/>
      <c r="J170" s="301"/>
      <c r="K170" s="61"/>
      <c r="L170" s="65"/>
      <c r="M170" s="61"/>
      <c r="N170" s="301"/>
      <c r="O170" s="121"/>
      <c r="P170" s="62"/>
    </row>
    <row r="171" spans="1:16">
      <c r="A171" s="62"/>
      <c r="B171" s="355"/>
      <c r="C171" s="355"/>
      <c r="D171" s="301"/>
      <c r="E171" s="301"/>
      <c r="F171" s="301"/>
      <c r="G171" s="121"/>
      <c r="H171" s="301"/>
      <c r="I171" s="301"/>
      <c r="J171" s="301"/>
      <c r="K171" s="61"/>
      <c r="L171" s="65"/>
      <c r="M171" s="61"/>
      <c r="N171" s="301"/>
      <c r="O171" s="121"/>
      <c r="P171" s="62"/>
    </row>
    <row r="172" spans="1:16">
      <c r="A172" s="62"/>
      <c r="B172" s="355"/>
      <c r="C172" s="355"/>
      <c r="D172" s="301"/>
      <c r="E172" s="301"/>
      <c r="F172" s="301"/>
      <c r="G172" s="121"/>
      <c r="H172" s="301"/>
      <c r="I172" s="301"/>
      <c r="J172" s="301"/>
      <c r="K172" s="61"/>
      <c r="L172" s="65"/>
      <c r="M172" s="61"/>
      <c r="N172" s="301"/>
      <c r="O172" s="121"/>
      <c r="P172" s="62"/>
    </row>
    <row r="173" spans="1:16">
      <c r="A173" s="62"/>
      <c r="B173" s="301"/>
      <c r="C173" s="301"/>
      <c r="D173" s="301"/>
      <c r="E173" s="301"/>
      <c r="F173" s="301"/>
      <c r="G173" s="121"/>
      <c r="H173" s="301"/>
      <c r="I173" s="301"/>
      <c r="J173" s="301"/>
      <c r="K173" s="61"/>
      <c r="L173" s="65"/>
      <c r="M173" s="61"/>
      <c r="N173" s="301"/>
      <c r="O173" s="121"/>
      <c r="P173" s="62"/>
    </row>
    <row r="174" spans="1:16">
      <c r="A174" s="62"/>
      <c r="B174" s="62"/>
      <c r="C174" s="62"/>
      <c r="D174" s="62"/>
      <c r="E174" s="62"/>
      <c r="F174" s="62"/>
      <c r="G174" s="62"/>
      <c r="H174" s="62"/>
      <c r="I174" s="62"/>
      <c r="J174" s="62"/>
      <c r="K174" s="62"/>
      <c r="L174" s="126"/>
      <c r="M174" s="62"/>
      <c r="N174" s="62"/>
      <c r="O174" s="62"/>
      <c r="P174" s="62"/>
    </row>
    <row r="175" spans="1:16">
      <c r="A175" s="62"/>
      <c r="B175" s="62"/>
      <c r="C175" s="62"/>
      <c r="D175" s="62"/>
      <c r="E175" s="62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</row>
    <row r="176" spans="1:16">
      <c r="A176" s="62"/>
      <c r="B176" s="62"/>
      <c r="C176" s="62"/>
      <c r="D176" s="62"/>
      <c r="E176" s="62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</row>
    <row r="177" spans="1:16">
      <c r="A177" s="62"/>
      <c r="B177" s="301"/>
      <c r="C177" s="301"/>
      <c r="D177" s="301"/>
      <c r="E177" s="301"/>
      <c r="F177" s="301"/>
      <c r="G177" s="121"/>
      <c r="H177" s="301"/>
      <c r="I177" s="301"/>
      <c r="J177" s="301"/>
      <c r="K177" s="61"/>
      <c r="L177" s="65"/>
      <c r="M177" s="61"/>
      <c r="N177" s="301"/>
      <c r="O177" s="121"/>
      <c r="P177" s="120"/>
    </row>
    <row r="178" spans="1:16">
      <c r="A178" s="62"/>
      <c r="B178" s="301"/>
      <c r="C178" s="301"/>
      <c r="D178" s="301"/>
      <c r="E178" s="301"/>
      <c r="F178" s="301"/>
      <c r="G178" s="121"/>
      <c r="H178" s="301"/>
      <c r="I178" s="301"/>
      <c r="J178" s="301"/>
      <c r="K178" s="61"/>
      <c r="L178" s="65"/>
      <c r="M178" s="61"/>
      <c r="N178" s="301"/>
      <c r="O178" s="121"/>
      <c r="P178" s="120"/>
    </row>
    <row r="179" spans="1:16">
      <c r="A179" s="62"/>
      <c r="B179" s="301"/>
      <c r="C179" s="301"/>
      <c r="D179" s="301"/>
      <c r="E179" s="301"/>
      <c r="F179" s="301"/>
      <c r="G179" s="121"/>
      <c r="H179" s="301"/>
      <c r="I179" s="301"/>
      <c r="J179" s="301"/>
      <c r="K179" s="61"/>
      <c r="L179" s="65"/>
      <c r="M179" s="61"/>
      <c r="N179" s="301"/>
      <c r="O179" s="121"/>
      <c r="P179" s="120"/>
    </row>
    <row r="180" spans="1:16">
      <c r="A180" s="62"/>
      <c r="B180" s="301"/>
      <c r="C180" s="301"/>
      <c r="D180" s="301"/>
      <c r="E180" s="301"/>
      <c r="F180" s="301"/>
      <c r="G180" s="121"/>
      <c r="H180" s="301"/>
      <c r="I180" s="301"/>
      <c r="J180" s="301"/>
      <c r="K180" s="61"/>
      <c r="L180" s="65"/>
      <c r="M180" s="61"/>
      <c r="N180" s="301"/>
      <c r="O180" s="121"/>
      <c r="P180" s="120"/>
    </row>
    <row r="181" spans="1:16">
      <c r="A181" s="62"/>
      <c r="B181" s="62"/>
      <c r="C181" s="62"/>
      <c r="D181" s="62"/>
      <c r="E181" s="62"/>
      <c r="F181" s="62"/>
      <c r="G181" s="62"/>
      <c r="H181" s="62"/>
      <c r="I181" s="62"/>
      <c r="J181" s="62"/>
      <c r="K181" s="62"/>
      <c r="L181" s="126"/>
      <c r="M181" s="66"/>
      <c r="N181" s="62"/>
      <c r="O181" s="62"/>
      <c r="P181" s="62"/>
    </row>
    <row r="182" spans="1:16">
      <c r="A182" s="62"/>
      <c r="B182" s="62"/>
      <c r="C182" s="62"/>
      <c r="D182" s="62"/>
      <c r="E182" s="62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</row>
    <row r="183" spans="1:16">
      <c r="A183" s="62"/>
      <c r="B183" s="62"/>
      <c r="C183" s="62"/>
      <c r="D183" s="62"/>
      <c r="E183" s="62"/>
      <c r="F183" s="62"/>
      <c r="G183" s="62"/>
      <c r="H183" s="62"/>
      <c r="I183" s="62"/>
      <c r="J183" s="62"/>
      <c r="K183" s="62"/>
      <c r="L183" s="125"/>
      <c r="M183" s="62"/>
      <c r="N183" s="62"/>
      <c r="O183" s="62"/>
      <c r="P183" s="62"/>
    </row>
  </sheetData>
  <mergeCells count="15">
    <mergeCell ref="A9:A10"/>
    <mergeCell ref="A81:A82"/>
    <mergeCell ref="A84:A89"/>
    <mergeCell ref="A90:A91"/>
    <mergeCell ref="A92:A95"/>
    <mergeCell ref="A11:A12"/>
    <mergeCell ref="A13:A14"/>
    <mergeCell ref="A15:A17"/>
    <mergeCell ref="A96:A99"/>
    <mergeCell ref="A100:A103"/>
    <mergeCell ref="A32:A42"/>
    <mergeCell ref="A43:A51"/>
    <mergeCell ref="A52:A61"/>
    <mergeCell ref="A62:A64"/>
    <mergeCell ref="A67:A70"/>
  </mergeCells>
  <pageMargins left="0.7" right="0.7" top="0.75" bottom="0.75" header="0.3" footer="0.3"/>
  <pageSetup paperSize="9" orientation="portrait" verticalDpi="0" r:id="rId1"/>
</worksheet>
</file>

<file path=xl/worksheets/sheet51.xml><?xml version="1.0" encoding="utf-8"?>
<worksheet xmlns="http://schemas.openxmlformats.org/spreadsheetml/2006/main" xmlns:r="http://schemas.openxmlformats.org/officeDocument/2006/relationships">
  <dimension ref="A5:U48"/>
  <sheetViews>
    <sheetView workbookViewId="0">
      <pane xSplit="1" ySplit="5" topLeftCell="B39" activePane="bottomRight" state="frozen"/>
      <selection pane="topRight" activeCell="B1" sqref="B1"/>
      <selection pane="bottomLeft" activeCell="A6" sqref="A6"/>
      <selection pane="bottomRight" activeCell="B52" sqref="B52"/>
    </sheetView>
  </sheetViews>
  <sheetFormatPr defaultRowHeight="14.4"/>
  <cols>
    <col min="1" max="1" width="8.88671875" style="1"/>
    <col min="2" max="2" width="13.88671875" style="1" customWidth="1"/>
    <col min="3" max="3" width="11.5546875" style="1" customWidth="1"/>
    <col min="4" max="4" width="5.109375" style="1" customWidth="1"/>
    <col min="5" max="5" width="10.21875" style="1" customWidth="1"/>
    <col min="6" max="6" width="7.44140625" style="1" customWidth="1"/>
    <col min="7" max="7" width="6.5546875" style="1" customWidth="1"/>
    <col min="8" max="8" width="8" style="1" customWidth="1"/>
    <col min="9" max="9" width="6.88671875" style="1" customWidth="1"/>
    <col min="10" max="11" width="7.44140625" style="1" customWidth="1"/>
    <col min="12" max="13" width="7.88671875" style="1" customWidth="1"/>
    <col min="14" max="14" width="7.5546875" style="1" customWidth="1"/>
    <col min="15" max="16384" width="8.88671875" style="1"/>
  </cols>
  <sheetData>
    <row r="5" spans="1:21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3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3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  <c r="U5" s="15" t="s">
        <v>128</v>
      </c>
    </row>
    <row r="6" spans="1:21">
      <c r="A6" s="6" t="s">
        <v>21</v>
      </c>
      <c r="B6" s="2" t="s">
        <v>22</v>
      </c>
      <c r="C6" s="2" t="s">
        <v>23</v>
      </c>
      <c r="D6" s="2" t="s">
        <v>16</v>
      </c>
      <c r="E6" s="2" t="s">
        <v>40</v>
      </c>
      <c r="F6" s="2">
        <v>422</v>
      </c>
      <c r="G6" s="2">
        <v>343</v>
      </c>
      <c r="H6" s="2">
        <v>18000</v>
      </c>
      <c r="I6" s="2">
        <v>228</v>
      </c>
      <c r="J6" s="2">
        <v>0.75</v>
      </c>
      <c r="K6" s="2">
        <f t="shared" ref="K6:K7" si="0">I6*J6</f>
        <v>171</v>
      </c>
      <c r="L6" s="5">
        <f t="shared" ref="L6:L7" si="1">H6-K6</f>
        <v>17829</v>
      </c>
      <c r="M6" s="5">
        <f>H6/1000*70</f>
        <v>1260</v>
      </c>
      <c r="N6" s="2">
        <v>0</v>
      </c>
      <c r="Q6" s="1" t="s">
        <v>25</v>
      </c>
      <c r="R6" s="1">
        <v>117</v>
      </c>
      <c r="S6" s="1">
        <v>200000</v>
      </c>
      <c r="T6" s="1" t="s">
        <v>86</v>
      </c>
      <c r="U6" s="1">
        <v>44</v>
      </c>
    </row>
    <row r="7" spans="1:21">
      <c r="A7" s="1" t="s">
        <v>26</v>
      </c>
      <c r="B7" s="2" t="s">
        <v>22</v>
      </c>
      <c r="C7" s="2" t="s">
        <v>23</v>
      </c>
      <c r="D7" s="2" t="s">
        <v>16</v>
      </c>
      <c r="E7" s="2" t="s">
        <v>54</v>
      </c>
      <c r="F7" s="2">
        <v>270</v>
      </c>
      <c r="G7" s="2">
        <v>344</v>
      </c>
      <c r="H7" s="2">
        <v>20080</v>
      </c>
      <c r="I7" s="2">
        <v>304</v>
      </c>
      <c r="J7" s="2">
        <v>0.75</v>
      </c>
      <c r="K7" s="2">
        <f t="shared" si="0"/>
        <v>228</v>
      </c>
      <c r="L7" s="5">
        <f t="shared" si="1"/>
        <v>19852</v>
      </c>
      <c r="M7" s="5">
        <f t="shared" ref="M7" si="2">H7/1000*70</f>
        <v>1405.6</v>
      </c>
      <c r="N7" s="2">
        <v>0</v>
      </c>
    </row>
    <row r="9" spans="1:21">
      <c r="A9" s="389" t="s">
        <v>177</v>
      </c>
      <c r="B9" s="2" t="s">
        <v>22</v>
      </c>
      <c r="C9" s="2" t="s">
        <v>23</v>
      </c>
      <c r="D9" s="2" t="s">
        <v>16</v>
      </c>
      <c r="E9" s="2" t="s">
        <v>199</v>
      </c>
      <c r="F9" s="2">
        <v>604</v>
      </c>
      <c r="G9" s="2"/>
      <c r="H9" s="2">
        <v>19650</v>
      </c>
      <c r="I9" s="2">
        <v>250</v>
      </c>
      <c r="J9" s="2">
        <v>0.75</v>
      </c>
      <c r="K9" s="5">
        <f t="shared" ref="K9:K11" si="3">I9*J9</f>
        <v>187.5</v>
      </c>
      <c r="L9" s="19">
        <f t="shared" ref="L9:L11" si="4">H9-K9</f>
        <v>19462.5</v>
      </c>
      <c r="M9" s="5">
        <f t="shared" ref="M9:M11" si="5">H9/1000*70</f>
        <v>1375.5</v>
      </c>
      <c r="N9" s="2"/>
    </row>
    <row r="10" spans="1:21">
      <c r="A10" s="389"/>
      <c r="B10" s="2" t="s">
        <v>22</v>
      </c>
      <c r="C10" s="2" t="s">
        <v>23</v>
      </c>
      <c r="D10" s="2" t="s">
        <v>16</v>
      </c>
      <c r="E10" s="2" t="s">
        <v>212</v>
      </c>
      <c r="F10" s="2">
        <v>606</v>
      </c>
      <c r="G10" s="2"/>
      <c r="H10" s="2">
        <v>19670</v>
      </c>
      <c r="I10" s="2">
        <v>250</v>
      </c>
      <c r="J10" s="2">
        <v>0.75</v>
      </c>
      <c r="K10" s="5">
        <f t="shared" si="3"/>
        <v>187.5</v>
      </c>
      <c r="L10" s="19">
        <f t="shared" si="4"/>
        <v>19482.5</v>
      </c>
      <c r="M10" s="5">
        <f t="shared" si="5"/>
        <v>1376.9</v>
      </c>
      <c r="N10" s="2">
        <v>0</v>
      </c>
    </row>
    <row r="11" spans="1:21">
      <c r="A11" s="21" t="s">
        <v>291</v>
      </c>
      <c r="B11" s="2" t="s">
        <v>22</v>
      </c>
      <c r="C11" s="2" t="s">
        <v>23</v>
      </c>
      <c r="D11" s="2" t="s">
        <v>16</v>
      </c>
      <c r="E11" s="2" t="s">
        <v>40</v>
      </c>
      <c r="F11" s="2">
        <v>616</v>
      </c>
      <c r="G11" s="2"/>
      <c r="H11" s="2">
        <v>19780</v>
      </c>
      <c r="I11" s="2">
        <v>250</v>
      </c>
      <c r="J11" s="2">
        <v>0.75</v>
      </c>
      <c r="K11" s="5">
        <f t="shared" si="3"/>
        <v>187.5</v>
      </c>
      <c r="L11" s="19">
        <f t="shared" si="4"/>
        <v>19592.5</v>
      </c>
      <c r="M11" s="5">
        <f t="shared" si="5"/>
        <v>1384.6000000000001</v>
      </c>
      <c r="N11" s="2">
        <v>0</v>
      </c>
      <c r="O11" s="2">
        <v>44</v>
      </c>
      <c r="P11" s="2">
        <f t="shared" ref="P11" si="6">L11*O11</f>
        <v>862070</v>
      </c>
    </row>
    <row r="13" spans="1:21">
      <c r="A13" s="1" t="s">
        <v>307</v>
      </c>
      <c r="B13" s="42" t="s">
        <v>22</v>
      </c>
      <c r="C13" s="42" t="s">
        <v>23</v>
      </c>
      <c r="D13" s="42" t="s">
        <v>16</v>
      </c>
      <c r="E13" s="42" t="s">
        <v>40</v>
      </c>
      <c r="F13" s="42">
        <v>617</v>
      </c>
      <c r="G13" s="42"/>
      <c r="H13" s="42">
        <v>19770</v>
      </c>
      <c r="I13" s="42">
        <v>250</v>
      </c>
      <c r="J13" s="42">
        <v>0.75</v>
      </c>
      <c r="K13" s="42">
        <f>I13*J13</f>
        <v>187.5</v>
      </c>
      <c r="L13" s="43">
        <f>H13-K13</f>
        <v>19582.5</v>
      </c>
      <c r="M13" s="43">
        <f>H13/1000*70</f>
        <v>1383.8999999999999</v>
      </c>
      <c r="N13" s="42" t="s">
        <v>308</v>
      </c>
      <c r="O13" s="42">
        <v>44</v>
      </c>
      <c r="P13" s="42">
        <f>L13*O13</f>
        <v>861630</v>
      </c>
    </row>
    <row r="15" spans="1:21">
      <c r="A15" s="1" t="s">
        <v>334</v>
      </c>
      <c r="B15" s="42" t="s">
        <v>22</v>
      </c>
      <c r="C15" s="42" t="s">
        <v>23</v>
      </c>
      <c r="D15" s="42" t="s">
        <v>16</v>
      </c>
      <c r="E15" s="42" t="s">
        <v>40</v>
      </c>
      <c r="F15" s="42">
        <v>621</v>
      </c>
      <c r="G15" s="42"/>
      <c r="H15" s="42">
        <v>19840</v>
      </c>
      <c r="I15" s="42">
        <v>250</v>
      </c>
      <c r="J15" s="42">
        <v>0.75</v>
      </c>
      <c r="K15" s="42">
        <f t="shared" ref="K15" si="7">I15*J15</f>
        <v>187.5</v>
      </c>
      <c r="L15" s="43">
        <f t="shared" ref="L15" si="8">H15-K15</f>
        <v>19652.5</v>
      </c>
      <c r="M15" s="43">
        <f t="shared" ref="M15" si="9">H15/1000*70</f>
        <v>1388.8</v>
      </c>
      <c r="N15" s="42">
        <v>0</v>
      </c>
      <c r="O15" s="42">
        <v>44</v>
      </c>
      <c r="P15" s="42">
        <f t="shared" ref="P15" si="10">L15*O15</f>
        <v>864710</v>
      </c>
    </row>
    <row r="17" spans="1:21">
      <c r="A17" s="1" t="s">
        <v>348</v>
      </c>
      <c r="B17" s="42" t="s">
        <v>22</v>
      </c>
      <c r="C17" s="42" t="s">
        <v>23</v>
      </c>
      <c r="D17" s="42" t="s">
        <v>16</v>
      </c>
      <c r="E17" s="42" t="s">
        <v>350</v>
      </c>
      <c r="F17" s="42">
        <v>623</v>
      </c>
      <c r="G17" s="42"/>
      <c r="H17" s="42">
        <v>20110</v>
      </c>
      <c r="I17" s="42">
        <v>250</v>
      </c>
      <c r="J17" s="42">
        <v>0.75</v>
      </c>
      <c r="K17" s="42">
        <f t="shared" ref="K17" si="11">I17*J17</f>
        <v>187.5</v>
      </c>
      <c r="L17" s="43">
        <f t="shared" ref="L17" si="12">H17-K17</f>
        <v>19922.5</v>
      </c>
      <c r="M17" s="43">
        <f t="shared" ref="M17" si="13">H17/1000*70</f>
        <v>1407.7</v>
      </c>
      <c r="N17" s="42">
        <v>0</v>
      </c>
      <c r="O17" s="42">
        <v>44</v>
      </c>
      <c r="P17" s="42">
        <f t="shared" ref="P17" si="14">L17*O17</f>
        <v>876590</v>
      </c>
    </row>
    <row r="19" spans="1:21">
      <c r="A19" s="1" t="s">
        <v>394</v>
      </c>
      <c r="B19" s="42" t="s">
        <v>22</v>
      </c>
      <c r="C19" s="42" t="s">
        <v>23</v>
      </c>
      <c r="D19" s="42" t="s">
        <v>16</v>
      </c>
      <c r="E19" s="42" t="s">
        <v>395</v>
      </c>
      <c r="F19" s="42">
        <v>632</v>
      </c>
      <c r="G19" s="42"/>
      <c r="H19" s="42">
        <v>19050</v>
      </c>
      <c r="I19" s="42">
        <v>262</v>
      </c>
      <c r="J19" s="42">
        <v>0.75</v>
      </c>
      <c r="K19" s="43">
        <f t="shared" ref="K19" si="15">I19*J19</f>
        <v>196.5</v>
      </c>
      <c r="L19" s="43">
        <f t="shared" ref="L19" si="16">H19-K19</f>
        <v>18853.5</v>
      </c>
      <c r="M19" s="43">
        <f t="shared" ref="M19" si="17">H19/1000*70</f>
        <v>1333.5</v>
      </c>
      <c r="N19" s="42">
        <v>0</v>
      </c>
      <c r="O19" s="42">
        <v>44</v>
      </c>
      <c r="P19" s="42">
        <f t="shared" ref="P19" si="18">L19*O19</f>
        <v>829554</v>
      </c>
    </row>
    <row r="21" spans="1:21">
      <c r="A21" s="1" t="s">
        <v>413</v>
      </c>
      <c r="B21" s="42" t="s">
        <v>22</v>
      </c>
      <c r="C21" s="42" t="s">
        <v>23</v>
      </c>
      <c r="D21" s="42" t="s">
        <v>16</v>
      </c>
      <c r="E21" s="42" t="s">
        <v>395</v>
      </c>
      <c r="F21" s="42">
        <v>763</v>
      </c>
      <c r="G21" s="42"/>
      <c r="H21" s="42">
        <v>19280</v>
      </c>
      <c r="I21" s="42">
        <v>274</v>
      </c>
      <c r="J21" s="42">
        <v>0.75</v>
      </c>
      <c r="K21" s="43">
        <f t="shared" ref="K21" si="19">I21*J21</f>
        <v>205.5</v>
      </c>
      <c r="L21" s="43">
        <f t="shared" ref="L21" si="20">H21-K21</f>
        <v>19074.5</v>
      </c>
      <c r="M21" s="43">
        <f t="shared" ref="M21" si="21">H21/1000*70</f>
        <v>1349.6000000000001</v>
      </c>
      <c r="N21" s="42">
        <v>21000</v>
      </c>
      <c r="O21" s="42">
        <v>44</v>
      </c>
      <c r="P21" s="42">
        <f t="shared" ref="P21" si="22">L21*O21</f>
        <v>839278</v>
      </c>
    </row>
    <row r="22" spans="1:21">
      <c r="P22" s="1" t="s">
        <v>519</v>
      </c>
      <c r="Q22" s="1" t="s">
        <v>448</v>
      </c>
      <c r="R22" s="1">
        <v>171</v>
      </c>
      <c r="S22" s="1">
        <v>100000</v>
      </c>
      <c r="T22" s="1" t="s">
        <v>520</v>
      </c>
      <c r="U22" s="1">
        <v>42.5</v>
      </c>
    </row>
    <row r="23" spans="1:21">
      <c r="A23" s="1" t="s">
        <v>446</v>
      </c>
      <c r="B23" s="42" t="s">
        <v>22</v>
      </c>
      <c r="C23" s="42" t="s">
        <v>23</v>
      </c>
      <c r="D23" s="42" t="s">
        <v>16</v>
      </c>
      <c r="E23" s="42" t="s">
        <v>447</v>
      </c>
      <c r="F23" s="42">
        <v>785</v>
      </c>
      <c r="G23" s="42"/>
      <c r="H23" s="42">
        <v>21000</v>
      </c>
      <c r="I23" s="42">
        <v>302</v>
      </c>
      <c r="J23" s="42">
        <v>0.75</v>
      </c>
      <c r="K23" s="42">
        <f t="shared" ref="K23" si="23">I23*J23</f>
        <v>226.5</v>
      </c>
      <c r="L23" s="43">
        <f t="shared" ref="L23" si="24">H23-K23</f>
        <v>20773.5</v>
      </c>
      <c r="M23" s="43">
        <f t="shared" ref="M23" si="25">H23/1000*70</f>
        <v>1470</v>
      </c>
      <c r="N23" s="42">
        <v>13000</v>
      </c>
      <c r="O23" s="42"/>
      <c r="P23" s="42">
        <f t="shared" ref="P23" si="26">L23*O23</f>
        <v>0</v>
      </c>
    </row>
    <row r="25" spans="1:21">
      <c r="A25" s="1" t="s">
        <v>502</v>
      </c>
      <c r="B25" s="42" t="s">
        <v>22</v>
      </c>
      <c r="C25" s="42" t="s">
        <v>23</v>
      </c>
      <c r="D25" s="42" t="s">
        <v>16</v>
      </c>
      <c r="E25" s="42" t="s">
        <v>507</v>
      </c>
      <c r="F25" s="42">
        <v>796</v>
      </c>
      <c r="G25" s="42"/>
      <c r="H25" s="42">
        <v>20080</v>
      </c>
      <c r="I25" s="42">
        <v>310</v>
      </c>
      <c r="J25" s="42">
        <v>0.75</v>
      </c>
      <c r="K25" s="42">
        <f t="shared" ref="K25" si="27">I25*J25</f>
        <v>232.5</v>
      </c>
      <c r="L25" s="43">
        <f t="shared" ref="L25" si="28">H25-K25</f>
        <v>19847.5</v>
      </c>
      <c r="M25" s="43">
        <f t="shared" ref="M25" si="29">H25/1000*70</f>
        <v>1405.6</v>
      </c>
      <c r="N25" s="42">
        <v>21000</v>
      </c>
    </row>
    <row r="27" spans="1:21">
      <c r="A27" s="1" t="s">
        <v>521</v>
      </c>
      <c r="B27" s="42" t="s">
        <v>22</v>
      </c>
      <c r="C27" s="42" t="s">
        <v>23</v>
      </c>
      <c r="D27" s="42" t="s">
        <v>16</v>
      </c>
      <c r="E27" s="42" t="s">
        <v>527</v>
      </c>
      <c r="F27" s="42">
        <v>650</v>
      </c>
      <c r="G27" s="42"/>
      <c r="H27" s="42">
        <v>19930</v>
      </c>
      <c r="I27" s="42">
        <v>250</v>
      </c>
      <c r="J27" s="42">
        <v>0.75</v>
      </c>
      <c r="K27" s="43">
        <f t="shared" ref="K27" si="30">I27*J27</f>
        <v>187.5</v>
      </c>
      <c r="L27" s="43">
        <f t="shared" ref="L27" si="31">H27-K27</f>
        <v>19742.5</v>
      </c>
      <c r="M27" s="43">
        <f t="shared" ref="M27" si="32">H27/1000*70</f>
        <v>1395.1</v>
      </c>
      <c r="N27" s="42">
        <v>10000</v>
      </c>
      <c r="O27" s="42"/>
      <c r="P27" s="42">
        <f t="shared" ref="P27" si="33">L27*O27</f>
        <v>0</v>
      </c>
    </row>
    <row r="29" spans="1:21">
      <c r="A29" s="1" t="s">
        <v>577</v>
      </c>
      <c r="B29" s="42" t="s">
        <v>22</v>
      </c>
      <c r="C29" s="42" t="s">
        <v>23</v>
      </c>
      <c r="D29" s="42" t="s">
        <v>16</v>
      </c>
      <c r="E29" s="42" t="s">
        <v>579</v>
      </c>
      <c r="F29" s="42">
        <v>901</v>
      </c>
      <c r="G29" s="42"/>
      <c r="H29" s="42">
        <v>19780</v>
      </c>
      <c r="I29" s="42">
        <v>250</v>
      </c>
      <c r="J29" s="42">
        <v>0.75</v>
      </c>
      <c r="K29" s="42">
        <f t="shared" ref="K29" si="34">I29*J29</f>
        <v>187.5</v>
      </c>
      <c r="L29" s="43">
        <f t="shared" ref="L29" si="35">H29-K29</f>
        <v>19592.5</v>
      </c>
      <c r="M29" s="43">
        <f t="shared" ref="M29" si="36">H29/1000*70</f>
        <v>1384.6000000000001</v>
      </c>
      <c r="N29" s="42">
        <v>0</v>
      </c>
      <c r="O29" s="50"/>
      <c r="P29" s="42">
        <f t="shared" ref="P29" si="37">L29*O29</f>
        <v>0</v>
      </c>
      <c r="Q29" s="42"/>
    </row>
    <row r="31" spans="1:21">
      <c r="A31" s="1" t="s">
        <v>591</v>
      </c>
      <c r="B31" s="42" t="s">
        <v>22</v>
      </c>
      <c r="C31" s="42" t="s">
        <v>23</v>
      </c>
      <c r="D31" s="42" t="s">
        <v>16</v>
      </c>
      <c r="E31" s="42" t="s">
        <v>40</v>
      </c>
      <c r="F31" s="42">
        <v>902</v>
      </c>
      <c r="G31" s="42"/>
      <c r="H31" s="42">
        <v>20000</v>
      </c>
      <c r="I31" s="42">
        <v>250</v>
      </c>
      <c r="J31" s="42">
        <v>0.75</v>
      </c>
      <c r="K31" s="42">
        <f t="shared" ref="K31" si="38">I31*J31</f>
        <v>187.5</v>
      </c>
      <c r="L31" s="43">
        <f t="shared" ref="L31" si="39">H31-K31</f>
        <v>19812.5</v>
      </c>
      <c r="M31" s="43">
        <f t="shared" ref="M31" si="40">H31/1000*70</f>
        <v>1400</v>
      </c>
      <c r="N31" s="42">
        <v>0</v>
      </c>
    </row>
    <row r="33" spans="1:18">
      <c r="A33" s="1" t="s">
        <v>669</v>
      </c>
      <c r="B33" s="42" t="s">
        <v>22</v>
      </c>
      <c r="C33" s="42" t="s">
        <v>663</v>
      </c>
      <c r="D33" s="42" t="s">
        <v>16</v>
      </c>
      <c r="E33" s="42" t="s">
        <v>670</v>
      </c>
      <c r="F33" s="42">
        <v>815</v>
      </c>
      <c r="G33" s="42"/>
      <c r="H33" s="42">
        <v>20000</v>
      </c>
      <c r="I33" s="42">
        <v>312</v>
      </c>
      <c r="J33" s="42">
        <v>0.5</v>
      </c>
      <c r="K33" s="42">
        <f t="shared" ref="K33" si="41">I33*J33</f>
        <v>156</v>
      </c>
      <c r="L33" s="43">
        <f t="shared" ref="L33" si="42">H33-K33</f>
        <v>19844</v>
      </c>
      <c r="M33" s="43">
        <f t="shared" ref="M33" si="43">H33/1000*70</f>
        <v>1400</v>
      </c>
      <c r="N33" s="42">
        <v>0</v>
      </c>
      <c r="O33" s="42">
        <v>42</v>
      </c>
      <c r="P33" s="42">
        <f t="shared" ref="P33" si="44">L33*O33</f>
        <v>833448</v>
      </c>
    </row>
    <row r="35" spans="1:18">
      <c r="Q35" s="1" t="s">
        <v>675</v>
      </c>
    </row>
    <row r="36" spans="1:18">
      <c r="A36" s="1" t="s">
        <v>728</v>
      </c>
      <c r="B36" s="42" t="s">
        <v>22</v>
      </c>
      <c r="C36" s="42" t="s">
        <v>663</v>
      </c>
      <c r="D36" s="42" t="s">
        <v>16</v>
      </c>
      <c r="E36" s="42" t="s">
        <v>734</v>
      </c>
      <c r="F36" s="42">
        <v>909</v>
      </c>
      <c r="G36" s="42"/>
      <c r="H36" s="42">
        <v>18160</v>
      </c>
      <c r="I36" s="42">
        <v>227</v>
      </c>
      <c r="J36" s="42">
        <v>0.75</v>
      </c>
      <c r="K36" s="42">
        <f t="shared" ref="K36" si="45">I36*J36</f>
        <v>170.25</v>
      </c>
      <c r="L36" s="43">
        <f t="shared" ref="L36" si="46">H36-K36</f>
        <v>17989.75</v>
      </c>
      <c r="M36" s="43">
        <v>0</v>
      </c>
      <c r="N36" s="43">
        <f t="shared" ref="N36" si="47">L36-M36</f>
        <v>17989.75</v>
      </c>
      <c r="O36" s="43">
        <f t="shared" ref="O36" si="48">H36/1000*70</f>
        <v>1271.2</v>
      </c>
      <c r="P36" s="42">
        <v>0</v>
      </c>
      <c r="Q36" s="42"/>
    </row>
    <row r="38" spans="1:18">
      <c r="A38" s="1" t="s">
        <v>753</v>
      </c>
      <c r="B38" s="42" t="s">
        <v>22</v>
      </c>
      <c r="C38" s="42" t="s">
        <v>663</v>
      </c>
      <c r="D38" s="42" t="s">
        <v>16</v>
      </c>
      <c r="E38" s="92" t="s">
        <v>670</v>
      </c>
      <c r="F38" s="42">
        <v>829</v>
      </c>
      <c r="G38" s="42"/>
      <c r="H38" s="42">
        <v>20070</v>
      </c>
      <c r="I38" s="42">
        <v>302</v>
      </c>
      <c r="J38" s="42">
        <v>0.75</v>
      </c>
      <c r="K38" s="43">
        <f t="shared" ref="K38" si="49">I38*J38</f>
        <v>226.5</v>
      </c>
      <c r="L38" s="43">
        <f t="shared" ref="L38" si="50">H38-K38</f>
        <v>19843.5</v>
      </c>
      <c r="M38" s="43"/>
      <c r="N38" s="43">
        <f t="shared" ref="N38" si="51">L38-M38</f>
        <v>19843.5</v>
      </c>
      <c r="O38" s="43">
        <f t="shared" ref="O38" si="52">H38/1000*70</f>
        <v>1404.9</v>
      </c>
      <c r="P38" s="42">
        <v>13000</v>
      </c>
    </row>
    <row r="40" spans="1:18">
      <c r="A40" s="1" t="s">
        <v>841</v>
      </c>
      <c r="B40" s="42" t="s">
        <v>22</v>
      </c>
      <c r="C40" s="42" t="s">
        <v>663</v>
      </c>
      <c r="D40" s="42" t="s">
        <v>16</v>
      </c>
      <c r="E40" s="42" t="s">
        <v>842</v>
      </c>
      <c r="F40" s="42">
        <v>915</v>
      </c>
      <c r="G40" s="42"/>
      <c r="H40" s="42">
        <v>19640</v>
      </c>
      <c r="I40" s="42">
        <v>250</v>
      </c>
      <c r="J40" s="42">
        <v>0.75</v>
      </c>
      <c r="K40" s="43">
        <f t="shared" ref="K40" si="53">I40*J40</f>
        <v>187.5</v>
      </c>
      <c r="L40" s="43">
        <f t="shared" ref="L40" si="54">H40-K40</f>
        <v>19452.5</v>
      </c>
      <c r="M40" s="43"/>
      <c r="N40" s="43">
        <f t="shared" ref="N40" si="55">L40-M40</f>
        <v>19452.5</v>
      </c>
      <c r="O40" s="43">
        <f t="shared" ref="O40" si="56">H40/1000*70</f>
        <v>1374.8</v>
      </c>
      <c r="P40" s="42">
        <v>21000</v>
      </c>
      <c r="Q40" s="42">
        <v>40</v>
      </c>
      <c r="R40" s="42">
        <f t="shared" ref="R40" si="57">L40*Q40</f>
        <v>778100</v>
      </c>
    </row>
    <row r="42" spans="1:18">
      <c r="A42" s="1" t="s">
        <v>1081</v>
      </c>
      <c r="B42" s="42" t="s">
        <v>22</v>
      </c>
      <c r="C42" s="42" t="s">
        <v>23</v>
      </c>
      <c r="D42" s="42" t="s">
        <v>16</v>
      </c>
      <c r="E42" s="42" t="s">
        <v>1085</v>
      </c>
      <c r="F42" s="42">
        <v>871</v>
      </c>
      <c r="G42" s="42"/>
      <c r="H42" s="42">
        <v>18080</v>
      </c>
      <c r="I42" s="42">
        <v>271</v>
      </c>
      <c r="J42" s="42">
        <v>0.13</v>
      </c>
      <c r="K42" s="42">
        <f t="shared" ref="K42" si="58">I42*J42</f>
        <v>35.230000000000004</v>
      </c>
      <c r="L42" s="43">
        <f t="shared" ref="L42" si="59">H42-K42</f>
        <v>18044.77</v>
      </c>
      <c r="M42" s="43"/>
      <c r="N42" s="43">
        <f t="shared" ref="N42" si="60">L42-M42</f>
        <v>18044.77</v>
      </c>
      <c r="O42" s="43">
        <f t="shared" ref="O42" si="61">H42/1000*70</f>
        <v>1265.5999999999999</v>
      </c>
      <c r="P42" s="42">
        <v>26000</v>
      </c>
      <c r="Q42" s="42">
        <v>42</v>
      </c>
      <c r="R42" s="42">
        <f t="shared" ref="R42" si="62">L42*Q42</f>
        <v>757880.34</v>
      </c>
    </row>
    <row r="44" spans="1:18">
      <c r="A44" s="1" t="s">
        <v>1090</v>
      </c>
      <c r="B44" s="42" t="s">
        <v>22</v>
      </c>
      <c r="C44" s="42" t="s">
        <v>23</v>
      </c>
      <c r="D44" s="42" t="s">
        <v>16</v>
      </c>
      <c r="E44" s="42" t="s">
        <v>1091</v>
      </c>
      <c r="F44" s="42">
        <v>873</v>
      </c>
      <c r="G44" s="42"/>
      <c r="H44" s="42">
        <v>18070</v>
      </c>
      <c r="I44" s="42">
        <v>267</v>
      </c>
      <c r="J44" s="42">
        <v>0.5</v>
      </c>
      <c r="K44" s="42">
        <v>134</v>
      </c>
      <c r="L44" s="43">
        <f t="shared" ref="L44" si="63">H44-K44</f>
        <v>17936</v>
      </c>
      <c r="M44" s="43"/>
      <c r="N44" s="43">
        <f t="shared" ref="N44" si="64">L44-M44</f>
        <v>17936</v>
      </c>
      <c r="O44" s="43">
        <f t="shared" ref="O44" si="65">H44/1000*70</f>
        <v>1264.9000000000001</v>
      </c>
      <c r="P44" s="42">
        <v>26000</v>
      </c>
      <c r="Q44" s="42">
        <v>42</v>
      </c>
      <c r="R44" s="42">
        <f t="shared" ref="R44" si="66">L44*Q44</f>
        <v>753312</v>
      </c>
    </row>
    <row r="46" spans="1:18">
      <c r="A46" s="1" t="s">
        <v>1147</v>
      </c>
      <c r="B46" s="42" t="s">
        <v>22</v>
      </c>
      <c r="C46" s="42" t="s">
        <v>23</v>
      </c>
      <c r="D46" s="42" t="s">
        <v>16</v>
      </c>
      <c r="E46" s="42" t="s">
        <v>1148</v>
      </c>
      <c r="F46" s="42">
        <v>320</v>
      </c>
      <c r="G46" s="42"/>
      <c r="H46" s="42">
        <v>12940</v>
      </c>
      <c r="I46" s="42">
        <v>166</v>
      </c>
      <c r="J46" s="42">
        <v>0.5</v>
      </c>
      <c r="K46" s="42">
        <f t="shared" ref="K46" si="67">I46*J46</f>
        <v>83</v>
      </c>
      <c r="L46" s="43">
        <f t="shared" ref="L46" si="68">H46-K46</f>
        <v>12857</v>
      </c>
      <c r="M46" s="43"/>
      <c r="N46" s="43">
        <f t="shared" ref="N46" si="69">L46-M46</f>
        <v>12857</v>
      </c>
      <c r="O46" s="43">
        <f t="shared" ref="O46" si="70">H46/1000*70</f>
        <v>905.8</v>
      </c>
      <c r="P46" s="42"/>
      <c r="Q46" s="42">
        <v>40</v>
      </c>
      <c r="R46" s="42">
        <f t="shared" ref="R46" si="71">L46*Q46</f>
        <v>514280</v>
      </c>
    </row>
    <row r="48" spans="1:18">
      <c r="A48" s="1" t="s">
        <v>1472</v>
      </c>
      <c r="B48" s="42" t="s">
        <v>22</v>
      </c>
      <c r="C48" s="42" t="s">
        <v>23</v>
      </c>
      <c r="D48" s="42" t="s">
        <v>16</v>
      </c>
      <c r="E48" s="42" t="s">
        <v>1473</v>
      </c>
      <c r="F48" s="42">
        <v>1703</v>
      </c>
      <c r="G48" s="42"/>
      <c r="H48" s="42">
        <v>8620</v>
      </c>
      <c r="I48" s="42">
        <v>177</v>
      </c>
      <c r="J48" s="42">
        <v>0.75</v>
      </c>
      <c r="K48" s="42">
        <v>133</v>
      </c>
      <c r="L48" s="43">
        <f t="shared" ref="L48" si="72">H48-K48</f>
        <v>8487</v>
      </c>
      <c r="M48" s="43"/>
      <c r="N48" s="43">
        <f t="shared" ref="N48" si="73">L48-M48</f>
        <v>8487</v>
      </c>
      <c r="O48" s="43">
        <f t="shared" ref="O48" si="74">H48/1000*70</f>
        <v>603.4</v>
      </c>
      <c r="P48" s="42">
        <v>7000</v>
      </c>
      <c r="Q48" s="42"/>
      <c r="R48" s="42">
        <f t="shared" ref="R48" si="75">L48*Q48</f>
        <v>0</v>
      </c>
    </row>
  </sheetData>
  <mergeCells count="1">
    <mergeCell ref="A9:A10"/>
  </mergeCells>
  <pageMargins left="0.7" right="0.7" top="0.75" bottom="0.75" header="0.3" footer="0.3"/>
  <pageSetup paperSize="9" orientation="portrait" verticalDpi="0" r:id="rId1"/>
</worksheet>
</file>

<file path=xl/worksheets/sheet52.xml><?xml version="1.0" encoding="utf-8"?>
<worksheet xmlns="http://schemas.openxmlformats.org/spreadsheetml/2006/main" xmlns:r="http://schemas.openxmlformats.org/officeDocument/2006/relationships">
  <dimension ref="A5:U21"/>
  <sheetViews>
    <sheetView workbookViewId="0">
      <selection activeCell="B10" sqref="B10"/>
    </sheetView>
  </sheetViews>
  <sheetFormatPr defaultRowHeight="14.4"/>
  <cols>
    <col min="1" max="1" width="8.88671875" style="1"/>
    <col min="2" max="2" width="13.88671875" style="1" customWidth="1"/>
    <col min="3" max="3" width="8.88671875" style="1"/>
    <col min="4" max="4" width="5.109375" style="1" customWidth="1"/>
    <col min="5" max="5" width="10.21875" style="1" customWidth="1"/>
    <col min="6" max="6" width="7.44140625" style="1" customWidth="1"/>
    <col min="7" max="7" width="6.5546875" style="1" customWidth="1"/>
    <col min="8" max="8" width="8" style="1" customWidth="1"/>
    <col min="9" max="9" width="6.88671875" style="1" customWidth="1"/>
    <col min="10" max="11" width="7.44140625" style="1" customWidth="1"/>
    <col min="12" max="13" width="7.88671875" style="1" customWidth="1"/>
    <col min="14" max="14" width="7.5546875" style="1" customWidth="1"/>
    <col min="15" max="16384" width="8.88671875" style="1"/>
  </cols>
  <sheetData>
    <row r="5" spans="1:21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3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3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  <c r="U5" s="15" t="s">
        <v>128</v>
      </c>
    </row>
    <row r="6" spans="1:21">
      <c r="A6" s="6"/>
      <c r="B6" s="2"/>
      <c r="C6" s="2"/>
      <c r="D6" s="2"/>
      <c r="E6" s="2"/>
      <c r="F6" s="2"/>
      <c r="G6" s="2"/>
      <c r="H6" s="2"/>
      <c r="I6" s="2"/>
      <c r="J6" s="2"/>
      <c r="K6" s="2"/>
      <c r="L6" s="5"/>
      <c r="M6" s="5"/>
      <c r="N6" s="2"/>
      <c r="U6" s="1">
        <v>44</v>
      </c>
    </row>
    <row r="7" spans="1:21">
      <c r="A7" s="1" t="s">
        <v>416</v>
      </c>
      <c r="B7" s="42" t="s">
        <v>356</v>
      </c>
      <c r="C7" s="42" t="s">
        <v>23</v>
      </c>
      <c r="D7" s="42" t="s">
        <v>16</v>
      </c>
      <c r="E7" s="42" t="s">
        <v>418</v>
      </c>
      <c r="F7" s="42">
        <v>206</v>
      </c>
      <c r="G7" s="42"/>
      <c r="H7" s="42">
        <v>18390</v>
      </c>
      <c r="I7" s="42">
        <v>312</v>
      </c>
      <c r="J7" s="42">
        <v>0.75</v>
      </c>
      <c r="K7" s="42">
        <f t="shared" ref="K7" si="0">I7*J7</f>
        <v>234</v>
      </c>
      <c r="L7" s="43">
        <f t="shared" ref="L7" si="1">H7-K7</f>
        <v>18156</v>
      </c>
      <c r="M7" s="43">
        <f t="shared" ref="M7" si="2">H7/1000*70</f>
        <v>1287.3</v>
      </c>
      <c r="N7" s="42">
        <v>0</v>
      </c>
      <c r="O7" s="42"/>
      <c r="P7" s="42">
        <f t="shared" ref="P7" si="3">L7*O7</f>
        <v>0</v>
      </c>
      <c r="Q7" s="42"/>
    </row>
    <row r="9" spans="1:21">
      <c r="A9" s="389"/>
      <c r="B9" s="2"/>
      <c r="C9" s="2"/>
      <c r="D9" s="2"/>
      <c r="E9" s="2"/>
      <c r="F9" s="2"/>
      <c r="G9" s="2"/>
      <c r="H9" s="2"/>
      <c r="I9" s="2"/>
      <c r="J9" s="2"/>
      <c r="K9" s="5"/>
      <c r="L9" s="19"/>
      <c r="M9" s="5"/>
      <c r="N9" s="2"/>
    </row>
    <row r="10" spans="1:21">
      <c r="A10" s="389"/>
      <c r="B10" s="2"/>
      <c r="C10" s="2"/>
      <c r="D10" s="2"/>
      <c r="E10" s="2"/>
      <c r="F10" s="2"/>
      <c r="G10" s="2"/>
      <c r="H10" s="2"/>
      <c r="I10" s="2"/>
      <c r="J10" s="2"/>
      <c r="K10" s="5"/>
      <c r="L10" s="19"/>
      <c r="M10" s="5"/>
      <c r="N10" s="2"/>
    </row>
    <row r="11" spans="1:21">
      <c r="A11" s="21"/>
      <c r="B11" s="2"/>
      <c r="C11" s="2"/>
      <c r="D11" s="2"/>
      <c r="E11" s="2"/>
      <c r="F11" s="2"/>
      <c r="G11" s="2"/>
      <c r="H11" s="2"/>
      <c r="I11" s="2"/>
      <c r="J11" s="2"/>
      <c r="K11" s="5"/>
      <c r="L11" s="19"/>
      <c r="M11" s="5"/>
      <c r="N11" s="2"/>
      <c r="O11" s="2"/>
      <c r="P11" s="2"/>
    </row>
    <row r="13" spans="1:21">
      <c r="B13" s="42"/>
      <c r="C13" s="42"/>
      <c r="D13" s="42"/>
      <c r="E13" s="42"/>
      <c r="F13" s="42"/>
      <c r="G13" s="42"/>
      <c r="H13" s="42"/>
      <c r="I13" s="42"/>
      <c r="J13" s="42"/>
      <c r="K13" s="42"/>
      <c r="L13" s="43"/>
      <c r="M13" s="43"/>
      <c r="N13" s="42"/>
      <c r="O13" s="42"/>
      <c r="P13" s="42"/>
    </row>
    <row r="15" spans="1:21">
      <c r="B15" s="42"/>
      <c r="C15" s="42"/>
      <c r="D15" s="42"/>
      <c r="E15" s="42"/>
      <c r="F15" s="42"/>
      <c r="G15" s="42"/>
      <c r="H15" s="42"/>
      <c r="I15" s="42"/>
      <c r="J15" s="42"/>
      <c r="K15" s="42"/>
      <c r="L15" s="43"/>
      <c r="M15" s="43"/>
      <c r="N15" s="42"/>
      <c r="O15" s="42"/>
      <c r="P15" s="42"/>
    </row>
    <row r="17" spans="2:16">
      <c r="B17" s="42"/>
      <c r="C17" s="42"/>
      <c r="D17" s="42"/>
      <c r="E17" s="42"/>
      <c r="F17" s="42"/>
      <c r="G17" s="42"/>
      <c r="H17" s="42"/>
      <c r="I17" s="42"/>
      <c r="J17" s="42"/>
      <c r="K17" s="42"/>
      <c r="L17" s="43"/>
      <c r="M17" s="43"/>
      <c r="N17" s="42"/>
      <c r="O17" s="42"/>
      <c r="P17" s="42"/>
    </row>
    <row r="19" spans="2:16">
      <c r="B19" s="42"/>
      <c r="C19" s="42"/>
      <c r="D19" s="42"/>
      <c r="E19" s="42"/>
      <c r="F19" s="42"/>
      <c r="G19" s="42"/>
      <c r="H19" s="42"/>
      <c r="I19" s="42"/>
      <c r="J19" s="42"/>
      <c r="K19" s="43"/>
      <c r="L19" s="43"/>
      <c r="M19" s="43"/>
      <c r="N19" s="42"/>
      <c r="O19" s="42"/>
      <c r="P19" s="42"/>
    </row>
    <row r="21" spans="2:16">
      <c r="B21" s="42"/>
      <c r="C21" s="42"/>
      <c r="D21" s="42"/>
      <c r="E21" s="42"/>
      <c r="F21" s="42"/>
      <c r="G21" s="42"/>
      <c r="H21" s="42"/>
      <c r="I21" s="42"/>
      <c r="J21" s="42"/>
      <c r="K21" s="43"/>
      <c r="L21" s="43"/>
      <c r="M21" s="43"/>
      <c r="N21" s="42"/>
      <c r="O21" s="42"/>
      <c r="P21" s="42"/>
    </row>
  </sheetData>
  <mergeCells count="1">
    <mergeCell ref="A9:A10"/>
  </mergeCells>
  <pageMargins left="0.7" right="0.7" top="0.75" bottom="0.75" header="0.3" footer="0.3"/>
  <pageSetup paperSize="9" orientation="portrait" verticalDpi="0" r:id="rId1"/>
</worksheet>
</file>

<file path=xl/worksheets/sheet53.xml><?xml version="1.0" encoding="utf-8"?>
<worksheet xmlns="http://schemas.openxmlformats.org/spreadsheetml/2006/main" xmlns:r="http://schemas.openxmlformats.org/officeDocument/2006/relationships">
  <dimension ref="A5:U21"/>
  <sheetViews>
    <sheetView topLeftCell="A4" workbookViewId="0">
      <selection activeCell="K25" sqref="K25"/>
    </sheetView>
  </sheetViews>
  <sheetFormatPr defaultRowHeight="14.4"/>
  <cols>
    <col min="1" max="1" width="8.88671875" style="1"/>
    <col min="2" max="2" width="13.88671875" style="1" customWidth="1"/>
    <col min="3" max="3" width="11" style="1" customWidth="1"/>
    <col min="4" max="4" width="5.109375" style="1" customWidth="1"/>
    <col min="5" max="5" width="10.21875" style="1" customWidth="1"/>
    <col min="6" max="6" width="7.44140625" style="1" customWidth="1"/>
    <col min="7" max="7" width="6.5546875" style="1" customWidth="1"/>
    <col min="8" max="8" width="8" style="1" customWidth="1"/>
    <col min="9" max="9" width="6.88671875" style="1" customWidth="1"/>
    <col min="10" max="11" width="7.44140625" style="1" customWidth="1"/>
    <col min="12" max="13" width="7.88671875" style="1" customWidth="1"/>
    <col min="14" max="14" width="7.5546875" style="1" customWidth="1"/>
    <col min="15" max="16384" width="8.88671875" style="1"/>
  </cols>
  <sheetData>
    <row r="5" spans="1:21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3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3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  <c r="U5" s="15" t="s">
        <v>128</v>
      </c>
    </row>
    <row r="6" spans="1:21">
      <c r="A6" s="6"/>
      <c r="B6" s="2"/>
      <c r="C6" s="2"/>
      <c r="D6" s="2"/>
      <c r="E6" s="2"/>
      <c r="F6" s="2"/>
      <c r="G6" s="2"/>
      <c r="H6" s="2"/>
      <c r="I6" s="2"/>
      <c r="J6" s="2"/>
      <c r="K6" s="2"/>
      <c r="L6" s="5"/>
      <c r="M6" s="5"/>
      <c r="N6" s="2"/>
      <c r="U6" s="1">
        <v>44</v>
      </c>
    </row>
    <row r="7" spans="1:21">
      <c r="A7" s="1" t="s">
        <v>468</v>
      </c>
      <c r="B7" s="42" t="s">
        <v>469</v>
      </c>
      <c r="C7" s="42" t="s">
        <v>23</v>
      </c>
      <c r="D7" s="42" t="s">
        <v>16</v>
      </c>
      <c r="E7" s="42" t="s">
        <v>470</v>
      </c>
      <c r="F7" s="42">
        <v>3706</v>
      </c>
      <c r="G7" s="42"/>
      <c r="H7" s="42">
        <v>20000</v>
      </c>
      <c r="I7" s="42">
        <v>450</v>
      </c>
      <c r="J7" s="42">
        <v>0.5</v>
      </c>
      <c r="K7" s="42">
        <f t="shared" ref="K7" si="0">I7*J7</f>
        <v>225</v>
      </c>
      <c r="L7" s="43">
        <f t="shared" ref="L7" si="1">H7-K7</f>
        <v>19775</v>
      </c>
      <c r="M7" s="43">
        <f t="shared" ref="M7" si="2">H7/1000*70</f>
        <v>1400</v>
      </c>
      <c r="N7" s="42">
        <v>0</v>
      </c>
      <c r="O7" s="42"/>
      <c r="P7" s="42">
        <f t="shared" ref="P7" si="3">L7*O7</f>
        <v>0</v>
      </c>
      <c r="Q7" s="42"/>
    </row>
    <row r="9" spans="1:21">
      <c r="A9" s="89" t="s">
        <v>601</v>
      </c>
      <c r="B9" s="42" t="s">
        <v>469</v>
      </c>
      <c r="C9" s="42" t="s">
        <v>23</v>
      </c>
      <c r="D9" s="42" t="s">
        <v>16</v>
      </c>
      <c r="E9" s="42" t="s">
        <v>604</v>
      </c>
      <c r="F9" s="42">
        <v>4301</v>
      </c>
      <c r="G9" s="42"/>
      <c r="H9" s="42">
        <v>19820</v>
      </c>
      <c r="I9" s="42">
        <v>428</v>
      </c>
      <c r="J9" s="42">
        <v>0.5</v>
      </c>
      <c r="K9" s="42">
        <f t="shared" ref="K9" si="4">I9*J9</f>
        <v>214</v>
      </c>
      <c r="L9" s="43">
        <f t="shared" ref="L9" si="5">H9-K9</f>
        <v>19606</v>
      </c>
      <c r="M9" s="43">
        <f t="shared" ref="M9" si="6">H9/1000*70</f>
        <v>1387.4</v>
      </c>
      <c r="N9" s="42">
        <v>0</v>
      </c>
      <c r="O9" s="42"/>
      <c r="P9" s="42">
        <f t="shared" ref="P9" si="7">L9*O9</f>
        <v>0</v>
      </c>
    </row>
    <row r="10" spans="1:21">
      <c r="A10" s="89"/>
      <c r="B10" s="2"/>
      <c r="C10" s="2"/>
      <c r="D10" s="2"/>
      <c r="E10" s="2"/>
      <c r="F10" s="2"/>
      <c r="G10" s="2"/>
      <c r="H10" s="2"/>
      <c r="I10" s="2"/>
      <c r="J10" s="2"/>
      <c r="K10" s="5"/>
      <c r="L10" s="19"/>
      <c r="M10" s="5"/>
      <c r="N10" s="2"/>
    </row>
    <row r="11" spans="1:21">
      <c r="A11" s="21" t="s">
        <v>660</v>
      </c>
      <c r="B11" s="42" t="s">
        <v>469</v>
      </c>
      <c r="C11" s="42" t="s">
        <v>663</v>
      </c>
      <c r="D11" s="42" t="s">
        <v>16</v>
      </c>
      <c r="E11" s="42" t="s">
        <v>664</v>
      </c>
      <c r="F11" s="42">
        <v>12</v>
      </c>
      <c r="G11" s="42"/>
      <c r="H11" s="42">
        <v>20030</v>
      </c>
      <c r="I11" s="42">
        <v>365</v>
      </c>
      <c r="J11" s="42">
        <v>0.5</v>
      </c>
      <c r="K11" s="43">
        <f t="shared" ref="K11" si="8">I11*J11</f>
        <v>182.5</v>
      </c>
      <c r="L11" s="43">
        <f t="shared" ref="L11" si="9">H11-K11</f>
        <v>19847.5</v>
      </c>
      <c r="M11" s="43">
        <f t="shared" ref="M11" si="10">H11/1000*70</f>
        <v>1402.1000000000001</v>
      </c>
      <c r="N11" s="42">
        <v>0</v>
      </c>
      <c r="O11" s="42"/>
      <c r="P11" s="2"/>
    </row>
    <row r="12" spans="1:21">
      <c r="Q12" s="1" t="s">
        <v>863</v>
      </c>
      <c r="R12" s="1">
        <v>243</v>
      </c>
      <c r="S12" s="1">
        <v>40000</v>
      </c>
      <c r="U12" s="1">
        <v>36.5</v>
      </c>
    </row>
    <row r="13" spans="1:21">
      <c r="B13" s="42"/>
      <c r="C13" s="42"/>
      <c r="D13" s="42"/>
      <c r="E13" s="42"/>
      <c r="F13" s="42"/>
      <c r="G13" s="42"/>
      <c r="H13" s="42"/>
      <c r="I13" s="42"/>
      <c r="J13" s="42"/>
      <c r="K13" s="42"/>
      <c r="L13" s="43"/>
      <c r="M13" s="43"/>
      <c r="N13" s="42"/>
      <c r="O13" s="42"/>
      <c r="P13" s="42"/>
    </row>
    <row r="14" spans="1:21">
      <c r="A14" s="1" t="s">
        <v>927</v>
      </c>
      <c r="B14" s="42" t="s">
        <v>469</v>
      </c>
      <c r="C14" s="42" t="s">
        <v>663</v>
      </c>
      <c r="D14" s="42" t="s">
        <v>16</v>
      </c>
      <c r="E14" s="42" t="s">
        <v>929</v>
      </c>
      <c r="F14" s="42">
        <v>3709</v>
      </c>
      <c r="G14" s="42"/>
      <c r="H14" s="42">
        <v>18770</v>
      </c>
      <c r="I14" s="42">
        <v>430</v>
      </c>
      <c r="J14" s="42">
        <v>0.13</v>
      </c>
      <c r="K14" s="42">
        <v>56</v>
      </c>
      <c r="L14" s="43">
        <f t="shared" ref="L14" si="11">H14-K14</f>
        <v>18714</v>
      </c>
      <c r="M14" s="43"/>
      <c r="N14" s="43">
        <f t="shared" ref="N14" si="12">L14-M14</f>
        <v>18714</v>
      </c>
      <c r="O14" s="43">
        <f t="shared" ref="O14" si="13">H14/1000*70</f>
        <v>1313.8999999999999</v>
      </c>
      <c r="P14" s="42">
        <v>0</v>
      </c>
      <c r="Q14" s="42">
        <v>36.5</v>
      </c>
      <c r="R14" s="42">
        <f t="shared" ref="R14" si="14">L14*Q14</f>
        <v>683061</v>
      </c>
    </row>
    <row r="15" spans="1:21">
      <c r="B15" s="42"/>
      <c r="C15" s="42"/>
      <c r="D15" s="42"/>
      <c r="E15" s="42"/>
      <c r="F15" s="42"/>
      <c r="G15" s="42"/>
      <c r="H15" s="42"/>
      <c r="I15" s="42"/>
      <c r="J15" s="42"/>
      <c r="K15" s="42"/>
      <c r="L15" s="43"/>
      <c r="M15" s="43"/>
      <c r="N15" s="42"/>
      <c r="O15" s="42"/>
      <c r="P15" s="42"/>
    </row>
    <row r="17" spans="1:21">
      <c r="B17" s="42"/>
      <c r="C17" s="42"/>
      <c r="D17" s="42"/>
      <c r="E17" s="42"/>
      <c r="F17" s="42"/>
      <c r="G17" s="42"/>
      <c r="H17" s="42"/>
      <c r="I17" s="42"/>
      <c r="J17" s="42"/>
      <c r="K17" s="42"/>
      <c r="L17" s="43"/>
      <c r="M17" s="43"/>
      <c r="N17" s="42"/>
      <c r="O17" s="42"/>
      <c r="P17" s="42"/>
      <c r="Q17" s="1" t="s">
        <v>960</v>
      </c>
      <c r="R17" s="1">
        <v>265</v>
      </c>
      <c r="S17" s="1">
        <v>40000</v>
      </c>
      <c r="U17" s="1">
        <v>36.5</v>
      </c>
    </row>
    <row r="19" spans="1:21">
      <c r="A19" s="1" t="s">
        <v>997</v>
      </c>
      <c r="B19" s="42" t="s">
        <v>469</v>
      </c>
      <c r="C19" s="42" t="s">
        <v>663</v>
      </c>
      <c r="D19" s="42" t="s">
        <v>16</v>
      </c>
      <c r="E19" s="42" t="s">
        <v>998</v>
      </c>
      <c r="F19" s="42">
        <v>4308</v>
      </c>
      <c r="G19" s="42"/>
      <c r="H19" s="42">
        <v>12000</v>
      </c>
      <c r="I19" s="42">
        <v>255</v>
      </c>
      <c r="J19" s="42">
        <v>0.13</v>
      </c>
      <c r="K19" s="42">
        <f t="shared" ref="K19" si="15">I19*J19</f>
        <v>33.15</v>
      </c>
      <c r="L19" s="43">
        <f t="shared" ref="L19" si="16">H19-K19</f>
        <v>11966.85</v>
      </c>
      <c r="M19" s="43">
        <v>420</v>
      </c>
      <c r="N19" s="43">
        <f t="shared" ref="N19" si="17">L19-M19</f>
        <v>11546.85</v>
      </c>
      <c r="O19" s="43">
        <f t="shared" ref="O19" si="18">H19/1000*70</f>
        <v>840</v>
      </c>
      <c r="P19" s="42">
        <v>14500</v>
      </c>
      <c r="Q19" s="42">
        <v>36.5</v>
      </c>
      <c r="R19" s="42">
        <f t="shared" ref="R19" si="19">L19*Q19</f>
        <v>436790.02500000002</v>
      </c>
    </row>
    <row r="21" spans="1:21">
      <c r="A21" s="1" t="s">
        <v>1025</v>
      </c>
      <c r="B21" s="42" t="s">
        <v>469</v>
      </c>
      <c r="C21" s="42" t="s">
        <v>23</v>
      </c>
      <c r="D21" s="42" t="s">
        <v>16</v>
      </c>
      <c r="E21" s="42" t="s">
        <v>1026</v>
      </c>
      <c r="F21" s="42">
        <v>4313</v>
      </c>
      <c r="G21" s="42"/>
      <c r="H21" s="42">
        <v>12000</v>
      </c>
      <c r="I21" s="42">
        <v>270</v>
      </c>
      <c r="J21" s="42">
        <v>0.13</v>
      </c>
      <c r="K21" s="42">
        <f t="shared" ref="K21" si="20">I21*J21</f>
        <v>35.1</v>
      </c>
      <c r="L21" s="43">
        <f t="shared" ref="L21" si="21">H21-K21</f>
        <v>11964.9</v>
      </c>
      <c r="M21" s="43"/>
      <c r="N21" s="43">
        <f t="shared" ref="N21" si="22">L21-M21</f>
        <v>11964.9</v>
      </c>
      <c r="O21" s="43">
        <f t="shared" ref="O21" si="23">H21/1000*70</f>
        <v>840</v>
      </c>
      <c r="P21" s="42">
        <v>15500</v>
      </c>
      <c r="Q21" s="42">
        <v>36.5</v>
      </c>
      <c r="R21" s="42">
        <f t="shared" ref="R21" si="24">L21*Q21</f>
        <v>436718.85</v>
      </c>
    </row>
  </sheetData>
  <pageMargins left="0.7" right="0.7" top="0.75" bottom="0.75" header="0.3" footer="0.3"/>
  <pageSetup paperSize="9" orientation="portrait" verticalDpi="0" r:id="rId1"/>
</worksheet>
</file>

<file path=xl/worksheets/sheet54.xml><?xml version="1.0" encoding="utf-8"?>
<worksheet xmlns="http://schemas.openxmlformats.org/spreadsheetml/2006/main" xmlns:r="http://schemas.openxmlformats.org/officeDocument/2006/relationships">
  <dimension ref="A5:U21"/>
  <sheetViews>
    <sheetView workbookViewId="0">
      <selection activeCell="N21" sqref="N21"/>
    </sheetView>
  </sheetViews>
  <sheetFormatPr defaultRowHeight="14.4"/>
  <cols>
    <col min="1" max="1" width="8.88671875" style="1"/>
    <col min="2" max="2" width="13.88671875" style="1" customWidth="1"/>
    <col min="3" max="3" width="11" style="1" customWidth="1"/>
    <col min="4" max="4" width="5.109375" style="1" customWidth="1"/>
    <col min="5" max="5" width="10.21875" style="1" customWidth="1"/>
    <col min="6" max="6" width="7.44140625" style="1" customWidth="1"/>
    <col min="7" max="7" width="6.5546875" style="1" customWidth="1"/>
    <col min="8" max="8" width="8" style="1" customWidth="1"/>
    <col min="9" max="9" width="6.88671875" style="1" customWidth="1"/>
    <col min="10" max="11" width="7.44140625" style="1" customWidth="1"/>
    <col min="12" max="13" width="7.88671875" style="1" customWidth="1"/>
    <col min="14" max="14" width="7.5546875" style="1" customWidth="1"/>
    <col min="15" max="16384" width="8.88671875" style="1"/>
  </cols>
  <sheetData>
    <row r="5" spans="1:21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3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3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  <c r="U5" s="15" t="s">
        <v>128</v>
      </c>
    </row>
    <row r="6" spans="1:21">
      <c r="A6" s="105"/>
      <c r="B6" s="104"/>
      <c r="C6" s="104"/>
      <c r="D6" s="104"/>
      <c r="E6" s="104"/>
      <c r="F6" s="104"/>
      <c r="G6" s="104"/>
      <c r="H6" s="104"/>
      <c r="I6" s="104"/>
      <c r="J6" s="104"/>
      <c r="K6" s="104"/>
      <c r="L6" s="102"/>
      <c r="M6" s="102"/>
      <c r="N6" s="104"/>
      <c r="Q6" s="1" t="s">
        <v>863</v>
      </c>
      <c r="R6" s="1">
        <v>244</v>
      </c>
      <c r="S6" s="1">
        <v>20000</v>
      </c>
      <c r="U6" s="1">
        <v>36.5</v>
      </c>
    </row>
    <row r="7" spans="1:21">
      <c r="A7" s="62" t="s">
        <v>855</v>
      </c>
      <c r="B7" s="42" t="s">
        <v>861</v>
      </c>
      <c r="C7" s="42" t="s">
        <v>663</v>
      </c>
      <c r="D7" s="42" t="s">
        <v>16</v>
      </c>
      <c r="E7" s="42" t="s">
        <v>862</v>
      </c>
      <c r="F7" s="42">
        <v>388</v>
      </c>
      <c r="G7" s="42"/>
      <c r="H7" s="42">
        <v>19880</v>
      </c>
      <c r="I7" s="42">
        <v>300</v>
      </c>
      <c r="J7" s="42">
        <v>0.13</v>
      </c>
      <c r="K7" s="42">
        <f t="shared" ref="K7" si="0">I7*J7</f>
        <v>39</v>
      </c>
      <c r="L7" s="43">
        <f t="shared" ref="L7" si="1">H7-K7</f>
        <v>19841</v>
      </c>
      <c r="M7" s="43"/>
      <c r="N7" s="43">
        <f t="shared" ref="N7" si="2">L7-M7</f>
        <v>19841</v>
      </c>
      <c r="O7" s="43">
        <f t="shared" ref="O7" si="3">H7/1000*70</f>
        <v>1391.6</v>
      </c>
      <c r="P7" s="42">
        <v>21000</v>
      </c>
      <c r="Q7" s="42"/>
      <c r="R7" s="42">
        <f t="shared" ref="R7" si="4">L7*Q7</f>
        <v>0</v>
      </c>
      <c r="S7" s="42" t="s">
        <v>523</v>
      </c>
    </row>
    <row r="8" spans="1:21">
      <c r="A8" s="62"/>
      <c r="B8" s="62"/>
      <c r="C8" s="62"/>
      <c r="D8" s="62"/>
      <c r="E8" s="62"/>
      <c r="F8" s="62"/>
      <c r="G8" s="62"/>
      <c r="H8" s="62"/>
      <c r="I8" s="62"/>
      <c r="J8" s="62"/>
      <c r="K8" s="62"/>
      <c r="L8" s="62"/>
      <c r="M8" s="62"/>
      <c r="N8" s="62"/>
      <c r="O8" s="62"/>
      <c r="P8" s="62"/>
    </row>
    <row r="9" spans="1:21">
      <c r="A9" s="78" t="s">
        <v>1481</v>
      </c>
      <c r="B9" s="42" t="s">
        <v>1478</v>
      </c>
      <c r="C9" s="42" t="s">
        <v>1480</v>
      </c>
      <c r="D9" s="42" t="s">
        <v>16</v>
      </c>
      <c r="E9" s="42" t="s">
        <v>1479</v>
      </c>
      <c r="F9" s="42">
        <v>443</v>
      </c>
      <c r="G9" s="42"/>
      <c r="H9" s="42">
        <v>13020</v>
      </c>
      <c r="I9" s="42">
        <v>202</v>
      </c>
      <c r="J9" s="42">
        <v>0.13</v>
      </c>
      <c r="K9" s="42">
        <f t="shared" ref="K9" si="5">I9*J9</f>
        <v>26.26</v>
      </c>
      <c r="L9" s="43">
        <f t="shared" ref="L9" si="6">H9-K9</f>
        <v>12993.74</v>
      </c>
      <c r="M9" s="43"/>
      <c r="N9" s="43">
        <f t="shared" ref="N9" si="7">L9-M9</f>
        <v>12993.74</v>
      </c>
      <c r="O9" s="43">
        <f t="shared" ref="O9" si="8">H9/1000*70</f>
        <v>911.4</v>
      </c>
      <c r="P9" s="42">
        <v>0</v>
      </c>
      <c r="Q9" s="42">
        <v>43.5</v>
      </c>
      <c r="R9" s="42">
        <f t="shared" ref="R9" si="9">L9*Q9</f>
        <v>565227.68999999994</v>
      </c>
    </row>
    <row r="10" spans="1:21">
      <c r="A10" s="78"/>
      <c r="B10" s="60"/>
      <c r="C10" s="60"/>
      <c r="D10" s="60"/>
      <c r="E10" s="60"/>
      <c r="F10" s="60"/>
      <c r="G10" s="60"/>
      <c r="H10" s="60"/>
      <c r="I10" s="60"/>
      <c r="J10" s="60"/>
      <c r="K10" s="61"/>
      <c r="L10" s="65"/>
      <c r="M10" s="61"/>
      <c r="N10" s="60"/>
      <c r="O10" s="62"/>
      <c r="P10" s="62"/>
    </row>
    <row r="11" spans="1:21">
      <c r="A11" s="21" t="s">
        <v>1708</v>
      </c>
      <c r="B11" s="42" t="s">
        <v>1709</v>
      </c>
      <c r="C11" s="42" t="s">
        <v>23</v>
      </c>
      <c r="D11" s="42" t="s">
        <v>16</v>
      </c>
      <c r="E11" s="42" t="s">
        <v>1710</v>
      </c>
      <c r="F11" s="42">
        <v>1872</v>
      </c>
      <c r="G11" s="42"/>
      <c r="H11" s="42">
        <v>10120</v>
      </c>
      <c r="I11" s="42">
        <f>H11/50</f>
        <v>202.4</v>
      </c>
      <c r="J11" s="42">
        <v>0.5</v>
      </c>
      <c r="K11" s="42">
        <f t="shared" ref="K11" si="10">I11*J11</f>
        <v>101.2</v>
      </c>
      <c r="L11" s="43">
        <f t="shared" ref="L11" si="11">H11-K11</f>
        <v>10018.799999999999</v>
      </c>
      <c r="M11" s="43"/>
      <c r="N11" s="43">
        <f t="shared" ref="N11" si="12">L11-M11</f>
        <v>10018.799999999999</v>
      </c>
      <c r="O11" s="43">
        <f t="shared" ref="O11" si="13">H11/1000*70</f>
        <v>708.4</v>
      </c>
      <c r="P11" s="204">
        <v>13500</v>
      </c>
      <c r="Q11" s="204">
        <v>42</v>
      </c>
      <c r="R11" s="42">
        <f t="shared" ref="R11" si="14">L11*Q11</f>
        <v>420789.6</v>
      </c>
    </row>
    <row r="12" spans="1:21">
      <c r="A12" s="62"/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</row>
    <row r="13" spans="1:21">
      <c r="A13" s="62"/>
      <c r="B13" s="42" t="s">
        <v>2093</v>
      </c>
      <c r="C13" s="42" t="s">
        <v>23</v>
      </c>
      <c r="D13" s="42" t="s">
        <v>16</v>
      </c>
      <c r="E13" s="42" t="s">
        <v>2088</v>
      </c>
      <c r="F13" s="42">
        <v>0</v>
      </c>
      <c r="G13" s="42"/>
      <c r="H13" s="42">
        <v>15160</v>
      </c>
      <c r="I13" s="42">
        <v>206</v>
      </c>
      <c r="J13" s="42">
        <v>0.75</v>
      </c>
      <c r="K13" s="43">
        <f t="shared" ref="K13" si="15">I13*J13</f>
        <v>154.5</v>
      </c>
      <c r="L13" s="43">
        <f t="shared" ref="L13" si="16">H13-K13</f>
        <v>15005.5</v>
      </c>
      <c r="M13" s="43"/>
      <c r="N13" s="43">
        <f t="shared" ref="N13" si="17">L13-M13</f>
        <v>15005.5</v>
      </c>
      <c r="O13" s="43">
        <f t="shared" ref="O13" si="18">H13/1000*70</f>
        <v>1061.2</v>
      </c>
      <c r="P13" s="42">
        <v>15000</v>
      </c>
      <c r="Q13" s="42">
        <v>44</v>
      </c>
      <c r="R13" s="42">
        <f t="shared" ref="R13" si="19">L13*Q13</f>
        <v>660242</v>
      </c>
    </row>
    <row r="14" spans="1:21">
      <c r="A14" s="62"/>
      <c r="B14" s="62"/>
      <c r="C14" s="62"/>
      <c r="D14" s="62"/>
      <c r="E14" s="62"/>
      <c r="F14" s="62"/>
      <c r="G14" s="62"/>
      <c r="H14" s="62"/>
      <c r="I14" s="62"/>
      <c r="J14" s="62"/>
      <c r="K14" s="62"/>
      <c r="L14" s="62"/>
      <c r="M14" s="62"/>
      <c r="N14" s="62"/>
      <c r="O14" s="62"/>
      <c r="P14" s="62"/>
    </row>
    <row r="15" spans="1:21">
      <c r="A15" s="62"/>
      <c r="B15" s="67"/>
      <c r="C15" s="67"/>
      <c r="D15" s="67"/>
      <c r="E15" s="67"/>
      <c r="F15" s="67"/>
      <c r="G15" s="67"/>
      <c r="H15" s="67"/>
      <c r="I15" s="67"/>
      <c r="J15" s="67"/>
      <c r="K15" s="67"/>
      <c r="L15" s="68"/>
      <c r="M15" s="68"/>
      <c r="N15" s="67"/>
      <c r="O15" s="67"/>
      <c r="P15" s="67"/>
    </row>
    <row r="16" spans="1:21">
      <c r="A16" s="62"/>
      <c r="B16" s="62"/>
      <c r="C16" s="62"/>
      <c r="D16" s="62"/>
      <c r="E16" s="62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</row>
    <row r="17" spans="1:16">
      <c r="A17" s="62"/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8"/>
      <c r="M17" s="68"/>
      <c r="N17" s="67"/>
      <c r="O17" s="67"/>
      <c r="P17" s="67"/>
    </row>
    <row r="18" spans="1:16">
      <c r="A18" s="62"/>
      <c r="B18" s="62"/>
      <c r="C18" s="62"/>
      <c r="D18" s="62"/>
      <c r="E18" s="62"/>
      <c r="F18" s="62"/>
      <c r="G18" s="62"/>
      <c r="H18" s="62"/>
      <c r="I18" s="62"/>
      <c r="J18" s="62"/>
      <c r="K18" s="62"/>
      <c r="L18" s="62"/>
      <c r="M18" s="62"/>
      <c r="N18" s="62"/>
      <c r="O18" s="62"/>
      <c r="P18" s="62"/>
    </row>
    <row r="19" spans="1:16">
      <c r="A19" s="62"/>
      <c r="B19" s="67"/>
      <c r="C19" s="67"/>
      <c r="D19" s="67"/>
      <c r="E19" s="67"/>
      <c r="F19" s="67"/>
      <c r="G19" s="67"/>
      <c r="H19" s="67"/>
      <c r="I19" s="67"/>
      <c r="J19" s="67"/>
      <c r="K19" s="68"/>
      <c r="L19" s="68"/>
      <c r="M19" s="68"/>
      <c r="N19" s="67"/>
      <c r="O19" s="67"/>
      <c r="P19" s="67"/>
    </row>
    <row r="20" spans="1:16">
      <c r="A20" s="62"/>
      <c r="B20" s="62"/>
      <c r="C20" s="62"/>
      <c r="D20" s="62"/>
      <c r="E20" s="62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</row>
    <row r="21" spans="1:16">
      <c r="A21" s="62"/>
      <c r="B21" s="67"/>
      <c r="C21" s="67"/>
      <c r="D21" s="67"/>
      <c r="E21" s="67"/>
      <c r="F21" s="67"/>
      <c r="G21" s="67"/>
      <c r="H21" s="67"/>
      <c r="I21" s="67"/>
      <c r="J21" s="67"/>
      <c r="K21" s="68"/>
      <c r="L21" s="68"/>
      <c r="M21" s="68"/>
      <c r="N21" s="67"/>
      <c r="O21" s="67"/>
      <c r="P21" s="67"/>
    </row>
  </sheetData>
  <pageMargins left="0.7" right="0.7" top="0.75" bottom="0.75" header="0.3" footer="0.3"/>
  <pageSetup paperSize="9" orientation="portrait" verticalDpi="0" r:id="rId1"/>
</worksheet>
</file>

<file path=xl/worksheets/sheet55.xml><?xml version="1.0" encoding="utf-8"?>
<worksheet xmlns="http://schemas.openxmlformats.org/spreadsheetml/2006/main" xmlns:r="http://schemas.openxmlformats.org/officeDocument/2006/relationships">
  <dimension ref="A5:U15"/>
  <sheetViews>
    <sheetView workbookViewId="0">
      <selection activeCell="E12" sqref="E12"/>
    </sheetView>
  </sheetViews>
  <sheetFormatPr defaultRowHeight="14.4"/>
  <cols>
    <col min="1" max="1" width="8.88671875" style="1"/>
    <col min="2" max="2" width="13.88671875" style="1" customWidth="1"/>
    <col min="3" max="3" width="11" style="1" customWidth="1"/>
    <col min="4" max="4" width="5.109375" style="1" customWidth="1"/>
    <col min="5" max="5" width="10.21875" style="1" customWidth="1"/>
    <col min="6" max="6" width="7.44140625" style="1" customWidth="1"/>
    <col min="7" max="7" width="6.5546875" style="1" customWidth="1"/>
    <col min="8" max="8" width="8" style="1" customWidth="1"/>
    <col min="9" max="9" width="6.88671875" style="1" customWidth="1"/>
    <col min="10" max="11" width="7.44140625" style="1" customWidth="1"/>
    <col min="12" max="13" width="7.88671875" style="1" customWidth="1"/>
    <col min="14" max="14" width="7.5546875" style="1" customWidth="1"/>
    <col min="15" max="16384" width="8.88671875" style="1"/>
  </cols>
  <sheetData>
    <row r="5" spans="1:21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3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3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  <c r="U5" s="15" t="s">
        <v>128</v>
      </c>
    </row>
    <row r="6" spans="1:21">
      <c r="A6" s="105"/>
      <c r="B6" s="251"/>
      <c r="C6" s="251"/>
      <c r="D6" s="251"/>
      <c r="E6" s="251"/>
      <c r="F6" s="251"/>
      <c r="G6" s="251"/>
      <c r="H6" s="251"/>
      <c r="I6" s="251"/>
      <c r="J6" s="251"/>
      <c r="K6" s="251"/>
      <c r="L6" s="102"/>
      <c r="M6" s="102"/>
      <c r="N6" s="251"/>
      <c r="Q6" s="1" t="s">
        <v>863</v>
      </c>
      <c r="R6" s="1">
        <v>244</v>
      </c>
      <c r="S6" s="1">
        <v>20000</v>
      </c>
      <c r="U6" s="1">
        <v>36.5</v>
      </c>
    </row>
    <row r="7" spans="1:21">
      <c r="A7" s="62"/>
      <c r="B7" s="62"/>
      <c r="C7" s="62"/>
      <c r="D7" s="62"/>
      <c r="E7" s="62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</row>
    <row r="8" spans="1:21">
      <c r="A8" s="62" t="s">
        <v>2087</v>
      </c>
      <c r="B8" s="42" t="s">
        <v>2093</v>
      </c>
      <c r="C8" s="42" t="s">
        <v>23</v>
      </c>
      <c r="D8" s="42" t="s">
        <v>16</v>
      </c>
      <c r="E8" s="42" t="s">
        <v>2088</v>
      </c>
      <c r="F8" s="42">
        <v>0</v>
      </c>
      <c r="G8" s="42"/>
      <c r="H8" s="42">
        <v>15160</v>
      </c>
      <c r="I8" s="42">
        <v>206</v>
      </c>
      <c r="J8" s="42">
        <v>0.75</v>
      </c>
      <c r="K8" s="43">
        <f t="shared" ref="K8" si="0">I8*J8</f>
        <v>154.5</v>
      </c>
      <c r="L8" s="43">
        <f t="shared" ref="L8" si="1">H8-K8</f>
        <v>15005.5</v>
      </c>
      <c r="M8" s="43"/>
      <c r="N8" s="43">
        <f t="shared" ref="N8" si="2">L8-M8</f>
        <v>15005.5</v>
      </c>
      <c r="O8" s="43">
        <f t="shared" ref="O8" si="3">H8/1000*70</f>
        <v>1061.2</v>
      </c>
      <c r="P8" s="42">
        <v>15000</v>
      </c>
      <c r="Q8" s="42">
        <v>44</v>
      </c>
      <c r="R8" s="42">
        <f t="shared" ref="R8" si="4">L8*Q8</f>
        <v>660242</v>
      </c>
    </row>
    <row r="9" spans="1:21">
      <c r="A9" s="62"/>
      <c r="B9" s="62"/>
      <c r="C9" s="62"/>
      <c r="D9" s="62"/>
      <c r="E9" s="62"/>
      <c r="F9" s="62"/>
      <c r="G9" s="62"/>
      <c r="H9" s="62"/>
      <c r="I9" s="62"/>
      <c r="J9" s="62"/>
      <c r="K9" s="62"/>
      <c r="L9" s="62"/>
      <c r="M9" s="62"/>
      <c r="N9" s="62"/>
      <c r="O9" s="62"/>
      <c r="P9" s="62"/>
    </row>
    <row r="10" spans="1:21">
      <c r="A10" s="62" t="s">
        <v>2100</v>
      </c>
      <c r="B10" s="42" t="s">
        <v>2093</v>
      </c>
      <c r="C10" s="42" t="s">
        <v>23</v>
      </c>
      <c r="D10" s="42" t="s">
        <v>16</v>
      </c>
      <c r="E10" s="42" t="s">
        <v>2102</v>
      </c>
      <c r="F10" s="42">
        <v>0</v>
      </c>
      <c r="G10" s="42"/>
      <c r="H10" s="42">
        <v>15120</v>
      </c>
      <c r="I10" s="42">
        <v>202</v>
      </c>
      <c r="J10" s="42">
        <v>0.75</v>
      </c>
      <c r="K10" s="43">
        <f t="shared" ref="K10" si="5">I10*J10</f>
        <v>151.5</v>
      </c>
      <c r="L10" s="43">
        <f t="shared" ref="L10" si="6">H10-K10</f>
        <v>14968.5</v>
      </c>
      <c r="M10" s="43"/>
      <c r="N10" s="43">
        <f t="shared" ref="N10" si="7">L10-M10</f>
        <v>14968.5</v>
      </c>
      <c r="O10" s="43">
        <f t="shared" ref="O10" si="8">H10/1000*70</f>
        <v>1058.3999999999999</v>
      </c>
      <c r="P10" s="42">
        <v>16000</v>
      </c>
      <c r="Q10" s="42">
        <v>44</v>
      </c>
      <c r="R10" s="42">
        <f t="shared" ref="R10" si="9">L10*Q10</f>
        <v>658614</v>
      </c>
    </row>
    <row r="11" spans="1:21">
      <c r="A11" s="62"/>
      <c r="B11" s="62"/>
      <c r="C11" s="62"/>
      <c r="D11" s="62"/>
      <c r="E11" s="62"/>
      <c r="F11" s="62"/>
      <c r="G11" s="62"/>
      <c r="H11" s="62"/>
      <c r="I11" s="62"/>
      <c r="J11" s="62"/>
      <c r="K11" s="62"/>
      <c r="L11" s="62"/>
      <c r="M11" s="62"/>
      <c r="N11" s="62"/>
      <c r="O11" s="62"/>
      <c r="P11" s="62"/>
    </row>
    <row r="12" spans="1:21">
      <c r="A12" s="62"/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</row>
    <row r="13" spans="1:21">
      <c r="A13" s="62"/>
      <c r="B13" s="67"/>
      <c r="C13" s="67"/>
      <c r="D13" s="67"/>
      <c r="E13" s="67"/>
      <c r="F13" s="67"/>
      <c r="G13" s="67"/>
      <c r="H13" s="67"/>
      <c r="I13" s="67"/>
      <c r="J13" s="67"/>
      <c r="K13" s="68"/>
      <c r="L13" s="68"/>
      <c r="M13" s="68"/>
      <c r="N13" s="67"/>
      <c r="O13" s="67"/>
      <c r="P13" s="67"/>
    </row>
    <row r="14" spans="1:21">
      <c r="A14" s="62"/>
      <c r="B14" s="62"/>
      <c r="C14" s="62"/>
      <c r="D14" s="62"/>
      <c r="E14" s="62"/>
      <c r="F14" s="62"/>
      <c r="G14" s="62"/>
      <c r="H14" s="62"/>
      <c r="I14" s="62"/>
      <c r="J14" s="62"/>
      <c r="K14" s="62"/>
      <c r="L14" s="62"/>
      <c r="M14" s="62"/>
      <c r="N14" s="62"/>
      <c r="O14" s="62"/>
      <c r="P14" s="62"/>
    </row>
    <row r="15" spans="1:21">
      <c r="A15" s="62"/>
      <c r="B15" s="67"/>
      <c r="C15" s="67"/>
      <c r="D15" s="67"/>
      <c r="E15" s="67"/>
      <c r="F15" s="67"/>
      <c r="G15" s="67"/>
      <c r="H15" s="67"/>
      <c r="I15" s="67"/>
      <c r="J15" s="67"/>
      <c r="K15" s="68"/>
      <c r="L15" s="68"/>
      <c r="M15" s="68"/>
      <c r="N15" s="67"/>
      <c r="O15" s="67"/>
      <c r="P15" s="67"/>
    </row>
  </sheetData>
  <pageMargins left="0.7" right="0.7" top="0.75" bottom="0.75" header="0.3" footer="0.3"/>
  <pageSetup paperSize="9" orientation="portrait" verticalDpi="0" r:id="rId1"/>
</worksheet>
</file>

<file path=xl/worksheets/sheet56.xml><?xml version="1.0" encoding="utf-8"?>
<worksheet xmlns="http://schemas.openxmlformats.org/spreadsheetml/2006/main" xmlns:r="http://schemas.openxmlformats.org/officeDocument/2006/relationships">
  <dimension ref="A5:U44"/>
  <sheetViews>
    <sheetView topLeftCell="A25" workbookViewId="0">
      <selection activeCell="A45" sqref="A45"/>
    </sheetView>
  </sheetViews>
  <sheetFormatPr defaultRowHeight="14.4"/>
  <cols>
    <col min="1" max="1" width="8.88671875" style="1"/>
    <col min="2" max="2" width="13.88671875" style="1" customWidth="1"/>
    <col min="3" max="3" width="11" style="1" customWidth="1"/>
    <col min="4" max="4" width="5.109375" style="1" customWidth="1"/>
    <col min="5" max="5" width="10.21875" style="1" customWidth="1"/>
    <col min="6" max="6" width="7.44140625" style="1" customWidth="1"/>
    <col min="7" max="7" width="6.5546875" style="1" customWidth="1"/>
    <col min="8" max="8" width="8" style="1" customWidth="1"/>
    <col min="9" max="9" width="6.88671875" style="1" customWidth="1"/>
    <col min="10" max="11" width="7.44140625" style="1" customWidth="1"/>
    <col min="12" max="13" width="7.88671875" style="1" customWidth="1"/>
    <col min="14" max="14" width="7.5546875" style="1" customWidth="1"/>
    <col min="15" max="16384" width="8.88671875" style="1"/>
  </cols>
  <sheetData>
    <row r="5" spans="1:21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3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3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  <c r="U5" s="15" t="s">
        <v>128</v>
      </c>
    </row>
    <row r="6" spans="1:21">
      <c r="A6" s="105"/>
      <c r="B6" s="263"/>
      <c r="C6" s="263"/>
      <c r="D6" s="263"/>
      <c r="E6" s="263"/>
      <c r="F6" s="263"/>
      <c r="G6" s="263"/>
      <c r="H6" s="263"/>
      <c r="I6" s="263"/>
      <c r="J6" s="263"/>
      <c r="K6" s="263"/>
      <c r="L6" s="102"/>
      <c r="M6" s="102"/>
      <c r="N6" s="263"/>
      <c r="Q6" s="1" t="s">
        <v>863</v>
      </c>
      <c r="R6" s="1">
        <v>244</v>
      </c>
      <c r="S6" s="1">
        <v>20000</v>
      </c>
      <c r="U6" s="1">
        <v>36.5</v>
      </c>
    </row>
    <row r="7" spans="1:21">
      <c r="A7" s="62"/>
      <c r="B7" s="62"/>
      <c r="C7" s="62"/>
      <c r="D7" s="62"/>
      <c r="E7" s="62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</row>
    <row r="8" spans="1:21">
      <c r="A8" s="62"/>
      <c r="B8" s="62"/>
      <c r="C8" s="62"/>
      <c r="D8" s="62"/>
      <c r="E8" s="62"/>
      <c r="F8" s="62"/>
      <c r="G8" s="62"/>
      <c r="H8" s="62"/>
      <c r="I8" s="62"/>
      <c r="J8" s="62"/>
      <c r="K8" s="62"/>
      <c r="L8" s="62"/>
      <c r="M8" s="62"/>
      <c r="N8" s="62"/>
      <c r="O8" s="62"/>
      <c r="P8" s="62"/>
    </row>
    <row r="9" spans="1:21">
      <c r="A9" s="62"/>
      <c r="B9" s="42" t="s">
        <v>2437</v>
      </c>
      <c r="C9" s="42" t="s">
        <v>23</v>
      </c>
      <c r="D9" s="42" t="s">
        <v>16</v>
      </c>
      <c r="E9" s="42" t="s">
        <v>54</v>
      </c>
      <c r="F9" s="42">
        <v>0</v>
      </c>
      <c r="G9" s="42"/>
      <c r="H9" s="42">
        <v>12770</v>
      </c>
      <c r="I9" s="42">
        <v>255</v>
      </c>
      <c r="J9" s="42">
        <v>0.13</v>
      </c>
      <c r="K9" s="43">
        <f t="shared" ref="K9" si="0">I9*J9</f>
        <v>33.15</v>
      </c>
      <c r="L9" s="43">
        <f t="shared" ref="L9" si="1">H9-K9</f>
        <v>12736.85</v>
      </c>
      <c r="M9" s="43"/>
      <c r="N9" s="43">
        <f t="shared" ref="N9" si="2">L9-M9</f>
        <v>12736.85</v>
      </c>
      <c r="O9" s="43">
        <f t="shared" ref="O9" si="3">H9/1000*70</f>
        <v>893.9</v>
      </c>
      <c r="P9" s="42">
        <v>12000</v>
      </c>
      <c r="Q9" s="42"/>
      <c r="R9" s="42">
        <f t="shared" ref="R9" si="4">L9*Q9</f>
        <v>0</v>
      </c>
    </row>
    <row r="10" spans="1:21">
      <c r="A10" s="62"/>
      <c r="B10" s="62"/>
      <c r="C10" s="62"/>
      <c r="D10" s="62"/>
      <c r="E10" s="62"/>
      <c r="F10" s="62"/>
      <c r="G10" s="62"/>
      <c r="H10" s="62"/>
      <c r="I10" s="62"/>
      <c r="J10" s="62"/>
      <c r="K10" s="62"/>
      <c r="L10" s="62"/>
      <c r="M10" s="62"/>
      <c r="N10" s="62"/>
      <c r="O10" s="62"/>
      <c r="P10" s="62"/>
    </row>
    <row r="11" spans="1:21">
      <c r="A11" s="374" t="s">
        <v>2500</v>
      </c>
      <c r="B11" s="42" t="s">
        <v>684</v>
      </c>
      <c r="C11" s="42" t="s">
        <v>23</v>
      </c>
      <c r="D11" s="42" t="s">
        <v>16</v>
      </c>
      <c r="E11" s="42" t="s">
        <v>2506</v>
      </c>
      <c r="F11" s="42">
        <v>2</v>
      </c>
      <c r="G11" s="42"/>
      <c r="H11" s="42">
        <v>15180</v>
      </c>
      <c r="I11" s="42">
        <v>310</v>
      </c>
      <c r="J11" s="42">
        <v>0.4</v>
      </c>
      <c r="K11" s="43">
        <f t="shared" ref="K11:K13" si="5">I11*J11</f>
        <v>124</v>
      </c>
      <c r="L11" s="43">
        <f t="shared" ref="L11:L13" si="6">H11-K11</f>
        <v>15056</v>
      </c>
      <c r="M11" s="43"/>
      <c r="N11" s="43">
        <f t="shared" ref="N11:N13" si="7">L11-M11</f>
        <v>15056</v>
      </c>
      <c r="O11" s="43">
        <f t="shared" ref="O11:O13" si="8">H11/1000*70</f>
        <v>1062.5999999999999</v>
      </c>
      <c r="P11" s="42">
        <v>15180</v>
      </c>
      <c r="Q11" s="42">
        <v>43.25</v>
      </c>
      <c r="R11" s="42">
        <f t="shared" ref="R11:R13" si="9">L11*Q11</f>
        <v>651172</v>
      </c>
    </row>
    <row r="12" spans="1:21">
      <c r="A12" s="374"/>
      <c r="B12" s="42" t="s">
        <v>684</v>
      </c>
      <c r="C12" s="42" t="s">
        <v>23</v>
      </c>
      <c r="D12" s="42" t="s">
        <v>16</v>
      </c>
      <c r="E12" s="42" t="s">
        <v>54</v>
      </c>
      <c r="F12" s="42">
        <v>0</v>
      </c>
      <c r="G12" s="42"/>
      <c r="H12" s="42">
        <v>12240</v>
      </c>
      <c r="I12" s="42">
        <v>258</v>
      </c>
      <c r="J12" s="42">
        <v>0.13</v>
      </c>
      <c r="K12" s="43">
        <f t="shared" si="5"/>
        <v>33.54</v>
      </c>
      <c r="L12" s="43">
        <f t="shared" si="6"/>
        <v>12206.46</v>
      </c>
      <c r="M12" s="43"/>
      <c r="N12" s="43">
        <f t="shared" si="7"/>
        <v>12206.46</v>
      </c>
      <c r="O12" s="43">
        <f t="shared" si="8"/>
        <v>856.80000000000007</v>
      </c>
      <c r="P12" s="42">
        <v>15000</v>
      </c>
      <c r="Q12" s="42">
        <v>43.25</v>
      </c>
      <c r="R12" s="42">
        <f t="shared" si="9"/>
        <v>527929.39500000002</v>
      </c>
    </row>
    <row r="13" spans="1:21">
      <c r="A13" s="62" t="s">
        <v>2508</v>
      </c>
      <c r="B13" s="42" t="s">
        <v>684</v>
      </c>
      <c r="C13" s="42" t="s">
        <v>23</v>
      </c>
      <c r="D13" s="42" t="s">
        <v>16</v>
      </c>
      <c r="E13" s="42" t="s">
        <v>2509</v>
      </c>
      <c r="F13" s="42">
        <v>2</v>
      </c>
      <c r="G13" s="42"/>
      <c r="H13" s="42">
        <v>12920</v>
      </c>
      <c r="I13" s="42">
        <v>274</v>
      </c>
      <c r="J13" s="42">
        <v>0.13</v>
      </c>
      <c r="K13" s="43">
        <f t="shared" si="5"/>
        <v>35.620000000000005</v>
      </c>
      <c r="L13" s="43">
        <f t="shared" si="6"/>
        <v>12884.38</v>
      </c>
      <c r="M13" s="43"/>
      <c r="N13" s="43">
        <f t="shared" si="7"/>
        <v>12884.38</v>
      </c>
      <c r="O13" s="43">
        <f t="shared" si="8"/>
        <v>904.4</v>
      </c>
      <c r="P13" s="42">
        <v>14000</v>
      </c>
      <c r="Q13" s="42">
        <v>43.25</v>
      </c>
      <c r="R13" s="42">
        <f t="shared" si="9"/>
        <v>557249.43499999994</v>
      </c>
    </row>
    <row r="15" spans="1:21">
      <c r="A15" s="374" t="s">
        <v>2597</v>
      </c>
      <c r="B15" s="42" t="s">
        <v>684</v>
      </c>
      <c r="C15" s="42" t="s">
        <v>23</v>
      </c>
      <c r="D15" s="42" t="s">
        <v>16</v>
      </c>
      <c r="E15" s="42" t="s">
        <v>2598</v>
      </c>
      <c r="F15" s="42">
        <v>0</v>
      </c>
      <c r="G15" s="42"/>
      <c r="H15" s="42">
        <v>20025</v>
      </c>
      <c r="I15" s="42">
        <v>400</v>
      </c>
      <c r="J15" s="42">
        <v>0.13</v>
      </c>
      <c r="K15" s="43">
        <f t="shared" ref="K15:K18" si="10">I15*J15</f>
        <v>52</v>
      </c>
      <c r="L15" s="43">
        <f t="shared" ref="L15:L18" si="11">H15-K15</f>
        <v>19973</v>
      </c>
      <c r="M15" s="43"/>
      <c r="N15" s="43">
        <f t="shared" ref="N15:N18" si="12">L15-M15</f>
        <v>19973</v>
      </c>
      <c r="O15" s="43">
        <f t="shared" ref="O15:O18" si="13">H15/1000*70</f>
        <v>1401.75</v>
      </c>
      <c r="P15" s="42">
        <v>18500</v>
      </c>
      <c r="Q15" s="42">
        <v>43.25</v>
      </c>
      <c r="R15" s="42">
        <f t="shared" ref="R15:R18" si="14">L15*Q15</f>
        <v>863832.25</v>
      </c>
    </row>
    <row r="16" spans="1:21">
      <c r="A16" s="374"/>
      <c r="B16" s="42" t="s">
        <v>684</v>
      </c>
      <c r="C16" s="42" t="s">
        <v>23</v>
      </c>
      <c r="D16" s="42" t="s">
        <v>16</v>
      </c>
      <c r="E16" s="42" t="s">
        <v>2599</v>
      </c>
      <c r="F16" s="42">
        <v>0</v>
      </c>
      <c r="G16" s="42"/>
      <c r="H16" s="42">
        <v>12825</v>
      </c>
      <c r="I16" s="42">
        <v>257</v>
      </c>
      <c r="J16" s="42">
        <v>0.13</v>
      </c>
      <c r="K16" s="43">
        <f t="shared" si="10"/>
        <v>33.410000000000004</v>
      </c>
      <c r="L16" s="43">
        <f t="shared" si="11"/>
        <v>12791.59</v>
      </c>
      <c r="M16" s="43"/>
      <c r="N16" s="43">
        <f t="shared" si="12"/>
        <v>12791.59</v>
      </c>
      <c r="O16" s="43">
        <f t="shared" si="13"/>
        <v>897.75</v>
      </c>
      <c r="P16" s="42">
        <v>10850</v>
      </c>
      <c r="Q16" s="42">
        <v>43.25</v>
      </c>
      <c r="R16" s="42">
        <f t="shared" si="14"/>
        <v>553236.26749999996</v>
      </c>
    </row>
    <row r="17" spans="1:19">
      <c r="A17" s="374" t="s">
        <v>2600</v>
      </c>
      <c r="B17" s="42" t="s">
        <v>684</v>
      </c>
      <c r="C17" s="42" t="s">
        <v>23</v>
      </c>
      <c r="D17" s="42" t="s">
        <v>16</v>
      </c>
      <c r="E17" s="42" t="s">
        <v>2603</v>
      </c>
      <c r="F17" s="42">
        <v>502</v>
      </c>
      <c r="G17" s="42"/>
      <c r="H17" s="42">
        <v>8080</v>
      </c>
      <c r="I17" s="42">
        <v>171</v>
      </c>
      <c r="J17" s="42">
        <v>0.13</v>
      </c>
      <c r="K17" s="43">
        <f t="shared" si="10"/>
        <v>22.23</v>
      </c>
      <c r="L17" s="43">
        <f t="shared" si="11"/>
        <v>8057.77</v>
      </c>
      <c r="M17" s="43"/>
      <c r="N17" s="43">
        <f t="shared" si="12"/>
        <v>8057.77</v>
      </c>
      <c r="O17" s="43">
        <f t="shared" si="13"/>
        <v>565.6</v>
      </c>
      <c r="P17" s="42">
        <v>9000</v>
      </c>
      <c r="Q17" s="42">
        <v>43.25</v>
      </c>
      <c r="R17" s="42">
        <f t="shared" si="14"/>
        <v>348498.55249999999</v>
      </c>
    </row>
    <row r="18" spans="1:19">
      <c r="A18" s="374"/>
      <c r="B18" s="42" t="s">
        <v>684</v>
      </c>
      <c r="C18" s="42" t="s">
        <v>23</v>
      </c>
      <c r="D18" s="42" t="s">
        <v>16</v>
      </c>
      <c r="E18" s="42" t="s">
        <v>2604</v>
      </c>
      <c r="F18" s="42">
        <v>501</v>
      </c>
      <c r="G18" s="42"/>
      <c r="H18" s="42">
        <v>20925</v>
      </c>
      <c r="I18" s="42">
        <v>450</v>
      </c>
      <c r="J18" s="42">
        <v>0.13</v>
      </c>
      <c r="K18" s="43">
        <f t="shared" si="10"/>
        <v>58.5</v>
      </c>
      <c r="L18" s="43">
        <f t="shared" si="11"/>
        <v>20866.5</v>
      </c>
      <c r="M18" s="43"/>
      <c r="N18" s="43">
        <f t="shared" si="12"/>
        <v>20866.5</v>
      </c>
      <c r="O18" s="43">
        <f t="shared" si="13"/>
        <v>1464.75</v>
      </c>
      <c r="P18" s="42">
        <v>19500</v>
      </c>
      <c r="Q18" s="42">
        <v>43.25</v>
      </c>
      <c r="R18" s="42">
        <f t="shared" si="14"/>
        <v>902476.125</v>
      </c>
    </row>
    <row r="20" spans="1:19">
      <c r="A20" s="1" t="s">
        <v>2774</v>
      </c>
      <c r="B20" s="289" t="s">
        <v>684</v>
      </c>
      <c r="C20" s="42" t="s">
        <v>23</v>
      </c>
      <c r="D20" s="42" t="s">
        <v>16</v>
      </c>
      <c r="E20" s="42" t="s">
        <v>2781</v>
      </c>
      <c r="F20" s="42">
        <v>503</v>
      </c>
      <c r="G20" s="42"/>
      <c r="H20" s="42">
        <v>20680</v>
      </c>
      <c r="I20" s="42">
        <v>410</v>
      </c>
      <c r="J20" s="42">
        <v>0.13</v>
      </c>
      <c r="K20" s="43">
        <f t="shared" ref="K20:K22" si="15">I20*J20</f>
        <v>53.300000000000004</v>
      </c>
      <c r="L20" s="43">
        <f t="shared" ref="L20:L22" si="16">H20-K20</f>
        <v>20626.7</v>
      </c>
      <c r="M20" s="43"/>
      <c r="N20" s="43">
        <f t="shared" ref="N20:N22" si="17">L20-M20</f>
        <v>20626.7</v>
      </c>
      <c r="O20" s="43">
        <f t="shared" ref="O20:O22" si="18">H20/1000*70</f>
        <v>1447.6</v>
      </c>
      <c r="P20" s="42">
        <v>17578</v>
      </c>
      <c r="Q20" s="42">
        <v>43.25</v>
      </c>
      <c r="R20" s="42">
        <f t="shared" ref="R20:R22" si="19">L20*Q20</f>
        <v>892104.77500000002</v>
      </c>
      <c r="S20" s="42"/>
    </row>
    <row r="21" spans="1:19">
      <c r="A21" s="374" t="s">
        <v>2784</v>
      </c>
      <c r="B21" s="290" t="s">
        <v>684</v>
      </c>
      <c r="C21" s="42" t="s">
        <v>23</v>
      </c>
      <c r="D21" s="42" t="s">
        <v>16</v>
      </c>
      <c r="E21" s="42" t="s">
        <v>2793</v>
      </c>
      <c r="F21" s="42">
        <v>502</v>
      </c>
      <c r="G21" s="42"/>
      <c r="H21" s="42">
        <v>20035</v>
      </c>
      <c r="I21" s="42">
        <v>400</v>
      </c>
      <c r="J21" s="42">
        <v>0.13</v>
      </c>
      <c r="K21" s="43">
        <f t="shared" si="15"/>
        <v>52</v>
      </c>
      <c r="L21" s="43">
        <f t="shared" si="16"/>
        <v>19983</v>
      </c>
      <c r="M21" s="43"/>
      <c r="N21" s="43">
        <f t="shared" si="17"/>
        <v>19983</v>
      </c>
      <c r="O21" s="43">
        <f t="shared" si="18"/>
        <v>1402.45</v>
      </c>
      <c r="P21" s="42">
        <v>17000</v>
      </c>
      <c r="Q21" s="42">
        <v>43.25</v>
      </c>
      <c r="R21" s="42">
        <f t="shared" si="19"/>
        <v>864264.75</v>
      </c>
    </row>
    <row r="22" spans="1:19">
      <c r="A22" s="374"/>
      <c r="B22" s="290" t="s">
        <v>684</v>
      </c>
      <c r="C22" s="42" t="s">
        <v>23</v>
      </c>
      <c r="D22" s="42" t="s">
        <v>16</v>
      </c>
      <c r="E22" s="42" t="s">
        <v>2794</v>
      </c>
      <c r="F22" s="42">
        <v>504</v>
      </c>
      <c r="G22" s="42"/>
      <c r="H22" s="42">
        <v>20400</v>
      </c>
      <c r="I22" s="42">
        <v>401</v>
      </c>
      <c r="J22" s="42">
        <v>0.13</v>
      </c>
      <c r="K22" s="43">
        <f t="shared" si="15"/>
        <v>52.13</v>
      </c>
      <c r="L22" s="43">
        <f t="shared" si="16"/>
        <v>20347.87</v>
      </c>
      <c r="M22" s="43"/>
      <c r="N22" s="43">
        <f t="shared" si="17"/>
        <v>20347.87</v>
      </c>
      <c r="O22" s="43">
        <f t="shared" si="18"/>
        <v>1428</v>
      </c>
      <c r="P22" s="42">
        <v>18000</v>
      </c>
      <c r="Q22" s="42">
        <v>43.25</v>
      </c>
      <c r="R22" s="42">
        <f t="shared" si="19"/>
        <v>880045.37749999994</v>
      </c>
    </row>
    <row r="24" spans="1:19">
      <c r="A24" s="1" t="s">
        <v>2866</v>
      </c>
      <c r="B24" s="299" t="s">
        <v>684</v>
      </c>
      <c r="C24" s="42" t="s">
        <v>23</v>
      </c>
      <c r="D24" s="42" t="s">
        <v>16</v>
      </c>
      <c r="E24" s="42" t="s">
        <v>2793</v>
      </c>
      <c r="F24" s="42">
        <v>503</v>
      </c>
      <c r="G24" s="42"/>
      <c r="H24" s="42">
        <v>13100</v>
      </c>
      <c r="I24" s="42">
        <v>286</v>
      </c>
      <c r="J24" s="42">
        <v>0.13</v>
      </c>
      <c r="K24" s="43">
        <f t="shared" ref="K24:K25" si="20">I24*J24</f>
        <v>37.18</v>
      </c>
      <c r="L24" s="43">
        <f t="shared" ref="L24:L25" si="21">H24-K24</f>
        <v>13062.82</v>
      </c>
      <c r="M24" s="43"/>
      <c r="N24" s="43">
        <f t="shared" ref="N24:N25" si="22">L24-M24</f>
        <v>13062.82</v>
      </c>
      <c r="O24" s="43">
        <f t="shared" ref="O24:O25" si="23">H24/1000*70</f>
        <v>917</v>
      </c>
      <c r="P24" s="42">
        <v>10900</v>
      </c>
      <c r="Q24" s="42">
        <v>43.25</v>
      </c>
      <c r="R24" s="42">
        <f t="shared" ref="R24:R25" si="24">L24*Q24</f>
        <v>564966.96499999997</v>
      </c>
    </row>
    <row r="25" spans="1:19">
      <c r="A25" s="1" t="s">
        <v>2867</v>
      </c>
      <c r="B25" s="42" t="s">
        <v>864</v>
      </c>
      <c r="C25" s="42" t="s">
        <v>23</v>
      </c>
      <c r="D25" s="42" t="s">
        <v>16</v>
      </c>
      <c r="E25" s="42" t="s">
        <v>2869</v>
      </c>
      <c r="F25" s="42">
        <v>3851</v>
      </c>
      <c r="G25" s="42"/>
      <c r="H25" s="42">
        <v>14850</v>
      </c>
      <c r="I25" s="42">
        <v>326</v>
      </c>
      <c r="J25" s="42">
        <v>0.13</v>
      </c>
      <c r="K25" s="43">
        <f t="shared" si="20"/>
        <v>42.38</v>
      </c>
      <c r="L25" s="43">
        <f t="shared" si="21"/>
        <v>14807.62</v>
      </c>
      <c r="M25" s="43"/>
      <c r="N25" s="43">
        <f t="shared" si="22"/>
        <v>14807.62</v>
      </c>
      <c r="O25" s="43">
        <f t="shared" si="23"/>
        <v>1039.5</v>
      </c>
      <c r="P25" s="42">
        <v>11850</v>
      </c>
      <c r="Q25" s="42">
        <v>43.25</v>
      </c>
      <c r="R25" s="42">
        <f t="shared" si="24"/>
        <v>640429.56500000006</v>
      </c>
    </row>
    <row r="27" spans="1:19">
      <c r="A27" s="374" t="s">
        <v>2874</v>
      </c>
      <c r="B27" s="42" t="s">
        <v>684</v>
      </c>
      <c r="C27" s="42" t="s">
        <v>2875</v>
      </c>
      <c r="D27" s="42" t="s">
        <v>16</v>
      </c>
      <c r="E27" s="42" t="s">
        <v>2876</v>
      </c>
      <c r="F27" s="42">
        <v>3853</v>
      </c>
      <c r="G27" s="42"/>
      <c r="H27" s="42">
        <v>20480</v>
      </c>
      <c r="I27" s="42">
        <v>409</v>
      </c>
      <c r="J27" s="42">
        <v>0.13</v>
      </c>
      <c r="K27" s="43">
        <f t="shared" ref="K27:K34" si="25">I27*J27</f>
        <v>53.17</v>
      </c>
      <c r="L27" s="43">
        <f t="shared" ref="L27:L34" si="26">H27-K27</f>
        <v>20426.830000000002</v>
      </c>
      <c r="M27" s="43"/>
      <c r="N27" s="43">
        <f t="shared" ref="N27:N34" si="27">L27-M27</f>
        <v>20426.830000000002</v>
      </c>
      <c r="O27" s="43">
        <f t="shared" ref="O27:O34" si="28">H27/1000*70</f>
        <v>1433.6000000000001</v>
      </c>
      <c r="P27" s="42">
        <v>16500</v>
      </c>
      <c r="Q27" s="42">
        <v>43.25</v>
      </c>
      <c r="R27" s="42">
        <f t="shared" ref="R27:R34" si="29">L27*Q27</f>
        <v>883460.39750000008</v>
      </c>
    </row>
    <row r="28" spans="1:19">
      <c r="A28" s="374"/>
      <c r="B28" s="42" t="s">
        <v>684</v>
      </c>
      <c r="C28" s="42" t="s">
        <v>2875</v>
      </c>
      <c r="D28" s="42" t="s">
        <v>16</v>
      </c>
      <c r="E28" s="42" t="s">
        <v>2877</v>
      </c>
      <c r="F28" s="42">
        <v>3852</v>
      </c>
      <c r="G28" s="42"/>
      <c r="H28" s="42">
        <v>19085</v>
      </c>
      <c r="I28" s="42">
        <v>440</v>
      </c>
      <c r="J28" s="42">
        <v>0.13</v>
      </c>
      <c r="K28" s="43">
        <f t="shared" si="25"/>
        <v>57.2</v>
      </c>
      <c r="L28" s="43">
        <f t="shared" si="26"/>
        <v>19027.8</v>
      </c>
      <c r="M28" s="43"/>
      <c r="N28" s="43">
        <f t="shared" si="27"/>
        <v>19027.8</v>
      </c>
      <c r="O28" s="43">
        <f t="shared" si="28"/>
        <v>1335.95</v>
      </c>
      <c r="P28" s="42">
        <v>15200</v>
      </c>
      <c r="Q28" s="42">
        <v>43.25</v>
      </c>
      <c r="R28" s="42">
        <f t="shared" si="29"/>
        <v>822952.35</v>
      </c>
    </row>
    <row r="29" spans="1:19">
      <c r="A29" s="1" t="s">
        <v>2908</v>
      </c>
      <c r="B29" s="42" t="s">
        <v>684</v>
      </c>
      <c r="C29" s="42" t="s">
        <v>23</v>
      </c>
      <c r="D29" s="42" t="s">
        <v>16</v>
      </c>
      <c r="E29" s="42" t="s">
        <v>2910</v>
      </c>
      <c r="F29" s="42">
        <v>3855</v>
      </c>
      <c r="G29" s="42"/>
      <c r="H29" s="42">
        <v>15300</v>
      </c>
      <c r="I29" s="42">
        <v>336</v>
      </c>
      <c r="J29" s="42">
        <v>0.13</v>
      </c>
      <c r="K29" s="43">
        <f t="shared" si="25"/>
        <v>43.68</v>
      </c>
      <c r="L29" s="43">
        <f t="shared" si="26"/>
        <v>15256.32</v>
      </c>
      <c r="M29" s="43"/>
      <c r="N29" s="43">
        <f t="shared" si="27"/>
        <v>15256.32</v>
      </c>
      <c r="O29" s="43">
        <f t="shared" si="28"/>
        <v>1071</v>
      </c>
      <c r="P29" s="42">
        <v>12500</v>
      </c>
      <c r="Q29" s="42">
        <v>43.25</v>
      </c>
      <c r="R29" s="42">
        <f t="shared" si="29"/>
        <v>659835.84</v>
      </c>
    </row>
    <row r="30" spans="1:19">
      <c r="A30" s="21" t="s">
        <v>2918</v>
      </c>
      <c r="B30" s="42" t="s">
        <v>684</v>
      </c>
      <c r="C30" s="42" t="s">
        <v>23</v>
      </c>
      <c r="D30" s="42" t="s">
        <v>16</v>
      </c>
      <c r="E30" s="42" t="s">
        <v>2876</v>
      </c>
      <c r="F30" s="42">
        <v>3856</v>
      </c>
      <c r="G30" s="42"/>
      <c r="H30" s="42">
        <v>23370</v>
      </c>
      <c r="I30" s="42">
        <v>510</v>
      </c>
      <c r="J30" s="42">
        <v>0.13</v>
      </c>
      <c r="K30" s="43">
        <f t="shared" si="25"/>
        <v>66.3</v>
      </c>
      <c r="L30" s="43">
        <f t="shared" si="26"/>
        <v>23303.7</v>
      </c>
      <c r="M30" s="43"/>
      <c r="N30" s="43">
        <f t="shared" si="27"/>
        <v>23303.7</v>
      </c>
      <c r="O30" s="43">
        <f t="shared" si="28"/>
        <v>1635.9</v>
      </c>
      <c r="P30" s="42">
        <v>18900</v>
      </c>
      <c r="Q30" s="42">
        <v>43.25</v>
      </c>
      <c r="R30" s="42">
        <f t="shared" si="29"/>
        <v>1007885.025</v>
      </c>
    </row>
    <row r="31" spans="1:19">
      <c r="A31" s="374" t="s">
        <v>2934</v>
      </c>
      <c r="B31" s="42" t="s">
        <v>684</v>
      </c>
      <c r="C31" s="42" t="s">
        <v>23</v>
      </c>
      <c r="D31" s="42" t="s">
        <v>16</v>
      </c>
      <c r="E31" s="42" t="s">
        <v>2936</v>
      </c>
      <c r="F31" s="42">
        <v>3861</v>
      </c>
      <c r="G31" s="42"/>
      <c r="H31" s="42">
        <v>21835</v>
      </c>
      <c r="I31" s="42">
        <v>437</v>
      </c>
      <c r="J31" s="42">
        <v>0.13</v>
      </c>
      <c r="K31" s="43">
        <f t="shared" si="25"/>
        <v>56.81</v>
      </c>
      <c r="L31" s="43">
        <f t="shared" si="26"/>
        <v>21778.19</v>
      </c>
      <c r="M31" s="43"/>
      <c r="N31" s="43">
        <f t="shared" si="27"/>
        <v>21778.19</v>
      </c>
      <c r="O31" s="43">
        <f t="shared" si="28"/>
        <v>1528.45</v>
      </c>
      <c r="P31" s="42">
        <v>17300</v>
      </c>
      <c r="Q31" s="42">
        <v>43.25</v>
      </c>
      <c r="R31" s="42">
        <f t="shared" si="29"/>
        <v>941906.71749999991</v>
      </c>
    </row>
    <row r="32" spans="1:19">
      <c r="A32" s="374"/>
      <c r="B32" s="42" t="s">
        <v>684</v>
      </c>
      <c r="C32" s="42" t="s">
        <v>23</v>
      </c>
      <c r="D32" s="42" t="s">
        <v>16</v>
      </c>
      <c r="E32" s="42" t="s">
        <v>2937</v>
      </c>
      <c r="F32" s="42">
        <v>3860</v>
      </c>
      <c r="G32" s="42"/>
      <c r="H32" s="42">
        <v>15115</v>
      </c>
      <c r="I32" s="42">
        <v>312</v>
      </c>
      <c r="J32" s="42">
        <v>0.13</v>
      </c>
      <c r="K32" s="43">
        <f t="shared" si="25"/>
        <v>40.56</v>
      </c>
      <c r="L32" s="43">
        <f t="shared" si="26"/>
        <v>15074.44</v>
      </c>
      <c r="M32" s="43"/>
      <c r="N32" s="43">
        <f t="shared" si="27"/>
        <v>15074.44</v>
      </c>
      <c r="O32" s="43">
        <f t="shared" si="28"/>
        <v>1058.05</v>
      </c>
      <c r="P32" s="42">
        <v>12000</v>
      </c>
      <c r="Q32" s="42">
        <v>43.25</v>
      </c>
      <c r="R32" s="42">
        <f t="shared" si="29"/>
        <v>651969.53</v>
      </c>
    </row>
    <row r="33" spans="1:19">
      <c r="A33" s="374"/>
      <c r="B33" s="42" t="s">
        <v>684</v>
      </c>
      <c r="C33" s="42" t="s">
        <v>23</v>
      </c>
      <c r="D33" s="42" t="s">
        <v>16</v>
      </c>
      <c r="E33" s="42" t="s">
        <v>2938</v>
      </c>
      <c r="F33" s="42">
        <v>3859</v>
      </c>
      <c r="G33" s="42"/>
      <c r="H33" s="42">
        <v>13140</v>
      </c>
      <c r="I33" s="42">
        <v>276</v>
      </c>
      <c r="J33" s="42">
        <v>0.13</v>
      </c>
      <c r="K33" s="43">
        <f t="shared" si="25"/>
        <v>35.880000000000003</v>
      </c>
      <c r="L33" s="43">
        <f t="shared" si="26"/>
        <v>13104.12</v>
      </c>
      <c r="M33" s="43"/>
      <c r="N33" s="43">
        <f t="shared" si="27"/>
        <v>13104.12</v>
      </c>
      <c r="O33" s="43">
        <f t="shared" si="28"/>
        <v>919.80000000000007</v>
      </c>
      <c r="P33" s="42">
        <v>10400</v>
      </c>
      <c r="Q33" s="42">
        <v>43.25</v>
      </c>
      <c r="R33" s="42">
        <f t="shared" si="29"/>
        <v>566753.19000000006</v>
      </c>
    </row>
    <row r="34" spans="1:19">
      <c r="A34" s="1" t="s">
        <v>2977</v>
      </c>
      <c r="B34" s="42" t="s">
        <v>684</v>
      </c>
      <c r="C34" s="42" t="s">
        <v>23</v>
      </c>
      <c r="D34" s="42" t="s">
        <v>16</v>
      </c>
      <c r="E34" s="42" t="s">
        <v>2980</v>
      </c>
      <c r="F34" s="42">
        <v>3863</v>
      </c>
      <c r="G34" s="42"/>
      <c r="H34" s="42">
        <v>13055</v>
      </c>
      <c r="I34" s="42">
        <v>348</v>
      </c>
      <c r="J34" s="42">
        <v>0.13</v>
      </c>
      <c r="K34" s="43">
        <f t="shared" si="25"/>
        <v>45.24</v>
      </c>
      <c r="L34" s="43">
        <f t="shared" si="26"/>
        <v>13009.76</v>
      </c>
      <c r="M34" s="43"/>
      <c r="N34" s="43">
        <f t="shared" si="27"/>
        <v>13009.76</v>
      </c>
      <c r="O34" s="43">
        <f t="shared" si="28"/>
        <v>913.85</v>
      </c>
      <c r="P34" s="42">
        <v>11500</v>
      </c>
      <c r="Q34" s="42">
        <v>43.25</v>
      </c>
      <c r="R34" s="42">
        <f t="shared" si="29"/>
        <v>562672.12</v>
      </c>
    </row>
    <row r="36" spans="1:19">
      <c r="A36" s="21" t="s">
        <v>3180</v>
      </c>
      <c r="B36" s="42" t="s">
        <v>3045</v>
      </c>
      <c r="C36" s="42" t="s">
        <v>23</v>
      </c>
      <c r="D36" s="42" t="s">
        <v>16</v>
      </c>
      <c r="E36" s="42" t="s">
        <v>3182</v>
      </c>
      <c r="F36" s="42">
        <v>3864</v>
      </c>
      <c r="G36" s="42"/>
      <c r="H36" s="42">
        <v>19990</v>
      </c>
      <c r="I36" s="42">
        <v>421</v>
      </c>
      <c r="J36" s="42">
        <v>0.13</v>
      </c>
      <c r="K36" s="43">
        <f t="shared" ref="K36:K44" si="30">I36*J36</f>
        <v>54.730000000000004</v>
      </c>
      <c r="L36" s="43">
        <f t="shared" ref="L36:L44" si="31">H36-K36</f>
        <v>19935.27</v>
      </c>
      <c r="M36" s="43"/>
      <c r="N36" s="43">
        <f t="shared" ref="N36:N44" si="32">L36-M36</f>
        <v>19935.27</v>
      </c>
      <c r="O36" s="43">
        <f t="shared" ref="O36:O44" si="33">H36/1000*70</f>
        <v>1399.3</v>
      </c>
      <c r="P36" s="42">
        <v>18000</v>
      </c>
      <c r="Q36" s="42">
        <v>43.25</v>
      </c>
      <c r="R36" s="42">
        <f t="shared" ref="R36:R44" si="34">L36*Q36</f>
        <v>862200.42749999999</v>
      </c>
    </row>
    <row r="37" spans="1:19">
      <c r="A37" s="21" t="s">
        <v>3183</v>
      </c>
      <c r="B37" s="42" t="s">
        <v>684</v>
      </c>
      <c r="C37" s="42" t="s">
        <v>23</v>
      </c>
      <c r="D37" s="42" t="s">
        <v>16</v>
      </c>
      <c r="E37" s="42" t="s">
        <v>3185</v>
      </c>
      <c r="F37" s="42">
        <v>3865</v>
      </c>
      <c r="G37" s="42"/>
      <c r="H37" s="42">
        <v>22500</v>
      </c>
      <c r="I37" s="42">
        <v>476</v>
      </c>
      <c r="J37" s="42">
        <v>0.13</v>
      </c>
      <c r="K37" s="43">
        <f t="shared" si="30"/>
        <v>61.88</v>
      </c>
      <c r="L37" s="43">
        <f t="shared" si="31"/>
        <v>22438.12</v>
      </c>
      <c r="M37" s="43"/>
      <c r="N37" s="43">
        <f t="shared" si="32"/>
        <v>22438.12</v>
      </c>
      <c r="O37" s="43">
        <f t="shared" si="33"/>
        <v>1575</v>
      </c>
      <c r="P37" s="42">
        <v>20200</v>
      </c>
      <c r="Q37" s="42">
        <v>43.25</v>
      </c>
      <c r="R37" s="42">
        <f t="shared" si="34"/>
        <v>970448.69</v>
      </c>
      <c r="S37" s="42"/>
    </row>
    <row r="38" spans="1:19">
      <c r="A38" s="21" t="s">
        <v>3260</v>
      </c>
      <c r="B38" s="42" t="s">
        <v>684</v>
      </c>
      <c r="C38" s="42" t="s">
        <v>23</v>
      </c>
      <c r="D38" s="42" t="s">
        <v>16</v>
      </c>
      <c r="E38" s="42" t="s">
        <v>3261</v>
      </c>
      <c r="F38" s="42">
        <v>3868</v>
      </c>
      <c r="G38" s="42"/>
      <c r="H38" s="42">
        <v>20225</v>
      </c>
      <c r="I38" s="42">
        <v>410</v>
      </c>
      <c r="J38" s="42">
        <v>0.13</v>
      </c>
      <c r="K38" s="43">
        <f t="shared" si="30"/>
        <v>53.300000000000004</v>
      </c>
      <c r="L38" s="43">
        <f t="shared" si="31"/>
        <v>20171.7</v>
      </c>
      <c r="M38" s="43"/>
      <c r="N38" s="43">
        <f t="shared" si="32"/>
        <v>20171.7</v>
      </c>
      <c r="O38" s="43">
        <f t="shared" si="33"/>
        <v>1415.75</v>
      </c>
      <c r="P38" s="42">
        <v>17000</v>
      </c>
      <c r="Q38" s="42">
        <v>43.25</v>
      </c>
      <c r="R38" s="42">
        <f t="shared" si="34"/>
        <v>872426.02500000002</v>
      </c>
      <c r="S38" s="42"/>
    </row>
    <row r="39" spans="1:19">
      <c r="A39" s="374" t="s">
        <v>3263</v>
      </c>
      <c r="B39" s="42" t="s">
        <v>684</v>
      </c>
      <c r="C39" s="42" t="s">
        <v>23</v>
      </c>
      <c r="D39" s="42" t="s">
        <v>16</v>
      </c>
      <c r="E39" s="42" t="s">
        <v>231</v>
      </c>
      <c r="F39" s="42">
        <v>3871</v>
      </c>
      <c r="G39" s="42"/>
      <c r="H39" s="42">
        <v>13320</v>
      </c>
      <c r="I39" s="42">
        <v>286</v>
      </c>
      <c r="J39" s="42">
        <v>0.13</v>
      </c>
      <c r="K39" s="43">
        <f t="shared" si="30"/>
        <v>37.18</v>
      </c>
      <c r="L39" s="43">
        <f t="shared" si="31"/>
        <v>13282.82</v>
      </c>
      <c r="M39" s="43"/>
      <c r="N39" s="43">
        <f t="shared" si="32"/>
        <v>13282.82</v>
      </c>
      <c r="O39" s="43">
        <f t="shared" si="33"/>
        <v>932.4</v>
      </c>
      <c r="P39" s="42">
        <v>11700</v>
      </c>
      <c r="Q39" s="42">
        <v>43.25</v>
      </c>
      <c r="R39" s="42">
        <f t="shared" si="34"/>
        <v>574481.96499999997</v>
      </c>
    </row>
    <row r="40" spans="1:19">
      <c r="A40" s="374"/>
      <c r="B40" s="42" t="s">
        <v>684</v>
      </c>
      <c r="C40" s="42" t="s">
        <v>23</v>
      </c>
      <c r="D40" s="42" t="s">
        <v>16</v>
      </c>
      <c r="E40" s="42" t="s">
        <v>3266</v>
      </c>
      <c r="F40" s="42">
        <v>3869</v>
      </c>
      <c r="G40" s="42"/>
      <c r="H40" s="42">
        <v>13275</v>
      </c>
      <c r="I40" s="42">
        <v>268</v>
      </c>
      <c r="J40" s="42">
        <v>0.13</v>
      </c>
      <c r="K40" s="43">
        <f t="shared" si="30"/>
        <v>34.840000000000003</v>
      </c>
      <c r="L40" s="43">
        <f t="shared" si="31"/>
        <v>13240.16</v>
      </c>
      <c r="M40" s="43"/>
      <c r="N40" s="43">
        <f t="shared" si="32"/>
        <v>13240.16</v>
      </c>
      <c r="O40" s="43">
        <f t="shared" si="33"/>
        <v>929.25</v>
      </c>
      <c r="P40" s="42">
        <v>11700</v>
      </c>
      <c r="Q40" s="42">
        <v>43.25</v>
      </c>
      <c r="R40" s="42">
        <f t="shared" si="34"/>
        <v>572636.92000000004</v>
      </c>
    </row>
    <row r="41" spans="1:19">
      <c r="A41" s="374"/>
      <c r="B41" s="42" t="s">
        <v>684</v>
      </c>
      <c r="C41" s="42" t="s">
        <v>23</v>
      </c>
      <c r="D41" s="42" t="s">
        <v>16</v>
      </c>
      <c r="E41" s="42" t="s">
        <v>3267</v>
      </c>
      <c r="F41" s="42">
        <v>3872</v>
      </c>
      <c r="G41" s="42"/>
      <c r="H41" s="42">
        <v>12780</v>
      </c>
      <c r="I41" s="42">
        <v>252</v>
      </c>
      <c r="J41" s="42">
        <v>0.13</v>
      </c>
      <c r="K41" s="43">
        <f t="shared" si="30"/>
        <v>32.76</v>
      </c>
      <c r="L41" s="43">
        <f t="shared" si="31"/>
        <v>12747.24</v>
      </c>
      <c r="M41" s="43"/>
      <c r="N41" s="43">
        <f t="shared" si="32"/>
        <v>12747.24</v>
      </c>
      <c r="O41" s="43">
        <f t="shared" si="33"/>
        <v>894.59999999999991</v>
      </c>
      <c r="P41" s="42">
        <v>11300</v>
      </c>
      <c r="Q41" s="42">
        <v>43.25</v>
      </c>
      <c r="R41" s="42">
        <f t="shared" si="34"/>
        <v>551318.13</v>
      </c>
    </row>
    <row r="42" spans="1:19">
      <c r="A42" s="374"/>
      <c r="B42" s="42" t="s">
        <v>684</v>
      </c>
      <c r="C42" s="42" t="s">
        <v>23</v>
      </c>
      <c r="D42" s="42" t="s">
        <v>16</v>
      </c>
      <c r="E42" s="42" t="s">
        <v>3268</v>
      </c>
      <c r="F42" s="42">
        <v>3867</v>
      </c>
      <c r="G42" s="42"/>
      <c r="H42" s="42">
        <v>21810</v>
      </c>
      <c r="I42" s="42">
        <v>440</v>
      </c>
      <c r="J42" s="42">
        <v>0.13</v>
      </c>
      <c r="K42" s="43">
        <f t="shared" si="30"/>
        <v>57.2</v>
      </c>
      <c r="L42" s="43">
        <f t="shared" si="31"/>
        <v>21752.799999999999</v>
      </c>
      <c r="M42" s="43"/>
      <c r="N42" s="43">
        <f t="shared" si="32"/>
        <v>21752.799999999999</v>
      </c>
      <c r="O42" s="43">
        <f t="shared" si="33"/>
        <v>1526.6999999999998</v>
      </c>
      <c r="P42" s="42">
        <v>18450</v>
      </c>
      <c r="Q42" s="42">
        <v>43.25</v>
      </c>
      <c r="R42" s="42">
        <f t="shared" si="34"/>
        <v>940808.6</v>
      </c>
    </row>
    <row r="43" spans="1:19">
      <c r="A43" s="21" t="s">
        <v>3270</v>
      </c>
      <c r="B43" s="42" t="s">
        <v>684</v>
      </c>
      <c r="C43" s="42" t="s">
        <v>23</v>
      </c>
      <c r="D43" s="42" t="s">
        <v>16</v>
      </c>
      <c r="E43" s="42" t="s">
        <v>2757</v>
      </c>
      <c r="F43" s="42">
        <v>3870</v>
      </c>
      <c r="G43" s="42"/>
      <c r="H43" s="42">
        <v>20410</v>
      </c>
      <c r="I43" s="42">
        <v>452</v>
      </c>
      <c r="J43" s="42">
        <v>0.13</v>
      </c>
      <c r="K43" s="43">
        <f t="shared" si="30"/>
        <v>58.760000000000005</v>
      </c>
      <c r="L43" s="43">
        <f t="shared" si="31"/>
        <v>20351.240000000002</v>
      </c>
      <c r="M43" s="43"/>
      <c r="N43" s="43">
        <f t="shared" si="32"/>
        <v>20351.240000000002</v>
      </c>
      <c r="O43" s="43">
        <f t="shared" si="33"/>
        <v>1428.7</v>
      </c>
      <c r="P43" s="42">
        <v>18200</v>
      </c>
      <c r="Q43" s="42">
        <v>43.25</v>
      </c>
      <c r="R43" s="42">
        <f t="shared" si="34"/>
        <v>880191.13000000012</v>
      </c>
    </row>
    <row r="44" spans="1:19">
      <c r="A44" s="21" t="s">
        <v>3313</v>
      </c>
      <c r="B44" s="42" t="s">
        <v>3314</v>
      </c>
      <c r="C44" s="42" t="s">
        <v>23</v>
      </c>
      <c r="D44" s="42" t="s">
        <v>16</v>
      </c>
      <c r="E44" s="47" t="s">
        <v>2876</v>
      </c>
      <c r="F44" s="47">
        <v>3913</v>
      </c>
      <c r="G44" s="47"/>
      <c r="H44" s="47">
        <v>22250</v>
      </c>
      <c r="I44" s="47">
        <v>435</v>
      </c>
      <c r="J44" s="47">
        <v>0.13</v>
      </c>
      <c r="K44" s="43">
        <f t="shared" si="30"/>
        <v>56.550000000000004</v>
      </c>
      <c r="L44" s="43">
        <f t="shared" si="31"/>
        <v>22193.45</v>
      </c>
      <c r="M44" s="43"/>
      <c r="N44" s="43">
        <f t="shared" si="32"/>
        <v>22193.45</v>
      </c>
      <c r="O44" s="43">
        <f t="shared" si="33"/>
        <v>1557.5</v>
      </c>
      <c r="P44" s="42">
        <v>19800</v>
      </c>
      <c r="Q44" s="42">
        <v>43.25</v>
      </c>
      <c r="R44" s="42">
        <f t="shared" si="34"/>
        <v>959866.71250000002</v>
      </c>
    </row>
  </sheetData>
  <mergeCells count="7">
    <mergeCell ref="A39:A42"/>
    <mergeCell ref="A31:A33"/>
    <mergeCell ref="A11:A12"/>
    <mergeCell ref="A15:A16"/>
    <mergeCell ref="A17:A18"/>
    <mergeCell ref="A21:A22"/>
    <mergeCell ref="A27:A28"/>
  </mergeCells>
  <pageMargins left="0.7" right="0.7" top="0.75" bottom="0.75" header="0.3" footer="0.3"/>
  <pageSetup paperSize="9" orientation="portrait" verticalDpi="0" r:id="rId1"/>
</worksheet>
</file>

<file path=xl/worksheets/sheet57.xml><?xml version="1.0" encoding="utf-8"?>
<worksheet xmlns="http://schemas.openxmlformats.org/spreadsheetml/2006/main" xmlns:r="http://schemas.openxmlformats.org/officeDocument/2006/relationships">
  <dimension ref="A5:T20"/>
  <sheetViews>
    <sheetView workbookViewId="0">
      <selection activeCell="N23" sqref="N23"/>
    </sheetView>
  </sheetViews>
  <sheetFormatPr defaultRowHeight="14.4"/>
  <cols>
    <col min="1" max="1" width="8.88671875" style="1"/>
    <col min="2" max="2" width="13.88671875" style="1" customWidth="1"/>
    <col min="3" max="5" width="8.88671875" style="1"/>
    <col min="6" max="6" width="7.21875" style="1" customWidth="1"/>
    <col min="7" max="7" width="7.109375" style="1" customWidth="1"/>
    <col min="8" max="8" width="7.44140625" style="1" customWidth="1"/>
    <col min="9" max="9" width="6.6640625" style="1" customWidth="1"/>
    <col min="10" max="10" width="7.21875" style="1" customWidth="1"/>
    <col min="11" max="11" width="7.6640625" style="1" customWidth="1"/>
    <col min="12" max="12" width="7.33203125" style="1" customWidth="1"/>
    <col min="13" max="13" width="6.5546875" style="1" customWidth="1"/>
    <col min="14" max="14" width="7.5546875" style="1" customWidth="1"/>
    <col min="15" max="16384" width="8.88671875" style="1"/>
  </cols>
  <sheetData>
    <row r="5" spans="1:20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3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0">
      <c r="A6" s="376" t="s">
        <v>21</v>
      </c>
      <c r="B6" s="2" t="s">
        <v>14</v>
      </c>
      <c r="C6" s="2" t="s">
        <v>24</v>
      </c>
      <c r="D6" s="2" t="s">
        <v>16</v>
      </c>
      <c r="E6" s="2" t="s">
        <v>42</v>
      </c>
      <c r="F6" s="2">
        <v>667</v>
      </c>
      <c r="G6" s="2">
        <v>350</v>
      </c>
      <c r="H6" s="2">
        <v>12500</v>
      </c>
      <c r="I6" s="2">
        <v>250</v>
      </c>
      <c r="J6" s="2">
        <v>0.13</v>
      </c>
      <c r="K6" s="2">
        <f t="shared" ref="K6:K9" si="0">I6*J6</f>
        <v>32.5</v>
      </c>
      <c r="L6" s="5">
        <f t="shared" ref="L6:L9" si="1">H6-K6</f>
        <v>12467.5</v>
      </c>
      <c r="M6" s="5">
        <f t="shared" ref="M6:M9" si="2">H6/1000*70</f>
        <v>875</v>
      </c>
      <c r="N6" s="2">
        <v>8500</v>
      </c>
      <c r="Q6" s="1" t="s">
        <v>82</v>
      </c>
      <c r="R6" s="1">
        <v>125</v>
      </c>
      <c r="S6" s="1">
        <v>50000</v>
      </c>
      <c r="T6" s="1" t="s">
        <v>13</v>
      </c>
    </row>
    <row r="7" spans="1:20">
      <c r="A7" s="376"/>
      <c r="B7" s="2" t="s">
        <v>14</v>
      </c>
      <c r="C7" s="2" t="s">
        <v>24</v>
      </c>
      <c r="D7" s="2" t="s">
        <v>16</v>
      </c>
      <c r="E7" s="2" t="s">
        <v>43</v>
      </c>
      <c r="F7" s="2">
        <v>666</v>
      </c>
      <c r="G7" s="2">
        <v>351</v>
      </c>
      <c r="H7" s="2">
        <v>12500</v>
      </c>
      <c r="I7" s="2">
        <v>250</v>
      </c>
      <c r="J7" s="2">
        <v>0.13</v>
      </c>
      <c r="K7" s="2">
        <f t="shared" si="0"/>
        <v>32.5</v>
      </c>
      <c r="L7" s="5">
        <f t="shared" si="1"/>
        <v>12467.5</v>
      </c>
      <c r="M7" s="5">
        <f t="shared" si="2"/>
        <v>875</v>
      </c>
      <c r="N7" s="2">
        <v>8500</v>
      </c>
    </row>
    <row r="8" spans="1:20">
      <c r="A8" s="376"/>
      <c r="B8" s="2" t="s">
        <v>14</v>
      </c>
      <c r="C8" s="2" t="s">
        <v>24</v>
      </c>
      <c r="D8" s="2" t="s">
        <v>16</v>
      </c>
      <c r="E8" s="2" t="s">
        <v>44</v>
      </c>
      <c r="F8" s="2">
        <v>665</v>
      </c>
      <c r="G8" s="2">
        <v>352</v>
      </c>
      <c r="H8" s="2">
        <v>12500</v>
      </c>
      <c r="I8" s="2">
        <v>250</v>
      </c>
      <c r="J8" s="2">
        <v>0.13</v>
      </c>
      <c r="K8" s="2">
        <f t="shared" si="0"/>
        <v>32.5</v>
      </c>
      <c r="L8" s="5">
        <f t="shared" si="1"/>
        <v>12467.5</v>
      </c>
      <c r="M8" s="5">
        <f t="shared" si="2"/>
        <v>875</v>
      </c>
      <c r="N8" s="2">
        <v>8500</v>
      </c>
    </row>
    <row r="9" spans="1:20">
      <c r="A9" s="376"/>
      <c r="B9" s="2" t="s">
        <v>14</v>
      </c>
      <c r="C9" s="2" t="s">
        <v>24</v>
      </c>
      <c r="D9" s="2" t="s">
        <v>16</v>
      </c>
      <c r="E9" s="2" t="s">
        <v>45</v>
      </c>
      <c r="F9" s="2">
        <v>669</v>
      </c>
      <c r="G9" s="2">
        <v>353</v>
      </c>
      <c r="H9" s="2">
        <v>12480</v>
      </c>
      <c r="I9" s="2">
        <v>250</v>
      </c>
      <c r="J9" s="2">
        <v>0.13</v>
      </c>
      <c r="K9" s="2">
        <f t="shared" si="0"/>
        <v>32.5</v>
      </c>
      <c r="L9" s="5">
        <f t="shared" si="1"/>
        <v>12447.5</v>
      </c>
      <c r="M9" s="5">
        <f t="shared" si="2"/>
        <v>873.6</v>
      </c>
      <c r="N9" s="2">
        <v>8500</v>
      </c>
    </row>
    <row r="10" spans="1:20">
      <c r="A10" s="386"/>
      <c r="B10" s="2"/>
      <c r="C10" s="2"/>
      <c r="D10" s="2"/>
      <c r="E10" s="2"/>
      <c r="F10" s="2"/>
      <c r="G10" s="2"/>
      <c r="H10" s="2"/>
      <c r="I10" s="2"/>
      <c r="J10" s="2"/>
      <c r="K10" s="2"/>
      <c r="L10" s="5"/>
      <c r="M10" s="5"/>
      <c r="N10" s="2"/>
    </row>
    <row r="11" spans="1:20">
      <c r="A11" s="374"/>
      <c r="B11" s="2"/>
      <c r="C11" s="2"/>
      <c r="D11" s="2"/>
      <c r="E11" s="2"/>
      <c r="F11" s="2"/>
      <c r="G11" s="2"/>
      <c r="H11" s="2"/>
      <c r="I11" s="2"/>
      <c r="J11" s="2"/>
      <c r="K11" s="2"/>
      <c r="L11" s="5"/>
      <c r="M11" s="5"/>
      <c r="N11" s="2"/>
    </row>
    <row r="12" spans="1:20">
      <c r="B12" s="2"/>
      <c r="C12" s="2"/>
      <c r="D12" s="2"/>
      <c r="E12" s="2"/>
      <c r="F12" s="2"/>
      <c r="G12" s="2"/>
      <c r="H12" s="2"/>
      <c r="I12" s="2"/>
      <c r="J12" s="2"/>
      <c r="K12" s="2"/>
      <c r="L12" s="5"/>
      <c r="M12" s="5"/>
      <c r="N12" s="2"/>
    </row>
    <row r="20" spans="12:12">
      <c r="L20" s="16">
        <f>SUM(L6:L19)</f>
        <v>49850</v>
      </c>
    </row>
  </sheetData>
  <mergeCells count="2">
    <mergeCell ref="A6:A9"/>
    <mergeCell ref="A10:A11"/>
  </mergeCells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5:T58"/>
  <sheetViews>
    <sheetView topLeftCell="A40" workbookViewId="0">
      <selection activeCell="A59" sqref="A59"/>
    </sheetView>
  </sheetViews>
  <sheetFormatPr defaultRowHeight="14.4"/>
  <cols>
    <col min="1" max="1" width="8.88671875" style="1"/>
    <col min="2" max="2" width="17.77734375" style="1" customWidth="1"/>
    <col min="3" max="5" width="8.88671875" style="1"/>
    <col min="6" max="6" width="7.21875" style="1" customWidth="1"/>
    <col min="7" max="7" width="7.109375" style="1" customWidth="1"/>
    <col min="8" max="8" width="7.44140625" style="1" customWidth="1"/>
    <col min="9" max="9" width="6.6640625" style="1" customWidth="1"/>
    <col min="10" max="10" width="7.21875" style="1" customWidth="1"/>
    <col min="11" max="11" width="7.6640625" style="1" customWidth="1"/>
    <col min="12" max="12" width="7.33203125" style="1" customWidth="1"/>
    <col min="13" max="13" width="6.5546875" style="1" customWidth="1"/>
    <col min="14" max="14" width="7.5546875" style="1" customWidth="1"/>
    <col min="15" max="16384" width="8.88671875" style="1"/>
  </cols>
  <sheetData>
    <row r="5" spans="1:20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3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0">
      <c r="A6" s="7" t="s">
        <v>355</v>
      </c>
      <c r="B6" s="42" t="s">
        <v>356</v>
      </c>
      <c r="C6" s="42" t="s">
        <v>357</v>
      </c>
      <c r="D6" s="42" t="s">
        <v>16</v>
      </c>
      <c r="E6" s="42" t="s">
        <v>358</v>
      </c>
      <c r="F6" s="42">
        <v>1063</v>
      </c>
      <c r="G6" s="42"/>
      <c r="H6" s="42">
        <v>12500</v>
      </c>
      <c r="I6" s="42">
        <v>250</v>
      </c>
      <c r="J6" s="42">
        <v>0.13</v>
      </c>
      <c r="K6" s="42">
        <f t="shared" ref="K6:K7" si="0">I6*J6</f>
        <v>32.5</v>
      </c>
      <c r="L6" s="43">
        <f t="shared" ref="L6:L7" si="1">H6-K6</f>
        <v>12467.5</v>
      </c>
      <c r="M6" s="43">
        <f t="shared" ref="M6:M7" si="2">H6/1000*70</f>
        <v>875</v>
      </c>
      <c r="N6" s="42">
        <v>0</v>
      </c>
      <c r="O6" s="42">
        <v>42.5</v>
      </c>
      <c r="P6" s="42">
        <f t="shared" ref="P6:P7" si="3">L6*O6</f>
        <v>529868.75</v>
      </c>
    </row>
    <row r="7" spans="1:20">
      <c r="A7" s="8" t="s">
        <v>363</v>
      </c>
      <c r="B7" s="42" t="s">
        <v>356</v>
      </c>
      <c r="C7" s="42" t="s">
        <v>357</v>
      </c>
      <c r="D7" s="42" t="s">
        <v>16</v>
      </c>
      <c r="E7" s="42" t="s">
        <v>364</v>
      </c>
      <c r="F7" s="42">
        <v>1065</v>
      </c>
      <c r="G7" s="42"/>
      <c r="H7" s="42">
        <v>12500</v>
      </c>
      <c r="I7" s="42">
        <v>250</v>
      </c>
      <c r="J7" s="42">
        <v>0.13</v>
      </c>
      <c r="K7" s="42">
        <f t="shared" si="0"/>
        <v>32.5</v>
      </c>
      <c r="L7" s="43">
        <f t="shared" si="1"/>
        <v>12467.5</v>
      </c>
      <c r="M7" s="43">
        <f t="shared" si="2"/>
        <v>875</v>
      </c>
      <c r="N7" s="42">
        <v>26000</v>
      </c>
      <c r="O7" s="42">
        <v>42.5</v>
      </c>
      <c r="P7" s="42">
        <f t="shared" si="3"/>
        <v>529868.75</v>
      </c>
    </row>
    <row r="8" spans="1:20">
      <c r="A8" s="8"/>
      <c r="B8" s="2"/>
      <c r="C8" s="2"/>
      <c r="D8" s="2"/>
      <c r="E8" s="2"/>
      <c r="F8" s="2"/>
      <c r="G8" s="2"/>
      <c r="H8" s="2"/>
      <c r="I8" s="2"/>
      <c r="J8" s="2"/>
      <c r="K8" s="2"/>
      <c r="L8" s="5"/>
      <c r="M8" s="5"/>
      <c r="N8" s="2"/>
    </row>
    <row r="9" spans="1:20">
      <c r="A9" s="9" t="s">
        <v>402</v>
      </c>
      <c r="B9" s="42" t="s">
        <v>356</v>
      </c>
      <c r="C9" s="42" t="s">
        <v>357</v>
      </c>
      <c r="D9" s="42" t="s">
        <v>16</v>
      </c>
      <c r="E9" s="42" t="s">
        <v>403</v>
      </c>
      <c r="F9" s="42">
        <v>776</v>
      </c>
      <c r="G9" s="42"/>
      <c r="H9" s="42">
        <v>12500</v>
      </c>
      <c r="I9" s="42"/>
      <c r="J9" s="42"/>
      <c r="K9" s="43">
        <f t="shared" ref="K9" si="4">I9*J9</f>
        <v>0</v>
      </c>
      <c r="L9" s="43">
        <f t="shared" ref="L9" si="5">H9-K9</f>
        <v>12500</v>
      </c>
      <c r="M9" s="43">
        <f t="shared" ref="M9" si="6">H9/1000*70</f>
        <v>875</v>
      </c>
      <c r="N9" s="42">
        <v>22000</v>
      </c>
      <c r="O9" s="42">
        <v>48.2</v>
      </c>
      <c r="P9" s="42">
        <f t="shared" ref="P9" si="7">L9*O9</f>
        <v>602500</v>
      </c>
    </row>
    <row r="10" spans="1:20">
      <c r="A10" s="52"/>
      <c r="B10" s="2"/>
      <c r="C10" s="2"/>
      <c r="D10" s="2"/>
      <c r="E10" s="2"/>
      <c r="F10" s="2"/>
      <c r="G10" s="2"/>
      <c r="H10" s="2"/>
      <c r="I10" s="2"/>
      <c r="J10" s="2"/>
      <c r="K10" s="2"/>
      <c r="L10" s="5"/>
      <c r="M10" s="5"/>
      <c r="N10" s="2"/>
    </row>
    <row r="11" spans="1:20">
      <c r="A11" s="53" t="s">
        <v>483</v>
      </c>
      <c r="B11" s="42" t="s">
        <v>356</v>
      </c>
      <c r="C11" s="42" t="s">
        <v>24</v>
      </c>
      <c r="D11" s="42" t="s">
        <v>16</v>
      </c>
      <c r="E11" s="42" t="s">
        <v>484</v>
      </c>
      <c r="F11" s="42">
        <v>345</v>
      </c>
      <c r="G11" s="42"/>
      <c r="H11" s="42">
        <v>14990</v>
      </c>
      <c r="I11" s="42">
        <v>300</v>
      </c>
      <c r="J11" s="42">
        <v>0.13</v>
      </c>
      <c r="K11" s="42">
        <f t="shared" ref="K11" si="8">I11*J11</f>
        <v>39</v>
      </c>
      <c r="L11" s="43">
        <f t="shared" ref="L11" si="9">H11-K11</f>
        <v>14951</v>
      </c>
      <c r="M11" s="43">
        <f t="shared" ref="M11" si="10">H11/1000*70</f>
        <v>1049.3</v>
      </c>
      <c r="N11" s="42">
        <v>0</v>
      </c>
    </row>
    <row r="12" spans="1:20">
      <c r="B12" s="2"/>
      <c r="C12" s="2"/>
      <c r="D12" s="2"/>
      <c r="E12" s="2"/>
      <c r="F12" s="2"/>
      <c r="G12" s="2"/>
      <c r="H12" s="2"/>
      <c r="I12" s="2"/>
      <c r="J12" s="2"/>
      <c r="K12" s="2"/>
      <c r="L12" s="5"/>
      <c r="M12" s="5"/>
      <c r="N12" s="2"/>
    </row>
    <row r="14" spans="1:20">
      <c r="A14" s="374" t="s">
        <v>1569</v>
      </c>
      <c r="B14" s="42" t="s">
        <v>356</v>
      </c>
      <c r="C14" s="42" t="s">
        <v>24</v>
      </c>
      <c r="D14" s="42" t="s">
        <v>16</v>
      </c>
      <c r="E14" s="42" t="s">
        <v>1573</v>
      </c>
      <c r="F14" s="42">
        <v>289</v>
      </c>
      <c r="G14" s="42"/>
      <c r="H14" s="42">
        <v>12450</v>
      </c>
      <c r="I14" s="42">
        <v>250</v>
      </c>
      <c r="J14" s="42"/>
      <c r="K14" s="42">
        <f t="shared" ref="K14:K18" si="11">I14*J14</f>
        <v>0</v>
      </c>
      <c r="L14" s="43">
        <f t="shared" ref="L14:L18" si="12">H14-K14</f>
        <v>12450</v>
      </c>
      <c r="M14" s="43"/>
      <c r="N14" s="43">
        <f t="shared" ref="N14:N18" si="13">L14-M14</f>
        <v>12450</v>
      </c>
      <c r="O14" s="43">
        <f t="shared" ref="O14:O18" si="14">H14/1000*70</f>
        <v>871.5</v>
      </c>
      <c r="P14" s="42">
        <v>0</v>
      </c>
      <c r="Q14" s="42">
        <v>41.5</v>
      </c>
      <c r="R14" s="42">
        <f t="shared" ref="R14:R18" si="15">L14*Q14</f>
        <v>516675</v>
      </c>
    </row>
    <row r="15" spans="1:20">
      <c r="A15" s="374"/>
      <c r="B15" s="42" t="s">
        <v>356</v>
      </c>
      <c r="C15" s="42" t="s">
        <v>24</v>
      </c>
      <c r="D15" s="42" t="s">
        <v>16</v>
      </c>
      <c r="E15" s="42" t="s">
        <v>1574</v>
      </c>
      <c r="F15" s="42">
        <v>288</v>
      </c>
      <c r="G15" s="42"/>
      <c r="H15" s="42">
        <v>12490</v>
      </c>
      <c r="I15" s="42">
        <v>250</v>
      </c>
      <c r="J15" s="42"/>
      <c r="K15" s="42">
        <f t="shared" si="11"/>
        <v>0</v>
      </c>
      <c r="L15" s="43">
        <f t="shared" si="12"/>
        <v>12490</v>
      </c>
      <c r="M15" s="43"/>
      <c r="N15" s="43">
        <f t="shared" si="13"/>
        <v>12490</v>
      </c>
      <c r="O15" s="43">
        <f t="shared" si="14"/>
        <v>874.30000000000007</v>
      </c>
      <c r="P15" s="42">
        <v>0</v>
      </c>
      <c r="Q15" s="42">
        <v>41.5</v>
      </c>
      <c r="R15" s="42">
        <f t="shared" si="15"/>
        <v>518335</v>
      </c>
    </row>
    <row r="16" spans="1:20">
      <c r="A16" s="374"/>
      <c r="B16" s="42" t="s">
        <v>356</v>
      </c>
      <c r="C16" s="42" t="s">
        <v>24</v>
      </c>
      <c r="D16" s="42" t="s">
        <v>16</v>
      </c>
      <c r="E16" s="42" t="s">
        <v>1575</v>
      </c>
      <c r="F16" s="42">
        <v>2370</v>
      </c>
      <c r="G16" s="42"/>
      <c r="H16" s="42">
        <v>12500</v>
      </c>
      <c r="I16" s="42">
        <v>250</v>
      </c>
      <c r="J16" s="42"/>
      <c r="K16" s="42">
        <f t="shared" si="11"/>
        <v>0</v>
      </c>
      <c r="L16" s="43">
        <f t="shared" si="12"/>
        <v>12500</v>
      </c>
      <c r="M16" s="43"/>
      <c r="N16" s="43">
        <f t="shared" si="13"/>
        <v>12500</v>
      </c>
      <c r="O16" s="43">
        <f t="shared" si="14"/>
        <v>875</v>
      </c>
      <c r="P16" s="42">
        <v>0</v>
      </c>
      <c r="Q16" s="42">
        <v>41.5</v>
      </c>
      <c r="R16" s="42">
        <f t="shared" si="15"/>
        <v>518750</v>
      </c>
    </row>
    <row r="17" spans="1:18">
      <c r="A17" s="374"/>
      <c r="B17" s="42" t="s">
        <v>356</v>
      </c>
      <c r="C17" s="42" t="s">
        <v>24</v>
      </c>
      <c r="D17" s="42" t="s">
        <v>16</v>
      </c>
      <c r="E17" s="42" t="s">
        <v>1576</v>
      </c>
      <c r="F17" s="42">
        <v>2371</v>
      </c>
      <c r="G17" s="42"/>
      <c r="H17" s="42">
        <v>12500</v>
      </c>
      <c r="I17" s="42">
        <v>250</v>
      </c>
      <c r="J17" s="42"/>
      <c r="K17" s="42">
        <f t="shared" si="11"/>
        <v>0</v>
      </c>
      <c r="L17" s="43">
        <f t="shared" si="12"/>
        <v>12500</v>
      </c>
      <c r="M17" s="43"/>
      <c r="N17" s="43">
        <f t="shared" si="13"/>
        <v>12500</v>
      </c>
      <c r="O17" s="43">
        <f t="shared" si="14"/>
        <v>875</v>
      </c>
      <c r="P17" s="42">
        <v>0</v>
      </c>
      <c r="Q17" s="42">
        <v>41.5</v>
      </c>
      <c r="R17" s="42">
        <f t="shared" si="15"/>
        <v>518750</v>
      </c>
    </row>
    <row r="18" spans="1:18">
      <c r="A18" s="374"/>
      <c r="B18" s="42" t="s">
        <v>356</v>
      </c>
      <c r="C18" s="42" t="s">
        <v>24</v>
      </c>
      <c r="D18" s="42" t="s">
        <v>16</v>
      </c>
      <c r="E18" s="42" t="s">
        <v>1250</v>
      </c>
      <c r="F18" s="42">
        <v>287</v>
      </c>
      <c r="G18" s="42"/>
      <c r="H18" s="42">
        <v>12500</v>
      </c>
      <c r="I18" s="42">
        <v>250</v>
      </c>
      <c r="J18" s="42"/>
      <c r="K18" s="42">
        <f t="shared" si="11"/>
        <v>0</v>
      </c>
      <c r="L18" s="43">
        <f t="shared" si="12"/>
        <v>12500</v>
      </c>
      <c r="M18" s="43"/>
      <c r="N18" s="43">
        <f t="shared" si="13"/>
        <v>12500</v>
      </c>
      <c r="O18" s="43">
        <f t="shared" si="14"/>
        <v>875</v>
      </c>
      <c r="P18" s="42">
        <v>0</v>
      </c>
      <c r="Q18" s="42">
        <v>41.5</v>
      </c>
      <c r="R18" s="42">
        <f t="shared" si="15"/>
        <v>518750</v>
      </c>
    </row>
    <row r="20" spans="1:18">
      <c r="L20" s="16">
        <f>SUM(L6:L19)</f>
        <v>114826</v>
      </c>
    </row>
    <row r="22" spans="1:18">
      <c r="A22" s="374" t="s">
        <v>1699</v>
      </c>
      <c r="B22" s="42" t="s">
        <v>1703</v>
      </c>
      <c r="C22" s="42" t="s">
        <v>24</v>
      </c>
      <c r="D22" s="42" t="s">
        <v>16</v>
      </c>
      <c r="E22" s="42" t="s">
        <v>1704</v>
      </c>
      <c r="F22" s="42">
        <v>1877</v>
      </c>
      <c r="G22" s="42"/>
      <c r="H22" s="42">
        <v>14910</v>
      </c>
      <c r="I22" s="42">
        <v>300</v>
      </c>
      <c r="J22" s="42">
        <v>0</v>
      </c>
      <c r="K22" s="42">
        <f t="shared" ref="K22:K36" si="16">I22*J22</f>
        <v>0</v>
      </c>
      <c r="L22" s="43">
        <f t="shared" ref="L22:L36" si="17">H22-K22</f>
        <v>14910</v>
      </c>
      <c r="M22" s="43"/>
      <c r="N22" s="43">
        <f t="shared" ref="N22:N36" si="18">L22-M22</f>
        <v>14910</v>
      </c>
      <c r="O22" s="43">
        <v>0</v>
      </c>
      <c r="P22" s="203">
        <v>0</v>
      </c>
      <c r="Q22" s="203">
        <v>40</v>
      </c>
      <c r="R22" s="42">
        <f t="shared" ref="R22:R36" si="19">L22*Q22</f>
        <v>596400</v>
      </c>
    </row>
    <row r="23" spans="1:18">
      <c r="A23" s="374"/>
      <c r="B23" s="42" t="s">
        <v>1703</v>
      </c>
      <c r="C23" s="42" t="s">
        <v>24</v>
      </c>
      <c r="D23" s="42" t="s">
        <v>16</v>
      </c>
      <c r="E23" s="42" t="s">
        <v>661</v>
      </c>
      <c r="F23" s="42">
        <v>1881</v>
      </c>
      <c r="G23" s="42"/>
      <c r="H23" s="42">
        <v>16460</v>
      </c>
      <c r="I23" s="42">
        <v>330</v>
      </c>
      <c r="J23" s="42"/>
      <c r="K23" s="42">
        <f t="shared" si="16"/>
        <v>0</v>
      </c>
      <c r="L23" s="43">
        <f t="shared" si="17"/>
        <v>16460</v>
      </c>
      <c r="M23" s="43"/>
      <c r="N23" s="43">
        <f t="shared" si="18"/>
        <v>16460</v>
      </c>
      <c r="O23" s="43">
        <v>0</v>
      </c>
      <c r="P23" s="203">
        <v>0</v>
      </c>
      <c r="Q23" s="203">
        <v>40</v>
      </c>
      <c r="R23" s="42">
        <f t="shared" si="19"/>
        <v>658400</v>
      </c>
    </row>
    <row r="24" spans="1:18">
      <c r="A24" s="1" t="s">
        <v>1708</v>
      </c>
      <c r="B24" s="42" t="s">
        <v>1703</v>
      </c>
      <c r="C24" s="42" t="s">
        <v>24</v>
      </c>
      <c r="D24" s="42" t="s">
        <v>16</v>
      </c>
      <c r="E24" s="42" t="s">
        <v>1720</v>
      </c>
      <c r="F24" s="42"/>
      <c r="G24" s="42"/>
      <c r="H24" s="42">
        <v>7470</v>
      </c>
      <c r="I24" s="42">
        <v>150</v>
      </c>
      <c r="J24" s="42"/>
      <c r="K24" s="42">
        <f t="shared" si="16"/>
        <v>0</v>
      </c>
      <c r="L24" s="43">
        <f t="shared" si="17"/>
        <v>7470</v>
      </c>
      <c r="M24" s="43"/>
      <c r="N24" s="43">
        <f t="shared" si="18"/>
        <v>7470</v>
      </c>
      <c r="O24" s="43">
        <v>0</v>
      </c>
      <c r="P24" s="204"/>
      <c r="Q24" s="204">
        <v>40</v>
      </c>
      <c r="R24" s="42">
        <f t="shared" si="19"/>
        <v>298800</v>
      </c>
    </row>
    <row r="25" spans="1:18">
      <c r="A25" s="374" t="s">
        <v>1721</v>
      </c>
      <c r="B25" s="42" t="s">
        <v>1703</v>
      </c>
      <c r="C25" s="42" t="s">
        <v>24</v>
      </c>
      <c r="D25" s="42" t="s">
        <v>16</v>
      </c>
      <c r="E25" s="42" t="s">
        <v>1720</v>
      </c>
      <c r="F25" s="42">
        <v>1885</v>
      </c>
      <c r="G25" s="42"/>
      <c r="H25" s="42">
        <v>7460</v>
      </c>
      <c r="I25" s="42">
        <v>150</v>
      </c>
      <c r="J25" s="42"/>
      <c r="K25" s="42">
        <f t="shared" si="16"/>
        <v>0</v>
      </c>
      <c r="L25" s="43">
        <f t="shared" si="17"/>
        <v>7460</v>
      </c>
      <c r="M25" s="43"/>
      <c r="N25" s="43">
        <f t="shared" si="18"/>
        <v>7460</v>
      </c>
      <c r="O25" s="43">
        <v>0</v>
      </c>
      <c r="P25" s="205">
        <v>2500</v>
      </c>
      <c r="Q25" s="205">
        <v>40</v>
      </c>
      <c r="R25" s="42">
        <f t="shared" si="19"/>
        <v>298400</v>
      </c>
    </row>
    <row r="26" spans="1:18">
      <c r="A26" s="374"/>
      <c r="B26" s="42" t="s">
        <v>1703</v>
      </c>
      <c r="C26" s="42" t="s">
        <v>24</v>
      </c>
      <c r="D26" s="42" t="s">
        <v>16</v>
      </c>
      <c r="E26" s="42" t="s">
        <v>666</v>
      </c>
      <c r="F26" s="42">
        <v>1883</v>
      </c>
      <c r="G26" s="42"/>
      <c r="H26" s="42">
        <v>14870</v>
      </c>
      <c r="I26" s="42">
        <v>300</v>
      </c>
      <c r="J26" s="42"/>
      <c r="K26" s="42">
        <f t="shared" si="16"/>
        <v>0</v>
      </c>
      <c r="L26" s="43">
        <f t="shared" si="17"/>
        <v>14870</v>
      </c>
      <c r="M26" s="43"/>
      <c r="N26" s="43">
        <f t="shared" si="18"/>
        <v>14870</v>
      </c>
      <c r="O26" s="43">
        <v>0</v>
      </c>
      <c r="P26" s="205">
        <v>2500</v>
      </c>
      <c r="Q26" s="205">
        <v>40</v>
      </c>
      <c r="R26" s="42">
        <f t="shared" si="19"/>
        <v>594800</v>
      </c>
    </row>
    <row r="27" spans="1:18">
      <c r="A27" s="374" t="s">
        <v>1764</v>
      </c>
      <c r="B27" s="42" t="s">
        <v>356</v>
      </c>
      <c r="C27" s="42" t="s">
        <v>24</v>
      </c>
      <c r="D27" s="42" t="s">
        <v>16</v>
      </c>
      <c r="E27" s="42" t="s">
        <v>1765</v>
      </c>
      <c r="F27" s="42">
        <v>63</v>
      </c>
      <c r="G27" s="42"/>
      <c r="H27" s="42">
        <v>12500</v>
      </c>
      <c r="I27" s="42">
        <v>250</v>
      </c>
      <c r="J27" s="42"/>
      <c r="K27" s="42">
        <f t="shared" si="16"/>
        <v>0</v>
      </c>
      <c r="L27" s="43">
        <f t="shared" si="17"/>
        <v>12500</v>
      </c>
      <c r="M27" s="43"/>
      <c r="N27" s="43">
        <f t="shared" si="18"/>
        <v>12500</v>
      </c>
      <c r="O27" s="43">
        <v>0</v>
      </c>
      <c r="P27" s="212">
        <v>10200</v>
      </c>
      <c r="Q27" s="212">
        <v>40</v>
      </c>
      <c r="R27" s="42">
        <f t="shared" si="19"/>
        <v>500000</v>
      </c>
    </row>
    <row r="28" spans="1:18">
      <c r="A28" s="374"/>
      <c r="B28" s="42" t="s">
        <v>356</v>
      </c>
      <c r="C28" s="42" t="s">
        <v>24</v>
      </c>
      <c r="D28" s="42" t="s">
        <v>16</v>
      </c>
      <c r="E28" s="42" t="s">
        <v>1766</v>
      </c>
      <c r="F28" s="42">
        <v>64</v>
      </c>
      <c r="G28" s="42"/>
      <c r="H28" s="42">
        <v>15000</v>
      </c>
      <c r="I28" s="42">
        <v>250</v>
      </c>
      <c r="J28" s="42"/>
      <c r="K28" s="42">
        <f t="shared" si="16"/>
        <v>0</v>
      </c>
      <c r="L28" s="43">
        <f t="shared" si="17"/>
        <v>15000</v>
      </c>
      <c r="M28" s="43"/>
      <c r="N28" s="43">
        <f t="shared" si="18"/>
        <v>15000</v>
      </c>
      <c r="O28" s="43">
        <v>0</v>
      </c>
      <c r="P28" s="212"/>
      <c r="Q28" s="212">
        <v>40</v>
      </c>
      <c r="R28" s="42">
        <f t="shared" si="19"/>
        <v>600000</v>
      </c>
    </row>
    <row r="29" spans="1:18">
      <c r="A29" s="1" t="s">
        <v>1771</v>
      </c>
      <c r="B29" s="42" t="s">
        <v>356</v>
      </c>
      <c r="C29" s="42" t="s">
        <v>24</v>
      </c>
      <c r="D29" s="42" t="s">
        <v>16</v>
      </c>
      <c r="E29" s="42" t="s">
        <v>59</v>
      </c>
      <c r="F29" s="42">
        <v>67</v>
      </c>
      <c r="G29" s="42"/>
      <c r="H29" s="42">
        <v>14970</v>
      </c>
      <c r="I29" s="42">
        <v>300</v>
      </c>
      <c r="J29" s="42"/>
      <c r="K29" s="42">
        <f t="shared" si="16"/>
        <v>0</v>
      </c>
      <c r="L29" s="43">
        <f t="shared" si="17"/>
        <v>14970</v>
      </c>
      <c r="M29" s="43"/>
      <c r="N29" s="43">
        <f t="shared" si="18"/>
        <v>14970</v>
      </c>
      <c r="O29" s="43">
        <v>0</v>
      </c>
      <c r="P29" s="214">
        <v>14000</v>
      </c>
      <c r="Q29" s="214">
        <v>40</v>
      </c>
      <c r="R29" s="42">
        <f t="shared" si="19"/>
        <v>598800</v>
      </c>
    </row>
    <row r="30" spans="1:18">
      <c r="A30" s="374" t="s">
        <v>1772</v>
      </c>
      <c r="B30" s="42" t="s">
        <v>356</v>
      </c>
      <c r="C30" s="42" t="s">
        <v>24</v>
      </c>
      <c r="D30" s="42" t="s">
        <v>16</v>
      </c>
      <c r="E30" s="42" t="s">
        <v>1773</v>
      </c>
      <c r="F30" s="42">
        <v>68</v>
      </c>
      <c r="G30" s="42"/>
      <c r="H30" s="42">
        <v>15000</v>
      </c>
      <c r="I30" s="42">
        <v>300</v>
      </c>
      <c r="J30" s="42"/>
      <c r="K30" s="42">
        <f t="shared" si="16"/>
        <v>0</v>
      </c>
      <c r="L30" s="43">
        <f t="shared" si="17"/>
        <v>15000</v>
      </c>
      <c r="M30" s="43"/>
      <c r="N30" s="43">
        <f t="shared" si="18"/>
        <v>15000</v>
      </c>
      <c r="O30" s="43">
        <v>0</v>
      </c>
      <c r="P30" s="215">
        <v>14000</v>
      </c>
      <c r="Q30" s="215">
        <v>40</v>
      </c>
      <c r="R30" s="42">
        <f t="shared" si="19"/>
        <v>600000</v>
      </c>
    </row>
    <row r="31" spans="1:18">
      <c r="A31" s="374"/>
      <c r="B31" s="42" t="s">
        <v>356</v>
      </c>
      <c r="C31" s="42" t="s">
        <v>24</v>
      </c>
      <c r="D31" s="42" t="s">
        <v>16</v>
      </c>
      <c r="E31" s="42" t="s">
        <v>1766</v>
      </c>
      <c r="F31" s="42">
        <v>69</v>
      </c>
      <c r="G31" s="42"/>
      <c r="H31" s="42">
        <v>15000</v>
      </c>
      <c r="I31" s="42">
        <v>300</v>
      </c>
      <c r="J31" s="42"/>
      <c r="K31" s="42">
        <f t="shared" si="16"/>
        <v>0</v>
      </c>
      <c r="L31" s="43">
        <f t="shared" si="17"/>
        <v>15000</v>
      </c>
      <c r="M31" s="43"/>
      <c r="N31" s="43">
        <f t="shared" si="18"/>
        <v>15000</v>
      </c>
      <c r="O31" s="43">
        <v>0</v>
      </c>
      <c r="P31" s="215">
        <v>14000</v>
      </c>
      <c r="Q31" s="215">
        <v>40</v>
      </c>
      <c r="R31" s="42">
        <f t="shared" si="19"/>
        <v>600000</v>
      </c>
    </row>
    <row r="32" spans="1:18">
      <c r="A32" s="1" t="s">
        <v>1993</v>
      </c>
      <c r="B32" s="235" t="s">
        <v>356</v>
      </c>
      <c r="C32" s="235" t="s">
        <v>24</v>
      </c>
      <c r="D32" s="235" t="s">
        <v>16</v>
      </c>
      <c r="E32" s="235" t="s">
        <v>1995</v>
      </c>
      <c r="F32" s="235">
        <v>44</v>
      </c>
      <c r="G32" s="235"/>
      <c r="H32" s="235">
        <v>12500</v>
      </c>
      <c r="I32" s="235">
        <v>250</v>
      </c>
      <c r="J32" s="235">
        <v>0.13</v>
      </c>
      <c r="K32" s="5">
        <f t="shared" si="16"/>
        <v>32.5</v>
      </c>
      <c r="L32" s="19">
        <f t="shared" si="17"/>
        <v>12467.5</v>
      </c>
      <c r="M32" s="19"/>
      <c r="N32" s="43">
        <f t="shared" si="18"/>
        <v>12467.5</v>
      </c>
      <c r="O32" s="5">
        <f t="shared" ref="O32:O36" si="20">H32/1000*70</f>
        <v>875</v>
      </c>
      <c r="P32" s="235">
        <v>9300</v>
      </c>
      <c r="Q32" s="235">
        <v>37.700000000000003</v>
      </c>
      <c r="R32" s="42">
        <f t="shared" si="19"/>
        <v>470024.75000000006</v>
      </c>
    </row>
    <row r="33" spans="1:19">
      <c r="A33" s="1" t="s">
        <v>1997</v>
      </c>
      <c r="B33" s="236" t="s">
        <v>356</v>
      </c>
      <c r="C33" s="236" t="s">
        <v>24</v>
      </c>
      <c r="D33" s="236" t="s">
        <v>16</v>
      </c>
      <c r="E33" s="236" t="s">
        <v>1822</v>
      </c>
      <c r="F33" s="236">
        <v>45</v>
      </c>
      <c r="G33" s="236"/>
      <c r="H33" s="236">
        <v>12500</v>
      </c>
      <c r="I33" s="236">
        <v>250</v>
      </c>
      <c r="J33" s="236">
        <v>0.13</v>
      </c>
      <c r="K33" s="5">
        <f t="shared" si="16"/>
        <v>32.5</v>
      </c>
      <c r="L33" s="19">
        <f t="shared" si="17"/>
        <v>12467.5</v>
      </c>
      <c r="M33" s="19"/>
      <c r="N33" s="43">
        <f t="shared" si="18"/>
        <v>12467.5</v>
      </c>
      <c r="O33" s="5">
        <f t="shared" si="20"/>
        <v>875</v>
      </c>
      <c r="P33" s="236">
        <v>9000</v>
      </c>
      <c r="Q33" s="236">
        <v>37.700000000000003</v>
      </c>
      <c r="R33" s="42">
        <f t="shared" si="19"/>
        <v>470024.75000000006</v>
      </c>
    </row>
    <row r="34" spans="1:19">
      <c r="A34" s="1" t="s">
        <v>2008</v>
      </c>
      <c r="B34" s="241" t="s">
        <v>356</v>
      </c>
      <c r="C34" s="241" t="s">
        <v>24</v>
      </c>
      <c r="D34" s="241" t="s">
        <v>16</v>
      </c>
      <c r="E34" s="241" t="s">
        <v>2011</v>
      </c>
      <c r="F34" s="241">
        <v>1407</v>
      </c>
      <c r="G34" s="241"/>
      <c r="H34" s="241">
        <v>15000</v>
      </c>
      <c r="I34" s="241">
        <v>300</v>
      </c>
      <c r="J34" s="241">
        <v>0.13</v>
      </c>
      <c r="K34" s="5">
        <f t="shared" si="16"/>
        <v>39</v>
      </c>
      <c r="L34" s="19">
        <f t="shared" si="17"/>
        <v>14961</v>
      </c>
      <c r="M34" s="19"/>
      <c r="N34" s="43">
        <f t="shared" si="18"/>
        <v>14961</v>
      </c>
      <c r="O34" s="5">
        <f t="shared" si="20"/>
        <v>1050</v>
      </c>
      <c r="P34" s="241">
        <v>9800</v>
      </c>
      <c r="Q34" s="241">
        <v>37.6</v>
      </c>
      <c r="R34" s="241">
        <f t="shared" si="19"/>
        <v>562533.6</v>
      </c>
    </row>
    <row r="35" spans="1:19">
      <c r="A35" s="1" t="s">
        <v>2076</v>
      </c>
      <c r="B35" s="42" t="s">
        <v>356</v>
      </c>
      <c r="C35" s="42" t="s">
        <v>24</v>
      </c>
      <c r="D35" s="42" t="s">
        <v>16</v>
      </c>
      <c r="E35" s="42" t="s">
        <v>661</v>
      </c>
      <c r="F35" s="42">
        <v>1417</v>
      </c>
      <c r="G35" s="42"/>
      <c r="H35" s="42">
        <v>14980</v>
      </c>
      <c r="I35" s="42">
        <v>300</v>
      </c>
      <c r="J35" s="42">
        <v>0.13</v>
      </c>
      <c r="K35" s="43">
        <f t="shared" si="16"/>
        <v>39</v>
      </c>
      <c r="L35" s="43">
        <f t="shared" si="17"/>
        <v>14941</v>
      </c>
      <c r="M35" s="43"/>
      <c r="N35" s="43">
        <f t="shared" si="18"/>
        <v>14941</v>
      </c>
      <c r="O35" s="43">
        <f t="shared" si="20"/>
        <v>1048.6000000000001</v>
      </c>
      <c r="P35" s="42">
        <v>10000</v>
      </c>
      <c r="Q35" s="42">
        <v>37.6</v>
      </c>
      <c r="R35" s="42">
        <f t="shared" si="19"/>
        <v>561781.6</v>
      </c>
    </row>
    <row r="36" spans="1:19">
      <c r="A36" s="1" t="s">
        <v>2083</v>
      </c>
      <c r="B36" s="42" t="s">
        <v>356</v>
      </c>
      <c r="C36" s="42" t="s">
        <v>24</v>
      </c>
      <c r="D36" s="42" t="s">
        <v>16</v>
      </c>
      <c r="E36" s="42" t="s">
        <v>1149</v>
      </c>
      <c r="F36" s="42">
        <v>1416</v>
      </c>
      <c r="G36" s="42"/>
      <c r="H36" s="42">
        <v>12500</v>
      </c>
      <c r="I36" s="42">
        <v>250</v>
      </c>
      <c r="J36" s="42">
        <v>0.13</v>
      </c>
      <c r="K36" s="43">
        <f t="shared" si="16"/>
        <v>32.5</v>
      </c>
      <c r="L36" s="43">
        <f t="shared" si="17"/>
        <v>12467.5</v>
      </c>
      <c r="M36" s="43"/>
      <c r="N36" s="43">
        <f t="shared" si="18"/>
        <v>12467.5</v>
      </c>
      <c r="O36" s="43">
        <f t="shared" si="20"/>
        <v>875</v>
      </c>
      <c r="P36" s="42">
        <v>10500</v>
      </c>
      <c r="Q36" s="42">
        <v>37.6</v>
      </c>
      <c r="R36" s="42">
        <f t="shared" si="19"/>
        <v>468778</v>
      </c>
    </row>
    <row r="38" spans="1:19">
      <c r="A38" s="21" t="s">
        <v>2127</v>
      </c>
      <c r="B38" s="42" t="s">
        <v>356</v>
      </c>
      <c r="C38" s="42" t="s">
        <v>24</v>
      </c>
      <c r="D38" s="42" t="s">
        <v>16</v>
      </c>
      <c r="E38" s="42" t="s">
        <v>2145</v>
      </c>
      <c r="F38" s="42">
        <v>59</v>
      </c>
      <c r="G38" s="42"/>
      <c r="H38" s="42">
        <v>14980</v>
      </c>
      <c r="I38" s="42">
        <v>300</v>
      </c>
      <c r="J38" s="42">
        <v>0.13</v>
      </c>
      <c r="K38" s="43">
        <f t="shared" ref="K38:K46" si="21">I38*J38</f>
        <v>39</v>
      </c>
      <c r="L38" s="43">
        <f t="shared" ref="L38:L46" si="22">H38-K38</f>
        <v>14941</v>
      </c>
      <c r="M38" s="43"/>
      <c r="N38" s="43">
        <f t="shared" ref="N38:N46" si="23">L38-M38</f>
        <v>14941</v>
      </c>
      <c r="O38" s="43">
        <f t="shared" ref="O38:O46" si="24">H38/1000*70</f>
        <v>1048.6000000000001</v>
      </c>
      <c r="P38" s="42">
        <v>10500</v>
      </c>
      <c r="Q38" s="42"/>
      <c r="R38" s="42">
        <f t="shared" ref="R38:R46" si="25">L38*Q38</f>
        <v>0</v>
      </c>
    </row>
    <row r="39" spans="1:19">
      <c r="A39" s="21" t="s">
        <v>2172</v>
      </c>
      <c r="B39" s="42" t="s">
        <v>356</v>
      </c>
      <c r="C39" s="42" t="s">
        <v>24</v>
      </c>
      <c r="D39" s="42" t="s">
        <v>16</v>
      </c>
      <c r="E39" s="42" t="s">
        <v>2173</v>
      </c>
      <c r="F39" s="42">
        <v>1429</v>
      </c>
      <c r="G39" s="42"/>
      <c r="H39" s="42">
        <v>15000</v>
      </c>
      <c r="I39" s="42">
        <v>300</v>
      </c>
      <c r="J39" s="42">
        <v>0.13</v>
      </c>
      <c r="K39" s="43">
        <f t="shared" si="21"/>
        <v>39</v>
      </c>
      <c r="L39" s="43">
        <f t="shared" si="22"/>
        <v>14961</v>
      </c>
      <c r="M39" s="43"/>
      <c r="N39" s="43">
        <f t="shared" si="23"/>
        <v>14961</v>
      </c>
      <c r="O39" s="43">
        <f t="shared" si="24"/>
        <v>1050</v>
      </c>
      <c r="P39" s="42">
        <v>11300</v>
      </c>
      <c r="Q39" s="42">
        <v>37.6</v>
      </c>
      <c r="R39" s="42">
        <f t="shared" si="25"/>
        <v>562533.6</v>
      </c>
    </row>
    <row r="40" spans="1:19">
      <c r="A40" s="21" t="s">
        <v>2183</v>
      </c>
      <c r="B40" s="42" t="s">
        <v>356</v>
      </c>
      <c r="C40" s="42" t="s">
        <v>24</v>
      </c>
      <c r="D40" s="42" t="s">
        <v>16</v>
      </c>
      <c r="E40" s="42" t="s">
        <v>2184</v>
      </c>
      <c r="F40" s="42">
        <v>1440</v>
      </c>
      <c r="G40" s="42"/>
      <c r="H40" s="42">
        <v>14990</v>
      </c>
      <c r="I40" s="42">
        <v>300</v>
      </c>
      <c r="J40" s="42">
        <v>0.13</v>
      </c>
      <c r="K40" s="43">
        <f t="shared" si="21"/>
        <v>39</v>
      </c>
      <c r="L40" s="43">
        <f t="shared" si="22"/>
        <v>14951</v>
      </c>
      <c r="M40" s="43"/>
      <c r="N40" s="43">
        <f t="shared" si="23"/>
        <v>14951</v>
      </c>
      <c r="O40" s="43">
        <f t="shared" si="24"/>
        <v>1049.3</v>
      </c>
      <c r="P40" s="42">
        <v>11800</v>
      </c>
      <c r="Q40" s="42">
        <v>37.6</v>
      </c>
      <c r="R40" s="42">
        <f t="shared" si="25"/>
        <v>562157.6</v>
      </c>
    </row>
    <row r="41" spans="1:19">
      <c r="A41" s="21" t="s">
        <v>2223</v>
      </c>
      <c r="B41" s="42" t="s">
        <v>356</v>
      </c>
      <c r="C41" s="42" t="s">
        <v>24</v>
      </c>
      <c r="D41" s="42" t="s">
        <v>16</v>
      </c>
      <c r="E41" s="42" t="s">
        <v>2224</v>
      </c>
      <c r="F41" s="42">
        <v>400</v>
      </c>
      <c r="G41" s="42"/>
      <c r="H41" s="42">
        <v>15000</v>
      </c>
      <c r="I41" s="42">
        <v>300</v>
      </c>
      <c r="J41" s="42">
        <v>0.13</v>
      </c>
      <c r="K41" s="43">
        <f t="shared" si="21"/>
        <v>39</v>
      </c>
      <c r="L41" s="43">
        <f t="shared" si="22"/>
        <v>14961</v>
      </c>
      <c r="M41" s="43"/>
      <c r="N41" s="43">
        <f t="shared" si="23"/>
        <v>14961</v>
      </c>
      <c r="O41" s="43">
        <f t="shared" si="24"/>
        <v>1050</v>
      </c>
      <c r="P41" s="42">
        <v>12000</v>
      </c>
      <c r="Q41" s="42">
        <v>37.6</v>
      </c>
      <c r="R41" s="42">
        <f t="shared" si="25"/>
        <v>562533.6</v>
      </c>
      <c r="S41" s="42"/>
    </row>
    <row r="42" spans="1:19">
      <c r="A42" s="374" t="s">
        <v>2228</v>
      </c>
      <c r="B42" s="42" t="s">
        <v>356</v>
      </c>
      <c r="C42" s="42" t="s">
        <v>24</v>
      </c>
      <c r="D42" s="42" t="s">
        <v>16</v>
      </c>
      <c r="E42" s="42" t="s">
        <v>2229</v>
      </c>
      <c r="F42" s="42">
        <v>2571</v>
      </c>
      <c r="G42" s="42"/>
      <c r="H42" s="42">
        <v>15000</v>
      </c>
      <c r="I42" s="42">
        <v>300</v>
      </c>
      <c r="J42" s="42">
        <v>0.13</v>
      </c>
      <c r="K42" s="43">
        <f t="shared" si="21"/>
        <v>39</v>
      </c>
      <c r="L42" s="43">
        <f t="shared" si="22"/>
        <v>14961</v>
      </c>
      <c r="M42" s="43"/>
      <c r="N42" s="43">
        <f t="shared" si="23"/>
        <v>14961</v>
      </c>
      <c r="O42" s="43">
        <f t="shared" si="24"/>
        <v>1050</v>
      </c>
      <c r="P42" s="42">
        <v>17000</v>
      </c>
      <c r="Q42" s="42">
        <v>37.5</v>
      </c>
      <c r="R42" s="42">
        <f t="shared" si="25"/>
        <v>561037.5</v>
      </c>
    </row>
    <row r="43" spans="1:19">
      <c r="A43" s="374"/>
      <c r="B43" s="42" t="s">
        <v>356</v>
      </c>
      <c r="C43" s="42" t="s">
        <v>24</v>
      </c>
      <c r="D43" s="42" t="s">
        <v>16</v>
      </c>
      <c r="E43" s="42" t="s">
        <v>2230</v>
      </c>
      <c r="F43" s="42">
        <v>399</v>
      </c>
      <c r="G43" s="42"/>
      <c r="H43" s="42">
        <v>15000</v>
      </c>
      <c r="I43" s="42">
        <v>300</v>
      </c>
      <c r="J43" s="42">
        <v>0.13</v>
      </c>
      <c r="K43" s="43">
        <f t="shared" si="21"/>
        <v>39</v>
      </c>
      <c r="L43" s="43">
        <f t="shared" si="22"/>
        <v>14961</v>
      </c>
      <c r="M43" s="43"/>
      <c r="N43" s="43">
        <f t="shared" si="23"/>
        <v>14961</v>
      </c>
      <c r="O43" s="43">
        <f t="shared" si="24"/>
        <v>1050</v>
      </c>
      <c r="P43" s="42">
        <v>13500</v>
      </c>
      <c r="Q43" s="42">
        <v>37.5</v>
      </c>
      <c r="R43" s="42">
        <f t="shared" si="25"/>
        <v>561037.5</v>
      </c>
    </row>
    <row r="44" spans="1:19">
      <c r="A44" s="21" t="s">
        <v>2238</v>
      </c>
      <c r="B44" s="42" t="s">
        <v>356</v>
      </c>
      <c r="C44" s="42" t="s">
        <v>24</v>
      </c>
      <c r="D44" s="42" t="s">
        <v>16</v>
      </c>
      <c r="E44" s="42" t="s">
        <v>2230</v>
      </c>
      <c r="F44" s="42">
        <v>324</v>
      </c>
      <c r="G44" s="42"/>
      <c r="H44" s="42">
        <v>14980</v>
      </c>
      <c r="I44" s="42">
        <v>300</v>
      </c>
      <c r="J44" s="42">
        <v>0.13</v>
      </c>
      <c r="K44" s="43">
        <f t="shared" si="21"/>
        <v>39</v>
      </c>
      <c r="L44" s="43">
        <f t="shared" si="22"/>
        <v>14941</v>
      </c>
      <c r="M44" s="43"/>
      <c r="N44" s="43">
        <f t="shared" si="23"/>
        <v>14941</v>
      </c>
      <c r="O44" s="43">
        <f t="shared" si="24"/>
        <v>1048.6000000000001</v>
      </c>
      <c r="P44" s="42">
        <v>12500</v>
      </c>
      <c r="Q44" s="42">
        <v>37.5</v>
      </c>
      <c r="R44" s="42">
        <f t="shared" si="25"/>
        <v>560287.5</v>
      </c>
      <c r="S44" s="42"/>
    </row>
    <row r="45" spans="1:19">
      <c r="A45" s="21" t="s">
        <v>2239</v>
      </c>
      <c r="B45" s="42" t="s">
        <v>356</v>
      </c>
      <c r="C45" s="42" t="s">
        <v>24</v>
      </c>
      <c r="D45" s="42" t="s">
        <v>16</v>
      </c>
      <c r="E45" s="42" t="s">
        <v>2240</v>
      </c>
      <c r="F45" s="42">
        <v>73</v>
      </c>
      <c r="G45" s="42"/>
      <c r="H45" s="42">
        <v>14980</v>
      </c>
      <c r="I45" s="42">
        <v>300</v>
      </c>
      <c r="J45" s="42">
        <v>0.13</v>
      </c>
      <c r="K45" s="43">
        <f t="shared" si="21"/>
        <v>39</v>
      </c>
      <c r="L45" s="43">
        <f t="shared" si="22"/>
        <v>14941</v>
      </c>
      <c r="M45" s="43"/>
      <c r="N45" s="43">
        <f t="shared" si="23"/>
        <v>14941</v>
      </c>
      <c r="O45" s="43">
        <f t="shared" si="24"/>
        <v>1048.6000000000001</v>
      </c>
      <c r="P45" s="42">
        <v>11800</v>
      </c>
      <c r="Q45" s="42">
        <v>37.5</v>
      </c>
      <c r="R45" s="42">
        <f t="shared" si="25"/>
        <v>560287.5</v>
      </c>
    </row>
    <row r="46" spans="1:19">
      <c r="A46" s="21" t="s">
        <v>2242</v>
      </c>
      <c r="B46" s="42" t="s">
        <v>356</v>
      </c>
      <c r="C46" s="42" t="s">
        <v>24</v>
      </c>
      <c r="D46" s="42" t="s">
        <v>16</v>
      </c>
      <c r="E46" s="42" t="s">
        <v>2224</v>
      </c>
      <c r="F46" s="42">
        <v>327</v>
      </c>
      <c r="G46" s="42"/>
      <c r="H46" s="42">
        <v>15000</v>
      </c>
      <c r="I46" s="42">
        <v>300</v>
      </c>
      <c r="J46" s="42">
        <v>0.13</v>
      </c>
      <c r="K46" s="43">
        <f t="shared" si="21"/>
        <v>39</v>
      </c>
      <c r="L46" s="43">
        <f t="shared" si="22"/>
        <v>14961</v>
      </c>
      <c r="M46" s="43"/>
      <c r="N46" s="43">
        <f t="shared" si="23"/>
        <v>14961</v>
      </c>
      <c r="O46" s="43">
        <f t="shared" si="24"/>
        <v>1050</v>
      </c>
      <c r="P46" s="42">
        <v>12000</v>
      </c>
      <c r="Q46" s="42">
        <v>37.5</v>
      </c>
      <c r="R46" s="42">
        <f t="shared" si="25"/>
        <v>561037.5</v>
      </c>
      <c r="S46" s="42"/>
    </row>
    <row r="48" spans="1:19">
      <c r="A48" s="21" t="s">
        <v>2318</v>
      </c>
      <c r="B48" s="42" t="s">
        <v>356</v>
      </c>
      <c r="C48" s="42" t="s">
        <v>309</v>
      </c>
      <c r="D48" s="42" t="s">
        <v>16</v>
      </c>
      <c r="E48" s="42" t="s">
        <v>2255</v>
      </c>
      <c r="F48" s="42">
        <v>93</v>
      </c>
      <c r="G48" s="42"/>
      <c r="H48" s="42">
        <v>14970</v>
      </c>
      <c r="I48" s="42">
        <v>300</v>
      </c>
      <c r="J48" s="42">
        <v>0.13</v>
      </c>
      <c r="K48" s="43">
        <f t="shared" ref="K48" si="26">I48*J48</f>
        <v>39</v>
      </c>
      <c r="L48" s="43">
        <f t="shared" ref="L48" si="27">H48-K48</f>
        <v>14931</v>
      </c>
      <c r="M48" s="43"/>
      <c r="N48" s="43">
        <f t="shared" ref="N48" si="28">L48-M48</f>
        <v>14931</v>
      </c>
      <c r="O48" s="43">
        <f t="shared" ref="O48" si="29">H48/1000*70</f>
        <v>1047.9000000000001</v>
      </c>
      <c r="P48" s="42">
        <v>0</v>
      </c>
      <c r="Q48" s="42">
        <v>37.200000000000003</v>
      </c>
      <c r="R48" s="42">
        <f t="shared" ref="R48" si="30">L48*Q48</f>
        <v>555433.20000000007</v>
      </c>
    </row>
    <row r="50" spans="1:19">
      <c r="A50" s="374" t="s">
        <v>2368</v>
      </c>
      <c r="B50" s="42" t="s">
        <v>356</v>
      </c>
      <c r="C50" s="42" t="s">
        <v>309</v>
      </c>
      <c r="D50" s="42" t="s">
        <v>16</v>
      </c>
      <c r="E50" s="42" t="s">
        <v>2369</v>
      </c>
      <c r="F50" s="42">
        <v>104</v>
      </c>
      <c r="G50" s="42"/>
      <c r="H50" s="42">
        <v>15000</v>
      </c>
      <c r="I50" s="42">
        <v>300</v>
      </c>
      <c r="J50" s="42">
        <v>0.13</v>
      </c>
      <c r="K50" s="43">
        <f t="shared" ref="K50:K54" si="31">I50*J50</f>
        <v>39</v>
      </c>
      <c r="L50" s="43">
        <f t="shared" ref="L50:L54" si="32">H50-K50</f>
        <v>14961</v>
      </c>
      <c r="M50" s="43"/>
      <c r="N50" s="43">
        <f t="shared" ref="N50:N54" si="33">L50-M50</f>
        <v>14961</v>
      </c>
      <c r="O50" s="43">
        <f t="shared" ref="O50:O54" si="34">H50/1000*70</f>
        <v>1050</v>
      </c>
      <c r="P50" s="42">
        <v>10000</v>
      </c>
      <c r="Q50" s="42">
        <v>37.200000000000003</v>
      </c>
      <c r="R50" s="42">
        <f t="shared" ref="R50:R54" si="35">L50*Q50</f>
        <v>556549.20000000007</v>
      </c>
    </row>
    <row r="51" spans="1:19">
      <c r="A51" s="374"/>
      <c r="B51" s="42" t="s">
        <v>356</v>
      </c>
      <c r="C51" s="42" t="s">
        <v>309</v>
      </c>
      <c r="D51" s="42" t="s">
        <v>16</v>
      </c>
      <c r="E51" s="42" t="s">
        <v>2370</v>
      </c>
      <c r="F51" s="42">
        <v>105</v>
      </c>
      <c r="G51" s="42"/>
      <c r="H51" s="42">
        <v>15000</v>
      </c>
      <c r="I51" s="42">
        <v>300</v>
      </c>
      <c r="J51" s="42">
        <v>0.13</v>
      </c>
      <c r="K51" s="43">
        <f t="shared" si="31"/>
        <v>39</v>
      </c>
      <c r="L51" s="43">
        <f t="shared" si="32"/>
        <v>14961</v>
      </c>
      <c r="M51" s="43"/>
      <c r="N51" s="43">
        <f t="shared" si="33"/>
        <v>14961</v>
      </c>
      <c r="O51" s="43">
        <f t="shared" si="34"/>
        <v>1050</v>
      </c>
      <c r="P51" s="42">
        <v>10200</v>
      </c>
      <c r="Q51" s="42">
        <v>37.200000000000003</v>
      </c>
      <c r="R51" s="42">
        <f t="shared" si="35"/>
        <v>556549.20000000007</v>
      </c>
    </row>
    <row r="52" spans="1:19">
      <c r="A52" s="1" t="s">
        <v>2472</v>
      </c>
      <c r="B52" s="42" t="s">
        <v>356</v>
      </c>
      <c r="C52" s="42" t="s">
        <v>24</v>
      </c>
      <c r="D52" s="42" t="s">
        <v>16</v>
      </c>
      <c r="E52" s="42" t="s">
        <v>2476</v>
      </c>
      <c r="F52" s="42">
        <v>22280</v>
      </c>
      <c r="G52" s="42"/>
      <c r="H52" s="42">
        <v>15000</v>
      </c>
      <c r="I52" s="42">
        <v>300</v>
      </c>
      <c r="J52" s="42">
        <v>0.13</v>
      </c>
      <c r="K52" s="43">
        <f t="shared" si="31"/>
        <v>39</v>
      </c>
      <c r="L52" s="43">
        <f t="shared" si="32"/>
        <v>14961</v>
      </c>
      <c r="M52" s="43"/>
      <c r="N52" s="43">
        <f t="shared" si="33"/>
        <v>14961</v>
      </c>
      <c r="O52" s="43">
        <f t="shared" si="34"/>
        <v>1050</v>
      </c>
      <c r="P52" s="42">
        <v>17500</v>
      </c>
      <c r="Q52" s="42">
        <v>38</v>
      </c>
      <c r="R52" s="42">
        <f t="shared" si="35"/>
        <v>568518</v>
      </c>
    </row>
    <row r="53" spans="1:19">
      <c r="A53" s="1" t="s">
        <v>3425</v>
      </c>
      <c r="B53" s="42" t="s">
        <v>3427</v>
      </c>
      <c r="C53" s="42" t="s">
        <v>24</v>
      </c>
      <c r="D53" s="42" t="s">
        <v>16</v>
      </c>
      <c r="E53" s="47" t="s">
        <v>3428</v>
      </c>
      <c r="F53" s="47">
        <v>620</v>
      </c>
      <c r="G53" s="47"/>
      <c r="H53" s="47">
        <v>15000</v>
      </c>
      <c r="I53" s="47">
        <v>300</v>
      </c>
      <c r="J53" s="47">
        <v>0.13</v>
      </c>
      <c r="K53" s="43">
        <f t="shared" si="31"/>
        <v>39</v>
      </c>
      <c r="L53" s="43">
        <f t="shared" si="32"/>
        <v>14961</v>
      </c>
      <c r="M53" s="43"/>
      <c r="N53" s="43">
        <f t="shared" si="33"/>
        <v>14961</v>
      </c>
      <c r="O53" s="43">
        <f t="shared" si="34"/>
        <v>1050</v>
      </c>
      <c r="P53" s="42">
        <v>9200</v>
      </c>
      <c r="Q53" s="42">
        <v>35</v>
      </c>
      <c r="R53" s="42">
        <f t="shared" si="35"/>
        <v>523635</v>
      </c>
    </row>
    <row r="54" spans="1:19">
      <c r="A54" s="21" t="s">
        <v>3431</v>
      </c>
      <c r="B54" s="42" t="s">
        <v>3427</v>
      </c>
      <c r="C54" s="42" t="s">
        <v>24</v>
      </c>
      <c r="D54" s="42" t="s">
        <v>16</v>
      </c>
      <c r="E54" s="47" t="s">
        <v>3433</v>
      </c>
      <c r="F54" s="47">
        <v>622</v>
      </c>
      <c r="G54" s="47"/>
      <c r="H54" s="47">
        <v>15000</v>
      </c>
      <c r="I54" s="47">
        <v>300</v>
      </c>
      <c r="J54" s="47">
        <v>0.13</v>
      </c>
      <c r="K54" s="43">
        <f t="shared" si="31"/>
        <v>39</v>
      </c>
      <c r="L54" s="43">
        <f t="shared" si="32"/>
        <v>14961</v>
      </c>
      <c r="M54" s="43"/>
      <c r="N54" s="43">
        <f t="shared" si="33"/>
        <v>14961</v>
      </c>
      <c r="O54" s="43">
        <f t="shared" si="34"/>
        <v>1050</v>
      </c>
      <c r="P54" s="42">
        <v>9000</v>
      </c>
      <c r="Q54" s="42">
        <v>35</v>
      </c>
      <c r="R54" s="42">
        <f t="shared" si="35"/>
        <v>523635</v>
      </c>
    </row>
    <row r="56" spans="1:19">
      <c r="A56" s="21" t="s">
        <v>3444</v>
      </c>
      <c r="B56" s="42" t="s">
        <v>3427</v>
      </c>
      <c r="C56" s="42" t="s">
        <v>24</v>
      </c>
      <c r="D56" s="42" t="s">
        <v>16</v>
      </c>
      <c r="E56" s="47" t="s">
        <v>3436</v>
      </c>
      <c r="F56" s="47">
        <v>634</v>
      </c>
      <c r="G56" s="47"/>
      <c r="H56" s="47">
        <v>15000</v>
      </c>
      <c r="I56" s="47">
        <v>300</v>
      </c>
      <c r="J56" s="47">
        <v>0.13</v>
      </c>
      <c r="K56" s="43">
        <f t="shared" ref="K56" si="36">I56*J56</f>
        <v>39</v>
      </c>
      <c r="L56" s="43">
        <f t="shared" ref="L56" si="37">H56-K56</f>
        <v>14961</v>
      </c>
      <c r="M56" s="43"/>
      <c r="N56" s="43">
        <f t="shared" ref="N56" si="38">L56-M56</f>
        <v>14961</v>
      </c>
      <c r="O56" s="43">
        <f t="shared" ref="O56" si="39">H56/1000*70</f>
        <v>1050</v>
      </c>
      <c r="P56" s="42">
        <v>9000</v>
      </c>
      <c r="Q56" s="42"/>
      <c r="R56" s="42">
        <f t="shared" ref="R56" si="40">L56*Q56</f>
        <v>0</v>
      </c>
    </row>
    <row r="58" spans="1:19">
      <c r="A58" s="21" t="s">
        <v>3543</v>
      </c>
      <c r="B58" s="42" t="s">
        <v>356</v>
      </c>
      <c r="C58" s="42" t="s">
        <v>24</v>
      </c>
      <c r="D58" s="42" t="s">
        <v>16</v>
      </c>
      <c r="E58" s="47" t="s">
        <v>3546</v>
      </c>
      <c r="F58" s="47">
        <v>702</v>
      </c>
      <c r="G58" s="47"/>
      <c r="H58" s="47">
        <v>14990</v>
      </c>
      <c r="I58" s="47">
        <v>300</v>
      </c>
      <c r="J58" s="47">
        <v>0.13</v>
      </c>
      <c r="K58" s="43">
        <f t="shared" ref="K58" si="41">I58*J58</f>
        <v>39</v>
      </c>
      <c r="L58" s="43">
        <f t="shared" ref="L58" si="42">H58-K58</f>
        <v>14951</v>
      </c>
      <c r="M58" s="43"/>
      <c r="N58" s="43">
        <f t="shared" ref="N58" si="43">L58-M58</f>
        <v>14951</v>
      </c>
      <c r="O58" s="43">
        <f t="shared" ref="O58" si="44">H58/1000*70</f>
        <v>1049.3</v>
      </c>
      <c r="P58" s="42">
        <v>9800</v>
      </c>
      <c r="Q58" s="42"/>
      <c r="R58" s="42">
        <f t="shared" ref="R58" si="45">L58*Q58</f>
        <v>0</v>
      </c>
      <c r="S58" s="42"/>
    </row>
  </sheetData>
  <mergeCells count="7">
    <mergeCell ref="A50:A51"/>
    <mergeCell ref="A42:A43"/>
    <mergeCell ref="A14:A18"/>
    <mergeCell ref="A22:A23"/>
    <mergeCell ref="A25:A26"/>
    <mergeCell ref="A27:A28"/>
    <mergeCell ref="A30:A31"/>
  </mergeCells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5:T19"/>
  <sheetViews>
    <sheetView workbookViewId="0">
      <selection activeCell="B21" sqref="B21"/>
    </sheetView>
  </sheetViews>
  <sheetFormatPr defaultRowHeight="14.4"/>
  <cols>
    <col min="1" max="1" width="8.88671875" style="1"/>
    <col min="2" max="2" width="13.88671875" style="1" customWidth="1"/>
    <col min="3" max="3" width="8.88671875" style="1"/>
    <col min="4" max="4" width="5.5546875" style="1" customWidth="1"/>
    <col min="5" max="5" width="8.88671875" style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0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0">
      <c r="A6" s="376" t="s">
        <v>25</v>
      </c>
      <c r="B6" s="2" t="s">
        <v>75</v>
      </c>
      <c r="C6" s="2" t="s">
        <v>24</v>
      </c>
      <c r="D6" s="2" t="s">
        <v>16</v>
      </c>
      <c r="E6" s="2" t="s">
        <v>46</v>
      </c>
      <c r="F6" s="2">
        <v>680</v>
      </c>
      <c r="G6" s="2">
        <v>357</v>
      </c>
      <c r="H6" s="2">
        <v>12490</v>
      </c>
      <c r="I6" s="2">
        <v>250</v>
      </c>
      <c r="J6" s="2">
        <v>0.13</v>
      </c>
      <c r="K6" s="2">
        <f t="shared" ref="K6:K11" si="0">I6*J6</f>
        <v>32.5</v>
      </c>
      <c r="L6" s="5">
        <f t="shared" ref="L6:L11" si="1">H6-K6</f>
        <v>12457.5</v>
      </c>
      <c r="M6" s="5">
        <f t="shared" ref="M6:M11" si="2">H6/1000*70</f>
        <v>874.30000000000007</v>
      </c>
      <c r="N6" s="2">
        <v>8500</v>
      </c>
      <c r="Q6" s="1" t="s">
        <v>82</v>
      </c>
      <c r="R6" s="1">
        <v>126</v>
      </c>
      <c r="S6" s="1">
        <v>100000</v>
      </c>
      <c r="T6" s="1" t="s">
        <v>13</v>
      </c>
    </row>
    <row r="7" spans="1:20">
      <c r="A7" s="376"/>
      <c r="B7" s="2" t="s">
        <v>75</v>
      </c>
      <c r="C7" s="2" t="s">
        <v>24</v>
      </c>
      <c r="D7" s="2" t="s">
        <v>16</v>
      </c>
      <c r="E7" s="2" t="s">
        <v>47</v>
      </c>
      <c r="F7" s="2">
        <v>679</v>
      </c>
      <c r="G7" s="2">
        <v>354</v>
      </c>
      <c r="H7" s="2">
        <v>12500</v>
      </c>
      <c r="I7" s="2">
        <v>250</v>
      </c>
      <c r="J7" s="2">
        <v>0.13</v>
      </c>
      <c r="K7" s="2">
        <f t="shared" si="0"/>
        <v>32.5</v>
      </c>
      <c r="L7" s="5">
        <f t="shared" si="1"/>
        <v>12467.5</v>
      </c>
      <c r="M7" s="5">
        <f t="shared" si="2"/>
        <v>875</v>
      </c>
      <c r="N7" s="2">
        <v>8500</v>
      </c>
    </row>
    <row r="8" spans="1:20">
      <c r="A8" s="376"/>
      <c r="B8" s="2" t="s">
        <v>75</v>
      </c>
      <c r="C8" s="2" t="s">
        <v>24</v>
      </c>
      <c r="D8" s="2" t="s">
        <v>16</v>
      </c>
      <c r="E8" s="2" t="s">
        <v>48</v>
      </c>
      <c r="F8" s="2">
        <v>681</v>
      </c>
      <c r="G8" s="2">
        <v>356</v>
      </c>
      <c r="H8" s="2">
        <v>12480</v>
      </c>
      <c r="I8" s="2">
        <v>250</v>
      </c>
      <c r="J8" s="2">
        <v>0.13</v>
      </c>
      <c r="K8" s="2">
        <f t="shared" si="0"/>
        <v>32.5</v>
      </c>
      <c r="L8" s="5">
        <f t="shared" si="1"/>
        <v>12447.5</v>
      </c>
      <c r="M8" s="5">
        <f t="shared" si="2"/>
        <v>873.6</v>
      </c>
      <c r="N8" s="2">
        <v>8500</v>
      </c>
    </row>
    <row r="9" spans="1:20">
      <c r="A9" s="376"/>
      <c r="B9" s="2" t="s">
        <v>75</v>
      </c>
      <c r="C9" s="2" t="s">
        <v>24</v>
      </c>
      <c r="D9" s="2" t="s">
        <v>16</v>
      </c>
      <c r="E9" s="2" t="s">
        <v>49</v>
      </c>
      <c r="F9" s="2">
        <v>686</v>
      </c>
      <c r="G9" s="2">
        <v>355</v>
      </c>
      <c r="H9" s="2">
        <v>12490</v>
      </c>
      <c r="I9" s="2">
        <v>250</v>
      </c>
      <c r="J9" s="2">
        <v>0.13</v>
      </c>
      <c r="K9" s="2">
        <f t="shared" si="0"/>
        <v>32.5</v>
      </c>
      <c r="L9" s="5">
        <f t="shared" si="1"/>
        <v>12457.5</v>
      </c>
      <c r="M9" s="5">
        <f t="shared" si="2"/>
        <v>874.30000000000007</v>
      </c>
      <c r="N9" s="2">
        <v>8500</v>
      </c>
    </row>
    <row r="10" spans="1:20">
      <c r="A10" s="375" t="s">
        <v>26</v>
      </c>
      <c r="B10" s="2" t="s">
        <v>75</v>
      </c>
      <c r="C10" s="2" t="s">
        <v>24</v>
      </c>
      <c r="D10" s="2" t="s">
        <v>16</v>
      </c>
      <c r="E10" s="2" t="s">
        <v>50</v>
      </c>
      <c r="F10" s="2">
        <v>688</v>
      </c>
      <c r="G10" s="2">
        <v>359</v>
      </c>
      <c r="H10" s="2">
        <v>12500</v>
      </c>
      <c r="I10" s="2">
        <v>250</v>
      </c>
      <c r="J10" s="2">
        <v>0.13</v>
      </c>
      <c r="K10" s="2">
        <f t="shared" si="0"/>
        <v>32.5</v>
      </c>
      <c r="L10" s="5">
        <f t="shared" si="1"/>
        <v>12467.5</v>
      </c>
      <c r="M10" s="5">
        <f t="shared" si="2"/>
        <v>875</v>
      </c>
      <c r="N10" s="2">
        <v>8500</v>
      </c>
    </row>
    <row r="11" spans="1:20">
      <c r="A11" s="375"/>
      <c r="B11" s="2" t="s">
        <v>75</v>
      </c>
      <c r="C11" s="2" t="s">
        <v>24</v>
      </c>
      <c r="D11" s="2" t="s">
        <v>16</v>
      </c>
      <c r="E11" s="2" t="s">
        <v>51</v>
      </c>
      <c r="F11" s="2">
        <v>689</v>
      </c>
      <c r="G11" s="2">
        <v>358</v>
      </c>
      <c r="H11" s="2">
        <v>12470</v>
      </c>
      <c r="I11" s="2">
        <v>250</v>
      </c>
      <c r="J11" s="2">
        <v>0.13</v>
      </c>
      <c r="K11" s="2">
        <f t="shared" si="0"/>
        <v>32.5</v>
      </c>
      <c r="L11" s="5">
        <f t="shared" si="1"/>
        <v>12437.5</v>
      </c>
      <c r="M11" s="5">
        <f t="shared" si="2"/>
        <v>872.90000000000009</v>
      </c>
      <c r="N11" s="2">
        <v>8500</v>
      </c>
    </row>
    <row r="12" spans="1:20">
      <c r="A12" s="1" t="s">
        <v>65</v>
      </c>
      <c r="B12" s="2" t="s">
        <v>75</v>
      </c>
      <c r="C12" s="2" t="s">
        <v>24</v>
      </c>
      <c r="D12" s="2" t="s">
        <v>16</v>
      </c>
      <c r="E12" s="2" t="s">
        <v>67</v>
      </c>
      <c r="F12" s="2">
        <v>611</v>
      </c>
      <c r="G12" s="2"/>
      <c r="H12" s="2">
        <v>12500</v>
      </c>
      <c r="I12" s="2">
        <v>250</v>
      </c>
      <c r="J12" s="2">
        <v>0.13</v>
      </c>
      <c r="K12" s="2">
        <v>32.5</v>
      </c>
      <c r="L12" s="5">
        <v>12467.5</v>
      </c>
      <c r="M12" s="5">
        <v>875</v>
      </c>
      <c r="N12" s="2">
        <v>8700</v>
      </c>
    </row>
    <row r="13" spans="1:20">
      <c r="A13" s="1" t="s">
        <v>74</v>
      </c>
      <c r="B13" s="2" t="s">
        <v>75</v>
      </c>
      <c r="C13" s="2" t="s">
        <v>24</v>
      </c>
      <c r="D13" s="2" t="s">
        <v>16</v>
      </c>
      <c r="E13" s="2" t="s">
        <v>43</v>
      </c>
      <c r="F13" s="2">
        <v>617</v>
      </c>
      <c r="G13" s="2"/>
      <c r="H13" s="2">
        <v>12500</v>
      </c>
      <c r="I13" s="2">
        <v>250</v>
      </c>
      <c r="J13" s="2">
        <v>0.13</v>
      </c>
      <c r="K13" s="2">
        <v>32.5</v>
      </c>
      <c r="L13" s="5">
        <v>12467.5</v>
      </c>
      <c r="M13" s="5">
        <v>875</v>
      </c>
      <c r="N13" s="2">
        <v>8700</v>
      </c>
    </row>
    <row r="15" spans="1:20">
      <c r="L15" s="16">
        <f>SUM(L6:L14)</f>
        <v>99670</v>
      </c>
    </row>
    <row r="17" spans="1:14">
      <c r="A17" s="1" t="s">
        <v>126</v>
      </c>
      <c r="B17" s="2" t="s">
        <v>141</v>
      </c>
      <c r="C17" s="2" t="s">
        <v>24</v>
      </c>
      <c r="D17" s="2" t="s">
        <v>16</v>
      </c>
      <c r="E17" s="2" t="s">
        <v>142</v>
      </c>
      <c r="F17" s="2">
        <v>20725</v>
      </c>
      <c r="G17" s="2"/>
      <c r="H17" s="2">
        <v>17470</v>
      </c>
      <c r="I17" s="2">
        <v>350</v>
      </c>
      <c r="J17" s="2">
        <v>0.13</v>
      </c>
      <c r="K17" s="5">
        <f t="shared" ref="K17" si="3">I17*J17</f>
        <v>45.5</v>
      </c>
      <c r="L17" s="19">
        <f t="shared" ref="L17" si="4">H17-K17</f>
        <v>17424.5</v>
      </c>
      <c r="M17" s="5">
        <f t="shared" ref="M17" si="5">H17/1000*70</f>
        <v>1222.8999999999999</v>
      </c>
      <c r="N17" s="2">
        <v>0</v>
      </c>
    </row>
    <row r="19" spans="1:14">
      <c r="L19" s="16"/>
    </row>
  </sheetData>
  <mergeCells count="2">
    <mergeCell ref="A6:A9"/>
    <mergeCell ref="A10:A11"/>
  </mergeCells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5:U93"/>
  <sheetViews>
    <sheetView topLeftCell="A74" workbookViewId="0">
      <selection activeCell="A94" sqref="A94"/>
    </sheetView>
  </sheetViews>
  <sheetFormatPr defaultRowHeight="14.4"/>
  <cols>
    <col min="1" max="1" width="8.88671875" style="1"/>
    <col min="2" max="2" width="13.88671875" style="1" customWidth="1"/>
    <col min="3" max="3" width="10.77734375" style="1" customWidth="1"/>
    <col min="4" max="4" width="5.5546875" style="1" customWidth="1"/>
    <col min="5" max="5" width="8.88671875" style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1">
      <c r="A6" s="383" t="s">
        <v>65</v>
      </c>
      <c r="B6" s="2" t="s">
        <v>68</v>
      </c>
      <c r="C6" s="2" t="s">
        <v>24</v>
      </c>
      <c r="D6" s="2" t="s">
        <v>16</v>
      </c>
      <c r="E6" s="2" t="s">
        <v>71</v>
      </c>
      <c r="F6" s="2">
        <v>612</v>
      </c>
      <c r="G6" s="2"/>
      <c r="H6" s="2">
        <v>12480</v>
      </c>
      <c r="I6" s="2">
        <v>250</v>
      </c>
      <c r="J6" s="2">
        <v>0.13</v>
      </c>
      <c r="K6" s="2">
        <f t="shared" ref="K6:K9" si="0">I6*J6</f>
        <v>32.5</v>
      </c>
      <c r="L6" s="5">
        <f t="shared" ref="L6:L9" si="1">H6-K6</f>
        <v>12447.5</v>
      </c>
      <c r="M6" s="5">
        <f t="shared" ref="M6:M9" si="2">H6/1000*70</f>
        <v>873.6</v>
      </c>
      <c r="N6" s="2">
        <v>8700</v>
      </c>
      <c r="Q6" s="1" t="s">
        <v>82</v>
      </c>
      <c r="R6" s="1">
        <v>127</v>
      </c>
      <c r="S6" s="1">
        <v>25000</v>
      </c>
      <c r="T6" s="1" t="s">
        <v>13</v>
      </c>
      <c r="U6" s="1" t="s">
        <v>98</v>
      </c>
    </row>
    <row r="7" spans="1:21">
      <c r="A7" s="384"/>
      <c r="B7" s="2" t="s">
        <v>68</v>
      </c>
      <c r="C7" s="2" t="s">
        <v>24</v>
      </c>
      <c r="D7" s="2" t="s">
        <v>16</v>
      </c>
      <c r="E7" s="2" t="s">
        <v>72</v>
      </c>
      <c r="F7" s="2">
        <v>613</v>
      </c>
      <c r="G7" s="2"/>
      <c r="H7" s="2">
        <v>12480</v>
      </c>
      <c r="I7" s="2">
        <v>250</v>
      </c>
      <c r="J7" s="2">
        <v>0.13</v>
      </c>
      <c r="K7" s="2">
        <f t="shared" si="0"/>
        <v>32.5</v>
      </c>
      <c r="L7" s="5">
        <f t="shared" si="1"/>
        <v>12447.5</v>
      </c>
      <c r="M7" s="5">
        <f t="shared" si="2"/>
        <v>873.6</v>
      </c>
      <c r="N7" s="2">
        <v>8700</v>
      </c>
      <c r="Q7" s="1" t="s">
        <v>26</v>
      </c>
      <c r="R7" s="1">
        <v>129</v>
      </c>
      <c r="S7" s="1">
        <v>50000</v>
      </c>
      <c r="T7" s="1" t="s">
        <v>28</v>
      </c>
    </row>
    <row r="8" spans="1:21">
      <c r="A8" s="384" t="s">
        <v>28</v>
      </c>
      <c r="B8" s="2" t="s">
        <v>68</v>
      </c>
      <c r="C8" s="2" t="s">
        <v>24</v>
      </c>
      <c r="D8" s="2" t="s">
        <v>16</v>
      </c>
      <c r="E8" s="2" t="s">
        <v>59</v>
      </c>
      <c r="F8" s="2">
        <v>575</v>
      </c>
      <c r="G8" s="2"/>
      <c r="H8" s="2">
        <v>12480</v>
      </c>
      <c r="I8" s="2">
        <v>250</v>
      </c>
      <c r="J8" s="2">
        <v>0.13</v>
      </c>
      <c r="K8" s="2">
        <f t="shared" si="0"/>
        <v>32.5</v>
      </c>
      <c r="L8" s="5">
        <f t="shared" si="1"/>
        <v>12447.5</v>
      </c>
      <c r="M8" s="5">
        <f t="shared" si="2"/>
        <v>873.6</v>
      </c>
      <c r="N8" s="2">
        <v>9000</v>
      </c>
    </row>
    <row r="9" spans="1:21">
      <c r="A9" s="385"/>
      <c r="B9" s="2" t="s">
        <v>68</v>
      </c>
      <c r="C9" s="2" t="s">
        <v>24</v>
      </c>
      <c r="D9" s="2" t="s">
        <v>16</v>
      </c>
      <c r="E9" s="2" t="s">
        <v>60</v>
      </c>
      <c r="F9" s="2">
        <v>576</v>
      </c>
      <c r="G9" s="2"/>
      <c r="H9" s="2">
        <v>12470</v>
      </c>
      <c r="I9" s="2">
        <v>250</v>
      </c>
      <c r="J9" s="2">
        <v>0.13</v>
      </c>
      <c r="K9" s="2">
        <f t="shared" si="0"/>
        <v>32.5</v>
      </c>
      <c r="L9" s="5">
        <f t="shared" si="1"/>
        <v>12437.5</v>
      </c>
      <c r="M9" s="5">
        <f t="shared" si="2"/>
        <v>872.90000000000009</v>
      </c>
      <c r="N9" s="2">
        <v>0</v>
      </c>
    </row>
    <row r="10" spans="1:21">
      <c r="A10" s="10"/>
      <c r="B10" s="2"/>
      <c r="C10" s="2"/>
      <c r="D10" s="2"/>
      <c r="E10" s="2"/>
      <c r="F10" s="2"/>
      <c r="G10" s="2"/>
      <c r="H10" s="2"/>
      <c r="I10" s="2"/>
      <c r="J10" s="2"/>
      <c r="K10" s="2"/>
      <c r="L10" s="5"/>
      <c r="M10" s="5"/>
      <c r="N10" s="2"/>
    </row>
    <row r="11" spans="1:21">
      <c r="A11" s="11"/>
      <c r="B11" s="2"/>
      <c r="C11" s="2"/>
      <c r="D11" s="2"/>
      <c r="E11" s="2"/>
      <c r="F11" s="2"/>
      <c r="G11" s="2"/>
      <c r="H11" s="2"/>
      <c r="I11" s="2"/>
      <c r="J11" s="2"/>
      <c r="K11" s="2"/>
      <c r="L11" s="5"/>
      <c r="M11" s="5"/>
      <c r="N11" s="2"/>
    </row>
    <row r="12" spans="1:21">
      <c r="A12" s="375" t="s">
        <v>273</v>
      </c>
      <c r="B12" s="2" t="s">
        <v>68</v>
      </c>
      <c r="C12" s="37" t="s">
        <v>24</v>
      </c>
      <c r="D12" s="2" t="s">
        <v>16</v>
      </c>
      <c r="E12" s="2" t="s">
        <v>274</v>
      </c>
      <c r="F12" s="2">
        <v>1360</v>
      </c>
      <c r="G12" s="2"/>
      <c r="H12" s="2">
        <v>15000</v>
      </c>
      <c r="I12" s="2">
        <v>300</v>
      </c>
      <c r="J12" s="2">
        <v>0.13</v>
      </c>
      <c r="K12" s="5">
        <f t="shared" ref="K12:K15" si="3">I12*J12</f>
        <v>39</v>
      </c>
      <c r="L12" s="19">
        <f t="shared" ref="L12:L15" si="4">H12-K12</f>
        <v>14961</v>
      </c>
      <c r="M12" s="5">
        <f t="shared" ref="M12:M15" si="5">H12/1000*70</f>
        <v>1050</v>
      </c>
      <c r="N12" s="2">
        <v>0</v>
      </c>
      <c r="O12" s="2">
        <v>40</v>
      </c>
      <c r="P12" s="2">
        <f t="shared" ref="P12:P20" si="6">L12*O12</f>
        <v>598440</v>
      </c>
    </row>
    <row r="13" spans="1:21">
      <c r="A13" s="375"/>
      <c r="B13" s="2" t="s">
        <v>68</v>
      </c>
      <c r="C13" s="37" t="s">
        <v>24</v>
      </c>
      <c r="D13" s="2" t="s">
        <v>16</v>
      </c>
      <c r="E13" s="2" t="s">
        <v>275</v>
      </c>
      <c r="F13" s="2">
        <v>576</v>
      </c>
      <c r="G13" s="2"/>
      <c r="H13" s="2">
        <v>12470</v>
      </c>
      <c r="I13" s="2">
        <v>250</v>
      </c>
      <c r="J13" s="2">
        <v>0.13</v>
      </c>
      <c r="K13" s="5">
        <f t="shared" si="3"/>
        <v>32.5</v>
      </c>
      <c r="L13" s="19">
        <f t="shared" si="4"/>
        <v>12437.5</v>
      </c>
      <c r="M13" s="5">
        <f t="shared" si="5"/>
        <v>872.90000000000009</v>
      </c>
      <c r="N13" s="2">
        <v>0</v>
      </c>
      <c r="O13" s="2">
        <v>40</v>
      </c>
      <c r="P13" s="2">
        <f t="shared" si="6"/>
        <v>497500</v>
      </c>
    </row>
    <row r="14" spans="1:21">
      <c r="A14" s="375"/>
      <c r="B14" s="2" t="s">
        <v>68</v>
      </c>
      <c r="C14" s="37" t="s">
        <v>24</v>
      </c>
      <c r="D14" s="2" t="s">
        <v>16</v>
      </c>
      <c r="E14" s="2" t="s">
        <v>276</v>
      </c>
      <c r="F14" s="2">
        <v>546</v>
      </c>
      <c r="G14" s="2"/>
      <c r="H14" s="2">
        <v>12500</v>
      </c>
      <c r="I14" s="2">
        <v>250</v>
      </c>
      <c r="J14" s="2">
        <v>0.13</v>
      </c>
      <c r="K14" s="5">
        <f t="shared" si="3"/>
        <v>32.5</v>
      </c>
      <c r="L14" s="19">
        <f t="shared" si="4"/>
        <v>12467.5</v>
      </c>
      <c r="M14" s="5">
        <f t="shared" si="5"/>
        <v>875</v>
      </c>
      <c r="N14" s="2">
        <v>19500</v>
      </c>
      <c r="O14" s="2">
        <v>34.14</v>
      </c>
      <c r="P14" s="2">
        <f t="shared" si="6"/>
        <v>425640.45</v>
      </c>
    </row>
    <row r="15" spans="1:21">
      <c r="A15" s="375"/>
      <c r="B15" s="2" t="s">
        <v>68</v>
      </c>
      <c r="C15" s="37" t="s">
        <v>24</v>
      </c>
      <c r="D15" s="2" t="s">
        <v>16</v>
      </c>
      <c r="E15" s="2" t="s">
        <v>277</v>
      </c>
      <c r="F15" s="2">
        <v>545</v>
      </c>
      <c r="G15" s="2"/>
      <c r="H15" s="2">
        <v>12490</v>
      </c>
      <c r="I15" s="2">
        <v>250</v>
      </c>
      <c r="J15" s="2">
        <v>0.13</v>
      </c>
      <c r="K15" s="5">
        <f t="shared" si="3"/>
        <v>32.5</v>
      </c>
      <c r="L15" s="19">
        <f t="shared" si="4"/>
        <v>12457.5</v>
      </c>
      <c r="M15" s="5">
        <f t="shared" si="5"/>
        <v>874.30000000000007</v>
      </c>
      <c r="N15" s="2">
        <v>19500</v>
      </c>
      <c r="O15" s="2">
        <v>34.14</v>
      </c>
      <c r="P15" s="2">
        <f t="shared" si="6"/>
        <v>425299.05</v>
      </c>
    </row>
    <row r="16" spans="1:21">
      <c r="L16" s="16"/>
      <c r="P16" s="2">
        <f t="shared" si="6"/>
        <v>0</v>
      </c>
      <c r="Q16" s="1" t="s">
        <v>315</v>
      </c>
      <c r="R16" s="1">
        <v>145</v>
      </c>
      <c r="S16" s="1">
        <v>27500</v>
      </c>
      <c r="T16" s="1" t="s">
        <v>307</v>
      </c>
      <c r="U16" s="1">
        <v>42</v>
      </c>
    </row>
    <row r="17" spans="1:18">
      <c r="A17" s="1" t="s">
        <v>307</v>
      </c>
      <c r="B17" s="42" t="s">
        <v>68</v>
      </c>
      <c r="C17" s="42" t="s">
        <v>309</v>
      </c>
      <c r="D17" s="42" t="s">
        <v>16</v>
      </c>
      <c r="E17" s="42" t="s">
        <v>310</v>
      </c>
      <c r="F17" s="42">
        <v>13989</v>
      </c>
      <c r="G17" s="42"/>
      <c r="H17" s="42">
        <v>14980</v>
      </c>
      <c r="I17" s="42">
        <v>300</v>
      </c>
      <c r="J17" s="42">
        <v>0.13</v>
      </c>
      <c r="K17" s="42">
        <f t="shared" ref="K17:K20" si="7">I17*J17</f>
        <v>39</v>
      </c>
      <c r="L17" s="43">
        <f t="shared" ref="L17:L20" si="8">H17-K17</f>
        <v>14941</v>
      </c>
      <c r="M17" s="43">
        <f t="shared" ref="M17:M20" si="9">H17/1000*70</f>
        <v>1048.6000000000001</v>
      </c>
      <c r="N17" s="42" t="s">
        <v>308</v>
      </c>
      <c r="O17" s="42">
        <v>42</v>
      </c>
      <c r="P17" s="2">
        <f t="shared" si="6"/>
        <v>627522</v>
      </c>
    </row>
    <row r="18" spans="1:18">
      <c r="A18" s="1" t="s">
        <v>319</v>
      </c>
      <c r="B18" s="42" t="s">
        <v>68</v>
      </c>
      <c r="C18" s="42" t="s">
        <v>309</v>
      </c>
      <c r="D18" s="42" t="s">
        <v>16</v>
      </c>
      <c r="E18" s="42" t="s">
        <v>321</v>
      </c>
      <c r="F18" s="42">
        <v>306</v>
      </c>
      <c r="G18" s="42"/>
      <c r="H18" s="42">
        <v>12450</v>
      </c>
      <c r="I18" s="42">
        <v>250</v>
      </c>
      <c r="J18" s="42">
        <v>0.13</v>
      </c>
      <c r="K18" s="42">
        <f t="shared" si="7"/>
        <v>32.5</v>
      </c>
      <c r="L18" s="43">
        <f t="shared" si="8"/>
        <v>12417.5</v>
      </c>
      <c r="M18" s="43">
        <f t="shared" si="9"/>
        <v>871.5</v>
      </c>
      <c r="N18" s="42">
        <v>0</v>
      </c>
      <c r="O18" s="42">
        <v>42</v>
      </c>
      <c r="P18" s="42">
        <f t="shared" si="6"/>
        <v>521535</v>
      </c>
    </row>
    <row r="19" spans="1:18">
      <c r="A19" s="1" t="s">
        <v>334</v>
      </c>
      <c r="B19" s="42" t="s">
        <v>68</v>
      </c>
      <c r="C19" s="42" t="s">
        <v>309</v>
      </c>
      <c r="D19" s="42" t="s">
        <v>16</v>
      </c>
      <c r="E19" s="42" t="s">
        <v>335</v>
      </c>
      <c r="F19" s="42">
        <v>1496</v>
      </c>
      <c r="G19" s="42"/>
      <c r="H19" s="42">
        <v>15000</v>
      </c>
      <c r="I19" s="42">
        <v>300</v>
      </c>
      <c r="J19" s="42">
        <v>0.13</v>
      </c>
      <c r="K19" s="42">
        <f t="shared" si="7"/>
        <v>39</v>
      </c>
      <c r="L19" s="43">
        <f t="shared" si="8"/>
        <v>14961</v>
      </c>
      <c r="M19" s="43">
        <f t="shared" si="9"/>
        <v>1050</v>
      </c>
      <c r="N19" s="42">
        <v>0</v>
      </c>
      <c r="O19" s="42"/>
      <c r="P19" s="42">
        <f t="shared" si="6"/>
        <v>0</v>
      </c>
    </row>
    <row r="20" spans="1:18">
      <c r="A20" s="21" t="s">
        <v>343</v>
      </c>
      <c r="B20" s="42" t="s">
        <v>68</v>
      </c>
      <c r="C20" s="42" t="s">
        <v>309</v>
      </c>
      <c r="D20" s="42" t="s">
        <v>16</v>
      </c>
      <c r="E20" s="42" t="s">
        <v>345</v>
      </c>
      <c r="F20" s="42">
        <v>1713</v>
      </c>
      <c r="G20" s="42"/>
      <c r="H20" s="42">
        <v>12500</v>
      </c>
      <c r="I20" s="42">
        <v>250</v>
      </c>
      <c r="J20" s="42">
        <v>0.13</v>
      </c>
      <c r="K20" s="42">
        <f t="shared" si="7"/>
        <v>32.5</v>
      </c>
      <c r="L20" s="43">
        <f t="shared" si="8"/>
        <v>12467.5</v>
      </c>
      <c r="M20" s="43">
        <f t="shared" si="9"/>
        <v>875</v>
      </c>
      <c r="N20" s="42">
        <v>0</v>
      </c>
      <c r="O20" s="42">
        <v>42</v>
      </c>
      <c r="P20" s="42">
        <f t="shared" si="6"/>
        <v>523635</v>
      </c>
    </row>
    <row r="22" spans="1:18">
      <c r="A22" s="21" t="s">
        <v>567</v>
      </c>
      <c r="B22" s="42" t="s">
        <v>68</v>
      </c>
      <c r="C22" s="42" t="s">
        <v>24</v>
      </c>
      <c r="D22" s="42" t="s">
        <v>16</v>
      </c>
      <c r="E22" s="42" t="s">
        <v>60</v>
      </c>
      <c r="F22" s="42">
        <v>2213</v>
      </c>
      <c r="G22" s="42"/>
      <c r="H22" s="42">
        <v>12490</v>
      </c>
      <c r="I22" s="42">
        <v>250</v>
      </c>
      <c r="J22" s="42">
        <v>0.13</v>
      </c>
      <c r="K22" s="42">
        <f t="shared" ref="K22" si="10">I22*J22</f>
        <v>32.5</v>
      </c>
      <c r="L22" s="43">
        <f t="shared" ref="L22" si="11">H22-K22</f>
        <v>12457.5</v>
      </c>
      <c r="M22" s="43">
        <f t="shared" ref="M22" si="12">H22/1000*70</f>
        <v>874.30000000000007</v>
      </c>
      <c r="N22" s="42">
        <v>22000</v>
      </c>
    </row>
    <row r="24" spans="1:18">
      <c r="A24" s="21" t="s">
        <v>601</v>
      </c>
      <c r="B24" s="42" t="s">
        <v>68</v>
      </c>
      <c r="C24" s="42" t="s">
        <v>24</v>
      </c>
      <c r="D24" s="42" t="s">
        <v>16</v>
      </c>
      <c r="E24" s="42" t="s">
        <v>605</v>
      </c>
      <c r="F24" s="42">
        <v>2220</v>
      </c>
      <c r="G24" s="42"/>
      <c r="H24" s="42">
        <v>12500</v>
      </c>
      <c r="I24" s="42">
        <v>250</v>
      </c>
      <c r="J24" s="42">
        <v>0.13</v>
      </c>
      <c r="K24" s="42">
        <f t="shared" ref="K24" si="13">I24*J24</f>
        <v>32.5</v>
      </c>
      <c r="L24" s="43">
        <f t="shared" ref="L24" si="14">H24-K24</f>
        <v>12467.5</v>
      </c>
      <c r="M24" s="43">
        <f t="shared" ref="M24" si="15">H24/1000*70</f>
        <v>875</v>
      </c>
      <c r="N24" s="42">
        <v>22500</v>
      </c>
      <c r="O24" s="42"/>
      <c r="P24" s="42">
        <f t="shared" ref="P24" si="16">L24*O24</f>
        <v>0</v>
      </c>
    </row>
    <row r="27" spans="1:18">
      <c r="A27" s="1" t="s">
        <v>2934</v>
      </c>
      <c r="B27" s="42" t="s">
        <v>632</v>
      </c>
      <c r="C27" s="42" t="s">
        <v>24</v>
      </c>
      <c r="D27" s="42" t="s">
        <v>16</v>
      </c>
      <c r="E27" s="42" t="s">
        <v>2935</v>
      </c>
      <c r="F27" s="42">
        <v>1840</v>
      </c>
      <c r="G27" s="42"/>
      <c r="H27" s="42">
        <v>15000</v>
      </c>
      <c r="I27" s="42">
        <v>300</v>
      </c>
      <c r="J27" s="42">
        <v>0.13</v>
      </c>
      <c r="K27" s="43">
        <f t="shared" ref="K27:K28" si="17">I27*J27</f>
        <v>39</v>
      </c>
      <c r="L27" s="43">
        <f t="shared" ref="L27:L28" si="18">H27-K27</f>
        <v>14961</v>
      </c>
      <c r="M27" s="43"/>
      <c r="N27" s="43">
        <f t="shared" ref="N27:N28" si="19">L27-M27</f>
        <v>14961</v>
      </c>
      <c r="O27" s="43">
        <f t="shared" ref="O27:O28" si="20">H27/1000*70</f>
        <v>1050</v>
      </c>
      <c r="P27" s="42">
        <v>12000</v>
      </c>
      <c r="Q27" s="42">
        <v>39</v>
      </c>
      <c r="R27" s="42">
        <f t="shared" ref="R27:R28" si="21">L27*Q27</f>
        <v>583479</v>
      </c>
    </row>
    <row r="28" spans="1:18">
      <c r="A28" s="1" t="s">
        <v>2941</v>
      </c>
      <c r="B28" s="42" t="s">
        <v>632</v>
      </c>
      <c r="C28" s="42" t="s">
        <v>24</v>
      </c>
      <c r="D28" s="42" t="s">
        <v>16</v>
      </c>
      <c r="E28" s="42" t="s">
        <v>1345</v>
      </c>
      <c r="F28" s="42">
        <v>2683</v>
      </c>
      <c r="G28" s="42"/>
      <c r="H28" s="42">
        <v>14990</v>
      </c>
      <c r="I28" s="42">
        <v>300</v>
      </c>
      <c r="J28" s="42">
        <v>0.13</v>
      </c>
      <c r="K28" s="43">
        <f t="shared" si="17"/>
        <v>39</v>
      </c>
      <c r="L28" s="43">
        <f t="shared" si="18"/>
        <v>14951</v>
      </c>
      <c r="M28" s="43"/>
      <c r="N28" s="43">
        <f t="shared" si="19"/>
        <v>14951</v>
      </c>
      <c r="O28" s="43">
        <f t="shared" si="20"/>
        <v>1049.3</v>
      </c>
      <c r="P28" s="42">
        <v>11800</v>
      </c>
      <c r="Q28" s="42">
        <v>39</v>
      </c>
      <c r="R28" s="42">
        <f t="shared" si="21"/>
        <v>583089</v>
      </c>
    </row>
    <row r="30" spans="1:18">
      <c r="A30" s="374" t="s">
        <v>3208</v>
      </c>
      <c r="B30" s="42" t="s">
        <v>3210</v>
      </c>
      <c r="C30" s="42" t="s">
        <v>24</v>
      </c>
      <c r="D30" s="42" t="s">
        <v>16</v>
      </c>
      <c r="E30" s="42" t="s">
        <v>3211</v>
      </c>
      <c r="F30" s="42">
        <v>290</v>
      </c>
      <c r="G30" s="42"/>
      <c r="H30" s="42">
        <v>14970</v>
      </c>
      <c r="I30" s="42">
        <v>300</v>
      </c>
      <c r="J30" s="42">
        <v>0.13</v>
      </c>
      <c r="K30" s="43">
        <f t="shared" ref="K30:K31" si="22">I30*J30</f>
        <v>39</v>
      </c>
      <c r="L30" s="43">
        <f t="shared" ref="L30:L31" si="23">H30-K30</f>
        <v>14931</v>
      </c>
      <c r="M30" s="43"/>
      <c r="N30" s="43">
        <f t="shared" ref="N30:N31" si="24">L30-M30</f>
        <v>14931</v>
      </c>
      <c r="O30" s="43">
        <f t="shared" ref="O30:O31" si="25">H30/1000*70</f>
        <v>1047.9000000000001</v>
      </c>
      <c r="P30" s="42">
        <v>9600</v>
      </c>
      <c r="Q30" s="42">
        <v>33.06</v>
      </c>
      <c r="R30" s="42">
        <f t="shared" ref="R30:R31" si="26">L30*Q30</f>
        <v>493618.86000000004</v>
      </c>
    </row>
    <row r="31" spans="1:18">
      <c r="A31" s="374"/>
      <c r="B31" s="42" t="s">
        <v>3210</v>
      </c>
      <c r="C31" s="42" t="s">
        <v>24</v>
      </c>
      <c r="D31" s="42" t="s">
        <v>16</v>
      </c>
      <c r="E31" s="42" t="s">
        <v>3212</v>
      </c>
      <c r="F31" s="42">
        <v>291</v>
      </c>
      <c r="G31" s="42"/>
      <c r="H31" s="42">
        <v>14980</v>
      </c>
      <c r="I31" s="42">
        <v>300</v>
      </c>
      <c r="J31" s="42">
        <v>0.13</v>
      </c>
      <c r="K31" s="43">
        <f t="shared" si="22"/>
        <v>39</v>
      </c>
      <c r="L31" s="43">
        <f t="shared" si="23"/>
        <v>14941</v>
      </c>
      <c r="M31" s="43"/>
      <c r="N31" s="43">
        <f t="shared" si="24"/>
        <v>14941</v>
      </c>
      <c r="O31" s="43">
        <f t="shared" si="25"/>
        <v>1048.6000000000001</v>
      </c>
      <c r="P31" s="42">
        <v>9600</v>
      </c>
      <c r="Q31" s="42">
        <v>33.06</v>
      </c>
      <c r="R31" s="42">
        <f t="shared" si="26"/>
        <v>493949.46</v>
      </c>
    </row>
    <row r="33" spans="1:18">
      <c r="A33" s="1" t="s">
        <v>3292</v>
      </c>
      <c r="B33" s="42" t="s">
        <v>632</v>
      </c>
      <c r="C33" s="42" t="s">
        <v>24</v>
      </c>
      <c r="D33" s="42" t="s">
        <v>16</v>
      </c>
      <c r="E33" s="47" t="s">
        <v>3296</v>
      </c>
      <c r="F33" s="47">
        <v>555</v>
      </c>
      <c r="G33" s="47"/>
      <c r="H33" s="47">
        <v>15000</v>
      </c>
      <c r="I33" s="47">
        <v>300</v>
      </c>
      <c r="J33" s="47">
        <v>0.13</v>
      </c>
      <c r="K33" s="43">
        <f t="shared" ref="K33" si="27">I33*J33</f>
        <v>39</v>
      </c>
      <c r="L33" s="43">
        <f t="shared" ref="L33" si="28">H33-K33</f>
        <v>14961</v>
      </c>
      <c r="M33" s="43"/>
      <c r="N33" s="43">
        <f t="shared" ref="N33" si="29">L33-M33</f>
        <v>14961</v>
      </c>
      <c r="O33" s="43">
        <f t="shared" ref="O33" si="30">H33/1000*70</f>
        <v>1050</v>
      </c>
      <c r="P33" s="42">
        <v>10000</v>
      </c>
      <c r="Q33" s="42"/>
      <c r="R33" s="42">
        <f t="shared" ref="R33" si="31">L33*Q33</f>
        <v>0</v>
      </c>
    </row>
    <row r="35" spans="1:18">
      <c r="A35" s="1" t="s">
        <v>3313</v>
      </c>
      <c r="B35" s="42" t="s">
        <v>632</v>
      </c>
      <c r="C35" s="42" t="s">
        <v>24</v>
      </c>
      <c r="D35" s="42" t="s">
        <v>16</v>
      </c>
      <c r="E35" s="47" t="s">
        <v>1824</v>
      </c>
      <c r="F35" s="47">
        <v>562</v>
      </c>
      <c r="G35" s="47"/>
      <c r="H35" s="47">
        <v>14980</v>
      </c>
      <c r="I35" s="47">
        <v>300</v>
      </c>
      <c r="J35" s="47">
        <v>0.13</v>
      </c>
      <c r="K35" s="43">
        <f t="shared" ref="K35:K38" si="32">I35*J35</f>
        <v>39</v>
      </c>
      <c r="L35" s="43">
        <f t="shared" ref="L35:L38" si="33">H35-K35</f>
        <v>14941</v>
      </c>
      <c r="M35" s="43"/>
      <c r="N35" s="43">
        <f t="shared" ref="N35:N38" si="34">L35-M35</f>
        <v>14941</v>
      </c>
      <c r="O35" s="43">
        <f t="shared" ref="O35:O38" si="35">H35/1000*70</f>
        <v>1048.6000000000001</v>
      </c>
      <c r="P35" s="42">
        <v>10000</v>
      </c>
      <c r="Q35" s="42"/>
      <c r="R35" s="42">
        <f t="shared" ref="R35:R38" si="36">L35*Q35</f>
        <v>0</v>
      </c>
    </row>
    <row r="36" spans="1:18">
      <c r="A36" s="1" t="s">
        <v>3343</v>
      </c>
      <c r="B36" s="42" t="s">
        <v>632</v>
      </c>
      <c r="C36" s="42" t="s">
        <v>24</v>
      </c>
      <c r="D36" s="42" t="s">
        <v>16</v>
      </c>
      <c r="E36" s="47" t="s">
        <v>2511</v>
      </c>
      <c r="F36" s="47">
        <v>573</v>
      </c>
      <c r="G36" s="47"/>
      <c r="H36" s="47">
        <v>15000</v>
      </c>
      <c r="I36" s="47">
        <v>300</v>
      </c>
      <c r="J36" s="47">
        <v>0.13</v>
      </c>
      <c r="K36" s="43">
        <f t="shared" si="32"/>
        <v>39</v>
      </c>
      <c r="L36" s="43">
        <f t="shared" si="33"/>
        <v>14961</v>
      </c>
      <c r="M36" s="43"/>
      <c r="N36" s="43">
        <f t="shared" si="34"/>
        <v>14961</v>
      </c>
      <c r="O36" s="43">
        <f t="shared" si="35"/>
        <v>1050</v>
      </c>
      <c r="P36" s="42">
        <v>10000</v>
      </c>
      <c r="Q36" s="42"/>
      <c r="R36" s="42">
        <f t="shared" si="36"/>
        <v>0</v>
      </c>
    </row>
    <row r="37" spans="1:18">
      <c r="A37" s="21" t="s">
        <v>3345</v>
      </c>
      <c r="B37" s="42" t="s">
        <v>632</v>
      </c>
      <c r="C37" s="42" t="s">
        <v>24</v>
      </c>
      <c r="D37" s="42" t="s">
        <v>16</v>
      </c>
      <c r="E37" s="47" t="s">
        <v>3349</v>
      </c>
      <c r="F37" s="47">
        <v>574</v>
      </c>
      <c r="G37" s="47"/>
      <c r="H37" s="47">
        <v>14820</v>
      </c>
      <c r="I37" s="47">
        <v>300</v>
      </c>
      <c r="J37" s="47">
        <v>0.13</v>
      </c>
      <c r="K37" s="43">
        <f t="shared" si="32"/>
        <v>39</v>
      </c>
      <c r="L37" s="43">
        <f t="shared" si="33"/>
        <v>14781</v>
      </c>
      <c r="M37" s="43"/>
      <c r="N37" s="43">
        <f t="shared" si="34"/>
        <v>14781</v>
      </c>
      <c r="O37" s="43">
        <f t="shared" si="35"/>
        <v>1037.4000000000001</v>
      </c>
      <c r="P37" s="42">
        <v>5515</v>
      </c>
      <c r="Q37" s="42"/>
      <c r="R37" s="42">
        <f t="shared" si="36"/>
        <v>0</v>
      </c>
    </row>
    <row r="38" spans="1:18">
      <c r="A38" s="21" t="s">
        <v>3360</v>
      </c>
      <c r="B38" s="42" t="s">
        <v>632</v>
      </c>
      <c r="C38" s="42" t="s">
        <v>24</v>
      </c>
      <c r="D38" s="42" t="s">
        <v>16</v>
      </c>
      <c r="E38" s="47" t="s">
        <v>3363</v>
      </c>
      <c r="F38" s="47">
        <v>587</v>
      </c>
      <c r="G38" s="47"/>
      <c r="H38" s="47">
        <v>15000</v>
      </c>
      <c r="I38" s="47">
        <v>300</v>
      </c>
      <c r="J38" s="47">
        <v>0.13</v>
      </c>
      <c r="K38" s="43">
        <f t="shared" si="32"/>
        <v>39</v>
      </c>
      <c r="L38" s="43">
        <f t="shared" si="33"/>
        <v>14961</v>
      </c>
      <c r="M38" s="43"/>
      <c r="N38" s="43">
        <f t="shared" si="34"/>
        <v>14961</v>
      </c>
      <c r="O38" s="43">
        <f t="shared" si="35"/>
        <v>1050</v>
      </c>
      <c r="P38" s="42">
        <v>10300</v>
      </c>
      <c r="Q38" s="42"/>
      <c r="R38" s="42">
        <f t="shared" si="36"/>
        <v>0</v>
      </c>
    </row>
    <row r="40" spans="1:18">
      <c r="A40" s="21" t="s">
        <v>3377</v>
      </c>
      <c r="B40" s="42" t="s">
        <v>632</v>
      </c>
      <c r="C40" s="42" t="s">
        <v>24</v>
      </c>
      <c r="D40" s="42" t="s">
        <v>16</v>
      </c>
      <c r="E40" s="47" t="s">
        <v>2511</v>
      </c>
      <c r="F40" s="47">
        <v>606</v>
      </c>
      <c r="G40" s="47"/>
      <c r="H40" s="47">
        <v>15000</v>
      </c>
      <c r="I40" s="47">
        <v>300</v>
      </c>
      <c r="J40" s="47">
        <v>0.13</v>
      </c>
      <c r="K40" s="43">
        <f t="shared" ref="K40:K41" si="37">I40*J40</f>
        <v>39</v>
      </c>
      <c r="L40" s="43">
        <f t="shared" ref="L40:L41" si="38">H40-K40</f>
        <v>14961</v>
      </c>
      <c r="M40" s="43"/>
      <c r="N40" s="43">
        <f t="shared" ref="N40:N41" si="39">L40-M40</f>
        <v>14961</v>
      </c>
      <c r="O40" s="43">
        <f t="shared" ref="O40:O41" si="40">H40/1000*70</f>
        <v>1050</v>
      </c>
      <c r="P40" s="42">
        <v>9800</v>
      </c>
      <c r="Q40" s="42"/>
      <c r="R40" s="42">
        <f t="shared" ref="R40:R41" si="41">L40*Q40</f>
        <v>0</v>
      </c>
    </row>
    <row r="41" spans="1:18">
      <c r="A41" s="21" t="s">
        <v>3425</v>
      </c>
      <c r="B41" s="42" t="s">
        <v>632</v>
      </c>
      <c r="C41" s="42" t="s">
        <v>24</v>
      </c>
      <c r="D41" s="42" t="s">
        <v>16</v>
      </c>
      <c r="E41" s="47" t="s">
        <v>3429</v>
      </c>
      <c r="F41" s="47">
        <v>621</v>
      </c>
      <c r="G41" s="47"/>
      <c r="H41" s="47">
        <v>15000</v>
      </c>
      <c r="I41" s="47">
        <v>300</v>
      </c>
      <c r="J41" s="47">
        <v>0.13</v>
      </c>
      <c r="K41" s="43">
        <f t="shared" si="37"/>
        <v>39</v>
      </c>
      <c r="L41" s="43">
        <f t="shared" si="38"/>
        <v>14961</v>
      </c>
      <c r="M41" s="43"/>
      <c r="N41" s="43">
        <f t="shared" si="39"/>
        <v>14961</v>
      </c>
      <c r="O41" s="43">
        <f t="shared" si="40"/>
        <v>1050</v>
      </c>
      <c r="P41" s="42">
        <v>9200</v>
      </c>
      <c r="Q41" s="42"/>
      <c r="R41" s="42">
        <f t="shared" si="41"/>
        <v>0</v>
      </c>
    </row>
    <row r="43" spans="1:18">
      <c r="A43" s="21" t="s">
        <v>3435</v>
      </c>
      <c r="B43" s="42" t="s">
        <v>632</v>
      </c>
      <c r="C43" s="42" t="s">
        <v>24</v>
      </c>
      <c r="D43" s="42" t="s">
        <v>16</v>
      </c>
      <c r="E43" s="47" t="s">
        <v>3436</v>
      </c>
      <c r="F43" s="47">
        <v>626</v>
      </c>
      <c r="G43" s="47"/>
      <c r="H43" s="47">
        <v>15000</v>
      </c>
      <c r="I43" s="47">
        <v>300</v>
      </c>
      <c r="J43" s="47">
        <v>0.13</v>
      </c>
      <c r="K43" s="43">
        <f t="shared" ref="K43" si="42">I43*J43</f>
        <v>39</v>
      </c>
      <c r="L43" s="43">
        <f t="shared" ref="L43" si="43">H43-K43</f>
        <v>14961</v>
      </c>
      <c r="M43" s="43"/>
      <c r="N43" s="43">
        <f t="shared" ref="N43" si="44">L43-M43</f>
        <v>14961</v>
      </c>
      <c r="O43" s="43">
        <f t="shared" ref="O43" si="45">H43/1000*70</f>
        <v>1050</v>
      </c>
      <c r="P43" s="42">
        <v>9000</v>
      </c>
      <c r="Q43" s="42">
        <v>35</v>
      </c>
      <c r="R43" s="42">
        <f t="shared" ref="R43" si="46">L43*Q43</f>
        <v>523635</v>
      </c>
    </row>
    <row r="45" spans="1:18">
      <c r="A45" s="21" t="s">
        <v>3461</v>
      </c>
      <c r="B45" s="42" t="s">
        <v>632</v>
      </c>
      <c r="C45" s="42" t="s">
        <v>24</v>
      </c>
      <c r="D45" s="42" t="s">
        <v>16</v>
      </c>
      <c r="E45" s="47" t="s">
        <v>3466</v>
      </c>
      <c r="F45" s="47">
        <v>637</v>
      </c>
      <c r="G45" s="47"/>
      <c r="H45" s="47">
        <v>15000</v>
      </c>
      <c r="I45" s="47">
        <v>300</v>
      </c>
      <c r="J45" s="47">
        <v>0.13</v>
      </c>
      <c r="K45" s="43">
        <f t="shared" ref="K45:K47" si="47">I45*J45</f>
        <v>39</v>
      </c>
      <c r="L45" s="43">
        <f t="shared" ref="L45:L47" si="48">H45-K45</f>
        <v>14961</v>
      </c>
      <c r="M45" s="43"/>
      <c r="N45" s="43">
        <f t="shared" ref="N45:N47" si="49">L45-M45</f>
        <v>14961</v>
      </c>
      <c r="O45" s="43">
        <f t="shared" ref="O45:O47" si="50">H45/1000*70</f>
        <v>1050</v>
      </c>
      <c r="P45" s="42">
        <v>9000</v>
      </c>
      <c r="Q45" s="42"/>
      <c r="R45" s="42">
        <f t="shared" ref="R45:R47" si="51">L45*Q45</f>
        <v>0</v>
      </c>
    </row>
    <row r="46" spans="1:18">
      <c r="A46" s="374" t="s">
        <v>3473</v>
      </c>
      <c r="B46" s="42" t="s">
        <v>632</v>
      </c>
      <c r="C46" s="42" t="s">
        <v>24</v>
      </c>
      <c r="D46" s="42" t="s">
        <v>16</v>
      </c>
      <c r="E46" s="47" t="s">
        <v>3215</v>
      </c>
      <c r="F46" s="47">
        <v>645</v>
      </c>
      <c r="G46" s="47"/>
      <c r="H46" s="47">
        <v>15000</v>
      </c>
      <c r="I46" s="47">
        <v>300</v>
      </c>
      <c r="J46" s="47">
        <v>0.13</v>
      </c>
      <c r="K46" s="43">
        <f t="shared" si="47"/>
        <v>39</v>
      </c>
      <c r="L46" s="43">
        <f t="shared" si="48"/>
        <v>14961</v>
      </c>
      <c r="M46" s="43"/>
      <c r="N46" s="43">
        <f t="shared" si="49"/>
        <v>14961</v>
      </c>
      <c r="O46" s="43">
        <f t="shared" si="50"/>
        <v>1050</v>
      </c>
      <c r="P46" s="42">
        <v>9000</v>
      </c>
      <c r="Q46" s="42">
        <v>35</v>
      </c>
      <c r="R46" s="42">
        <f t="shared" si="51"/>
        <v>523635</v>
      </c>
    </row>
    <row r="47" spans="1:18">
      <c r="A47" s="374"/>
      <c r="B47" s="42" t="s">
        <v>632</v>
      </c>
      <c r="C47" s="42" t="s">
        <v>24</v>
      </c>
      <c r="D47" s="42" t="s">
        <v>16</v>
      </c>
      <c r="E47" s="47" t="s">
        <v>3474</v>
      </c>
      <c r="F47" s="47">
        <v>646</v>
      </c>
      <c r="G47" s="47"/>
      <c r="H47" s="47">
        <v>14990</v>
      </c>
      <c r="I47" s="47">
        <v>300</v>
      </c>
      <c r="J47" s="47">
        <v>0.13</v>
      </c>
      <c r="K47" s="43">
        <f t="shared" si="47"/>
        <v>39</v>
      </c>
      <c r="L47" s="43">
        <f t="shared" si="48"/>
        <v>14951</v>
      </c>
      <c r="M47" s="43"/>
      <c r="N47" s="43">
        <f t="shared" si="49"/>
        <v>14951</v>
      </c>
      <c r="O47" s="43">
        <f t="shared" si="50"/>
        <v>1049.3</v>
      </c>
      <c r="P47" s="42">
        <v>9000</v>
      </c>
      <c r="Q47" s="42">
        <v>35</v>
      </c>
      <c r="R47" s="42">
        <f t="shared" si="51"/>
        <v>523285</v>
      </c>
    </row>
    <row r="49" spans="1:19">
      <c r="A49" s="1" t="s">
        <v>3485</v>
      </c>
      <c r="B49" s="42" t="s">
        <v>632</v>
      </c>
      <c r="C49" s="42" t="s">
        <v>24</v>
      </c>
      <c r="D49" s="42" t="s">
        <v>16</v>
      </c>
      <c r="E49" s="47" t="s">
        <v>3429</v>
      </c>
      <c r="F49" s="47">
        <v>531</v>
      </c>
      <c r="G49" s="47"/>
      <c r="H49" s="47">
        <v>15000</v>
      </c>
      <c r="I49" s="47">
        <v>300</v>
      </c>
      <c r="J49" s="47">
        <v>0.13</v>
      </c>
      <c r="K49" s="43">
        <f t="shared" ref="K49:K51" si="52">I49*J49</f>
        <v>39</v>
      </c>
      <c r="L49" s="43">
        <f t="shared" ref="L49:L51" si="53">H49-K49</f>
        <v>14961</v>
      </c>
      <c r="M49" s="43"/>
      <c r="N49" s="43">
        <f t="shared" ref="N49:N51" si="54">L49-M49</f>
        <v>14961</v>
      </c>
      <c r="O49" s="43">
        <f t="shared" ref="O49:O51" si="55">H49/1000*70</f>
        <v>1050</v>
      </c>
      <c r="P49" s="42">
        <v>9200</v>
      </c>
      <c r="Q49" s="42">
        <v>35</v>
      </c>
      <c r="R49" s="42">
        <f t="shared" ref="R49:R51" si="56">L49*Q49</f>
        <v>523635</v>
      </c>
    </row>
    <row r="50" spans="1:19">
      <c r="A50" s="374" t="s">
        <v>3492</v>
      </c>
      <c r="B50" s="42" t="s">
        <v>632</v>
      </c>
      <c r="C50" s="42" t="s">
        <v>24</v>
      </c>
      <c r="D50" s="42" t="s">
        <v>16</v>
      </c>
      <c r="E50" s="47" t="s">
        <v>3496</v>
      </c>
      <c r="F50" s="47">
        <v>539</v>
      </c>
      <c r="G50" s="47"/>
      <c r="H50" s="47">
        <v>15000</v>
      </c>
      <c r="I50" s="47">
        <v>300</v>
      </c>
      <c r="J50" s="47">
        <v>0.13</v>
      </c>
      <c r="K50" s="43">
        <f t="shared" si="52"/>
        <v>39</v>
      </c>
      <c r="L50" s="43">
        <f t="shared" si="53"/>
        <v>14961</v>
      </c>
      <c r="M50" s="43"/>
      <c r="N50" s="43">
        <f t="shared" si="54"/>
        <v>14961</v>
      </c>
      <c r="O50" s="43">
        <f t="shared" si="55"/>
        <v>1050</v>
      </c>
      <c r="P50" s="42">
        <v>9500</v>
      </c>
      <c r="Q50" s="42">
        <v>35</v>
      </c>
      <c r="R50" s="42">
        <f t="shared" si="56"/>
        <v>523635</v>
      </c>
    </row>
    <row r="51" spans="1:19">
      <c r="A51" s="374"/>
      <c r="B51" s="42" t="s">
        <v>632</v>
      </c>
      <c r="C51" s="42" t="s">
        <v>24</v>
      </c>
      <c r="D51" s="42" t="s">
        <v>16</v>
      </c>
      <c r="E51" s="47" t="s">
        <v>3497</v>
      </c>
      <c r="F51" s="47">
        <v>541</v>
      </c>
      <c r="G51" s="47"/>
      <c r="H51" s="47">
        <v>15000</v>
      </c>
      <c r="I51" s="47">
        <v>300</v>
      </c>
      <c r="J51" s="47">
        <v>0.13</v>
      </c>
      <c r="K51" s="43">
        <f t="shared" si="52"/>
        <v>39</v>
      </c>
      <c r="L51" s="43">
        <f t="shared" si="53"/>
        <v>14961</v>
      </c>
      <c r="M51" s="43"/>
      <c r="N51" s="43">
        <f t="shared" si="54"/>
        <v>14961</v>
      </c>
      <c r="O51" s="43">
        <f t="shared" si="55"/>
        <v>1050</v>
      </c>
      <c r="P51" s="42"/>
      <c r="Q51" s="42">
        <v>35</v>
      </c>
      <c r="R51" s="42">
        <f t="shared" si="56"/>
        <v>523635</v>
      </c>
    </row>
    <row r="53" spans="1:19">
      <c r="A53" s="1" t="s">
        <v>3515</v>
      </c>
      <c r="B53" s="42" t="s">
        <v>3210</v>
      </c>
      <c r="C53" s="42" t="s">
        <v>24</v>
      </c>
      <c r="D53" s="42" t="s">
        <v>16</v>
      </c>
      <c r="E53" s="47" t="s">
        <v>2199</v>
      </c>
      <c r="F53" s="47">
        <v>547</v>
      </c>
      <c r="G53" s="47"/>
      <c r="H53" s="47">
        <v>15000</v>
      </c>
      <c r="I53" s="47">
        <v>300</v>
      </c>
      <c r="J53" s="47">
        <v>0.13</v>
      </c>
      <c r="K53" s="43">
        <f t="shared" ref="K53" si="57">I53*J53</f>
        <v>39</v>
      </c>
      <c r="L53" s="43">
        <f t="shared" ref="L53" si="58">H53-K53</f>
        <v>14961</v>
      </c>
      <c r="M53" s="43"/>
      <c r="N53" s="43">
        <f t="shared" ref="N53" si="59">L53-M53</f>
        <v>14961</v>
      </c>
      <c r="O53" s="43">
        <f t="shared" ref="O53" si="60">H53/1000*70</f>
        <v>1050</v>
      </c>
      <c r="P53" s="42">
        <v>11000</v>
      </c>
      <c r="Q53" s="42">
        <v>35.5</v>
      </c>
      <c r="R53" s="42">
        <f t="shared" ref="R53" si="61">L53*Q53</f>
        <v>531115.5</v>
      </c>
    </row>
    <row r="55" spans="1:19">
      <c r="A55" s="1" t="s">
        <v>3543</v>
      </c>
      <c r="B55" s="42" t="s">
        <v>3210</v>
      </c>
      <c r="C55" s="42" t="s">
        <v>24</v>
      </c>
      <c r="D55" s="42" t="s">
        <v>16</v>
      </c>
      <c r="E55" s="47" t="s">
        <v>3497</v>
      </c>
      <c r="F55" s="47">
        <v>662</v>
      </c>
      <c r="G55" s="47"/>
      <c r="H55" s="47">
        <v>14950</v>
      </c>
      <c r="I55" s="47">
        <v>300</v>
      </c>
      <c r="J55" s="47">
        <v>0.13</v>
      </c>
      <c r="K55" s="43">
        <f t="shared" ref="K55" si="62">I55*J55</f>
        <v>39</v>
      </c>
      <c r="L55" s="43">
        <f t="shared" ref="L55" si="63">H55-K55</f>
        <v>14911</v>
      </c>
      <c r="M55" s="43"/>
      <c r="N55" s="43">
        <f t="shared" ref="N55" si="64">L55-M55</f>
        <v>14911</v>
      </c>
      <c r="O55" s="43">
        <f t="shared" ref="O55" si="65">H55/1000*70</f>
        <v>1046.5</v>
      </c>
      <c r="P55" s="42">
        <v>9800</v>
      </c>
      <c r="Q55" s="42"/>
      <c r="R55" s="42">
        <f t="shared" ref="R55" si="66">L55*Q55</f>
        <v>0</v>
      </c>
    </row>
    <row r="57" spans="1:19">
      <c r="A57" s="1" t="s">
        <v>3595</v>
      </c>
      <c r="B57" s="42" t="s">
        <v>3210</v>
      </c>
      <c r="C57" s="42" t="s">
        <v>24</v>
      </c>
      <c r="D57" s="42" t="s">
        <v>16</v>
      </c>
      <c r="E57" s="47" t="s">
        <v>3433</v>
      </c>
      <c r="F57" s="47">
        <v>691</v>
      </c>
      <c r="G57" s="47"/>
      <c r="H57" s="47">
        <v>15000</v>
      </c>
      <c r="I57" s="47">
        <v>300</v>
      </c>
      <c r="J57" s="47">
        <v>0.13</v>
      </c>
      <c r="K57" s="43">
        <f t="shared" ref="K57" si="67">I57*J57</f>
        <v>39</v>
      </c>
      <c r="L57" s="43">
        <f t="shared" ref="L57" si="68">H57-K57</f>
        <v>14961</v>
      </c>
      <c r="M57" s="43"/>
      <c r="N57" s="43">
        <f t="shared" ref="N57" si="69">L57-M57</f>
        <v>14961</v>
      </c>
      <c r="O57" s="43">
        <f t="shared" ref="O57" si="70">H57/1000*70</f>
        <v>1050</v>
      </c>
      <c r="P57" s="42">
        <v>9500</v>
      </c>
      <c r="Q57" s="42"/>
      <c r="R57" s="42">
        <f t="shared" ref="R57" si="71">L57*Q57</f>
        <v>0</v>
      </c>
      <c r="S57" s="42"/>
    </row>
    <row r="59" spans="1:19">
      <c r="A59" s="1" t="s">
        <v>3632</v>
      </c>
      <c r="B59" s="42" t="s">
        <v>3616</v>
      </c>
      <c r="C59" s="42" t="s">
        <v>24</v>
      </c>
      <c r="D59" s="42" t="s">
        <v>16</v>
      </c>
      <c r="E59" s="47" t="s">
        <v>3617</v>
      </c>
      <c r="F59" s="47">
        <v>729</v>
      </c>
      <c r="G59" s="47">
        <v>2616</v>
      </c>
      <c r="H59" s="47">
        <v>15000</v>
      </c>
      <c r="I59" s="47">
        <v>300</v>
      </c>
      <c r="J59" s="47">
        <v>0.13</v>
      </c>
      <c r="K59" s="43">
        <f t="shared" ref="K59" si="72">I59*J59</f>
        <v>39</v>
      </c>
      <c r="L59" s="43">
        <f t="shared" ref="L59" si="73">H59-K59</f>
        <v>14961</v>
      </c>
      <c r="M59" s="43"/>
      <c r="N59" s="43">
        <f t="shared" ref="N59" si="74">L59-M59</f>
        <v>14961</v>
      </c>
      <c r="O59" s="43">
        <f t="shared" ref="O59" si="75">H59/1000*70</f>
        <v>1050</v>
      </c>
      <c r="P59" s="42">
        <v>9000</v>
      </c>
      <c r="Q59" s="42">
        <v>35.25</v>
      </c>
      <c r="R59" s="42">
        <f t="shared" ref="R59" si="76">L59*Q59</f>
        <v>527375.25</v>
      </c>
    </row>
    <row r="61" spans="1:19">
      <c r="A61" s="1" t="s">
        <v>3666</v>
      </c>
      <c r="B61" s="42" t="s">
        <v>632</v>
      </c>
      <c r="C61" s="42" t="s">
        <v>24</v>
      </c>
      <c r="D61" s="42" t="s">
        <v>16</v>
      </c>
      <c r="E61" s="47" t="s">
        <v>3674</v>
      </c>
      <c r="F61" s="47">
        <v>777</v>
      </c>
      <c r="G61" s="47"/>
      <c r="H61" s="47">
        <v>15000</v>
      </c>
      <c r="I61" s="47">
        <v>300</v>
      </c>
      <c r="J61" s="47">
        <v>0.13</v>
      </c>
      <c r="K61" s="43">
        <f t="shared" ref="K61" si="77">I61*J61</f>
        <v>39</v>
      </c>
      <c r="L61" s="43">
        <f t="shared" ref="L61" si="78">H61-K61</f>
        <v>14961</v>
      </c>
      <c r="M61" s="43"/>
      <c r="N61" s="43">
        <f t="shared" ref="N61" si="79">L61-M61</f>
        <v>14961</v>
      </c>
      <c r="O61" s="43">
        <f t="shared" ref="O61" si="80">H61/1000*70</f>
        <v>1050</v>
      </c>
      <c r="P61" s="42">
        <v>9000</v>
      </c>
      <c r="Q61" s="42"/>
      <c r="R61" s="42">
        <f t="shared" ref="R61" si="81">L61*Q61</f>
        <v>0</v>
      </c>
    </row>
    <row r="63" spans="1:19">
      <c r="A63" s="1" t="s">
        <v>3699</v>
      </c>
      <c r="B63" s="42" t="s">
        <v>632</v>
      </c>
      <c r="C63" s="42" t="s">
        <v>24</v>
      </c>
      <c r="D63" s="42" t="s">
        <v>16</v>
      </c>
      <c r="E63" s="47" t="s">
        <v>1677</v>
      </c>
      <c r="F63" s="47">
        <v>821</v>
      </c>
      <c r="G63" s="47"/>
      <c r="H63" s="47">
        <v>15000</v>
      </c>
      <c r="I63" s="47">
        <v>300</v>
      </c>
      <c r="J63" s="47">
        <v>0.13</v>
      </c>
      <c r="K63" s="43">
        <f t="shared" ref="K63" si="82">I63*J63</f>
        <v>39</v>
      </c>
      <c r="L63" s="43">
        <f t="shared" ref="L63" si="83">H63-K63</f>
        <v>14961</v>
      </c>
      <c r="M63" s="43"/>
      <c r="N63" s="43">
        <f t="shared" ref="N63" si="84">L63-M63</f>
        <v>14961</v>
      </c>
      <c r="O63" s="43">
        <f t="shared" ref="O63" si="85">H63/1000*70</f>
        <v>1050</v>
      </c>
      <c r="P63" s="42">
        <v>9300</v>
      </c>
      <c r="Q63" s="42"/>
      <c r="R63" s="42">
        <f t="shared" ref="R63" si="86">L63*Q63</f>
        <v>0</v>
      </c>
    </row>
    <row r="65" spans="1:19">
      <c r="A65" s="1" t="s">
        <v>3705</v>
      </c>
      <c r="B65" s="42" t="s">
        <v>632</v>
      </c>
      <c r="C65" s="42" t="s">
        <v>24</v>
      </c>
      <c r="D65" s="42" t="s">
        <v>16</v>
      </c>
      <c r="E65" s="47" t="s">
        <v>3711</v>
      </c>
      <c r="F65" s="47">
        <v>836</v>
      </c>
      <c r="G65" s="47"/>
      <c r="H65" s="47">
        <v>15000</v>
      </c>
      <c r="I65" s="47">
        <v>300</v>
      </c>
      <c r="J65" s="47">
        <v>0.13</v>
      </c>
      <c r="K65" s="43">
        <f t="shared" ref="K65" si="87">I65*J65</f>
        <v>39</v>
      </c>
      <c r="L65" s="43">
        <f t="shared" ref="L65" si="88">H65-K65</f>
        <v>14961</v>
      </c>
      <c r="M65" s="43"/>
      <c r="N65" s="43">
        <f t="shared" ref="N65" si="89">L65-M65</f>
        <v>14961</v>
      </c>
      <c r="O65" s="43">
        <f t="shared" ref="O65" si="90">H65/1000*70</f>
        <v>1050</v>
      </c>
      <c r="P65" s="42">
        <v>9500</v>
      </c>
      <c r="Q65" s="42"/>
      <c r="R65" s="42">
        <f t="shared" ref="R65" si="91">L65*Q65</f>
        <v>0</v>
      </c>
    </row>
    <row r="67" spans="1:19">
      <c r="A67" s="1" t="s">
        <v>3713</v>
      </c>
      <c r="B67" s="42" t="s">
        <v>632</v>
      </c>
      <c r="C67" s="42" t="s">
        <v>24</v>
      </c>
      <c r="D67" s="42" t="s">
        <v>16</v>
      </c>
      <c r="E67" s="47" t="s">
        <v>3714</v>
      </c>
      <c r="F67" s="47">
        <v>846</v>
      </c>
      <c r="G67" s="47"/>
      <c r="H67" s="47">
        <v>15000</v>
      </c>
      <c r="I67" s="47">
        <v>300</v>
      </c>
      <c r="J67" s="47">
        <v>0.13</v>
      </c>
      <c r="K67" s="43">
        <f t="shared" ref="K67" si="92">I67*J67</f>
        <v>39</v>
      </c>
      <c r="L67" s="43">
        <f t="shared" ref="L67" si="93">H67-K67</f>
        <v>14961</v>
      </c>
      <c r="M67" s="43"/>
      <c r="N67" s="43">
        <f t="shared" ref="N67" si="94">L67-M67</f>
        <v>14961</v>
      </c>
      <c r="O67" s="43">
        <f t="shared" ref="O67" si="95">H67/1000*70</f>
        <v>1050</v>
      </c>
      <c r="P67" s="42">
        <v>9000</v>
      </c>
      <c r="Q67" s="42"/>
      <c r="R67" s="42">
        <f t="shared" ref="R67" si="96">L67*Q67</f>
        <v>0</v>
      </c>
      <c r="S67" s="42"/>
    </row>
    <row r="69" spans="1:19">
      <c r="A69" s="1" t="s">
        <v>3721</v>
      </c>
      <c r="B69" s="42" t="s">
        <v>632</v>
      </c>
      <c r="C69" s="42" t="s">
        <v>24</v>
      </c>
      <c r="D69" s="42" t="s">
        <v>16</v>
      </c>
      <c r="E69" s="47" t="s">
        <v>3723</v>
      </c>
      <c r="F69" s="47">
        <v>865</v>
      </c>
      <c r="G69" s="47"/>
      <c r="H69" s="47">
        <v>14990</v>
      </c>
      <c r="I69" s="47">
        <v>300</v>
      </c>
      <c r="J69" s="47">
        <v>0.13</v>
      </c>
      <c r="K69" s="43">
        <f t="shared" ref="K69" si="97">I69*J69</f>
        <v>39</v>
      </c>
      <c r="L69" s="43">
        <f t="shared" ref="L69" si="98">H69-K69</f>
        <v>14951</v>
      </c>
      <c r="M69" s="43"/>
      <c r="N69" s="43">
        <f t="shared" ref="N69" si="99">L69-M69</f>
        <v>14951</v>
      </c>
      <c r="O69" s="43">
        <f t="shared" ref="O69" si="100">H69/1000*70</f>
        <v>1049.3</v>
      </c>
      <c r="P69" s="42">
        <v>9000</v>
      </c>
      <c r="Q69" s="42">
        <v>35</v>
      </c>
      <c r="R69" s="42">
        <f t="shared" ref="R69" si="101">L69*Q69</f>
        <v>523285</v>
      </c>
    </row>
    <row r="71" spans="1:19">
      <c r="A71" s="1" t="s">
        <v>3724</v>
      </c>
      <c r="B71" s="42" t="s">
        <v>632</v>
      </c>
      <c r="C71" s="42" t="s">
        <v>24</v>
      </c>
      <c r="D71" s="42" t="s">
        <v>16</v>
      </c>
      <c r="E71" s="47" t="s">
        <v>3726</v>
      </c>
      <c r="F71" s="47">
        <v>870</v>
      </c>
      <c r="G71" s="47"/>
      <c r="H71" s="47">
        <v>12500</v>
      </c>
      <c r="I71" s="47">
        <v>250</v>
      </c>
      <c r="J71" s="47">
        <v>0.13</v>
      </c>
      <c r="K71" s="43">
        <f t="shared" ref="K71" si="102">I71*J71</f>
        <v>32.5</v>
      </c>
      <c r="L71" s="43">
        <f t="shared" ref="L71" si="103">H71-K71</f>
        <v>12467.5</v>
      </c>
      <c r="M71" s="43"/>
      <c r="N71" s="43">
        <f t="shared" ref="N71" si="104">L71-M71</f>
        <v>12467.5</v>
      </c>
      <c r="O71" s="43">
        <f t="shared" ref="O71" si="105">H71/1000*70</f>
        <v>875</v>
      </c>
      <c r="P71" s="42">
        <v>8300</v>
      </c>
      <c r="Q71" s="42">
        <v>35</v>
      </c>
      <c r="R71" s="42">
        <f t="shared" ref="R71" si="106">L71*Q71</f>
        <v>436362.5</v>
      </c>
    </row>
    <row r="73" spans="1:19">
      <c r="A73" s="374" t="s">
        <v>2252</v>
      </c>
      <c r="B73" s="42" t="s">
        <v>632</v>
      </c>
      <c r="C73" s="42" t="s">
        <v>24</v>
      </c>
      <c r="D73" s="42" t="s">
        <v>16</v>
      </c>
      <c r="E73" s="47" t="s">
        <v>3730</v>
      </c>
      <c r="F73" s="47">
        <v>881</v>
      </c>
      <c r="G73" s="47"/>
      <c r="H73" s="47">
        <v>15000</v>
      </c>
      <c r="I73" s="47">
        <v>300</v>
      </c>
      <c r="J73" s="47">
        <v>0.13</v>
      </c>
      <c r="K73" s="43">
        <f t="shared" ref="K73:K76" si="107">I73*J73</f>
        <v>39</v>
      </c>
      <c r="L73" s="43">
        <f t="shared" ref="L73:L76" si="108">H73-K73</f>
        <v>14961</v>
      </c>
      <c r="M73" s="43"/>
      <c r="N73" s="43">
        <f t="shared" ref="N73:N76" si="109">L73-M73</f>
        <v>14961</v>
      </c>
      <c r="O73" s="43">
        <f t="shared" ref="O73:O76" si="110">H73/1000*70</f>
        <v>1050</v>
      </c>
      <c r="P73" s="42">
        <v>9700</v>
      </c>
      <c r="Q73" s="42"/>
      <c r="R73" s="42">
        <f t="shared" ref="R73:R76" si="111">L73*Q73</f>
        <v>0</v>
      </c>
    </row>
    <row r="74" spans="1:19">
      <c r="A74" s="374"/>
      <c r="B74" s="42" t="s">
        <v>632</v>
      </c>
      <c r="C74" s="42" t="s">
        <v>24</v>
      </c>
      <c r="D74" s="42" t="s">
        <v>16</v>
      </c>
      <c r="E74" s="47" t="s">
        <v>3731</v>
      </c>
      <c r="F74" s="47">
        <v>882</v>
      </c>
      <c r="G74" s="47"/>
      <c r="H74" s="47">
        <v>14990</v>
      </c>
      <c r="I74" s="47">
        <v>300</v>
      </c>
      <c r="J74" s="47">
        <v>0.13</v>
      </c>
      <c r="K74" s="43">
        <f t="shared" si="107"/>
        <v>39</v>
      </c>
      <c r="L74" s="43">
        <f t="shared" si="108"/>
        <v>14951</v>
      </c>
      <c r="M74" s="43"/>
      <c r="N74" s="43">
        <f t="shared" si="109"/>
        <v>14951</v>
      </c>
      <c r="O74" s="43">
        <f t="shared" si="110"/>
        <v>1049.3</v>
      </c>
      <c r="P74" s="42">
        <v>9700</v>
      </c>
      <c r="Q74" s="42"/>
      <c r="R74" s="42">
        <f t="shared" si="111"/>
        <v>0</v>
      </c>
    </row>
    <row r="75" spans="1:19">
      <c r="A75" s="374"/>
      <c r="B75" s="42" t="s">
        <v>632</v>
      </c>
      <c r="C75" s="42" t="s">
        <v>24</v>
      </c>
      <c r="D75" s="42" t="s">
        <v>16</v>
      </c>
      <c r="E75" s="47" t="s">
        <v>3732</v>
      </c>
      <c r="F75" s="47">
        <v>883</v>
      </c>
      <c r="G75" s="47"/>
      <c r="H75" s="47">
        <v>14980</v>
      </c>
      <c r="I75" s="47">
        <v>300</v>
      </c>
      <c r="J75" s="47">
        <v>0.13</v>
      </c>
      <c r="K75" s="43">
        <f t="shared" si="107"/>
        <v>39</v>
      </c>
      <c r="L75" s="43">
        <f t="shared" si="108"/>
        <v>14941</v>
      </c>
      <c r="M75" s="43"/>
      <c r="N75" s="43">
        <f t="shared" si="109"/>
        <v>14941</v>
      </c>
      <c r="O75" s="43">
        <f t="shared" si="110"/>
        <v>1048.6000000000001</v>
      </c>
      <c r="P75" s="42">
        <v>9700</v>
      </c>
      <c r="Q75" s="42"/>
      <c r="R75" s="42">
        <f t="shared" si="111"/>
        <v>0</v>
      </c>
    </row>
    <row r="76" spans="1:19">
      <c r="A76" s="374"/>
      <c r="B76" s="42" t="s">
        <v>632</v>
      </c>
      <c r="C76" s="42" t="s">
        <v>24</v>
      </c>
      <c r="D76" s="42" t="s">
        <v>16</v>
      </c>
      <c r="E76" s="47" t="s">
        <v>3733</v>
      </c>
      <c r="F76" s="47">
        <v>880</v>
      </c>
      <c r="G76" s="47"/>
      <c r="H76" s="47">
        <v>14990</v>
      </c>
      <c r="I76" s="47">
        <v>300</v>
      </c>
      <c r="J76" s="47">
        <v>0.13</v>
      </c>
      <c r="K76" s="43">
        <f t="shared" si="107"/>
        <v>39</v>
      </c>
      <c r="L76" s="43">
        <f t="shared" si="108"/>
        <v>14951</v>
      </c>
      <c r="M76" s="43"/>
      <c r="N76" s="43">
        <f t="shared" si="109"/>
        <v>14951</v>
      </c>
      <c r="O76" s="43">
        <f t="shared" si="110"/>
        <v>1049.3</v>
      </c>
      <c r="P76" s="42">
        <v>9700</v>
      </c>
      <c r="Q76" s="42"/>
      <c r="R76" s="42">
        <f t="shared" si="111"/>
        <v>0</v>
      </c>
    </row>
    <row r="78" spans="1:19">
      <c r="A78" s="374" t="s">
        <v>3744</v>
      </c>
      <c r="B78" s="42" t="s">
        <v>632</v>
      </c>
      <c r="C78" s="42" t="s">
        <v>24</v>
      </c>
      <c r="D78" s="42" t="s">
        <v>16</v>
      </c>
      <c r="E78" s="47" t="s">
        <v>3746</v>
      </c>
      <c r="F78" s="47">
        <v>883</v>
      </c>
      <c r="G78" s="47"/>
      <c r="H78" s="47">
        <v>15000</v>
      </c>
      <c r="I78" s="47">
        <v>300</v>
      </c>
      <c r="J78" s="47">
        <v>0.13</v>
      </c>
      <c r="K78" s="43">
        <f t="shared" ref="K78:K93" si="112">I78*J78</f>
        <v>39</v>
      </c>
      <c r="L78" s="43">
        <f t="shared" ref="L78:L93" si="113">H78-K78</f>
        <v>14961</v>
      </c>
      <c r="M78" s="43"/>
      <c r="N78" s="43">
        <f t="shared" ref="N78:N93" si="114">L78-M78</f>
        <v>14961</v>
      </c>
      <c r="O78" s="43">
        <f t="shared" ref="O78:O93" si="115">H78/1000*70</f>
        <v>1050</v>
      </c>
      <c r="P78" s="42">
        <v>8800</v>
      </c>
      <c r="Q78" s="42"/>
      <c r="R78" s="42">
        <f t="shared" ref="R78:R88" si="116">L78*Q78</f>
        <v>0</v>
      </c>
    </row>
    <row r="79" spans="1:19">
      <c r="A79" s="374"/>
      <c r="B79" s="42" t="s">
        <v>632</v>
      </c>
      <c r="C79" s="42" t="s">
        <v>24</v>
      </c>
      <c r="D79" s="42" t="s">
        <v>16</v>
      </c>
      <c r="E79" s="47" t="s">
        <v>3747</v>
      </c>
      <c r="F79" s="47">
        <v>884</v>
      </c>
      <c r="G79" s="47"/>
      <c r="H79" s="47">
        <v>15000</v>
      </c>
      <c r="I79" s="47">
        <v>300</v>
      </c>
      <c r="J79" s="47">
        <v>0.13</v>
      </c>
      <c r="K79" s="43">
        <f t="shared" si="112"/>
        <v>39</v>
      </c>
      <c r="L79" s="43">
        <f t="shared" si="113"/>
        <v>14961</v>
      </c>
      <c r="M79" s="43"/>
      <c r="N79" s="43">
        <f t="shared" si="114"/>
        <v>14961</v>
      </c>
      <c r="O79" s="43">
        <f t="shared" si="115"/>
        <v>1050</v>
      </c>
      <c r="P79" s="42">
        <v>8800</v>
      </c>
      <c r="Q79" s="42"/>
      <c r="R79" s="42">
        <f t="shared" si="116"/>
        <v>0</v>
      </c>
    </row>
    <row r="80" spans="1:19">
      <c r="A80" s="1" t="s">
        <v>3759</v>
      </c>
      <c r="B80" s="42" t="s">
        <v>632</v>
      </c>
      <c r="C80" s="42" t="s">
        <v>24</v>
      </c>
      <c r="D80" s="42" t="s">
        <v>16</v>
      </c>
      <c r="E80" s="47" t="s">
        <v>3092</v>
      </c>
      <c r="F80" s="47">
        <v>893</v>
      </c>
      <c r="G80" s="47"/>
      <c r="H80" s="47">
        <v>15000</v>
      </c>
      <c r="I80" s="47">
        <v>300</v>
      </c>
      <c r="J80" s="47">
        <v>0.13</v>
      </c>
      <c r="K80" s="43">
        <f t="shared" si="112"/>
        <v>39</v>
      </c>
      <c r="L80" s="43">
        <f t="shared" si="113"/>
        <v>14961</v>
      </c>
      <c r="M80" s="43"/>
      <c r="N80" s="43">
        <f t="shared" si="114"/>
        <v>14961</v>
      </c>
      <c r="O80" s="43">
        <f t="shared" si="115"/>
        <v>1050</v>
      </c>
      <c r="P80" s="42">
        <v>8800</v>
      </c>
      <c r="Q80" s="42"/>
      <c r="R80" s="42">
        <f t="shared" si="116"/>
        <v>0</v>
      </c>
      <c r="S80" s="85"/>
    </row>
    <row r="81" spans="1:20">
      <c r="A81" s="1" t="s">
        <v>3760</v>
      </c>
      <c r="B81" s="42" t="s">
        <v>632</v>
      </c>
      <c r="C81" s="42" t="s">
        <v>24</v>
      </c>
      <c r="D81" s="42" t="s">
        <v>16</v>
      </c>
      <c r="E81" s="47" t="s">
        <v>3764</v>
      </c>
      <c r="F81" s="47">
        <v>908</v>
      </c>
      <c r="G81" s="47"/>
      <c r="H81" s="47">
        <v>14990</v>
      </c>
      <c r="I81" s="47">
        <v>300</v>
      </c>
      <c r="J81" s="47">
        <v>0.13</v>
      </c>
      <c r="K81" s="43">
        <f t="shared" si="112"/>
        <v>39</v>
      </c>
      <c r="L81" s="43">
        <f t="shared" si="113"/>
        <v>14951</v>
      </c>
      <c r="M81" s="43"/>
      <c r="N81" s="43">
        <f t="shared" si="114"/>
        <v>14951</v>
      </c>
      <c r="O81" s="43">
        <f t="shared" si="115"/>
        <v>1049.3</v>
      </c>
      <c r="P81" s="42">
        <v>8800</v>
      </c>
      <c r="Q81" s="42"/>
      <c r="R81" s="42">
        <f t="shared" si="116"/>
        <v>0</v>
      </c>
    </row>
    <row r="82" spans="1:20">
      <c r="A82" s="1" t="s">
        <v>3775</v>
      </c>
      <c r="B82" s="42" t="s">
        <v>632</v>
      </c>
      <c r="C82" s="42" t="s">
        <v>3776</v>
      </c>
      <c r="D82" s="42" t="s">
        <v>16</v>
      </c>
      <c r="E82" s="47" t="s">
        <v>2582</v>
      </c>
      <c r="F82" s="47">
        <v>915</v>
      </c>
      <c r="G82" s="47"/>
      <c r="H82" s="47">
        <v>15000</v>
      </c>
      <c r="I82" s="47">
        <v>300</v>
      </c>
      <c r="J82" s="47">
        <v>0.13</v>
      </c>
      <c r="K82" s="43">
        <f t="shared" si="112"/>
        <v>39</v>
      </c>
      <c r="L82" s="43">
        <f t="shared" si="113"/>
        <v>14961</v>
      </c>
      <c r="M82" s="43"/>
      <c r="N82" s="43">
        <f t="shared" si="114"/>
        <v>14961</v>
      </c>
      <c r="O82" s="43">
        <f t="shared" si="115"/>
        <v>1050</v>
      </c>
      <c r="P82" s="42">
        <v>9000</v>
      </c>
      <c r="Q82" s="42">
        <v>16</v>
      </c>
      <c r="R82" s="42">
        <f t="shared" si="116"/>
        <v>239376</v>
      </c>
    </row>
    <row r="83" spans="1:20">
      <c r="A83" s="377" t="s">
        <v>3779</v>
      </c>
      <c r="B83" s="42" t="s">
        <v>632</v>
      </c>
      <c r="C83" s="42" t="s">
        <v>24</v>
      </c>
      <c r="D83" s="42" t="s">
        <v>16</v>
      </c>
      <c r="E83" s="47" t="s">
        <v>3782</v>
      </c>
      <c r="F83" s="47">
        <v>922</v>
      </c>
      <c r="G83" s="47"/>
      <c r="H83" s="47">
        <v>15000</v>
      </c>
      <c r="I83" s="47">
        <v>300</v>
      </c>
      <c r="J83" s="47">
        <v>0.13</v>
      </c>
      <c r="K83" s="43">
        <f t="shared" si="112"/>
        <v>39</v>
      </c>
      <c r="L83" s="43">
        <f t="shared" si="113"/>
        <v>14961</v>
      </c>
      <c r="M83" s="43"/>
      <c r="N83" s="43">
        <f t="shared" si="114"/>
        <v>14961</v>
      </c>
      <c r="O83" s="43">
        <f t="shared" si="115"/>
        <v>1050</v>
      </c>
      <c r="P83" s="42">
        <v>8800</v>
      </c>
      <c r="Q83" s="42">
        <v>35.299999999999997</v>
      </c>
      <c r="R83" s="42">
        <f t="shared" si="116"/>
        <v>528123.29999999993</v>
      </c>
    </row>
    <row r="84" spans="1:20">
      <c r="A84" s="377"/>
      <c r="B84" s="42" t="s">
        <v>632</v>
      </c>
      <c r="C84" s="42" t="s">
        <v>24</v>
      </c>
      <c r="D84" s="42" t="s">
        <v>16</v>
      </c>
      <c r="E84" s="47" t="s">
        <v>3783</v>
      </c>
      <c r="F84" s="47">
        <v>921</v>
      </c>
      <c r="G84" s="47"/>
      <c r="H84" s="47">
        <v>14980</v>
      </c>
      <c r="I84" s="47">
        <v>300</v>
      </c>
      <c r="J84" s="47">
        <v>0.13</v>
      </c>
      <c r="K84" s="43">
        <f t="shared" si="112"/>
        <v>39</v>
      </c>
      <c r="L84" s="43">
        <f t="shared" si="113"/>
        <v>14941</v>
      </c>
      <c r="M84" s="43"/>
      <c r="N84" s="43">
        <f t="shared" si="114"/>
        <v>14941</v>
      </c>
      <c r="O84" s="43">
        <f t="shared" si="115"/>
        <v>1048.6000000000001</v>
      </c>
      <c r="P84" s="42">
        <v>8800</v>
      </c>
      <c r="Q84" s="42">
        <v>35.299999999999997</v>
      </c>
      <c r="R84" s="42">
        <f t="shared" si="116"/>
        <v>527417.29999999993</v>
      </c>
    </row>
    <row r="85" spans="1:20">
      <c r="A85" s="21" t="s">
        <v>3803</v>
      </c>
      <c r="B85" s="42" t="s">
        <v>632</v>
      </c>
      <c r="C85" s="42" t="s">
        <v>24</v>
      </c>
      <c r="D85" s="42" t="s">
        <v>16</v>
      </c>
      <c r="E85" s="47" t="s">
        <v>3783</v>
      </c>
      <c r="F85" s="47">
        <v>956</v>
      </c>
      <c r="G85" s="47"/>
      <c r="H85" s="47">
        <v>14980</v>
      </c>
      <c r="I85" s="47">
        <v>300</v>
      </c>
      <c r="J85" s="47">
        <v>0.13</v>
      </c>
      <c r="K85" s="43">
        <f t="shared" si="112"/>
        <v>39</v>
      </c>
      <c r="L85" s="43">
        <f t="shared" si="113"/>
        <v>14941</v>
      </c>
      <c r="M85" s="43"/>
      <c r="N85" s="43">
        <f t="shared" si="114"/>
        <v>14941</v>
      </c>
      <c r="O85" s="43">
        <f t="shared" si="115"/>
        <v>1048.6000000000001</v>
      </c>
      <c r="P85" s="42">
        <v>8700</v>
      </c>
      <c r="Q85" s="42">
        <v>35.299999999999997</v>
      </c>
      <c r="R85" s="42">
        <f t="shared" si="116"/>
        <v>527417.29999999993</v>
      </c>
    </row>
    <row r="86" spans="1:20">
      <c r="A86" s="21" t="s">
        <v>3815</v>
      </c>
      <c r="B86" s="42" t="s">
        <v>632</v>
      </c>
      <c r="C86" s="42" t="s">
        <v>24</v>
      </c>
      <c r="D86" s="42" t="s">
        <v>16</v>
      </c>
      <c r="E86" s="47" t="s">
        <v>1824</v>
      </c>
      <c r="F86" s="47">
        <v>973</v>
      </c>
      <c r="G86" s="47"/>
      <c r="H86" s="47">
        <v>15000</v>
      </c>
      <c r="I86" s="47">
        <v>300</v>
      </c>
      <c r="J86" s="47">
        <v>0.13</v>
      </c>
      <c r="K86" s="43">
        <f t="shared" si="112"/>
        <v>39</v>
      </c>
      <c r="L86" s="43">
        <f t="shared" si="113"/>
        <v>14961</v>
      </c>
      <c r="M86" s="43"/>
      <c r="N86" s="43">
        <f t="shared" si="114"/>
        <v>14961</v>
      </c>
      <c r="O86" s="43">
        <f t="shared" si="115"/>
        <v>1050</v>
      </c>
      <c r="P86" s="42">
        <v>9000</v>
      </c>
      <c r="Q86" s="42"/>
      <c r="R86" s="42">
        <f t="shared" si="116"/>
        <v>0</v>
      </c>
      <c r="S86" s="85"/>
      <c r="T86" s="44"/>
    </row>
    <row r="87" spans="1:20">
      <c r="A87" s="21" t="s">
        <v>3821</v>
      </c>
      <c r="B87" s="42" t="s">
        <v>632</v>
      </c>
      <c r="C87" s="42" t="s">
        <v>24</v>
      </c>
      <c r="D87" s="42" t="s">
        <v>16</v>
      </c>
      <c r="E87" s="47" t="s">
        <v>3819</v>
      </c>
      <c r="F87" s="47">
        <v>976</v>
      </c>
      <c r="G87" s="47"/>
      <c r="H87" s="47">
        <v>14970</v>
      </c>
      <c r="I87" s="47">
        <v>300</v>
      </c>
      <c r="J87" s="47">
        <v>0.13</v>
      </c>
      <c r="K87" s="43">
        <f t="shared" si="112"/>
        <v>39</v>
      </c>
      <c r="L87" s="43">
        <f t="shared" si="113"/>
        <v>14931</v>
      </c>
      <c r="M87" s="43"/>
      <c r="N87" s="43">
        <f t="shared" si="114"/>
        <v>14931</v>
      </c>
      <c r="O87" s="43">
        <f t="shared" si="115"/>
        <v>1047.9000000000001</v>
      </c>
      <c r="P87" s="42">
        <v>8800</v>
      </c>
      <c r="Q87" s="42"/>
      <c r="R87" s="42">
        <f t="shared" si="116"/>
        <v>0</v>
      </c>
      <c r="S87" s="85"/>
    </row>
    <row r="88" spans="1:20">
      <c r="A88" s="21" t="s">
        <v>3870</v>
      </c>
      <c r="B88" s="42" t="s">
        <v>632</v>
      </c>
      <c r="C88" s="42" t="s">
        <v>24</v>
      </c>
      <c r="D88" s="42" t="s">
        <v>16</v>
      </c>
      <c r="E88" s="47" t="s">
        <v>3872</v>
      </c>
      <c r="F88" s="47">
        <v>1743</v>
      </c>
      <c r="G88" s="47"/>
      <c r="H88" s="47">
        <v>15450</v>
      </c>
      <c r="I88" s="47">
        <v>310</v>
      </c>
      <c r="J88" s="47">
        <v>0.13</v>
      </c>
      <c r="K88" s="43">
        <f t="shared" si="112"/>
        <v>40.300000000000004</v>
      </c>
      <c r="L88" s="43">
        <f t="shared" si="113"/>
        <v>15409.7</v>
      </c>
      <c r="M88" s="43"/>
      <c r="N88" s="43">
        <f t="shared" si="114"/>
        <v>15409.7</v>
      </c>
      <c r="O88" s="43">
        <f t="shared" si="115"/>
        <v>1081.5</v>
      </c>
      <c r="P88" s="42">
        <v>11000</v>
      </c>
      <c r="Q88" s="42"/>
      <c r="R88" s="42">
        <f t="shared" si="116"/>
        <v>0</v>
      </c>
      <c r="S88" s="42"/>
    </row>
    <row r="89" spans="1:20">
      <c r="A89" s="21" t="s">
        <v>3889</v>
      </c>
      <c r="B89" s="42" t="s">
        <v>632</v>
      </c>
      <c r="C89" s="42" t="s">
        <v>24</v>
      </c>
      <c r="D89" s="42" t="s">
        <v>16</v>
      </c>
      <c r="E89" s="42" t="s">
        <v>3746</v>
      </c>
      <c r="F89" s="42">
        <v>1018</v>
      </c>
      <c r="G89" s="42"/>
      <c r="H89" s="42">
        <v>15000</v>
      </c>
      <c r="I89" s="42">
        <v>300</v>
      </c>
      <c r="J89" s="42">
        <v>0.13</v>
      </c>
      <c r="K89" s="43">
        <f t="shared" si="112"/>
        <v>39</v>
      </c>
      <c r="L89" s="43">
        <f t="shared" si="113"/>
        <v>14961</v>
      </c>
      <c r="M89" s="43"/>
      <c r="N89" s="43">
        <f t="shared" si="114"/>
        <v>14961</v>
      </c>
      <c r="O89" s="43">
        <f t="shared" si="115"/>
        <v>1050</v>
      </c>
      <c r="P89" s="42">
        <v>9000</v>
      </c>
      <c r="Q89" s="42"/>
    </row>
    <row r="90" spans="1:20">
      <c r="A90" s="21" t="s">
        <v>3892</v>
      </c>
      <c r="B90" s="42" t="s">
        <v>632</v>
      </c>
      <c r="C90" s="42" t="s">
        <v>24</v>
      </c>
      <c r="D90" s="42" t="s">
        <v>16</v>
      </c>
      <c r="E90" s="47" t="s">
        <v>3169</v>
      </c>
      <c r="F90" s="47">
        <v>1023</v>
      </c>
      <c r="G90" s="47"/>
      <c r="H90" s="47">
        <v>14980</v>
      </c>
      <c r="I90" s="47">
        <v>300</v>
      </c>
      <c r="J90" s="47">
        <v>0.13</v>
      </c>
      <c r="K90" s="43">
        <f t="shared" si="112"/>
        <v>39</v>
      </c>
      <c r="L90" s="43">
        <f t="shared" si="113"/>
        <v>14941</v>
      </c>
      <c r="M90" s="43"/>
      <c r="N90" s="43">
        <f t="shared" si="114"/>
        <v>14941</v>
      </c>
      <c r="O90" s="43">
        <f t="shared" si="115"/>
        <v>1048.6000000000001</v>
      </c>
      <c r="P90" s="42">
        <v>9000</v>
      </c>
      <c r="Q90" s="42">
        <v>36.200000000000003</v>
      </c>
      <c r="R90" s="42">
        <f t="shared" ref="R90:R93" si="117">L90*Q90</f>
        <v>540864.20000000007</v>
      </c>
    </row>
    <row r="91" spans="1:20">
      <c r="A91" s="1" t="s">
        <v>3953</v>
      </c>
      <c r="B91" s="335" t="s">
        <v>632</v>
      </c>
      <c r="C91" s="335" t="s">
        <v>24</v>
      </c>
      <c r="D91" s="42" t="s">
        <v>16</v>
      </c>
      <c r="E91" s="335" t="s">
        <v>3954</v>
      </c>
      <c r="F91" s="335">
        <v>1042</v>
      </c>
      <c r="G91" s="335"/>
      <c r="H91" s="335">
        <v>15000</v>
      </c>
      <c r="I91" s="335">
        <v>300</v>
      </c>
      <c r="J91" s="335">
        <v>0.13</v>
      </c>
      <c r="K91" s="43">
        <f t="shared" si="112"/>
        <v>39</v>
      </c>
      <c r="L91" s="43">
        <f t="shared" si="113"/>
        <v>14961</v>
      </c>
      <c r="M91" s="43"/>
      <c r="N91" s="43">
        <f t="shared" si="114"/>
        <v>14961</v>
      </c>
      <c r="O91" s="43">
        <f t="shared" si="115"/>
        <v>1050</v>
      </c>
      <c r="P91" s="42">
        <v>9000</v>
      </c>
      <c r="Q91" s="42"/>
      <c r="R91" s="42">
        <f t="shared" si="117"/>
        <v>0</v>
      </c>
      <c r="S91" s="85"/>
    </row>
    <row r="92" spans="1:20">
      <c r="A92" s="1" t="s">
        <v>3963</v>
      </c>
      <c r="B92" s="338" t="s">
        <v>632</v>
      </c>
      <c r="C92" s="338" t="s">
        <v>24</v>
      </c>
      <c r="D92" s="42" t="s">
        <v>16</v>
      </c>
      <c r="E92" s="338" t="s">
        <v>3965</v>
      </c>
      <c r="F92" s="338">
        <v>1627</v>
      </c>
      <c r="G92" s="338"/>
      <c r="H92" s="338">
        <v>14970</v>
      </c>
      <c r="I92" s="338">
        <v>300</v>
      </c>
      <c r="J92" s="338">
        <v>0.13</v>
      </c>
      <c r="K92" s="43">
        <f t="shared" si="112"/>
        <v>39</v>
      </c>
      <c r="L92" s="43">
        <f t="shared" si="113"/>
        <v>14931</v>
      </c>
      <c r="M92" s="43"/>
      <c r="N92" s="43">
        <f t="shared" si="114"/>
        <v>14931</v>
      </c>
      <c r="O92" s="43">
        <f t="shared" si="115"/>
        <v>1047.9000000000001</v>
      </c>
      <c r="P92" s="42">
        <v>9200</v>
      </c>
      <c r="Q92" s="42">
        <v>36.200000000000003</v>
      </c>
      <c r="R92" s="42">
        <f t="shared" si="117"/>
        <v>540502.20000000007</v>
      </c>
    </row>
    <row r="93" spans="1:20">
      <c r="A93" s="1" t="s">
        <v>3975</v>
      </c>
      <c r="B93" s="345" t="s">
        <v>632</v>
      </c>
      <c r="C93" s="345" t="s">
        <v>24</v>
      </c>
      <c r="D93" s="42" t="s">
        <v>16</v>
      </c>
      <c r="E93" s="345" t="s">
        <v>2928</v>
      </c>
      <c r="F93" s="345">
        <v>1065</v>
      </c>
      <c r="G93" s="345"/>
      <c r="H93" s="345">
        <v>12500</v>
      </c>
      <c r="I93" s="345">
        <v>250</v>
      </c>
      <c r="J93" s="345">
        <v>0.13</v>
      </c>
      <c r="K93" s="43">
        <f t="shared" si="112"/>
        <v>32.5</v>
      </c>
      <c r="L93" s="43">
        <f t="shared" si="113"/>
        <v>12467.5</v>
      </c>
      <c r="M93" s="43"/>
      <c r="N93" s="43">
        <f t="shared" si="114"/>
        <v>12467.5</v>
      </c>
      <c r="O93" s="43">
        <f t="shared" si="115"/>
        <v>875</v>
      </c>
      <c r="P93" s="42">
        <v>10300</v>
      </c>
      <c r="Q93" s="42"/>
      <c r="R93" s="42">
        <f t="shared" si="117"/>
        <v>0</v>
      </c>
    </row>
  </sheetData>
  <mergeCells count="9">
    <mergeCell ref="A83:A84"/>
    <mergeCell ref="A78:A79"/>
    <mergeCell ref="A73:A76"/>
    <mergeCell ref="A50:A51"/>
    <mergeCell ref="A6:A7"/>
    <mergeCell ref="A8:A9"/>
    <mergeCell ref="A12:A15"/>
    <mergeCell ref="A30:A31"/>
    <mergeCell ref="A46:A47"/>
  </mergeCells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5:U62"/>
  <sheetViews>
    <sheetView topLeftCell="A49" workbookViewId="0">
      <selection activeCell="A63" sqref="A63"/>
    </sheetView>
  </sheetViews>
  <sheetFormatPr defaultRowHeight="14.4"/>
  <cols>
    <col min="1" max="1" width="8.88671875" style="1"/>
    <col min="2" max="2" width="22.21875" style="1" customWidth="1"/>
    <col min="3" max="3" width="10.77734375" style="1" customWidth="1"/>
    <col min="4" max="4" width="5.5546875" style="1" customWidth="1"/>
    <col min="5" max="5" width="8.88671875" style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0.399999999999999">
      <c r="A5" s="58" t="s">
        <v>3</v>
      </c>
      <c r="B5" s="58" t="s">
        <v>4</v>
      </c>
      <c r="C5" s="58" t="s">
        <v>5</v>
      </c>
      <c r="D5" s="58" t="s">
        <v>6</v>
      </c>
      <c r="E5" s="58" t="s">
        <v>37</v>
      </c>
      <c r="F5" s="59" t="s">
        <v>7</v>
      </c>
      <c r="G5" s="58" t="s">
        <v>8</v>
      </c>
      <c r="H5" s="58" t="s">
        <v>9</v>
      </c>
      <c r="I5" s="58" t="s">
        <v>10</v>
      </c>
      <c r="J5" s="59" t="s">
        <v>18</v>
      </c>
      <c r="K5" s="59" t="s">
        <v>17</v>
      </c>
      <c r="L5" s="58" t="s">
        <v>11</v>
      </c>
      <c r="M5" s="59" t="s">
        <v>36</v>
      </c>
      <c r="N5" s="58" t="s">
        <v>12</v>
      </c>
      <c r="O5" s="58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1">
      <c r="A6" s="69"/>
      <c r="B6" s="60"/>
      <c r="C6" s="60"/>
      <c r="D6" s="60"/>
      <c r="E6" s="60"/>
      <c r="F6" s="60"/>
      <c r="G6" s="60"/>
      <c r="H6" s="60"/>
      <c r="I6" s="60"/>
      <c r="J6" s="60"/>
      <c r="K6" s="60"/>
      <c r="L6" s="61"/>
      <c r="M6" s="61"/>
      <c r="N6" s="60"/>
      <c r="O6" s="62"/>
      <c r="P6" s="62"/>
      <c r="Q6" s="62"/>
      <c r="R6" s="62"/>
      <c r="S6" s="62"/>
      <c r="T6" s="62"/>
      <c r="U6" s="62"/>
    </row>
    <row r="7" spans="1:21">
      <c r="A7" s="69" t="s">
        <v>380</v>
      </c>
      <c r="B7" s="42" t="s">
        <v>381</v>
      </c>
      <c r="C7" s="42" t="s">
        <v>309</v>
      </c>
      <c r="D7" s="42" t="s">
        <v>16</v>
      </c>
      <c r="E7" s="42" t="s">
        <v>383</v>
      </c>
      <c r="F7" s="42">
        <v>185</v>
      </c>
      <c r="G7" s="42"/>
      <c r="H7" s="42">
        <v>5990</v>
      </c>
      <c r="I7" s="42">
        <v>154</v>
      </c>
      <c r="J7" s="42">
        <v>0.13</v>
      </c>
      <c r="K7" s="42">
        <f t="shared" ref="K7" si="0">I7*J7</f>
        <v>20.02</v>
      </c>
      <c r="L7" s="43">
        <f t="shared" ref="L7" si="1">H7-K7</f>
        <v>5969.98</v>
      </c>
      <c r="M7" s="43">
        <f t="shared" ref="M7" si="2">H7/1000*70</f>
        <v>419.3</v>
      </c>
      <c r="N7" s="42">
        <v>0</v>
      </c>
      <c r="O7" s="42">
        <v>46</v>
      </c>
      <c r="P7" s="42">
        <f t="shared" ref="P7" si="3">L7*O7</f>
        <v>274619.07999999996</v>
      </c>
      <c r="Q7" s="62"/>
      <c r="R7" s="62"/>
      <c r="S7" s="62"/>
      <c r="T7" s="62"/>
      <c r="U7" s="62"/>
    </row>
    <row r="8" spans="1:21">
      <c r="A8" s="388"/>
      <c r="B8" s="60"/>
      <c r="C8" s="60"/>
      <c r="D8" s="60"/>
      <c r="E8" s="60"/>
      <c r="F8" s="60"/>
      <c r="G8" s="60"/>
      <c r="H8" s="60"/>
      <c r="I8" s="60"/>
      <c r="J8" s="60"/>
      <c r="K8" s="60"/>
      <c r="L8" s="61"/>
      <c r="M8" s="61"/>
      <c r="N8" s="60"/>
      <c r="O8" s="62"/>
      <c r="P8" s="62"/>
      <c r="Q8" s="62"/>
      <c r="R8" s="62"/>
      <c r="S8" s="62"/>
      <c r="T8" s="62"/>
      <c r="U8" s="62"/>
    </row>
    <row r="9" spans="1:21">
      <c r="A9" s="388"/>
      <c r="B9" s="60"/>
      <c r="C9" s="60"/>
      <c r="D9" s="60"/>
      <c r="E9" s="60"/>
      <c r="F9" s="60"/>
      <c r="G9" s="60"/>
      <c r="H9" s="60"/>
      <c r="I9" s="60"/>
      <c r="J9" s="60"/>
      <c r="K9" s="60"/>
      <c r="L9" s="61"/>
      <c r="M9" s="61"/>
      <c r="N9" s="60"/>
      <c r="O9" s="62"/>
      <c r="P9" s="62"/>
      <c r="Q9" s="62"/>
      <c r="R9" s="62"/>
      <c r="S9" s="62"/>
      <c r="T9" s="62"/>
      <c r="U9" s="62"/>
    </row>
    <row r="10" spans="1:21">
      <c r="A10" s="374" t="s">
        <v>1161</v>
      </c>
      <c r="B10" s="42" t="s">
        <v>0</v>
      </c>
      <c r="C10" s="42" t="s">
        <v>24</v>
      </c>
      <c r="D10" s="42" t="s">
        <v>16</v>
      </c>
      <c r="E10" s="42" t="s">
        <v>1168</v>
      </c>
      <c r="F10" s="42">
        <v>498</v>
      </c>
      <c r="G10" s="42"/>
      <c r="H10" s="42">
        <v>5300</v>
      </c>
      <c r="I10" s="42">
        <f>H10/50</f>
        <v>106</v>
      </c>
      <c r="J10" s="42"/>
      <c r="K10" s="42">
        <f t="shared" ref="K10:K11" si="4">I10*J10</f>
        <v>0</v>
      </c>
      <c r="L10" s="43">
        <f t="shared" ref="L10:L11" si="5">H10-K10</f>
        <v>5300</v>
      </c>
      <c r="M10" s="43"/>
      <c r="N10" s="43">
        <f t="shared" ref="N10:N11" si="6">L10-M10</f>
        <v>5300</v>
      </c>
      <c r="O10" s="43">
        <f t="shared" ref="O10:O11" si="7">H10/1000*70</f>
        <v>371</v>
      </c>
      <c r="P10" s="42"/>
      <c r="Q10" s="42">
        <v>38.799999999999997</v>
      </c>
      <c r="R10" s="42">
        <f t="shared" ref="R10:R11" si="8">L10*Q10</f>
        <v>205639.99999999997</v>
      </c>
      <c r="S10" s="62"/>
      <c r="T10" s="62"/>
      <c r="U10" s="62"/>
    </row>
    <row r="11" spans="1:21">
      <c r="A11" s="374"/>
      <c r="B11" s="42" t="s">
        <v>0</v>
      </c>
      <c r="C11" s="42" t="s">
        <v>24</v>
      </c>
      <c r="D11" s="42" t="s">
        <v>16</v>
      </c>
      <c r="E11" s="42" t="s">
        <v>1169</v>
      </c>
      <c r="F11" s="42">
        <v>496</v>
      </c>
      <c r="G11" s="42"/>
      <c r="H11" s="42">
        <v>5000</v>
      </c>
      <c r="I11" s="42">
        <v>100</v>
      </c>
      <c r="J11" s="42"/>
      <c r="K11" s="42">
        <f t="shared" si="4"/>
        <v>0</v>
      </c>
      <c r="L11" s="43">
        <f t="shared" si="5"/>
        <v>5000</v>
      </c>
      <c r="M11" s="43"/>
      <c r="N11" s="43">
        <f t="shared" si="6"/>
        <v>5000</v>
      </c>
      <c r="O11" s="43">
        <f t="shared" si="7"/>
        <v>350</v>
      </c>
      <c r="P11" s="42">
        <v>0</v>
      </c>
      <c r="Q11" s="42">
        <v>38.799999999999997</v>
      </c>
      <c r="R11" s="42">
        <f t="shared" si="8"/>
        <v>194000</v>
      </c>
      <c r="S11" s="62"/>
      <c r="T11" s="62"/>
      <c r="U11" s="62"/>
    </row>
    <row r="12" spans="1:21">
      <c r="A12" s="63"/>
      <c r="B12" s="60"/>
      <c r="C12" s="64"/>
      <c r="D12" s="60"/>
      <c r="E12" s="60"/>
      <c r="F12" s="60"/>
      <c r="G12" s="60"/>
      <c r="H12" s="60"/>
      <c r="I12" s="60"/>
      <c r="J12" s="60"/>
      <c r="K12" s="61"/>
      <c r="L12" s="65"/>
      <c r="M12" s="61"/>
      <c r="N12" s="60"/>
      <c r="O12" s="60"/>
      <c r="P12" s="60"/>
      <c r="Q12" s="62"/>
      <c r="R12" s="62"/>
      <c r="S12" s="62"/>
      <c r="T12" s="62"/>
      <c r="U12" s="62"/>
    </row>
    <row r="13" spans="1:21">
      <c r="A13" s="63" t="s">
        <v>1170</v>
      </c>
      <c r="B13" s="42" t="s">
        <v>0</v>
      </c>
      <c r="C13" s="42" t="s">
        <v>24</v>
      </c>
      <c r="D13" s="42" t="s">
        <v>16</v>
      </c>
      <c r="E13" s="42" t="s">
        <v>1171</v>
      </c>
      <c r="F13" s="42">
        <v>3</v>
      </c>
      <c r="G13" s="42"/>
      <c r="H13" s="42">
        <v>9800</v>
      </c>
      <c r="I13" s="42">
        <v>196</v>
      </c>
      <c r="J13" s="42">
        <v>0.13</v>
      </c>
      <c r="K13" s="42">
        <f t="shared" ref="K13" si="9">I13*J13</f>
        <v>25.48</v>
      </c>
      <c r="L13" s="43">
        <f t="shared" ref="L13" si="10">H13-K13</f>
        <v>9774.52</v>
      </c>
      <c r="M13" s="43"/>
      <c r="N13" s="43">
        <f t="shared" ref="N13" si="11">L13-M13</f>
        <v>9774.52</v>
      </c>
      <c r="O13" s="43">
        <f t="shared" ref="O13" si="12">H13/1000*70</f>
        <v>686</v>
      </c>
      <c r="P13" s="42">
        <v>2500</v>
      </c>
      <c r="Q13" s="50">
        <f>370764/9775</f>
        <v>37.929820971867009</v>
      </c>
      <c r="R13" s="42">
        <f t="shared" ref="R13" si="13">L13*Q13</f>
        <v>370745.79368593352</v>
      </c>
      <c r="S13" s="62"/>
      <c r="T13" s="62"/>
      <c r="U13" s="62"/>
    </row>
    <row r="14" spans="1:21">
      <c r="A14" s="63"/>
      <c r="B14" s="60"/>
      <c r="C14" s="64"/>
      <c r="D14" s="60"/>
      <c r="E14" s="60"/>
      <c r="F14" s="60"/>
      <c r="G14" s="60"/>
      <c r="H14" s="60"/>
      <c r="I14" s="60"/>
      <c r="J14" s="60"/>
      <c r="K14" s="61"/>
      <c r="L14" s="65"/>
      <c r="M14" s="61"/>
      <c r="N14" s="60"/>
      <c r="O14" s="60"/>
      <c r="P14" s="60"/>
      <c r="Q14" s="62"/>
      <c r="R14" s="62"/>
      <c r="S14" s="62"/>
      <c r="T14" s="62"/>
      <c r="U14" s="62"/>
    </row>
    <row r="15" spans="1:21">
      <c r="A15" s="63" t="s">
        <v>1224</v>
      </c>
      <c r="B15" s="42" t="s">
        <v>1203</v>
      </c>
      <c r="C15" s="42" t="s">
        <v>24</v>
      </c>
      <c r="D15" s="42" t="s">
        <v>16</v>
      </c>
      <c r="E15" s="42" t="s">
        <v>1230</v>
      </c>
      <c r="F15" s="42">
        <v>7</v>
      </c>
      <c r="G15" s="42"/>
      <c r="H15" s="42">
        <v>12450</v>
      </c>
      <c r="I15" s="42">
        <v>250</v>
      </c>
      <c r="J15" s="42">
        <v>0.13</v>
      </c>
      <c r="K15" s="42">
        <v>33</v>
      </c>
      <c r="L15" s="43">
        <f t="shared" ref="L15:L18" si="14">H15-K15</f>
        <v>12417</v>
      </c>
      <c r="M15" s="43"/>
      <c r="N15" s="43">
        <f t="shared" ref="N15:N18" si="15">L15-M15</f>
        <v>12417</v>
      </c>
      <c r="O15" s="43">
        <f t="shared" ref="O15:O18" si="16">H15/1000*70</f>
        <v>871.5</v>
      </c>
      <c r="P15" s="42">
        <v>0</v>
      </c>
      <c r="Q15" s="42">
        <v>38</v>
      </c>
      <c r="R15" s="42">
        <f t="shared" ref="R15:R17" si="17">L15*Q15</f>
        <v>471846</v>
      </c>
      <c r="S15" s="62"/>
      <c r="T15" s="62"/>
      <c r="U15" s="62"/>
    </row>
    <row r="16" spans="1:21">
      <c r="A16" s="62" t="s">
        <v>1233</v>
      </c>
      <c r="B16" s="42" t="s">
        <v>1203</v>
      </c>
      <c r="C16" s="42" t="s">
        <v>24</v>
      </c>
      <c r="D16" s="42" t="s">
        <v>16</v>
      </c>
      <c r="E16" s="42" t="s">
        <v>1230</v>
      </c>
      <c r="F16" s="42">
        <v>8</v>
      </c>
      <c r="G16" s="42"/>
      <c r="H16" s="42">
        <v>14920</v>
      </c>
      <c r="I16" s="42">
        <v>302</v>
      </c>
      <c r="J16" s="42">
        <v>0.13</v>
      </c>
      <c r="K16" s="42">
        <v>39</v>
      </c>
      <c r="L16" s="43">
        <f t="shared" si="14"/>
        <v>14881</v>
      </c>
      <c r="M16" s="43"/>
      <c r="N16" s="43">
        <f t="shared" si="15"/>
        <v>14881</v>
      </c>
      <c r="O16" s="43">
        <f t="shared" si="16"/>
        <v>1044.4000000000001</v>
      </c>
      <c r="P16" s="42">
        <v>0</v>
      </c>
      <c r="Q16" s="42"/>
      <c r="R16" s="42">
        <f t="shared" si="17"/>
        <v>0</v>
      </c>
      <c r="S16" s="62"/>
      <c r="T16" s="62"/>
      <c r="U16" s="62"/>
    </row>
    <row r="17" spans="1:21">
      <c r="A17" s="21" t="s">
        <v>1245</v>
      </c>
      <c r="B17" s="42" t="s">
        <v>1203</v>
      </c>
      <c r="C17" s="42" t="s">
        <v>24</v>
      </c>
      <c r="D17" s="42" t="s">
        <v>16</v>
      </c>
      <c r="E17" s="42" t="s">
        <v>1246</v>
      </c>
      <c r="F17" s="42">
        <v>9</v>
      </c>
      <c r="G17" s="42"/>
      <c r="H17" s="42">
        <v>14730</v>
      </c>
      <c r="I17" s="42">
        <v>302</v>
      </c>
      <c r="J17" s="42">
        <v>0.13</v>
      </c>
      <c r="K17" s="42">
        <v>39</v>
      </c>
      <c r="L17" s="43">
        <f t="shared" si="14"/>
        <v>14691</v>
      </c>
      <c r="M17" s="43"/>
      <c r="N17" s="43">
        <f t="shared" si="15"/>
        <v>14691</v>
      </c>
      <c r="O17" s="43">
        <f t="shared" si="16"/>
        <v>1031.1000000000001</v>
      </c>
      <c r="P17" s="42">
        <v>0</v>
      </c>
      <c r="Q17" s="42"/>
      <c r="R17" s="42">
        <f t="shared" si="17"/>
        <v>0</v>
      </c>
      <c r="S17" s="62"/>
      <c r="T17" s="62"/>
      <c r="U17" s="62"/>
    </row>
    <row r="18" spans="1:21">
      <c r="A18" s="21" t="s">
        <v>1247</v>
      </c>
      <c r="B18" s="42" t="s">
        <v>1203</v>
      </c>
      <c r="C18" s="42" t="s">
        <v>24</v>
      </c>
      <c r="D18" s="42" t="s">
        <v>16</v>
      </c>
      <c r="E18" s="42" t="s">
        <v>1248</v>
      </c>
      <c r="F18" s="42">
        <v>204</v>
      </c>
      <c r="G18" s="42"/>
      <c r="H18" s="42">
        <v>7960</v>
      </c>
      <c r="I18" s="42">
        <f>45+45+70</f>
        <v>160</v>
      </c>
      <c r="J18" s="42">
        <v>0.13</v>
      </c>
      <c r="K18" s="42">
        <v>21</v>
      </c>
      <c r="L18" s="43">
        <f t="shared" si="14"/>
        <v>7939</v>
      </c>
      <c r="M18" s="43"/>
      <c r="N18" s="43">
        <f t="shared" si="15"/>
        <v>7939</v>
      </c>
      <c r="O18" s="43">
        <f t="shared" si="16"/>
        <v>557.20000000000005</v>
      </c>
      <c r="P18" s="42">
        <v>0</v>
      </c>
      <c r="Q18" s="62"/>
      <c r="R18" s="62"/>
      <c r="S18" s="62"/>
      <c r="T18" s="62"/>
      <c r="U18" s="62"/>
    </row>
    <row r="19" spans="1:21">
      <c r="A19" s="62"/>
      <c r="B19" s="67"/>
      <c r="C19" s="67"/>
      <c r="D19" s="67"/>
      <c r="E19" s="67"/>
      <c r="F19" s="67"/>
      <c r="G19" s="67"/>
      <c r="H19" s="67"/>
      <c r="I19" s="67"/>
      <c r="J19" s="67"/>
      <c r="K19" s="67"/>
      <c r="L19" s="68"/>
      <c r="M19" s="68"/>
      <c r="N19" s="67"/>
      <c r="O19" s="67"/>
      <c r="P19" s="67"/>
      <c r="Q19" s="62"/>
      <c r="R19" s="62"/>
      <c r="S19" s="62"/>
      <c r="T19" s="62"/>
      <c r="U19" s="62"/>
    </row>
    <row r="20" spans="1:21">
      <c r="A20" s="21" t="s">
        <v>1358</v>
      </c>
      <c r="B20" s="42" t="s">
        <v>1337</v>
      </c>
      <c r="C20" s="42" t="s">
        <v>24</v>
      </c>
      <c r="D20" s="42" t="s">
        <v>16</v>
      </c>
      <c r="E20" s="42" t="s">
        <v>383</v>
      </c>
      <c r="F20" s="42">
        <v>18</v>
      </c>
      <c r="G20" s="42"/>
      <c r="H20" s="42">
        <f>6990+5510</f>
        <v>12500</v>
      </c>
      <c r="I20" s="42">
        <v>250</v>
      </c>
      <c r="J20" s="42">
        <v>0.13</v>
      </c>
      <c r="K20" s="42">
        <v>33</v>
      </c>
      <c r="L20" s="43">
        <f t="shared" ref="L20" si="18">H20-K20</f>
        <v>12467</v>
      </c>
      <c r="M20" s="43"/>
      <c r="N20" s="43">
        <f t="shared" ref="N20" si="19">L20-M20</f>
        <v>12467</v>
      </c>
      <c r="O20" s="43">
        <f t="shared" ref="O20" si="20">H20/1000*70</f>
        <v>875</v>
      </c>
      <c r="P20" s="42">
        <v>0</v>
      </c>
      <c r="Q20" s="42">
        <v>39.5</v>
      </c>
      <c r="R20" s="42">
        <f t="shared" ref="R20" si="21">L20*Q20</f>
        <v>492446.5</v>
      </c>
      <c r="S20" s="62"/>
      <c r="T20" s="62"/>
      <c r="U20" s="62"/>
    </row>
    <row r="22" spans="1:21">
      <c r="A22" s="21" t="s">
        <v>1414</v>
      </c>
      <c r="B22" s="42" t="s">
        <v>1337</v>
      </c>
      <c r="C22" s="42" t="s">
        <v>24</v>
      </c>
      <c r="D22" s="42" t="s">
        <v>16</v>
      </c>
      <c r="E22" s="42" t="s">
        <v>1418</v>
      </c>
      <c r="F22" s="42">
        <v>23</v>
      </c>
      <c r="G22" s="42"/>
      <c r="H22" s="42">
        <v>12500</v>
      </c>
      <c r="I22" s="42">
        <v>250</v>
      </c>
      <c r="J22" s="42">
        <v>0.13</v>
      </c>
      <c r="K22" s="42">
        <v>33</v>
      </c>
      <c r="L22" s="43">
        <f t="shared" ref="L22:L23" si="22">H22-K22</f>
        <v>12467</v>
      </c>
      <c r="M22" s="43"/>
      <c r="N22" s="43">
        <f t="shared" ref="N22:N23" si="23">L22-M22</f>
        <v>12467</v>
      </c>
      <c r="O22" s="43">
        <f t="shared" ref="O22:O23" si="24">H22/1000*70</f>
        <v>875</v>
      </c>
      <c r="P22" s="42">
        <v>0</v>
      </c>
      <c r="Q22" s="42">
        <v>38.75</v>
      </c>
      <c r="R22" s="42">
        <f t="shared" ref="R22:R23" si="25">L22*Q22</f>
        <v>483096.25</v>
      </c>
    </row>
    <row r="23" spans="1:21">
      <c r="A23" s="21" t="s">
        <v>1445</v>
      </c>
      <c r="B23" s="169" t="s">
        <v>1337</v>
      </c>
      <c r="C23" s="42" t="s">
        <v>24</v>
      </c>
      <c r="D23" s="42" t="s">
        <v>16</v>
      </c>
      <c r="E23" s="42" t="s">
        <v>383</v>
      </c>
      <c r="F23" s="42">
        <v>206</v>
      </c>
      <c r="G23" s="42"/>
      <c r="H23" s="42">
        <v>7000</v>
      </c>
      <c r="I23" s="42">
        <v>140</v>
      </c>
      <c r="J23" s="42"/>
      <c r="K23" s="42">
        <f t="shared" ref="K23" si="26">I23*J23</f>
        <v>0</v>
      </c>
      <c r="L23" s="43">
        <f t="shared" si="22"/>
        <v>7000</v>
      </c>
      <c r="M23" s="43"/>
      <c r="N23" s="43">
        <f t="shared" si="23"/>
        <v>7000</v>
      </c>
      <c r="O23" s="43">
        <f t="shared" si="24"/>
        <v>490</v>
      </c>
      <c r="P23" s="42">
        <v>0</v>
      </c>
      <c r="Q23" s="42">
        <v>38</v>
      </c>
      <c r="R23" s="42">
        <f t="shared" si="25"/>
        <v>266000</v>
      </c>
    </row>
    <row r="25" spans="1:21">
      <c r="A25" s="21" t="s">
        <v>1456</v>
      </c>
      <c r="B25" s="169" t="s">
        <v>1337</v>
      </c>
      <c r="C25" s="42" t="s">
        <v>24</v>
      </c>
      <c r="D25" s="42" t="s">
        <v>16</v>
      </c>
      <c r="E25" s="42" t="s">
        <v>1418</v>
      </c>
      <c r="F25" s="42">
        <v>28</v>
      </c>
      <c r="G25" s="42"/>
      <c r="H25" s="42">
        <v>12500</v>
      </c>
      <c r="I25" s="42">
        <v>250</v>
      </c>
      <c r="J25" s="42">
        <v>0.13</v>
      </c>
      <c r="K25" s="42">
        <v>33</v>
      </c>
      <c r="L25" s="43">
        <f t="shared" ref="L25" si="27">H25-K25</f>
        <v>12467</v>
      </c>
      <c r="M25" s="43"/>
      <c r="N25" s="43">
        <f t="shared" ref="N25" si="28">L25-M25</f>
        <v>12467</v>
      </c>
      <c r="O25" s="43">
        <f t="shared" ref="O25" si="29">H25/1000*70</f>
        <v>875</v>
      </c>
      <c r="P25" s="42">
        <v>0</v>
      </c>
      <c r="Q25" s="42">
        <v>38.5</v>
      </c>
      <c r="R25" s="42">
        <f t="shared" ref="R25" si="30">L25*Q25</f>
        <v>479979.5</v>
      </c>
      <c r="S25" s="48"/>
    </row>
    <row r="27" spans="1:21">
      <c r="A27" s="21" t="s">
        <v>1463</v>
      </c>
      <c r="B27" s="169" t="s">
        <v>1337</v>
      </c>
      <c r="C27" s="42" t="s">
        <v>24</v>
      </c>
      <c r="D27" s="42" t="s">
        <v>16</v>
      </c>
      <c r="E27" s="42" t="s">
        <v>1452</v>
      </c>
      <c r="F27" s="42" t="s">
        <v>1464</v>
      </c>
      <c r="G27" s="42"/>
      <c r="H27" s="42">
        <v>12500</v>
      </c>
      <c r="I27" s="42">
        <v>250</v>
      </c>
      <c r="J27" s="42"/>
      <c r="K27" s="42">
        <f t="shared" ref="K27" si="31">I27*J27</f>
        <v>0</v>
      </c>
      <c r="L27" s="43">
        <f t="shared" ref="L27" si="32">H27-K27</f>
        <v>12500</v>
      </c>
      <c r="M27" s="43"/>
      <c r="N27" s="43">
        <f t="shared" ref="N27" si="33">L27-M27</f>
        <v>12500</v>
      </c>
      <c r="O27" s="43">
        <f t="shared" ref="O27" si="34">H27/1000*70</f>
        <v>875</v>
      </c>
      <c r="P27" s="42">
        <v>0</v>
      </c>
      <c r="Q27" s="42">
        <v>38.75</v>
      </c>
      <c r="R27" s="42">
        <f t="shared" ref="R27" si="35">L27*Q27</f>
        <v>484375</v>
      </c>
    </row>
    <row r="29" spans="1:21">
      <c r="A29" s="374" t="s">
        <v>1489</v>
      </c>
      <c r="B29" s="169" t="s">
        <v>1337</v>
      </c>
      <c r="C29" s="42" t="s">
        <v>24</v>
      </c>
      <c r="D29" s="42" t="s">
        <v>16</v>
      </c>
      <c r="E29" s="42" t="s">
        <v>1452</v>
      </c>
      <c r="F29" s="42">
        <v>38</v>
      </c>
      <c r="G29" s="42"/>
      <c r="H29" s="42">
        <v>5000</v>
      </c>
      <c r="I29" s="42">
        <v>100</v>
      </c>
      <c r="J29" s="42"/>
      <c r="K29" s="42">
        <f t="shared" ref="K29:K30" si="36">I29*J29</f>
        <v>0</v>
      </c>
      <c r="L29" s="43">
        <f t="shared" ref="L29:L30" si="37">H29-K29</f>
        <v>5000</v>
      </c>
      <c r="M29" s="43"/>
      <c r="N29" s="43">
        <f t="shared" ref="N29:N30" si="38">L29-M29</f>
        <v>5000</v>
      </c>
      <c r="O29" s="43">
        <f t="shared" ref="O29:O30" si="39">H29/1000*70</f>
        <v>350</v>
      </c>
      <c r="P29" s="42">
        <v>0</v>
      </c>
      <c r="Q29" s="42">
        <v>40.25</v>
      </c>
      <c r="R29" s="42">
        <f t="shared" ref="R29:R30" si="40">L29*Q29</f>
        <v>201250</v>
      </c>
    </row>
    <row r="30" spans="1:21">
      <c r="A30" s="374"/>
      <c r="B30" s="169" t="s">
        <v>1337</v>
      </c>
      <c r="C30" s="42" t="s">
        <v>24</v>
      </c>
      <c r="D30" s="42" t="s">
        <v>16</v>
      </c>
      <c r="E30" s="42" t="s">
        <v>383</v>
      </c>
      <c r="F30" s="42">
        <v>39</v>
      </c>
      <c r="G30" s="42"/>
      <c r="H30" s="42">
        <v>5000</v>
      </c>
      <c r="I30" s="42">
        <v>100</v>
      </c>
      <c r="J30" s="42"/>
      <c r="K30" s="42">
        <f t="shared" si="36"/>
        <v>0</v>
      </c>
      <c r="L30" s="43">
        <f t="shared" si="37"/>
        <v>5000</v>
      </c>
      <c r="M30" s="43"/>
      <c r="N30" s="43">
        <f t="shared" si="38"/>
        <v>5000</v>
      </c>
      <c r="O30" s="43">
        <f t="shared" si="39"/>
        <v>350</v>
      </c>
      <c r="P30" s="42">
        <v>0</v>
      </c>
      <c r="Q30" s="42">
        <v>40.25</v>
      </c>
      <c r="R30" s="42">
        <f t="shared" si="40"/>
        <v>201250</v>
      </c>
    </row>
    <row r="32" spans="1:21">
      <c r="A32" s="1" t="s">
        <v>1490</v>
      </c>
      <c r="B32" s="169" t="s">
        <v>1337</v>
      </c>
      <c r="C32" s="42" t="s">
        <v>24</v>
      </c>
      <c r="D32" s="42" t="s">
        <v>16</v>
      </c>
      <c r="E32" s="42" t="s">
        <v>1495</v>
      </c>
      <c r="F32" s="42">
        <v>41</v>
      </c>
      <c r="G32" s="42"/>
      <c r="H32" s="42">
        <v>15000</v>
      </c>
      <c r="I32" s="42">
        <v>300</v>
      </c>
      <c r="J32" s="42">
        <v>0.13</v>
      </c>
      <c r="K32" s="42">
        <f t="shared" ref="K32" si="41">I32*J32</f>
        <v>39</v>
      </c>
      <c r="L32" s="43">
        <f t="shared" ref="L32" si="42">H32-K32</f>
        <v>14961</v>
      </c>
      <c r="M32" s="43"/>
      <c r="N32" s="43">
        <f t="shared" ref="N32" si="43">L32-M32</f>
        <v>14961</v>
      </c>
      <c r="O32" s="43">
        <f t="shared" ref="O32" si="44">H32/1000*70</f>
        <v>1050</v>
      </c>
      <c r="P32" s="42">
        <v>20000</v>
      </c>
      <c r="Q32" s="42">
        <v>40.25</v>
      </c>
      <c r="R32" s="42">
        <f t="shared" ref="R32" si="45">L32*Q32</f>
        <v>602180.25</v>
      </c>
    </row>
    <row r="34" spans="1:18">
      <c r="A34" s="1" t="s">
        <v>1499</v>
      </c>
      <c r="B34" s="169" t="s">
        <v>1337</v>
      </c>
      <c r="C34" s="42" t="s">
        <v>24</v>
      </c>
      <c r="D34" s="42" t="s">
        <v>16</v>
      </c>
      <c r="E34" s="42" t="s">
        <v>1504</v>
      </c>
      <c r="F34" s="42">
        <v>42</v>
      </c>
      <c r="G34" s="42"/>
      <c r="H34" s="42">
        <v>12480</v>
      </c>
      <c r="I34" s="42">
        <v>250</v>
      </c>
      <c r="J34" s="42"/>
      <c r="K34" s="42">
        <f t="shared" ref="K34" si="46">I34*J34</f>
        <v>0</v>
      </c>
      <c r="L34" s="43">
        <f t="shared" ref="L34" si="47">H34-K34</f>
        <v>12480</v>
      </c>
      <c r="M34" s="43"/>
      <c r="N34" s="43">
        <f t="shared" ref="N34" si="48">L34-M34</f>
        <v>12480</v>
      </c>
      <c r="O34" s="43">
        <f t="shared" ref="O34" si="49">H34/1000*70</f>
        <v>873.6</v>
      </c>
      <c r="P34" s="42">
        <v>0</v>
      </c>
      <c r="Q34" s="42">
        <v>40.35</v>
      </c>
      <c r="R34" s="42">
        <f t="shared" ref="R34" si="50">L34*Q34</f>
        <v>503568</v>
      </c>
    </row>
    <row r="36" spans="1:18">
      <c r="A36" s="374" t="s">
        <v>1506</v>
      </c>
      <c r="B36" s="169" t="s">
        <v>1337</v>
      </c>
      <c r="C36" s="42" t="s">
        <v>24</v>
      </c>
      <c r="D36" s="42" t="s">
        <v>16</v>
      </c>
      <c r="E36" s="42" t="s">
        <v>1386</v>
      </c>
      <c r="F36" s="42">
        <v>43</v>
      </c>
      <c r="G36" s="42"/>
      <c r="H36" s="42">
        <v>2990</v>
      </c>
      <c r="I36" s="42">
        <v>60</v>
      </c>
      <c r="J36" s="42"/>
      <c r="K36" s="42">
        <f t="shared" ref="K36:K37" si="51">I36*J36</f>
        <v>0</v>
      </c>
      <c r="L36" s="43">
        <f t="shared" ref="L36:L37" si="52">H36-K36</f>
        <v>2990</v>
      </c>
      <c r="M36" s="43"/>
      <c r="N36" s="43">
        <f t="shared" ref="N36:N37" si="53">L36-M36</f>
        <v>2990</v>
      </c>
      <c r="O36" s="43">
        <f t="shared" ref="O36:O37" si="54">H36/1000*70</f>
        <v>209.3</v>
      </c>
      <c r="P36" s="42">
        <v>0</v>
      </c>
      <c r="Q36" s="42">
        <v>41</v>
      </c>
      <c r="R36" s="42">
        <f t="shared" ref="R36:R37" si="55">L36*Q36</f>
        <v>122590</v>
      </c>
    </row>
    <row r="37" spans="1:18">
      <c r="A37" s="374"/>
      <c r="B37" s="169" t="s">
        <v>1337</v>
      </c>
      <c r="C37" s="42" t="s">
        <v>24</v>
      </c>
      <c r="D37" s="42" t="s">
        <v>16</v>
      </c>
      <c r="E37" s="42" t="s">
        <v>1511</v>
      </c>
      <c r="F37" s="42">
        <v>44</v>
      </c>
      <c r="G37" s="42"/>
      <c r="H37" s="42">
        <v>9490</v>
      </c>
      <c r="I37" s="42">
        <v>190</v>
      </c>
      <c r="J37" s="42"/>
      <c r="K37" s="42">
        <f t="shared" si="51"/>
        <v>0</v>
      </c>
      <c r="L37" s="43">
        <f t="shared" si="52"/>
        <v>9490</v>
      </c>
      <c r="M37" s="43"/>
      <c r="N37" s="43">
        <f t="shared" si="53"/>
        <v>9490</v>
      </c>
      <c r="O37" s="43">
        <f t="shared" si="54"/>
        <v>664.30000000000007</v>
      </c>
      <c r="P37" s="42">
        <v>0</v>
      </c>
      <c r="Q37" s="42">
        <v>41</v>
      </c>
      <c r="R37" s="42">
        <f t="shared" si="55"/>
        <v>389090</v>
      </c>
    </row>
    <row r="39" spans="1:18">
      <c r="A39" s="1" t="s">
        <v>1542</v>
      </c>
      <c r="B39" s="42" t="s">
        <v>1327</v>
      </c>
      <c r="C39" s="42" t="s">
        <v>24</v>
      </c>
      <c r="D39" s="42" t="s">
        <v>16</v>
      </c>
      <c r="E39" s="42" t="s">
        <v>1548</v>
      </c>
      <c r="F39" s="42">
        <v>49</v>
      </c>
      <c r="G39" s="42"/>
      <c r="H39" s="42">
        <v>12500</v>
      </c>
      <c r="I39" s="42">
        <v>250</v>
      </c>
      <c r="J39" s="42">
        <v>0</v>
      </c>
      <c r="K39" s="42">
        <v>33</v>
      </c>
      <c r="L39" s="43">
        <f t="shared" ref="L39" si="56">H39-K39</f>
        <v>12467</v>
      </c>
      <c r="M39" s="43"/>
      <c r="N39" s="43">
        <f t="shared" ref="N39" si="57">L39-M39</f>
        <v>12467</v>
      </c>
      <c r="O39" s="43">
        <f t="shared" ref="O39" si="58">H39/1000*70</f>
        <v>875</v>
      </c>
      <c r="P39" s="42">
        <v>0</v>
      </c>
      <c r="Q39" s="42">
        <v>40.4</v>
      </c>
      <c r="R39" s="42">
        <f t="shared" ref="R39" si="59">L39*Q39</f>
        <v>503666.8</v>
      </c>
    </row>
    <row r="41" spans="1:18">
      <c r="A41" s="1" t="s">
        <v>1549</v>
      </c>
      <c r="B41" s="42" t="s">
        <v>1327</v>
      </c>
      <c r="C41" s="42" t="s">
        <v>24</v>
      </c>
      <c r="D41" s="42" t="s">
        <v>16</v>
      </c>
      <c r="E41" s="42" t="s">
        <v>1504</v>
      </c>
      <c r="F41" s="42">
        <v>53</v>
      </c>
      <c r="G41" s="42"/>
      <c r="H41" s="42">
        <v>12500</v>
      </c>
      <c r="I41" s="42">
        <v>250</v>
      </c>
      <c r="J41" s="42"/>
      <c r="K41" s="42">
        <f t="shared" ref="K41:K42" si="60">I41*J41</f>
        <v>0</v>
      </c>
      <c r="L41" s="43">
        <f t="shared" ref="L41:L42" si="61">H41-K41</f>
        <v>12500</v>
      </c>
      <c r="M41" s="43"/>
      <c r="N41" s="43">
        <f t="shared" ref="N41:N42" si="62">L41-M41</f>
        <v>12500</v>
      </c>
      <c r="O41" s="43">
        <f t="shared" ref="O41:O42" si="63">H41/1000*70</f>
        <v>875</v>
      </c>
      <c r="P41" s="42">
        <v>0</v>
      </c>
      <c r="Q41" s="42">
        <v>40.5</v>
      </c>
      <c r="R41" s="42">
        <f t="shared" ref="R41:R42" si="64">L41*Q41</f>
        <v>506250</v>
      </c>
    </row>
    <row r="42" spans="1:18">
      <c r="A42" s="1" t="s">
        <v>1554</v>
      </c>
      <c r="B42" s="42" t="s">
        <v>1327</v>
      </c>
      <c r="C42" s="42" t="s">
        <v>24</v>
      </c>
      <c r="D42" s="42" t="s">
        <v>16</v>
      </c>
      <c r="E42" s="42" t="s">
        <v>1418</v>
      </c>
      <c r="F42" s="42">
        <v>55</v>
      </c>
      <c r="G42" s="42"/>
      <c r="H42" s="42">
        <v>12500</v>
      </c>
      <c r="I42" s="42">
        <v>250</v>
      </c>
      <c r="J42" s="42"/>
      <c r="K42" s="42">
        <f t="shared" si="60"/>
        <v>0</v>
      </c>
      <c r="L42" s="43">
        <f t="shared" si="61"/>
        <v>12500</v>
      </c>
      <c r="M42" s="43"/>
      <c r="N42" s="43">
        <f t="shared" si="62"/>
        <v>12500</v>
      </c>
      <c r="O42" s="43">
        <f t="shared" si="63"/>
        <v>875</v>
      </c>
      <c r="P42" s="42"/>
      <c r="Q42" s="42">
        <v>40.5</v>
      </c>
      <c r="R42" s="42">
        <f t="shared" si="64"/>
        <v>506250</v>
      </c>
    </row>
    <row r="44" spans="1:18">
      <c r="A44" s="21" t="s">
        <v>1564</v>
      </c>
      <c r="B44" s="42" t="s">
        <v>1327</v>
      </c>
      <c r="C44" s="42" t="s">
        <v>24</v>
      </c>
      <c r="D44" s="42" t="s">
        <v>16</v>
      </c>
      <c r="E44" s="42" t="s">
        <v>383</v>
      </c>
      <c r="F44" s="42">
        <v>303</v>
      </c>
      <c r="G44" s="42"/>
      <c r="H44" s="42">
        <v>5000</v>
      </c>
      <c r="I44" s="42">
        <v>100</v>
      </c>
      <c r="J44" s="42"/>
      <c r="K44" s="42">
        <f t="shared" ref="K44" si="65">I44*J44</f>
        <v>0</v>
      </c>
      <c r="L44" s="43">
        <f t="shared" ref="L44" si="66">H44-K44</f>
        <v>5000</v>
      </c>
      <c r="M44" s="43"/>
      <c r="N44" s="43">
        <f t="shared" ref="N44" si="67">L44-M44</f>
        <v>5000</v>
      </c>
      <c r="O44" s="43">
        <f t="shared" ref="O44" si="68">H44/1000*70</f>
        <v>350</v>
      </c>
      <c r="P44" s="42">
        <v>0</v>
      </c>
      <c r="Q44" s="42">
        <v>41.5</v>
      </c>
      <c r="R44" s="42">
        <f t="shared" ref="R44" si="69">L44*Q44</f>
        <v>207500</v>
      </c>
    </row>
    <row r="46" spans="1:18">
      <c r="A46" s="374" t="s">
        <v>1631</v>
      </c>
      <c r="B46" s="42" t="s">
        <v>1327</v>
      </c>
      <c r="C46" s="42" t="s">
        <v>24</v>
      </c>
      <c r="D46" s="42" t="s">
        <v>16</v>
      </c>
      <c r="E46" s="42" t="s">
        <v>1168</v>
      </c>
      <c r="F46" s="42">
        <v>63</v>
      </c>
      <c r="G46" s="42"/>
      <c r="H46" s="42">
        <v>8000</v>
      </c>
      <c r="I46" s="42">
        <v>160</v>
      </c>
      <c r="J46" s="42"/>
      <c r="K46" s="42">
        <f t="shared" ref="K46:K47" si="70">I46*J46</f>
        <v>0</v>
      </c>
      <c r="L46" s="43">
        <f t="shared" ref="L46:L47" si="71">H46-K46</f>
        <v>8000</v>
      </c>
      <c r="M46" s="43"/>
      <c r="N46" s="43">
        <f t="shared" ref="N46:N47" si="72">L46-M46</f>
        <v>8000</v>
      </c>
      <c r="O46" s="43">
        <f t="shared" ref="O46:O47" si="73">H46/1000*70</f>
        <v>560</v>
      </c>
      <c r="P46" s="42">
        <v>0</v>
      </c>
      <c r="Q46" s="42">
        <v>40.85</v>
      </c>
      <c r="R46" s="42">
        <f t="shared" ref="R46:R47" si="74">L46*Q46</f>
        <v>326800</v>
      </c>
    </row>
    <row r="47" spans="1:18">
      <c r="A47" s="374"/>
      <c r="B47" s="42" t="s">
        <v>1327</v>
      </c>
      <c r="C47" s="42" t="s">
        <v>24</v>
      </c>
      <c r="D47" s="42" t="s">
        <v>16</v>
      </c>
      <c r="E47" s="42" t="s">
        <v>383</v>
      </c>
      <c r="F47" s="42">
        <v>64</v>
      </c>
      <c r="G47" s="42"/>
      <c r="H47" s="42">
        <v>6990</v>
      </c>
      <c r="I47" s="42">
        <v>140</v>
      </c>
      <c r="J47" s="42"/>
      <c r="K47" s="42">
        <f t="shared" si="70"/>
        <v>0</v>
      </c>
      <c r="L47" s="43">
        <f t="shared" si="71"/>
        <v>6990</v>
      </c>
      <c r="M47" s="43"/>
      <c r="N47" s="43">
        <f t="shared" si="72"/>
        <v>6990</v>
      </c>
      <c r="O47" s="43">
        <f t="shared" si="73"/>
        <v>489.3</v>
      </c>
      <c r="P47" s="42">
        <v>0</v>
      </c>
      <c r="Q47" s="42">
        <v>40.85</v>
      </c>
      <c r="R47" s="42">
        <f t="shared" si="74"/>
        <v>285541.5</v>
      </c>
    </row>
    <row r="49" spans="1:18">
      <c r="A49" s="1" t="s">
        <v>1756</v>
      </c>
      <c r="B49" s="42" t="s">
        <v>1757</v>
      </c>
      <c r="C49" s="42" t="s">
        <v>24</v>
      </c>
      <c r="D49" s="42" t="s">
        <v>16</v>
      </c>
      <c r="E49" s="42" t="s">
        <v>1168</v>
      </c>
      <c r="F49" s="42" t="s">
        <v>1758</v>
      </c>
      <c r="G49" s="42"/>
      <c r="H49" s="42">
        <f>5000+5000</f>
        <v>10000</v>
      </c>
      <c r="I49" s="42">
        <v>203</v>
      </c>
      <c r="J49" s="42"/>
      <c r="K49" s="42">
        <f t="shared" ref="K49" si="75">I49*J49</f>
        <v>0</v>
      </c>
      <c r="L49" s="43">
        <f t="shared" ref="L49" si="76">H49-K49</f>
        <v>10000</v>
      </c>
      <c r="M49" s="43"/>
      <c r="N49" s="43">
        <f t="shared" ref="N49" si="77">L49-M49</f>
        <v>10000</v>
      </c>
      <c r="O49" s="43">
        <v>0</v>
      </c>
      <c r="P49" s="211">
        <v>0</v>
      </c>
      <c r="Q49" s="211">
        <v>40</v>
      </c>
      <c r="R49" s="42">
        <f t="shared" ref="R49" si="78">L49*Q49</f>
        <v>400000</v>
      </c>
    </row>
    <row r="51" spans="1:18">
      <c r="A51" s="1" t="s">
        <v>1989</v>
      </c>
      <c r="B51" s="42" t="s">
        <v>1203</v>
      </c>
      <c r="C51" s="234" t="s">
        <v>24</v>
      </c>
      <c r="D51" s="234" t="s">
        <v>16</v>
      </c>
      <c r="E51" s="234" t="s">
        <v>1452</v>
      </c>
      <c r="F51" s="234" t="s">
        <v>1990</v>
      </c>
      <c r="G51" s="234"/>
      <c r="H51" s="234">
        <f>7880+2100</f>
        <v>9980</v>
      </c>
      <c r="I51" s="234">
        <f>158+42</f>
        <v>200</v>
      </c>
      <c r="J51" s="234"/>
      <c r="K51" s="5">
        <f t="shared" ref="K51" si="79">I51*J51</f>
        <v>0</v>
      </c>
      <c r="L51" s="19">
        <f t="shared" ref="L51" si="80">H51-K51</f>
        <v>9980</v>
      </c>
      <c r="M51" s="19"/>
      <c r="N51" s="43">
        <f t="shared" ref="N51" si="81">L51-M51</f>
        <v>9980</v>
      </c>
      <c r="O51" s="5">
        <f t="shared" ref="O51" si="82">H51/1000*70</f>
        <v>698.6</v>
      </c>
      <c r="P51" s="234">
        <v>0</v>
      </c>
      <c r="Q51" s="234">
        <v>37.5</v>
      </c>
      <c r="R51" s="42">
        <f t="shared" ref="R51" si="83">L51*Q51</f>
        <v>374250</v>
      </c>
    </row>
    <row r="53" spans="1:18">
      <c r="A53" s="374" t="s">
        <v>2000</v>
      </c>
      <c r="B53" s="42" t="s">
        <v>1203</v>
      </c>
      <c r="C53" s="238" t="s">
        <v>24</v>
      </c>
      <c r="D53" s="238" t="s">
        <v>16</v>
      </c>
      <c r="E53" s="238" t="s">
        <v>2001</v>
      </c>
      <c r="F53" s="238">
        <v>100</v>
      </c>
      <c r="G53" s="238"/>
      <c r="H53" s="238">
        <v>10000</v>
      </c>
      <c r="I53" s="238">
        <v>200</v>
      </c>
      <c r="J53" s="238"/>
      <c r="K53" s="5">
        <f t="shared" ref="K53:K54" si="84">I53*J53</f>
        <v>0</v>
      </c>
      <c r="L53" s="19">
        <f t="shared" ref="L53:L54" si="85">H53-K53</f>
        <v>10000</v>
      </c>
      <c r="M53" s="19"/>
      <c r="N53" s="43">
        <f t="shared" ref="N53:N54" si="86">L53-M53</f>
        <v>10000</v>
      </c>
      <c r="O53" s="5">
        <f t="shared" ref="O53:O54" si="87">H53/1000*70</f>
        <v>700</v>
      </c>
      <c r="P53" s="238">
        <v>0</v>
      </c>
      <c r="Q53" s="238">
        <v>37.5</v>
      </c>
      <c r="R53" s="42">
        <f t="shared" ref="R53:R54" si="88">L53*Q53</f>
        <v>375000</v>
      </c>
    </row>
    <row r="54" spans="1:18">
      <c r="A54" s="374"/>
      <c r="B54" s="42" t="s">
        <v>1203</v>
      </c>
      <c r="C54" s="238" t="s">
        <v>118</v>
      </c>
      <c r="D54" s="238" t="s">
        <v>16</v>
      </c>
      <c r="E54" s="238" t="s">
        <v>383</v>
      </c>
      <c r="F54" s="238">
        <v>99</v>
      </c>
      <c r="G54" s="238"/>
      <c r="H54" s="238">
        <v>5000</v>
      </c>
      <c r="I54" s="238">
        <v>100</v>
      </c>
      <c r="J54" s="238"/>
      <c r="K54" s="5">
        <f t="shared" si="84"/>
        <v>0</v>
      </c>
      <c r="L54" s="19">
        <f t="shared" si="85"/>
        <v>5000</v>
      </c>
      <c r="M54" s="19"/>
      <c r="N54" s="43">
        <f t="shared" si="86"/>
        <v>5000</v>
      </c>
      <c r="O54" s="5">
        <f t="shared" si="87"/>
        <v>350</v>
      </c>
      <c r="P54" s="238">
        <v>0</v>
      </c>
      <c r="Q54" s="238">
        <v>20</v>
      </c>
      <c r="R54" s="42">
        <f t="shared" si="88"/>
        <v>100000</v>
      </c>
    </row>
    <row r="56" spans="1:18">
      <c r="A56" s="1" t="s">
        <v>2003</v>
      </c>
      <c r="B56" s="42" t="s">
        <v>1203</v>
      </c>
      <c r="C56" s="240" t="s">
        <v>24</v>
      </c>
      <c r="D56" s="240" t="s">
        <v>16</v>
      </c>
      <c r="E56" s="240" t="s">
        <v>2005</v>
      </c>
      <c r="F56" s="240" t="s">
        <v>2006</v>
      </c>
      <c r="G56" s="240"/>
      <c r="H56" s="240">
        <f>2070+7950-20</f>
        <v>10000</v>
      </c>
      <c r="I56" s="240">
        <v>200</v>
      </c>
      <c r="J56" s="240"/>
      <c r="K56" s="5">
        <f t="shared" ref="K56" si="89">I56*J56</f>
        <v>0</v>
      </c>
      <c r="L56" s="19">
        <f t="shared" ref="L56" si="90">H56-K56</f>
        <v>10000</v>
      </c>
      <c r="M56" s="19"/>
      <c r="N56" s="43">
        <f t="shared" ref="N56" si="91">L56-M56</f>
        <v>10000</v>
      </c>
      <c r="O56" s="5">
        <f t="shared" ref="O56" si="92">H56/1000*70</f>
        <v>700</v>
      </c>
      <c r="P56" s="240">
        <v>0</v>
      </c>
      <c r="Q56" s="240">
        <v>37.5</v>
      </c>
      <c r="R56" s="42">
        <f t="shared" ref="R56" si="93">L56*Q56</f>
        <v>375000</v>
      </c>
    </row>
    <row r="58" spans="1:18">
      <c r="A58" s="1" t="s">
        <v>2051</v>
      </c>
      <c r="B58" s="42" t="s">
        <v>1203</v>
      </c>
      <c r="C58" s="42" t="s">
        <v>118</v>
      </c>
      <c r="D58" s="42" t="s">
        <v>16</v>
      </c>
      <c r="E58" s="42" t="s">
        <v>1452</v>
      </c>
      <c r="F58" s="42">
        <v>304</v>
      </c>
      <c r="G58" s="42"/>
      <c r="H58" s="42">
        <v>4990</v>
      </c>
      <c r="I58" s="42">
        <v>100</v>
      </c>
      <c r="J58" s="42"/>
      <c r="K58" s="43">
        <f t="shared" ref="K58" si="94">I58*J58</f>
        <v>0</v>
      </c>
      <c r="L58" s="43">
        <f t="shared" ref="L58" si="95">H58-K58</f>
        <v>4990</v>
      </c>
      <c r="M58" s="43"/>
      <c r="N58" s="43">
        <f t="shared" ref="N58" si="96">L58-M58</f>
        <v>4990</v>
      </c>
      <c r="O58" s="43">
        <f t="shared" ref="O58" si="97">H58/1000*70</f>
        <v>349.3</v>
      </c>
      <c r="P58" s="42">
        <v>0</v>
      </c>
      <c r="Q58" s="42">
        <v>20</v>
      </c>
      <c r="R58" s="42">
        <f t="shared" ref="R58" si="98">L58*Q58</f>
        <v>99800</v>
      </c>
    </row>
    <row r="60" spans="1:18">
      <c r="A60" s="1" t="s">
        <v>2083</v>
      </c>
      <c r="B60" s="42" t="s">
        <v>2084</v>
      </c>
      <c r="C60" s="42" t="s">
        <v>24</v>
      </c>
      <c r="D60" s="42" t="s">
        <v>16</v>
      </c>
      <c r="E60" s="42" t="s">
        <v>1452</v>
      </c>
      <c r="F60" s="42" t="s">
        <v>2085</v>
      </c>
      <c r="G60" s="42"/>
      <c r="H60" s="42">
        <f>6580+5910</f>
        <v>12490</v>
      </c>
      <c r="I60" s="42">
        <v>250</v>
      </c>
      <c r="J60" s="42"/>
      <c r="K60" s="43">
        <f t="shared" ref="K60" si="99">I60*J60</f>
        <v>0</v>
      </c>
      <c r="L60" s="43">
        <f t="shared" ref="L60" si="100">H60-K60</f>
        <v>12490</v>
      </c>
      <c r="M60" s="43"/>
      <c r="N60" s="43">
        <f t="shared" ref="N60" si="101">L60-M60</f>
        <v>12490</v>
      </c>
      <c r="O60" s="43">
        <f t="shared" ref="O60" si="102">H60/1000*70</f>
        <v>874.30000000000007</v>
      </c>
      <c r="P60" s="42">
        <v>0</v>
      </c>
      <c r="Q60" s="42">
        <v>37.5</v>
      </c>
      <c r="R60" s="42">
        <f t="shared" ref="R60" si="103">L60*Q60</f>
        <v>468375</v>
      </c>
    </row>
    <row r="62" spans="1:18">
      <c r="A62" s="1" t="s">
        <v>3149</v>
      </c>
      <c r="B62" s="42" t="s">
        <v>3156</v>
      </c>
      <c r="C62" s="42" t="s">
        <v>24</v>
      </c>
      <c r="D62" s="42" t="s">
        <v>16</v>
      </c>
      <c r="E62" s="42" t="s">
        <v>1196</v>
      </c>
      <c r="F62" s="42">
        <v>307</v>
      </c>
      <c r="G62" s="42"/>
      <c r="H62" s="42">
        <v>2000</v>
      </c>
      <c r="I62" s="42">
        <v>40</v>
      </c>
      <c r="J62" s="42"/>
      <c r="K62" s="43">
        <f t="shared" ref="K62" si="104">I62*J62</f>
        <v>0</v>
      </c>
      <c r="L62" s="43">
        <f t="shared" ref="L62" si="105">H62-K62</f>
        <v>2000</v>
      </c>
      <c r="M62" s="43"/>
      <c r="N62" s="43">
        <f t="shared" ref="N62" si="106">L62-M62</f>
        <v>2000</v>
      </c>
      <c r="O62" s="43">
        <f t="shared" ref="O62" si="107">H62/1000*70</f>
        <v>140</v>
      </c>
      <c r="P62" s="42">
        <v>0</v>
      </c>
      <c r="Q62" s="42">
        <v>35.5</v>
      </c>
      <c r="R62" s="42">
        <f t="shared" ref="R62" si="108">L62*Q62</f>
        <v>71000</v>
      </c>
    </row>
  </sheetData>
  <mergeCells count="6">
    <mergeCell ref="A53:A54"/>
    <mergeCell ref="A8:A9"/>
    <mergeCell ref="A10:A11"/>
    <mergeCell ref="A29:A30"/>
    <mergeCell ref="A36:A37"/>
    <mergeCell ref="A46:A47"/>
  </mergeCells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5:U43"/>
  <sheetViews>
    <sheetView topLeftCell="A22" workbookViewId="0">
      <selection activeCell="A44" sqref="A44"/>
    </sheetView>
  </sheetViews>
  <sheetFormatPr defaultRowHeight="14.4"/>
  <cols>
    <col min="1" max="1" width="8.88671875" style="1"/>
    <col min="2" max="2" width="13.88671875" style="1" customWidth="1"/>
    <col min="3" max="3" width="10.77734375" style="1" customWidth="1"/>
    <col min="4" max="4" width="5.5546875" style="1" customWidth="1"/>
    <col min="5" max="5" width="8.88671875" style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0.399999999999999">
      <c r="A5" s="58" t="s">
        <v>3</v>
      </c>
      <c r="B5" s="58" t="s">
        <v>4</v>
      </c>
      <c r="C5" s="58" t="s">
        <v>5</v>
      </c>
      <c r="D5" s="58" t="s">
        <v>6</v>
      </c>
      <c r="E5" s="58" t="s">
        <v>37</v>
      </c>
      <c r="F5" s="59" t="s">
        <v>7</v>
      </c>
      <c r="G5" s="58" t="s">
        <v>8</v>
      </c>
      <c r="H5" s="58" t="s">
        <v>9</v>
      </c>
      <c r="I5" s="58" t="s">
        <v>10</v>
      </c>
      <c r="J5" s="59" t="s">
        <v>18</v>
      </c>
      <c r="K5" s="59" t="s">
        <v>17</v>
      </c>
      <c r="L5" s="58" t="s">
        <v>11</v>
      </c>
      <c r="M5" s="59" t="s">
        <v>36</v>
      </c>
      <c r="N5" s="58" t="s">
        <v>12</v>
      </c>
      <c r="O5" s="58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1">
      <c r="A6" s="69"/>
      <c r="B6" s="60"/>
      <c r="C6" s="60"/>
      <c r="D6" s="60"/>
      <c r="E6" s="60"/>
      <c r="F6" s="60"/>
      <c r="G6" s="60"/>
      <c r="H6" s="60"/>
      <c r="I6" s="60"/>
      <c r="J6" s="60"/>
      <c r="K6" s="60"/>
      <c r="L6" s="61"/>
      <c r="M6" s="61"/>
      <c r="N6" s="60"/>
      <c r="O6" s="62"/>
      <c r="P6" s="62"/>
      <c r="Q6" s="62"/>
      <c r="R6" s="62"/>
      <c r="S6" s="62"/>
      <c r="T6" s="62"/>
      <c r="U6" s="62"/>
    </row>
    <row r="7" spans="1:21">
      <c r="A7" s="69" t="s">
        <v>463</v>
      </c>
      <c r="B7" s="42" t="s">
        <v>464</v>
      </c>
      <c r="C7" s="42" t="s">
        <v>24</v>
      </c>
      <c r="D7" s="42" t="s">
        <v>16</v>
      </c>
      <c r="E7" s="42" t="s">
        <v>465</v>
      </c>
      <c r="F7" s="42">
        <v>4429</v>
      </c>
      <c r="G7" s="42"/>
      <c r="H7" s="42">
        <v>16340</v>
      </c>
      <c r="I7" s="42">
        <v>327</v>
      </c>
      <c r="J7" s="42">
        <v>0.13</v>
      </c>
      <c r="K7" s="42">
        <f t="shared" ref="K7" si="0">I7*J7</f>
        <v>42.51</v>
      </c>
      <c r="L7" s="43">
        <f t="shared" ref="L7" si="1">H7-K7</f>
        <v>16297.49</v>
      </c>
      <c r="M7" s="43">
        <f t="shared" ref="M7" si="2">H7/1000*70</f>
        <v>1143.8</v>
      </c>
      <c r="N7" s="42">
        <v>0</v>
      </c>
      <c r="O7" s="42"/>
      <c r="P7" s="42">
        <f t="shared" ref="P7" si="3">L7*O7</f>
        <v>0</v>
      </c>
      <c r="Q7" s="62"/>
      <c r="R7" s="62"/>
      <c r="S7" s="62"/>
      <c r="T7" s="62"/>
      <c r="U7" s="62"/>
    </row>
    <row r="8" spans="1:21">
      <c r="A8" s="69"/>
      <c r="B8" s="60"/>
      <c r="C8" s="60"/>
      <c r="D8" s="60"/>
      <c r="E8" s="60"/>
      <c r="F8" s="60"/>
      <c r="G8" s="60"/>
      <c r="H8" s="60"/>
      <c r="I8" s="60"/>
      <c r="J8" s="60"/>
      <c r="K8" s="60"/>
      <c r="L8" s="61"/>
      <c r="M8" s="61"/>
      <c r="N8" s="60"/>
      <c r="O8" s="62"/>
      <c r="P8" s="62"/>
      <c r="Q8" s="62"/>
      <c r="R8" s="62"/>
      <c r="S8" s="62"/>
      <c r="T8" s="62"/>
      <c r="U8" s="62"/>
    </row>
    <row r="9" spans="1:21">
      <c r="A9" s="69" t="s">
        <v>695</v>
      </c>
      <c r="B9" s="42" t="s">
        <v>464</v>
      </c>
      <c r="C9" s="42" t="s">
        <v>24</v>
      </c>
      <c r="D9" s="42" t="s">
        <v>16</v>
      </c>
      <c r="E9" s="42" t="s">
        <v>537</v>
      </c>
      <c r="F9" s="42">
        <v>4242</v>
      </c>
      <c r="G9" s="42"/>
      <c r="H9" s="42">
        <v>16095</v>
      </c>
      <c r="I9" s="42">
        <v>322</v>
      </c>
      <c r="J9" s="42">
        <v>0.13</v>
      </c>
      <c r="K9" s="42">
        <v>42</v>
      </c>
      <c r="L9" s="43">
        <f t="shared" ref="L9:L14" si="4">H9-K9</f>
        <v>16053</v>
      </c>
      <c r="M9" s="43"/>
      <c r="N9" s="43">
        <f t="shared" ref="N9:N14" si="5">L9-M9</f>
        <v>16053</v>
      </c>
      <c r="O9" s="43">
        <f t="shared" ref="O9:O14" si="6">H9/1000*70</f>
        <v>1126.6499999999999</v>
      </c>
      <c r="P9" s="42">
        <v>0</v>
      </c>
      <c r="Q9" s="62"/>
      <c r="R9" s="62"/>
      <c r="S9" s="62"/>
      <c r="T9" s="62"/>
      <c r="U9" s="62"/>
    </row>
    <row r="10" spans="1:21">
      <c r="A10" s="374" t="s">
        <v>704</v>
      </c>
      <c r="B10" s="42" t="s">
        <v>464</v>
      </c>
      <c r="C10" s="42" t="s">
        <v>24</v>
      </c>
      <c r="D10" s="42" t="s">
        <v>16</v>
      </c>
      <c r="E10" s="42" t="s">
        <v>543</v>
      </c>
      <c r="F10" s="42">
        <v>4243</v>
      </c>
      <c r="G10" s="42"/>
      <c r="H10" s="42">
        <v>16040</v>
      </c>
      <c r="I10" s="42">
        <v>322</v>
      </c>
      <c r="J10" s="42">
        <v>0.13</v>
      </c>
      <c r="K10" s="42">
        <v>42</v>
      </c>
      <c r="L10" s="43">
        <f t="shared" si="4"/>
        <v>15998</v>
      </c>
      <c r="M10" s="43"/>
      <c r="N10" s="43">
        <f t="shared" si="5"/>
        <v>15998</v>
      </c>
      <c r="O10" s="43">
        <f t="shared" si="6"/>
        <v>1122.8</v>
      </c>
      <c r="P10" s="42">
        <v>0</v>
      </c>
      <c r="Q10" s="62"/>
      <c r="R10" s="62"/>
      <c r="S10" s="62"/>
      <c r="T10" s="62"/>
      <c r="U10" s="62"/>
    </row>
    <row r="11" spans="1:21">
      <c r="A11" s="374"/>
      <c r="B11" s="42" t="s">
        <v>464</v>
      </c>
      <c r="C11" s="42" t="s">
        <v>24</v>
      </c>
      <c r="D11" s="42" t="s">
        <v>16</v>
      </c>
      <c r="E11" s="42" t="s">
        <v>705</v>
      </c>
      <c r="F11" s="42">
        <v>4244</v>
      </c>
      <c r="G11" s="42"/>
      <c r="H11" s="42">
        <v>16300</v>
      </c>
      <c r="I11" s="42">
        <v>328</v>
      </c>
      <c r="J11" s="42">
        <v>0.13</v>
      </c>
      <c r="K11" s="42">
        <v>43</v>
      </c>
      <c r="L11" s="43">
        <f t="shared" si="4"/>
        <v>16257</v>
      </c>
      <c r="M11" s="43"/>
      <c r="N11" s="43">
        <f t="shared" si="5"/>
        <v>16257</v>
      </c>
      <c r="O11" s="43">
        <f t="shared" si="6"/>
        <v>1141</v>
      </c>
      <c r="P11" s="42">
        <v>0</v>
      </c>
      <c r="Q11" s="62"/>
      <c r="R11" s="62"/>
      <c r="S11" s="62"/>
      <c r="T11" s="62"/>
      <c r="U11" s="62"/>
    </row>
    <row r="12" spans="1:21">
      <c r="A12" s="374"/>
      <c r="B12" s="42" t="s">
        <v>464</v>
      </c>
      <c r="C12" s="42" t="s">
        <v>24</v>
      </c>
      <c r="D12" s="42" t="s">
        <v>16</v>
      </c>
      <c r="E12" s="42" t="s">
        <v>537</v>
      </c>
      <c r="F12" s="42">
        <v>4247</v>
      </c>
      <c r="G12" s="42"/>
      <c r="H12" s="42">
        <v>16265</v>
      </c>
      <c r="I12" s="42">
        <v>320</v>
      </c>
      <c r="J12" s="42">
        <v>0.13</v>
      </c>
      <c r="K12" s="42">
        <v>42</v>
      </c>
      <c r="L12" s="43">
        <f t="shared" si="4"/>
        <v>16223</v>
      </c>
      <c r="M12" s="43"/>
      <c r="N12" s="43">
        <f t="shared" si="5"/>
        <v>16223</v>
      </c>
      <c r="O12" s="43">
        <f t="shared" si="6"/>
        <v>1138.55</v>
      </c>
      <c r="P12" s="42">
        <v>0</v>
      </c>
      <c r="Q12" s="62"/>
      <c r="R12" s="62"/>
      <c r="S12" s="62"/>
      <c r="T12" s="62"/>
      <c r="U12" s="62"/>
    </row>
    <row r="13" spans="1:21">
      <c r="A13" s="374"/>
      <c r="B13" s="42" t="s">
        <v>464</v>
      </c>
      <c r="C13" s="42" t="s">
        <v>24</v>
      </c>
      <c r="D13" s="42" t="s">
        <v>16</v>
      </c>
      <c r="E13" s="42" t="s">
        <v>706</v>
      </c>
      <c r="F13" s="42">
        <v>4248</v>
      </c>
      <c r="G13" s="42"/>
      <c r="H13" s="42">
        <v>16050</v>
      </c>
      <c r="I13" s="42">
        <v>320</v>
      </c>
      <c r="J13" s="42">
        <v>0.13</v>
      </c>
      <c r="K13" s="42">
        <v>42</v>
      </c>
      <c r="L13" s="43">
        <f t="shared" si="4"/>
        <v>16008</v>
      </c>
      <c r="M13" s="43"/>
      <c r="N13" s="43">
        <f t="shared" si="5"/>
        <v>16008</v>
      </c>
      <c r="O13" s="43">
        <f t="shared" si="6"/>
        <v>1123.5</v>
      </c>
      <c r="P13" s="42">
        <v>0</v>
      </c>
      <c r="Q13" s="62"/>
      <c r="R13" s="62"/>
      <c r="S13" s="62"/>
      <c r="T13" s="62"/>
      <c r="U13" s="62"/>
    </row>
    <row r="14" spans="1:21">
      <c r="A14" s="63" t="s">
        <v>714</v>
      </c>
      <c r="B14" s="42" t="s">
        <v>464</v>
      </c>
      <c r="C14" s="42" t="s">
        <v>24</v>
      </c>
      <c r="D14" s="42" t="s">
        <v>16</v>
      </c>
      <c r="E14" s="42" t="s">
        <v>543</v>
      </c>
      <c r="F14" s="42">
        <v>4331</v>
      </c>
      <c r="G14" s="42"/>
      <c r="H14" s="42">
        <v>18080</v>
      </c>
      <c r="I14" s="42">
        <v>362</v>
      </c>
      <c r="J14" s="42">
        <v>0.13</v>
      </c>
      <c r="K14" s="42">
        <f t="shared" ref="K14" si="7">I14*J14</f>
        <v>47.06</v>
      </c>
      <c r="L14" s="43">
        <f t="shared" si="4"/>
        <v>18032.939999999999</v>
      </c>
      <c r="M14" s="43"/>
      <c r="N14" s="43">
        <f t="shared" si="5"/>
        <v>18032.939999999999</v>
      </c>
      <c r="O14" s="43">
        <f t="shared" si="6"/>
        <v>1265.5999999999999</v>
      </c>
      <c r="P14" s="42">
        <v>0</v>
      </c>
      <c r="Q14" s="42">
        <v>33.799999999999997</v>
      </c>
      <c r="R14" s="42">
        <f t="shared" ref="R14" si="8">L14*Q14</f>
        <v>609513.37199999986</v>
      </c>
      <c r="S14" s="62"/>
      <c r="T14" s="62"/>
      <c r="U14" s="62"/>
    </row>
    <row r="15" spans="1:21">
      <c r="A15" s="63"/>
      <c r="B15" s="60"/>
      <c r="C15" s="82"/>
      <c r="D15" s="60"/>
      <c r="E15" s="60"/>
      <c r="F15" s="60"/>
      <c r="G15" s="60"/>
      <c r="H15" s="60"/>
      <c r="I15" s="60"/>
      <c r="J15" s="60"/>
      <c r="K15" s="61"/>
      <c r="L15" s="65"/>
      <c r="M15" s="61"/>
      <c r="N15" s="60"/>
      <c r="O15" s="60"/>
      <c r="P15" s="60"/>
      <c r="Q15" s="62"/>
      <c r="R15" s="62"/>
      <c r="S15" s="62"/>
      <c r="T15" s="62"/>
      <c r="U15" s="62"/>
    </row>
    <row r="16" spans="1:21">
      <c r="A16" s="62"/>
      <c r="B16" s="62"/>
      <c r="C16" s="62"/>
      <c r="D16" s="62"/>
      <c r="E16" s="62"/>
      <c r="F16" s="62"/>
      <c r="G16" s="62"/>
      <c r="H16" s="62"/>
      <c r="I16" s="62"/>
      <c r="J16" s="62"/>
      <c r="K16" s="62"/>
      <c r="L16" s="66"/>
      <c r="M16" s="62"/>
      <c r="N16" s="62"/>
      <c r="O16" s="62"/>
      <c r="P16" s="60"/>
      <c r="Q16" s="62"/>
      <c r="R16" s="62"/>
      <c r="S16" s="62"/>
      <c r="T16" s="62"/>
      <c r="U16" s="62"/>
    </row>
    <row r="17" spans="1:21">
      <c r="A17" s="62"/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8">
        <f>SUM(L9:L16)</f>
        <v>98571.94</v>
      </c>
      <c r="M17" s="68"/>
      <c r="N17" s="67"/>
      <c r="O17" s="67"/>
      <c r="P17" s="60"/>
      <c r="Q17" s="62"/>
      <c r="R17" s="62"/>
      <c r="S17" s="62"/>
      <c r="T17" s="62"/>
      <c r="U17" s="62"/>
    </row>
    <row r="18" spans="1:21">
      <c r="A18" s="374" t="s">
        <v>2968</v>
      </c>
      <c r="B18" s="42" t="s">
        <v>464</v>
      </c>
      <c r="C18" s="42" t="s">
        <v>24</v>
      </c>
      <c r="D18" s="42" t="s">
        <v>16</v>
      </c>
      <c r="E18" s="42" t="s">
        <v>2969</v>
      </c>
      <c r="F18" s="42">
        <v>15</v>
      </c>
      <c r="G18" s="42"/>
      <c r="H18" s="42">
        <v>14970</v>
      </c>
      <c r="I18" s="42">
        <v>300</v>
      </c>
      <c r="J18" s="42">
        <v>0.13</v>
      </c>
      <c r="K18" s="43">
        <f t="shared" ref="K18:K23" si="9">I18*J18</f>
        <v>39</v>
      </c>
      <c r="L18" s="43">
        <f t="shared" ref="L18:L23" si="10">H18-K18</f>
        <v>14931</v>
      </c>
      <c r="M18" s="43"/>
      <c r="N18" s="43">
        <f t="shared" ref="N18:N23" si="11">L18-M18</f>
        <v>14931</v>
      </c>
      <c r="O18" s="43">
        <f t="shared" ref="O18:O23" si="12">H18/1000*70</f>
        <v>1047.9000000000001</v>
      </c>
      <c r="P18" s="42">
        <v>13500</v>
      </c>
      <c r="Q18" s="42"/>
      <c r="R18" s="42">
        <f t="shared" ref="R18:R23" si="13">L18*Q18</f>
        <v>0</v>
      </c>
      <c r="S18" s="42"/>
      <c r="T18" s="62"/>
      <c r="U18" s="62"/>
    </row>
    <row r="19" spans="1:21">
      <c r="A19" s="374"/>
      <c r="B19" s="42" t="s">
        <v>464</v>
      </c>
      <c r="C19" s="42" t="s">
        <v>24</v>
      </c>
      <c r="D19" s="42" t="s">
        <v>16</v>
      </c>
      <c r="E19" s="42" t="s">
        <v>2970</v>
      </c>
      <c r="F19" s="42">
        <v>9</v>
      </c>
      <c r="G19" s="42"/>
      <c r="H19" s="42">
        <v>15000</v>
      </c>
      <c r="I19" s="42">
        <v>300</v>
      </c>
      <c r="J19" s="42">
        <v>0.13</v>
      </c>
      <c r="K19" s="43">
        <f t="shared" si="9"/>
        <v>39</v>
      </c>
      <c r="L19" s="43">
        <f t="shared" si="10"/>
        <v>14961</v>
      </c>
      <c r="M19" s="43"/>
      <c r="N19" s="43">
        <f t="shared" si="11"/>
        <v>14961</v>
      </c>
      <c r="O19" s="43">
        <f t="shared" si="12"/>
        <v>1050</v>
      </c>
      <c r="P19" s="42">
        <v>13500</v>
      </c>
      <c r="Q19" s="42"/>
      <c r="R19" s="42">
        <f t="shared" si="13"/>
        <v>0</v>
      </c>
      <c r="S19" s="42"/>
      <c r="T19" s="62"/>
      <c r="U19" s="62"/>
    </row>
    <row r="20" spans="1:21">
      <c r="A20" s="377" t="s">
        <v>2972</v>
      </c>
      <c r="B20" s="42" t="s">
        <v>464</v>
      </c>
      <c r="C20" s="42" t="s">
        <v>24</v>
      </c>
      <c r="D20" s="42" t="s">
        <v>16</v>
      </c>
      <c r="E20" s="42" t="s">
        <v>1453</v>
      </c>
      <c r="F20" s="42">
        <v>373</v>
      </c>
      <c r="G20" s="42"/>
      <c r="H20" s="42">
        <v>15000</v>
      </c>
      <c r="I20" s="42">
        <v>300</v>
      </c>
      <c r="J20" s="42">
        <v>0.13</v>
      </c>
      <c r="K20" s="43">
        <f t="shared" si="9"/>
        <v>39</v>
      </c>
      <c r="L20" s="43">
        <f t="shared" si="10"/>
        <v>14961</v>
      </c>
      <c r="M20" s="43"/>
      <c r="N20" s="43">
        <f t="shared" si="11"/>
        <v>14961</v>
      </c>
      <c r="O20" s="43">
        <f t="shared" si="12"/>
        <v>1050</v>
      </c>
      <c r="P20" s="42">
        <v>13500</v>
      </c>
      <c r="Q20" s="42">
        <v>39</v>
      </c>
      <c r="R20" s="42">
        <f t="shared" si="13"/>
        <v>583479</v>
      </c>
      <c r="S20" s="62"/>
      <c r="T20" s="62"/>
      <c r="U20" s="62"/>
    </row>
    <row r="21" spans="1:21">
      <c r="A21" s="377"/>
      <c r="B21" s="42" t="s">
        <v>464</v>
      </c>
      <c r="C21" s="42" t="s">
        <v>24</v>
      </c>
      <c r="D21" s="42" t="s">
        <v>16</v>
      </c>
      <c r="E21" s="42" t="s">
        <v>1454</v>
      </c>
      <c r="F21" s="42">
        <v>372</v>
      </c>
      <c r="G21" s="42"/>
      <c r="H21" s="42">
        <v>15000</v>
      </c>
      <c r="I21" s="42">
        <v>300</v>
      </c>
      <c r="J21" s="42">
        <v>0.13</v>
      </c>
      <c r="K21" s="43">
        <f t="shared" si="9"/>
        <v>39</v>
      </c>
      <c r="L21" s="43">
        <f t="shared" si="10"/>
        <v>14961</v>
      </c>
      <c r="M21" s="43"/>
      <c r="N21" s="43">
        <f t="shared" si="11"/>
        <v>14961</v>
      </c>
      <c r="O21" s="43">
        <f t="shared" si="12"/>
        <v>1050</v>
      </c>
      <c r="P21" s="42">
        <v>13500</v>
      </c>
      <c r="Q21" s="42">
        <v>39</v>
      </c>
      <c r="R21" s="42">
        <f t="shared" si="13"/>
        <v>583479</v>
      </c>
    </row>
    <row r="22" spans="1:21">
      <c r="A22" s="374" t="s">
        <v>2977</v>
      </c>
      <c r="B22" s="42" t="s">
        <v>464</v>
      </c>
      <c r="C22" s="42" t="s">
        <v>24</v>
      </c>
      <c r="D22" s="42" t="s">
        <v>16</v>
      </c>
      <c r="E22" s="42" t="s">
        <v>2978</v>
      </c>
      <c r="F22" s="42">
        <v>17</v>
      </c>
      <c r="G22" s="42"/>
      <c r="H22" s="42">
        <v>15000</v>
      </c>
      <c r="I22" s="42">
        <v>300</v>
      </c>
      <c r="J22" s="42">
        <v>0.13</v>
      </c>
      <c r="K22" s="43">
        <f t="shared" si="9"/>
        <v>39</v>
      </c>
      <c r="L22" s="43">
        <f t="shared" si="10"/>
        <v>14961</v>
      </c>
      <c r="M22" s="43"/>
      <c r="N22" s="43">
        <f t="shared" si="11"/>
        <v>14961</v>
      </c>
      <c r="O22" s="43">
        <f t="shared" si="12"/>
        <v>1050</v>
      </c>
      <c r="P22" s="42">
        <v>15000</v>
      </c>
      <c r="Q22" s="42">
        <v>39</v>
      </c>
      <c r="R22" s="42">
        <f t="shared" si="13"/>
        <v>583479</v>
      </c>
    </row>
    <row r="23" spans="1:21">
      <c r="A23" s="374"/>
      <c r="B23" s="42" t="s">
        <v>464</v>
      </c>
      <c r="C23" s="42" t="s">
        <v>24</v>
      </c>
      <c r="D23" s="42" t="s">
        <v>16</v>
      </c>
      <c r="E23" s="42" t="s">
        <v>2979</v>
      </c>
      <c r="F23" s="42">
        <v>18</v>
      </c>
      <c r="G23" s="42"/>
      <c r="H23" s="42">
        <v>15000</v>
      </c>
      <c r="I23" s="42">
        <v>300</v>
      </c>
      <c r="J23" s="42">
        <v>0.13</v>
      </c>
      <c r="K23" s="43">
        <f t="shared" si="9"/>
        <v>39</v>
      </c>
      <c r="L23" s="43">
        <f t="shared" si="10"/>
        <v>14961</v>
      </c>
      <c r="M23" s="43"/>
      <c r="N23" s="43">
        <f t="shared" si="11"/>
        <v>14961</v>
      </c>
      <c r="O23" s="43">
        <f t="shared" si="12"/>
        <v>1050</v>
      </c>
      <c r="P23" s="42">
        <v>15000</v>
      </c>
      <c r="Q23" s="42">
        <v>39</v>
      </c>
      <c r="R23" s="42">
        <f t="shared" si="13"/>
        <v>583479</v>
      </c>
    </row>
    <row r="25" spans="1:21">
      <c r="A25" s="1" t="s">
        <v>2990</v>
      </c>
      <c r="B25" s="42" t="s">
        <v>464</v>
      </c>
      <c r="C25" s="42" t="s">
        <v>24</v>
      </c>
      <c r="D25" s="42" t="s">
        <v>16</v>
      </c>
      <c r="E25" s="42" t="s">
        <v>2416</v>
      </c>
      <c r="F25" s="42">
        <v>381</v>
      </c>
      <c r="G25" s="42"/>
      <c r="H25" s="42">
        <v>15000</v>
      </c>
      <c r="I25" s="42">
        <v>300</v>
      </c>
      <c r="J25" s="42">
        <v>0.13</v>
      </c>
      <c r="K25" s="43">
        <f t="shared" ref="K25:K28" si="14">I25*J25</f>
        <v>39</v>
      </c>
      <c r="L25" s="43">
        <f t="shared" ref="L25:L28" si="15">H25-K25</f>
        <v>14961</v>
      </c>
      <c r="M25" s="43"/>
      <c r="N25" s="43">
        <f t="shared" ref="N25:N28" si="16">L25-M25</f>
        <v>14961</v>
      </c>
      <c r="O25" s="43">
        <f t="shared" ref="O25:O28" si="17">H25/1000*70</f>
        <v>1050</v>
      </c>
      <c r="P25" s="42">
        <v>15000</v>
      </c>
      <c r="Q25" s="42">
        <v>39</v>
      </c>
      <c r="R25" s="42">
        <f t="shared" ref="R25:R28" si="18">L25*Q25</f>
        <v>583479</v>
      </c>
    </row>
    <row r="26" spans="1:21">
      <c r="A26" s="1" t="s">
        <v>3044</v>
      </c>
      <c r="B26" s="42" t="s">
        <v>3046</v>
      </c>
      <c r="C26" s="42" t="s">
        <v>24</v>
      </c>
      <c r="D26" s="42" t="s">
        <v>16</v>
      </c>
      <c r="E26" s="42" t="s">
        <v>528</v>
      </c>
      <c r="F26" s="42">
        <v>460</v>
      </c>
      <c r="G26" s="42"/>
      <c r="H26" s="42">
        <v>15000</v>
      </c>
      <c r="I26" s="42">
        <v>300</v>
      </c>
      <c r="J26" s="42">
        <v>0.13</v>
      </c>
      <c r="K26" s="43">
        <f t="shared" si="14"/>
        <v>39</v>
      </c>
      <c r="L26" s="43">
        <f t="shared" si="15"/>
        <v>14961</v>
      </c>
      <c r="M26" s="43"/>
      <c r="N26" s="43">
        <f t="shared" si="16"/>
        <v>14961</v>
      </c>
      <c r="O26" s="43">
        <f t="shared" si="17"/>
        <v>1050</v>
      </c>
      <c r="P26" s="42">
        <v>10000</v>
      </c>
      <c r="Q26" s="42">
        <v>37.4</v>
      </c>
      <c r="R26" s="42">
        <f t="shared" si="18"/>
        <v>559541.4</v>
      </c>
    </row>
    <row r="27" spans="1:21">
      <c r="A27" s="374" t="s">
        <v>3052</v>
      </c>
      <c r="B27" s="42" t="s">
        <v>464</v>
      </c>
      <c r="C27" s="42" t="s">
        <v>24</v>
      </c>
      <c r="D27" s="42" t="s">
        <v>16</v>
      </c>
      <c r="E27" s="42" t="s">
        <v>3055</v>
      </c>
      <c r="F27" s="42">
        <v>424</v>
      </c>
      <c r="G27" s="42">
        <v>2099</v>
      </c>
      <c r="H27" s="42">
        <v>15000</v>
      </c>
      <c r="I27" s="42">
        <v>300</v>
      </c>
      <c r="J27" s="42">
        <v>0.13</v>
      </c>
      <c r="K27" s="43">
        <f t="shared" si="14"/>
        <v>39</v>
      </c>
      <c r="L27" s="43">
        <f t="shared" si="15"/>
        <v>14961</v>
      </c>
      <c r="M27" s="43"/>
      <c r="N27" s="43">
        <f t="shared" si="16"/>
        <v>14961</v>
      </c>
      <c r="O27" s="43">
        <f t="shared" si="17"/>
        <v>1050</v>
      </c>
      <c r="P27" s="42">
        <v>10000</v>
      </c>
      <c r="Q27" s="42">
        <v>37.4</v>
      </c>
      <c r="R27" s="42">
        <f t="shared" si="18"/>
        <v>559541.4</v>
      </c>
    </row>
    <row r="28" spans="1:21">
      <c r="A28" s="374"/>
      <c r="B28" s="42" t="s">
        <v>464</v>
      </c>
      <c r="C28" s="42" t="s">
        <v>24</v>
      </c>
      <c r="D28" s="42" t="s">
        <v>16</v>
      </c>
      <c r="E28" s="42" t="s">
        <v>3056</v>
      </c>
      <c r="F28" s="42">
        <v>32</v>
      </c>
      <c r="G28" s="42">
        <v>2000</v>
      </c>
      <c r="H28" s="42">
        <v>15000</v>
      </c>
      <c r="I28" s="42">
        <v>300</v>
      </c>
      <c r="J28" s="42">
        <v>0.13</v>
      </c>
      <c r="K28" s="43">
        <f t="shared" si="14"/>
        <v>39</v>
      </c>
      <c r="L28" s="43">
        <f t="shared" si="15"/>
        <v>14961</v>
      </c>
      <c r="M28" s="43"/>
      <c r="N28" s="43">
        <f t="shared" si="16"/>
        <v>14961</v>
      </c>
      <c r="O28" s="43">
        <f t="shared" si="17"/>
        <v>1050</v>
      </c>
      <c r="P28" s="42">
        <v>10000</v>
      </c>
      <c r="Q28" s="42">
        <v>37.4</v>
      </c>
      <c r="R28" s="42">
        <f t="shared" si="18"/>
        <v>559541.4</v>
      </c>
    </row>
    <row r="30" spans="1:21">
      <c r="A30" s="374" t="s">
        <v>3060</v>
      </c>
      <c r="B30" s="42" t="s">
        <v>464</v>
      </c>
      <c r="C30" s="42" t="s">
        <v>24</v>
      </c>
      <c r="D30" s="42" t="s">
        <v>16</v>
      </c>
      <c r="E30" s="42" t="s">
        <v>3063</v>
      </c>
      <c r="F30" s="42">
        <v>2826</v>
      </c>
      <c r="G30" s="42">
        <v>2004</v>
      </c>
      <c r="H30" s="42">
        <v>14980</v>
      </c>
      <c r="I30" s="42">
        <v>300</v>
      </c>
      <c r="J30" s="42">
        <v>0.13</v>
      </c>
      <c r="K30" s="43">
        <f t="shared" ref="K30:K43" si="19">I30*J30</f>
        <v>39</v>
      </c>
      <c r="L30" s="43">
        <f t="shared" ref="L30:L43" si="20">H30-K30</f>
        <v>14941</v>
      </c>
      <c r="M30" s="43"/>
      <c r="N30" s="43">
        <f t="shared" ref="N30:N43" si="21">L30-M30</f>
        <v>14941</v>
      </c>
      <c r="O30" s="43">
        <f t="shared" ref="O30:O43" si="22">H30/1000*70</f>
        <v>1048.6000000000001</v>
      </c>
      <c r="P30" s="42">
        <v>10000</v>
      </c>
      <c r="Q30" s="42">
        <v>37.4</v>
      </c>
      <c r="R30" s="42">
        <f t="shared" ref="R30:R43" si="23">L30*Q30</f>
        <v>558793.4</v>
      </c>
    </row>
    <row r="31" spans="1:21">
      <c r="A31" s="374"/>
      <c r="B31" s="42" t="s">
        <v>464</v>
      </c>
      <c r="C31" s="42" t="s">
        <v>24</v>
      </c>
      <c r="D31" s="42" t="s">
        <v>16</v>
      </c>
      <c r="E31" s="42" t="s">
        <v>3064</v>
      </c>
      <c r="F31" s="42">
        <v>461</v>
      </c>
      <c r="G31" s="42">
        <v>2005</v>
      </c>
      <c r="H31" s="42">
        <v>15000</v>
      </c>
      <c r="I31" s="42">
        <v>300</v>
      </c>
      <c r="J31" s="42">
        <v>0.13</v>
      </c>
      <c r="K31" s="43">
        <f t="shared" si="19"/>
        <v>39</v>
      </c>
      <c r="L31" s="43">
        <f t="shared" si="20"/>
        <v>14961</v>
      </c>
      <c r="M31" s="43"/>
      <c r="N31" s="43">
        <f t="shared" si="21"/>
        <v>14961</v>
      </c>
      <c r="O31" s="43">
        <f t="shared" si="22"/>
        <v>1050</v>
      </c>
      <c r="P31" s="42">
        <v>0</v>
      </c>
      <c r="Q31" s="42">
        <v>37.4</v>
      </c>
      <c r="R31" s="42">
        <f t="shared" si="23"/>
        <v>559541.4</v>
      </c>
    </row>
    <row r="32" spans="1:21">
      <c r="A32" s="374"/>
      <c r="B32" s="42" t="s">
        <v>464</v>
      </c>
      <c r="C32" s="42" t="s">
        <v>24</v>
      </c>
      <c r="D32" s="42" t="s">
        <v>16</v>
      </c>
      <c r="E32" s="42" t="s">
        <v>2757</v>
      </c>
      <c r="F32" s="42">
        <v>34</v>
      </c>
      <c r="G32" s="42">
        <v>2006</v>
      </c>
      <c r="H32" s="42">
        <v>14970</v>
      </c>
      <c r="I32" s="42">
        <v>300</v>
      </c>
      <c r="J32" s="42">
        <v>0.13</v>
      </c>
      <c r="K32" s="43">
        <f t="shared" si="19"/>
        <v>39</v>
      </c>
      <c r="L32" s="43">
        <f t="shared" si="20"/>
        <v>14931</v>
      </c>
      <c r="M32" s="43"/>
      <c r="N32" s="43">
        <f t="shared" si="21"/>
        <v>14931</v>
      </c>
      <c r="O32" s="43">
        <f t="shared" si="22"/>
        <v>1047.9000000000001</v>
      </c>
      <c r="P32" s="42">
        <v>10200</v>
      </c>
      <c r="Q32" s="42">
        <v>37.4</v>
      </c>
      <c r="R32" s="42">
        <f t="shared" si="23"/>
        <v>558419.4</v>
      </c>
    </row>
    <row r="33" spans="1:18">
      <c r="A33" s="374"/>
      <c r="B33" s="42" t="s">
        <v>464</v>
      </c>
      <c r="C33" s="42" t="s">
        <v>24</v>
      </c>
      <c r="D33" s="42" t="s">
        <v>16</v>
      </c>
      <c r="E33" s="42" t="s">
        <v>3065</v>
      </c>
      <c r="F33" s="42">
        <v>33</v>
      </c>
      <c r="G33" s="42">
        <v>2007</v>
      </c>
      <c r="H33" s="42">
        <v>15000</v>
      </c>
      <c r="I33" s="42">
        <v>300</v>
      </c>
      <c r="J33" s="42">
        <v>0.13</v>
      </c>
      <c r="K33" s="43">
        <f t="shared" si="19"/>
        <v>39</v>
      </c>
      <c r="L33" s="43">
        <f t="shared" si="20"/>
        <v>14961</v>
      </c>
      <c r="M33" s="43"/>
      <c r="N33" s="43">
        <f t="shared" si="21"/>
        <v>14961</v>
      </c>
      <c r="O33" s="43">
        <f t="shared" si="22"/>
        <v>1050</v>
      </c>
      <c r="P33" s="42">
        <v>10200</v>
      </c>
      <c r="Q33" s="42">
        <v>37.4</v>
      </c>
      <c r="R33" s="42">
        <f t="shared" si="23"/>
        <v>559541.4</v>
      </c>
    </row>
    <row r="34" spans="1:18">
      <c r="A34" s="374" t="s">
        <v>3084</v>
      </c>
      <c r="B34" s="42" t="s">
        <v>464</v>
      </c>
      <c r="C34" s="42" t="s">
        <v>24</v>
      </c>
      <c r="D34" s="42" t="s">
        <v>16</v>
      </c>
      <c r="E34" s="42" t="s">
        <v>3085</v>
      </c>
      <c r="F34" s="42">
        <v>12</v>
      </c>
      <c r="G34" s="42"/>
      <c r="H34" s="42">
        <v>14990</v>
      </c>
      <c r="I34" s="42">
        <v>300</v>
      </c>
      <c r="J34" s="42">
        <v>0.13</v>
      </c>
      <c r="K34" s="43">
        <f t="shared" si="19"/>
        <v>39</v>
      </c>
      <c r="L34" s="43">
        <f t="shared" si="20"/>
        <v>14951</v>
      </c>
      <c r="M34" s="43"/>
      <c r="N34" s="43">
        <f t="shared" si="21"/>
        <v>14951</v>
      </c>
      <c r="O34" s="43">
        <f t="shared" si="22"/>
        <v>1049.3</v>
      </c>
      <c r="P34" s="42">
        <v>9800</v>
      </c>
      <c r="Q34" s="42">
        <v>35.799999999999997</v>
      </c>
      <c r="R34" s="42">
        <f t="shared" si="23"/>
        <v>535245.79999999993</v>
      </c>
    </row>
    <row r="35" spans="1:18">
      <c r="A35" s="374"/>
      <c r="B35" s="42" t="s">
        <v>464</v>
      </c>
      <c r="C35" s="42" t="s">
        <v>24</v>
      </c>
      <c r="D35" s="42" t="s">
        <v>16</v>
      </c>
      <c r="E35" s="42" t="s">
        <v>3086</v>
      </c>
      <c r="F35" s="42">
        <v>8</v>
      </c>
      <c r="G35" s="42"/>
      <c r="H35" s="42">
        <v>14970</v>
      </c>
      <c r="I35" s="42">
        <v>300</v>
      </c>
      <c r="J35" s="42">
        <v>0.13</v>
      </c>
      <c r="K35" s="43">
        <f t="shared" si="19"/>
        <v>39</v>
      </c>
      <c r="L35" s="43">
        <f t="shared" si="20"/>
        <v>14931</v>
      </c>
      <c r="M35" s="43"/>
      <c r="N35" s="43">
        <f t="shared" si="21"/>
        <v>14931</v>
      </c>
      <c r="O35" s="43">
        <f t="shared" si="22"/>
        <v>1047.9000000000001</v>
      </c>
      <c r="P35" s="42">
        <v>9800</v>
      </c>
      <c r="Q35" s="42">
        <v>35.799999999999997</v>
      </c>
      <c r="R35" s="42">
        <f t="shared" si="23"/>
        <v>534529.79999999993</v>
      </c>
    </row>
    <row r="36" spans="1:18">
      <c r="A36" s="374"/>
      <c r="B36" s="42" t="s">
        <v>464</v>
      </c>
      <c r="C36" s="42" t="s">
        <v>24</v>
      </c>
      <c r="D36" s="42" t="s">
        <v>16</v>
      </c>
      <c r="E36" s="42" t="s">
        <v>3087</v>
      </c>
      <c r="F36" s="42">
        <v>11</v>
      </c>
      <c r="G36" s="42"/>
      <c r="H36" s="42">
        <v>15000</v>
      </c>
      <c r="I36" s="42">
        <v>300</v>
      </c>
      <c r="J36" s="42">
        <v>0.13</v>
      </c>
      <c r="K36" s="43">
        <f t="shared" si="19"/>
        <v>39</v>
      </c>
      <c r="L36" s="43">
        <f t="shared" si="20"/>
        <v>14961</v>
      </c>
      <c r="M36" s="43"/>
      <c r="N36" s="43">
        <f t="shared" si="21"/>
        <v>14961</v>
      </c>
      <c r="O36" s="43">
        <f t="shared" si="22"/>
        <v>1050</v>
      </c>
      <c r="P36" s="42">
        <v>9800</v>
      </c>
      <c r="Q36" s="42">
        <v>35.799999999999997</v>
      </c>
      <c r="R36" s="42">
        <f t="shared" si="23"/>
        <v>535603.79999999993</v>
      </c>
    </row>
    <row r="37" spans="1:18">
      <c r="A37" s="374"/>
      <c r="B37" s="42" t="s">
        <v>464</v>
      </c>
      <c r="C37" s="42" t="s">
        <v>24</v>
      </c>
      <c r="D37" s="42" t="s">
        <v>16</v>
      </c>
      <c r="E37" s="42" t="s">
        <v>3088</v>
      </c>
      <c r="F37" s="42">
        <v>13</v>
      </c>
      <c r="G37" s="42"/>
      <c r="H37" s="42">
        <v>15000</v>
      </c>
      <c r="I37" s="42">
        <v>300</v>
      </c>
      <c r="J37" s="42">
        <v>0.13</v>
      </c>
      <c r="K37" s="43">
        <f t="shared" si="19"/>
        <v>39</v>
      </c>
      <c r="L37" s="43">
        <f t="shared" si="20"/>
        <v>14961</v>
      </c>
      <c r="M37" s="43"/>
      <c r="N37" s="43">
        <f t="shared" si="21"/>
        <v>14961</v>
      </c>
      <c r="O37" s="43">
        <f t="shared" si="22"/>
        <v>1050</v>
      </c>
      <c r="P37" s="42">
        <v>9800</v>
      </c>
      <c r="Q37" s="42">
        <v>35.799999999999997</v>
      </c>
      <c r="R37" s="42">
        <f t="shared" si="23"/>
        <v>535603.79999999993</v>
      </c>
    </row>
    <row r="38" spans="1:18">
      <c r="A38" s="374" t="s">
        <v>3091</v>
      </c>
      <c r="B38" s="42" t="s">
        <v>464</v>
      </c>
      <c r="C38" s="42" t="s">
        <v>24</v>
      </c>
      <c r="D38" s="42" t="s">
        <v>16</v>
      </c>
      <c r="E38" s="42" t="s">
        <v>3092</v>
      </c>
      <c r="F38" s="42">
        <v>15</v>
      </c>
      <c r="G38" s="42"/>
      <c r="H38" s="42">
        <v>14990</v>
      </c>
      <c r="I38" s="42">
        <v>300</v>
      </c>
      <c r="J38" s="42">
        <v>0.13</v>
      </c>
      <c r="K38" s="43">
        <f t="shared" si="19"/>
        <v>39</v>
      </c>
      <c r="L38" s="43">
        <f t="shared" si="20"/>
        <v>14951</v>
      </c>
      <c r="M38" s="43"/>
      <c r="N38" s="43">
        <f t="shared" si="21"/>
        <v>14951</v>
      </c>
      <c r="O38" s="43">
        <f t="shared" si="22"/>
        <v>1049.3</v>
      </c>
      <c r="P38" s="42">
        <v>9800</v>
      </c>
      <c r="Q38" s="42">
        <v>35.799999999999997</v>
      </c>
      <c r="R38" s="42">
        <f t="shared" si="23"/>
        <v>535245.79999999993</v>
      </c>
    </row>
    <row r="39" spans="1:18">
      <c r="A39" s="374"/>
      <c r="B39" s="42" t="s">
        <v>464</v>
      </c>
      <c r="C39" s="42" t="s">
        <v>24</v>
      </c>
      <c r="D39" s="42" t="s">
        <v>16</v>
      </c>
      <c r="E39" s="42" t="s">
        <v>3093</v>
      </c>
      <c r="F39" s="42">
        <v>17</v>
      </c>
      <c r="G39" s="42"/>
      <c r="H39" s="42">
        <v>15000</v>
      </c>
      <c r="I39" s="42">
        <v>300</v>
      </c>
      <c r="J39" s="42">
        <v>0.13</v>
      </c>
      <c r="K39" s="43">
        <f t="shared" si="19"/>
        <v>39</v>
      </c>
      <c r="L39" s="43">
        <f t="shared" si="20"/>
        <v>14961</v>
      </c>
      <c r="M39" s="43"/>
      <c r="N39" s="43">
        <f t="shared" si="21"/>
        <v>14961</v>
      </c>
      <c r="O39" s="43">
        <f t="shared" si="22"/>
        <v>1050</v>
      </c>
      <c r="P39" s="42">
        <v>9800</v>
      </c>
      <c r="Q39" s="42">
        <v>35.799999999999997</v>
      </c>
      <c r="R39" s="42">
        <f t="shared" si="23"/>
        <v>535603.79999999993</v>
      </c>
    </row>
    <row r="40" spans="1:18">
      <c r="A40" s="374"/>
      <c r="B40" s="42" t="s">
        <v>464</v>
      </c>
      <c r="C40" s="42" t="s">
        <v>24</v>
      </c>
      <c r="D40" s="42" t="s">
        <v>16</v>
      </c>
      <c r="E40" s="42" t="s">
        <v>3094</v>
      </c>
      <c r="F40" s="42">
        <v>16</v>
      </c>
      <c r="G40" s="42"/>
      <c r="H40" s="42">
        <v>14990</v>
      </c>
      <c r="I40" s="42">
        <v>300</v>
      </c>
      <c r="J40" s="42">
        <v>0.13</v>
      </c>
      <c r="K40" s="43">
        <f t="shared" si="19"/>
        <v>39</v>
      </c>
      <c r="L40" s="43">
        <f t="shared" si="20"/>
        <v>14951</v>
      </c>
      <c r="M40" s="43"/>
      <c r="N40" s="43">
        <f t="shared" si="21"/>
        <v>14951</v>
      </c>
      <c r="O40" s="43">
        <f t="shared" si="22"/>
        <v>1049.3</v>
      </c>
      <c r="P40" s="42">
        <v>9800</v>
      </c>
      <c r="Q40" s="42">
        <v>35.799999999999997</v>
      </c>
      <c r="R40" s="42">
        <f t="shared" si="23"/>
        <v>535245.79999999993</v>
      </c>
    </row>
    <row r="41" spans="1:18">
      <c r="A41" s="1" t="s">
        <v>3492</v>
      </c>
      <c r="B41" s="42" t="s">
        <v>464</v>
      </c>
      <c r="C41" s="42" t="s">
        <v>24</v>
      </c>
      <c r="D41" s="42" t="s">
        <v>16</v>
      </c>
      <c r="E41" s="47" t="s">
        <v>3495</v>
      </c>
      <c r="F41" s="47">
        <v>896</v>
      </c>
      <c r="G41" s="47"/>
      <c r="H41" s="47">
        <v>15000</v>
      </c>
      <c r="I41" s="47">
        <v>300</v>
      </c>
      <c r="J41" s="47">
        <v>0.13</v>
      </c>
      <c r="K41" s="43">
        <f t="shared" si="19"/>
        <v>39</v>
      </c>
      <c r="L41" s="43">
        <f t="shared" si="20"/>
        <v>14961</v>
      </c>
      <c r="M41" s="43"/>
      <c r="N41" s="43">
        <f t="shared" si="21"/>
        <v>14961</v>
      </c>
      <c r="O41" s="43">
        <f t="shared" si="22"/>
        <v>1050</v>
      </c>
      <c r="P41" s="42">
        <v>9800</v>
      </c>
      <c r="Q41" s="42">
        <v>35.5</v>
      </c>
      <c r="R41" s="42">
        <f t="shared" si="23"/>
        <v>531115.5</v>
      </c>
    </row>
    <row r="42" spans="1:18">
      <c r="A42" s="374" t="s">
        <v>3503</v>
      </c>
      <c r="B42" s="42" t="s">
        <v>464</v>
      </c>
      <c r="C42" s="42" t="s">
        <v>24</v>
      </c>
      <c r="D42" s="42" t="s">
        <v>16</v>
      </c>
      <c r="E42" s="47" t="s">
        <v>3506</v>
      </c>
      <c r="F42" s="47">
        <v>224</v>
      </c>
      <c r="G42" s="47"/>
      <c r="H42" s="47">
        <v>14970</v>
      </c>
      <c r="I42" s="47">
        <v>300</v>
      </c>
      <c r="J42" s="47">
        <v>0.13</v>
      </c>
      <c r="K42" s="43">
        <f t="shared" si="19"/>
        <v>39</v>
      </c>
      <c r="L42" s="43">
        <f t="shared" si="20"/>
        <v>14931</v>
      </c>
      <c r="M42" s="43"/>
      <c r="N42" s="43">
        <f t="shared" si="21"/>
        <v>14931</v>
      </c>
      <c r="O42" s="43">
        <f t="shared" si="22"/>
        <v>1047.9000000000001</v>
      </c>
      <c r="P42" s="42">
        <v>10000</v>
      </c>
      <c r="Q42" s="42">
        <v>35.5</v>
      </c>
      <c r="R42" s="42">
        <f t="shared" si="23"/>
        <v>530050.5</v>
      </c>
    </row>
    <row r="43" spans="1:18">
      <c r="A43" s="374"/>
      <c r="B43" s="42" t="s">
        <v>464</v>
      </c>
      <c r="C43" s="42" t="s">
        <v>24</v>
      </c>
      <c r="D43" s="42" t="s">
        <v>16</v>
      </c>
      <c r="E43" s="47" t="s">
        <v>3507</v>
      </c>
      <c r="F43" s="47">
        <v>223</v>
      </c>
      <c r="G43" s="47"/>
      <c r="H43" s="47">
        <v>15000</v>
      </c>
      <c r="I43" s="47">
        <v>300</v>
      </c>
      <c r="J43" s="47">
        <v>0.13</v>
      </c>
      <c r="K43" s="43">
        <f t="shared" si="19"/>
        <v>39</v>
      </c>
      <c r="L43" s="43">
        <f t="shared" si="20"/>
        <v>14961</v>
      </c>
      <c r="M43" s="43"/>
      <c r="N43" s="43">
        <f t="shared" si="21"/>
        <v>14961</v>
      </c>
      <c r="O43" s="43">
        <f t="shared" si="22"/>
        <v>1050</v>
      </c>
      <c r="P43" s="42">
        <v>10000</v>
      </c>
      <c r="Q43" s="42">
        <v>35.5</v>
      </c>
      <c r="R43" s="42">
        <f t="shared" si="23"/>
        <v>531115.5</v>
      </c>
    </row>
  </sheetData>
  <mergeCells count="9">
    <mergeCell ref="A42:A43"/>
    <mergeCell ref="A38:A40"/>
    <mergeCell ref="A34:A37"/>
    <mergeCell ref="A30:A33"/>
    <mergeCell ref="A10:A13"/>
    <mergeCell ref="A18:A19"/>
    <mergeCell ref="A20:A21"/>
    <mergeCell ref="A22:A23"/>
    <mergeCell ref="A27:A28"/>
  </mergeCells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5:U30"/>
  <sheetViews>
    <sheetView topLeftCell="A13" workbookViewId="0">
      <selection activeCell="B31" sqref="B31:R32"/>
    </sheetView>
  </sheetViews>
  <sheetFormatPr defaultRowHeight="14.4"/>
  <cols>
    <col min="1" max="1" width="8.88671875" style="1"/>
    <col min="2" max="2" width="13.88671875" style="1" customWidth="1"/>
    <col min="3" max="3" width="10.77734375" style="1" customWidth="1"/>
    <col min="4" max="4" width="5.5546875" style="1" customWidth="1"/>
    <col min="5" max="5" width="8.88671875" style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9" width="8.88671875" style="1"/>
    <col min="20" max="20" width="6.21875" style="1" customWidth="1"/>
    <col min="21" max="16384" width="8.88671875" style="1"/>
  </cols>
  <sheetData>
    <row r="5" spans="1:21" ht="20.399999999999999">
      <c r="A5" s="58" t="s">
        <v>3</v>
      </c>
      <c r="B5" s="58" t="s">
        <v>4</v>
      </c>
      <c r="C5" s="58" t="s">
        <v>5</v>
      </c>
      <c r="D5" s="58" t="s">
        <v>6</v>
      </c>
      <c r="E5" s="58" t="s">
        <v>37</v>
      </c>
      <c r="F5" s="59" t="s">
        <v>7</v>
      </c>
      <c r="G5" s="58" t="s">
        <v>8</v>
      </c>
      <c r="H5" s="58" t="s">
        <v>9</v>
      </c>
      <c r="I5" s="58" t="s">
        <v>10</v>
      </c>
      <c r="J5" s="59" t="s">
        <v>18</v>
      </c>
      <c r="K5" s="59" t="s">
        <v>17</v>
      </c>
      <c r="L5" s="58" t="s">
        <v>11</v>
      </c>
      <c r="M5" s="59" t="s">
        <v>36</v>
      </c>
      <c r="N5" s="58" t="s">
        <v>12</v>
      </c>
      <c r="O5" s="58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1">
      <c r="A6" s="69"/>
      <c r="B6" s="60"/>
      <c r="C6" s="60"/>
      <c r="D6" s="60"/>
      <c r="E6" s="60"/>
      <c r="F6" s="60"/>
      <c r="G6" s="60"/>
      <c r="H6" s="60"/>
      <c r="I6" s="60"/>
      <c r="J6" s="60"/>
      <c r="K6" s="60"/>
      <c r="L6" s="61"/>
      <c r="M6" s="61"/>
      <c r="N6" s="60"/>
      <c r="O6" s="62"/>
      <c r="P6" s="62"/>
      <c r="Q6" s="62"/>
      <c r="R6" s="62"/>
      <c r="S6" s="62"/>
      <c r="T6" s="62"/>
      <c r="U6" s="62"/>
    </row>
    <row r="7" spans="1:21">
      <c r="A7" s="69" t="s">
        <v>419</v>
      </c>
      <c r="B7" s="42" t="s">
        <v>420</v>
      </c>
      <c r="C7" s="42" t="s">
        <v>309</v>
      </c>
      <c r="D7" s="42" t="s">
        <v>16</v>
      </c>
      <c r="E7" s="42" t="s">
        <v>421</v>
      </c>
      <c r="F7" s="42">
        <v>3060</v>
      </c>
      <c r="G7" s="42"/>
      <c r="H7" s="42">
        <v>15020</v>
      </c>
      <c r="I7" s="42">
        <v>320</v>
      </c>
      <c r="J7" s="42">
        <v>0.13</v>
      </c>
      <c r="K7" s="42">
        <f t="shared" ref="K7:K8" si="0">I7*J7</f>
        <v>41.6</v>
      </c>
      <c r="L7" s="43">
        <f t="shared" ref="L7:L8" si="1">H7-K7</f>
        <v>14978.4</v>
      </c>
      <c r="M7" s="43">
        <f t="shared" ref="M7:M8" si="2">H7/1000*70</f>
        <v>1051.3999999999999</v>
      </c>
      <c r="N7" s="42">
        <v>19500</v>
      </c>
      <c r="O7" s="42"/>
      <c r="P7" s="42">
        <f t="shared" ref="P7" si="3">L7*O7</f>
        <v>0</v>
      </c>
      <c r="Q7" s="42"/>
      <c r="R7" s="62"/>
      <c r="S7" s="62"/>
      <c r="T7" s="62"/>
      <c r="U7" s="62"/>
    </row>
    <row r="8" spans="1:21">
      <c r="A8" s="69" t="s">
        <v>426</v>
      </c>
      <c r="B8" s="42" t="s">
        <v>420</v>
      </c>
      <c r="C8" s="42" t="s">
        <v>309</v>
      </c>
      <c r="D8" s="42" t="s">
        <v>16</v>
      </c>
      <c r="E8" s="42" t="s">
        <v>427</v>
      </c>
      <c r="F8" s="42">
        <v>2340</v>
      </c>
      <c r="G8" s="42"/>
      <c r="H8" s="42">
        <v>15280</v>
      </c>
      <c r="I8" s="42">
        <v>342</v>
      </c>
      <c r="J8" s="42">
        <v>0.13</v>
      </c>
      <c r="K8" s="42">
        <f t="shared" si="0"/>
        <v>44.46</v>
      </c>
      <c r="L8" s="43">
        <f t="shared" si="1"/>
        <v>15235.54</v>
      </c>
      <c r="M8" s="43">
        <f t="shared" si="2"/>
        <v>1069.5999999999999</v>
      </c>
      <c r="N8" s="42">
        <v>19500</v>
      </c>
      <c r="O8" s="42"/>
      <c r="P8" s="62"/>
      <c r="Q8" s="62"/>
      <c r="R8" s="62"/>
      <c r="S8" s="62"/>
      <c r="T8" s="62"/>
      <c r="U8" s="62"/>
    </row>
    <row r="9" spans="1:21">
      <c r="A9" s="69"/>
      <c r="B9" s="60"/>
      <c r="C9" s="60"/>
      <c r="D9" s="60"/>
      <c r="E9" s="60"/>
      <c r="F9" s="60"/>
      <c r="G9" s="60"/>
      <c r="H9" s="60"/>
      <c r="I9" s="60"/>
      <c r="J9" s="60"/>
      <c r="K9" s="60"/>
      <c r="L9" s="61"/>
      <c r="M9" s="61"/>
      <c r="N9" s="60"/>
      <c r="O9" s="62"/>
      <c r="P9" s="62" t="s">
        <v>519</v>
      </c>
      <c r="Q9" s="62" t="s">
        <v>434</v>
      </c>
      <c r="R9" s="62">
        <v>169</v>
      </c>
      <c r="S9" s="62">
        <v>30000</v>
      </c>
      <c r="T9" s="62" t="s">
        <v>457</v>
      </c>
      <c r="U9" s="62">
        <v>45</v>
      </c>
    </row>
    <row r="10" spans="1:21">
      <c r="A10" s="78" t="s">
        <v>440</v>
      </c>
      <c r="B10" s="42" t="s">
        <v>420</v>
      </c>
      <c r="C10" s="42" t="s">
        <v>24</v>
      </c>
      <c r="D10" s="42" t="s">
        <v>16</v>
      </c>
      <c r="E10" s="42" t="s">
        <v>427</v>
      </c>
      <c r="F10" s="42">
        <v>2482</v>
      </c>
      <c r="G10" s="42"/>
      <c r="H10" s="42">
        <v>14775</v>
      </c>
      <c r="I10" s="42">
        <v>360</v>
      </c>
      <c r="J10" s="42">
        <v>0.13</v>
      </c>
      <c r="K10" s="42">
        <f t="shared" ref="K10" si="4">I10*J10</f>
        <v>46.800000000000004</v>
      </c>
      <c r="L10" s="43">
        <f t="shared" ref="L10" si="5">H10-K10</f>
        <v>14728.2</v>
      </c>
      <c r="M10" s="43">
        <f t="shared" ref="M10" si="6">H10/1000*70</f>
        <v>1034.25</v>
      </c>
      <c r="N10" s="42">
        <v>19500</v>
      </c>
      <c r="O10" s="42"/>
      <c r="P10" s="62"/>
      <c r="Q10" s="62"/>
      <c r="R10" s="62"/>
      <c r="S10" s="62"/>
      <c r="T10" s="62"/>
      <c r="U10" s="62"/>
    </row>
    <row r="11" spans="1:21">
      <c r="A11" s="63"/>
      <c r="B11" s="60"/>
      <c r="C11" s="60"/>
      <c r="D11" s="60"/>
      <c r="E11" s="60"/>
      <c r="F11" s="60"/>
      <c r="G11" s="60"/>
      <c r="H11" s="60"/>
      <c r="I11" s="60"/>
      <c r="J11" s="60"/>
      <c r="K11" s="60"/>
      <c r="L11" s="61"/>
      <c r="M11" s="61"/>
      <c r="N11" s="60"/>
      <c r="O11" s="62"/>
      <c r="P11" s="62"/>
      <c r="Q11" s="62"/>
      <c r="R11" s="62"/>
      <c r="S11" s="62"/>
      <c r="T11" s="62"/>
      <c r="U11" s="62"/>
    </row>
    <row r="12" spans="1:21">
      <c r="A12" s="78" t="s">
        <v>446</v>
      </c>
      <c r="B12" s="42" t="s">
        <v>420</v>
      </c>
      <c r="C12" s="42" t="s">
        <v>24</v>
      </c>
      <c r="D12" s="42" t="s">
        <v>16</v>
      </c>
      <c r="E12" s="42" t="s">
        <v>111</v>
      </c>
      <c r="F12" s="42">
        <v>2488</v>
      </c>
      <c r="G12" s="42"/>
      <c r="H12" s="42">
        <v>15015</v>
      </c>
      <c r="I12" s="42">
        <v>342</v>
      </c>
      <c r="J12" s="42">
        <v>0.13</v>
      </c>
      <c r="K12" s="42">
        <f t="shared" ref="K12:K13" si="7">I12*J12</f>
        <v>44.46</v>
      </c>
      <c r="L12" s="43">
        <f t="shared" ref="L12:L13" si="8">H12-K12</f>
        <v>14970.54</v>
      </c>
      <c r="M12" s="43">
        <f t="shared" ref="M12:M13" si="9">H12/1000*70</f>
        <v>1051.05</v>
      </c>
      <c r="N12" s="42">
        <v>21000</v>
      </c>
      <c r="O12" s="42"/>
      <c r="P12" s="42">
        <f t="shared" ref="P12" si="10">L12*O12</f>
        <v>0</v>
      </c>
      <c r="Q12" s="42"/>
      <c r="R12" s="62"/>
      <c r="S12" s="62"/>
      <c r="T12" s="62"/>
      <c r="U12" s="62"/>
    </row>
    <row r="13" spans="1:21">
      <c r="A13" s="78" t="s">
        <v>452</v>
      </c>
      <c r="B13" s="42" t="s">
        <v>420</v>
      </c>
      <c r="C13" s="42" t="s">
        <v>24</v>
      </c>
      <c r="D13" s="42" t="s">
        <v>16</v>
      </c>
      <c r="E13" s="42" t="s">
        <v>427</v>
      </c>
      <c r="F13" s="42">
        <v>2494</v>
      </c>
      <c r="G13" s="42"/>
      <c r="H13" s="42">
        <v>10670</v>
      </c>
      <c r="I13" s="42">
        <v>215</v>
      </c>
      <c r="J13" s="42">
        <v>0.13</v>
      </c>
      <c r="K13" s="42">
        <f t="shared" si="7"/>
        <v>27.95</v>
      </c>
      <c r="L13" s="43">
        <f t="shared" si="8"/>
        <v>10642.05</v>
      </c>
      <c r="M13" s="43">
        <f t="shared" si="9"/>
        <v>746.9</v>
      </c>
      <c r="N13" s="42">
        <v>15500</v>
      </c>
      <c r="O13" s="60"/>
      <c r="P13" s="60"/>
      <c r="Q13" s="62"/>
      <c r="R13" s="62"/>
      <c r="S13" s="62"/>
      <c r="T13" s="62"/>
      <c r="U13" s="62"/>
    </row>
    <row r="14" spans="1:21">
      <c r="A14" s="63"/>
      <c r="B14" s="60"/>
      <c r="C14" s="75"/>
      <c r="D14" s="60"/>
      <c r="E14" s="60"/>
      <c r="F14" s="60"/>
      <c r="G14" s="60"/>
      <c r="H14" s="60"/>
      <c r="I14" s="60"/>
      <c r="J14" s="60"/>
      <c r="K14" s="61"/>
      <c r="L14" s="65"/>
      <c r="M14" s="61"/>
      <c r="N14" s="60"/>
      <c r="O14" s="60"/>
      <c r="P14" s="60"/>
      <c r="Q14" s="62"/>
      <c r="R14" s="62"/>
      <c r="S14" s="62"/>
      <c r="T14" s="62"/>
      <c r="U14" s="62"/>
    </row>
    <row r="15" spans="1:21">
      <c r="A15" s="63"/>
      <c r="B15" s="60"/>
      <c r="C15" s="75"/>
      <c r="D15" s="60"/>
      <c r="E15" s="60"/>
      <c r="F15" s="60"/>
      <c r="G15" s="60"/>
      <c r="H15" s="60"/>
      <c r="I15" s="60"/>
      <c r="J15" s="60"/>
      <c r="K15" s="61"/>
      <c r="L15" s="65"/>
      <c r="M15" s="61"/>
      <c r="N15" s="60"/>
      <c r="O15" s="60"/>
      <c r="P15" s="60" t="s">
        <v>935</v>
      </c>
      <c r="Q15" s="62" t="s">
        <v>900</v>
      </c>
      <c r="R15" s="62">
        <v>255</v>
      </c>
      <c r="S15" s="62">
        <v>100000</v>
      </c>
      <c r="T15" s="62"/>
      <c r="U15" s="77">
        <v>31</v>
      </c>
    </row>
    <row r="16" spans="1:21">
      <c r="A16" s="62"/>
      <c r="B16" s="62"/>
      <c r="C16" s="62"/>
      <c r="D16" s="62"/>
      <c r="E16" s="62"/>
      <c r="F16" s="62"/>
      <c r="G16" s="62"/>
      <c r="H16" s="62"/>
      <c r="I16" s="62"/>
      <c r="J16" s="62"/>
      <c r="K16" s="62"/>
      <c r="L16" s="66"/>
      <c r="M16" s="62"/>
      <c r="N16" s="62"/>
      <c r="O16" s="62"/>
      <c r="P16" s="60"/>
      <c r="Q16" s="62"/>
      <c r="R16" s="62"/>
      <c r="S16" s="62"/>
      <c r="T16" s="62"/>
      <c r="U16" s="62"/>
    </row>
    <row r="17" spans="1:21">
      <c r="A17" s="62" t="s">
        <v>940</v>
      </c>
      <c r="B17" s="42" t="s">
        <v>420</v>
      </c>
      <c r="C17" s="42" t="s">
        <v>24</v>
      </c>
      <c r="D17" s="42" t="s">
        <v>16</v>
      </c>
      <c r="E17" s="42" t="s">
        <v>941</v>
      </c>
      <c r="F17" s="42">
        <v>8614</v>
      </c>
      <c r="G17" s="42"/>
      <c r="H17" s="42">
        <v>14455</v>
      </c>
      <c r="I17" s="42">
        <v>307</v>
      </c>
      <c r="J17" s="42">
        <v>0.13</v>
      </c>
      <c r="K17" s="42">
        <f t="shared" ref="K17:K18" si="11">I17*J17</f>
        <v>39.910000000000004</v>
      </c>
      <c r="L17" s="43">
        <f t="shared" ref="L17:L24" si="12">H17-K17</f>
        <v>14415.09</v>
      </c>
      <c r="M17" s="43"/>
      <c r="N17" s="43">
        <f t="shared" ref="N17:N24" si="13">L17-M17</f>
        <v>14415.09</v>
      </c>
      <c r="O17" s="43">
        <f t="shared" ref="O17:O24" si="14">H17/1000*70</f>
        <v>1011.85</v>
      </c>
      <c r="P17" s="42">
        <v>0</v>
      </c>
      <c r="Q17" s="42">
        <v>31</v>
      </c>
      <c r="R17" s="42">
        <f t="shared" ref="R17:R24" si="15">L17*Q17</f>
        <v>446867.79</v>
      </c>
      <c r="S17" s="62"/>
      <c r="T17" s="62"/>
      <c r="U17" s="62"/>
    </row>
    <row r="18" spans="1:21">
      <c r="A18" s="62" t="s">
        <v>942</v>
      </c>
      <c r="B18" s="42" t="s">
        <v>420</v>
      </c>
      <c r="C18" s="42" t="s">
        <v>24</v>
      </c>
      <c r="D18" s="42" t="s">
        <v>16</v>
      </c>
      <c r="E18" s="42" t="s">
        <v>944</v>
      </c>
      <c r="F18" s="42">
        <v>8615</v>
      </c>
      <c r="G18" s="42"/>
      <c r="H18" s="42">
        <v>15670</v>
      </c>
      <c r="I18" s="42">
        <v>324</v>
      </c>
      <c r="J18" s="42">
        <v>0.13</v>
      </c>
      <c r="K18" s="42">
        <f t="shared" si="11"/>
        <v>42.120000000000005</v>
      </c>
      <c r="L18" s="43">
        <f t="shared" si="12"/>
        <v>15627.88</v>
      </c>
      <c r="M18" s="43"/>
      <c r="N18" s="43">
        <f t="shared" si="13"/>
        <v>15627.88</v>
      </c>
      <c r="O18" s="43">
        <f t="shared" si="14"/>
        <v>1096.9000000000001</v>
      </c>
      <c r="P18" s="42">
        <v>0</v>
      </c>
      <c r="Q18" s="42">
        <v>31</v>
      </c>
      <c r="R18" s="42">
        <f t="shared" si="15"/>
        <v>484464.27999999997</v>
      </c>
      <c r="S18" s="62"/>
      <c r="T18" s="62"/>
      <c r="U18" s="62"/>
    </row>
    <row r="19" spans="1:21">
      <c r="A19" s="376" t="s">
        <v>957</v>
      </c>
      <c r="B19" s="42" t="s">
        <v>420</v>
      </c>
      <c r="C19" s="42" t="s">
        <v>24</v>
      </c>
      <c r="D19" s="42" t="s">
        <v>16</v>
      </c>
      <c r="E19" s="42" t="s">
        <v>941</v>
      </c>
      <c r="F19" s="42">
        <v>8617</v>
      </c>
      <c r="G19" s="42"/>
      <c r="H19" s="42">
        <v>15160</v>
      </c>
      <c r="I19" s="42">
        <v>320</v>
      </c>
      <c r="J19" s="42">
        <v>0.13</v>
      </c>
      <c r="K19" s="42">
        <v>42</v>
      </c>
      <c r="L19" s="43">
        <f t="shared" si="12"/>
        <v>15118</v>
      </c>
      <c r="M19" s="43"/>
      <c r="N19" s="43">
        <f t="shared" si="13"/>
        <v>15118</v>
      </c>
      <c r="O19" s="43">
        <f t="shared" si="14"/>
        <v>1061.2</v>
      </c>
      <c r="P19" s="42">
        <v>0</v>
      </c>
      <c r="Q19" s="42">
        <v>31</v>
      </c>
      <c r="R19" s="42">
        <f t="shared" si="15"/>
        <v>468658</v>
      </c>
      <c r="S19" s="62"/>
      <c r="T19" s="62"/>
      <c r="U19" s="62"/>
    </row>
    <row r="20" spans="1:21">
      <c r="A20" s="376"/>
      <c r="B20" s="42" t="s">
        <v>420</v>
      </c>
      <c r="C20" s="42" t="s">
        <v>24</v>
      </c>
      <c r="D20" s="42" t="s">
        <v>16</v>
      </c>
      <c r="E20" s="42" t="s">
        <v>958</v>
      </c>
      <c r="F20" s="42">
        <v>8616</v>
      </c>
      <c r="G20" s="42"/>
      <c r="H20" s="42">
        <v>15075</v>
      </c>
      <c r="I20" s="42">
        <v>336</v>
      </c>
      <c r="J20" s="42">
        <v>0.13</v>
      </c>
      <c r="K20" s="42">
        <v>44</v>
      </c>
      <c r="L20" s="43">
        <f t="shared" si="12"/>
        <v>15031</v>
      </c>
      <c r="M20" s="43"/>
      <c r="N20" s="43">
        <f t="shared" si="13"/>
        <v>15031</v>
      </c>
      <c r="O20" s="43">
        <f t="shared" si="14"/>
        <v>1055.25</v>
      </c>
      <c r="P20" s="42">
        <v>0</v>
      </c>
      <c r="Q20" s="42">
        <v>31</v>
      </c>
      <c r="R20" s="42">
        <f t="shared" si="15"/>
        <v>465961</v>
      </c>
      <c r="S20" s="62"/>
      <c r="T20" s="62"/>
      <c r="U20" s="62"/>
    </row>
    <row r="21" spans="1:21">
      <c r="A21" s="386" t="s">
        <v>959</v>
      </c>
      <c r="B21" s="42" t="s">
        <v>420</v>
      </c>
      <c r="C21" s="42" t="s">
        <v>24</v>
      </c>
      <c r="D21" s="42" t="s">
        <v>16</v>
      </c>
      <c r="E21" s="42" t="s">
        <v>427</v>
      </c>
      <c r="F21" s="42">
        <v>8618</v>
      </c>
      <c r="G21" s="42"/>
      <c r="H21" s="42">
        <v>13965</v>
      </c>
      <c r="I21" s="42">
        <v>310</v>
      </c>
      <c r="J21" s="42">
        <v>0.13</v>
      </c>
      <c r="K21" s="42">
        <f t="shared" ref="K21" si="16">I21*J21</f>
        <v>40.300000000000004</v>
      </c>
      <c r="L21" s="43">
        <f t="shared" si="12"/>
        <v>13924.7</v>
      </c>
      <c r="M21" s="43"/>
      <c r="N21" s="43">
        <f t="shared" si="13"/>
        <v>13924.7</v>
      </c>
      <c r="O21" s="43">
        <f t="shared" si="14"/>
        <v>977.55</v>
      </c>
      <c r="P21" s="42">
        <v>0</v>
      </c>
      <c r="Q21" s="42">
        <v>31</v>
      </c>
      <c r="R21" s="42">
        <f t="shared" si="15"/>
        <v>431665.7</v>
      </c>
    </row>
    <row r="22" spans="1:21">
      <c r="A22" s="374"/>
      <c r="B22" s="42" t="s">
        <v>420</v>
      </c>
      <c r="C22" s="42" t="s">
        <v>24</v>
      </c>
      <c r="D22" s="42" t="s">
        <v>16</v>
      </c>
      <c r="E22" s="42" t="s">
        <v>421</v>
      </c>
      <c r="F22" s="42">
        <v>8619</v>
      </c>
      <c r="G22" s="42"/>
      <c r="H22" s="42">
        <v>15235</v>
      </c>
      <c r="I22" s="42">
        <v>350</v>
      </c>
      <c r="J22" s="42">
        <v>0.13</v>
      </c>
      <c r="K22" s="42">
        <v>46</v>
      </c>
      <c r="L22" s="43">
        <f t="shared" si="12"/>
        <v>15189</v>
      </c>
      <c r="M22" s="43"/>
      <c r="N22" s="43">
        <f t="shared" si="13"/>
        <v>15189</v>
      </c>
      <c r="O22" s="43">
        <f t="shared" si="14"/>
        <v>1066.45</v>
      </c>
      <c r="P22" s="42">
        <v>0</v>
      </c>
      <c r="Q22" s="42">
        <v>31</v>
      </c>
      <c r="R22" s="42">
        <f t="shared" si="15"/>
        <v>470859</v>
      </c>
    </row>
    <row r="23" spans="1:21">
      <c r="A23" s="1" t="s">
        <v>960</v>
      </c>
      <c r="B23" s="42" t="s">
        <v>420</v>
      </c>
      <c r="C23" s="42" t="s">
        <v>24</v>
      </c>
      <c r="D23" s="42" t="s">
        <v>16</v>
      </c>
      <c r="E23" s="92" t="s">
        <v>961</v>
      </c>
      <c r="F23" s="92">
        <v>8620</v>
      </c>
      <c r="G23" s="92"/>
      <c r="H23" s="92">
        <v>15400</v>
      </c>
      <c r="I23" s="92">
        <v>318</v>
      </c>
      <c r="J23" s="92">
        <v>0.13</v>
      </c>
      <c r="K23" s="42">
        <f t="shared" ref="K23" si="17">I23*J23</f>
        <v>41.34</v>
      </c>
      <c r="L23" s="43">
        <f t="shared" si="12"/>
        <v>15358.66</v>
      </c>
      <c r="M23" s="43"/>
      <c r="N23" s="43">
        <f t="shared" si="13"/>
        <v>15358.66</v>
      </c>
      <c r="O23" s="43">
        <f t="shared" si="14"/>
        <v>1078</v>
      </c>
      <c r="P23" s="92">
        <v>0</v>
      </c>
      <c r="Q23" s="92">
        <v>31</v>
      </c>
      <c r="R23" s="92">
        <f t="shared" si="15"/>
        <v>476118.46</v>
      </c>
    </row>
    <row r="24" spans="1:21">
      <c r="A24" s="1" t="s">
        <v>962</v>
      </c>
      <c r="B24" s="42" t="s">
        <v>420</v>
      </c>
      <c r="C24" s="42" t="s">
        <v>24</v>
      </c>
      <c r="D24" s="42" t="s">
        <v>16</v>
      </c>
      <c r="E24" s="92" t="s">
        <v>963</v>
      </c>
      <c r="F24" s="92">
        <v>8622</v>
      </c>
      <c r="G24" s="92"/>
      <c r="H24" s="92">
        <v>15080</v>
      </c>
      <c r="I24" s="92">
        <v>327</v>
      </c>
      <c r="J24" s="92">
        <v>0.13</v>
      </c>
      <c r="K24" s="42">
        <v>43</v>
      </c>
      <c r="L24" s="43">
        <f t="shared" si="12"/>
        <v>15037</v>
      </c>
      <c r="M24" s="43"/>
      <c r="N24" s="43">
        <f t="shared" si="13"/>
        <v>15037</v>
      </c>
      <c r="O24" s="43">
        <f t="shared" si="14"/>
        <v>1055.5999999999999</v>
      </c>
      <c r="P24" s="92">
        <v>0</v>
      </c>
      <c r="Q24" s="92">
        <v>31</v>
      </c>
      <c r="R24" s="92">
        <f t="shared" si="15"/>
        <v>466147</v>
      </c>
    </row>
    <row r="25" spans="1:21">
      <c r="N25" s="16">
        <f>SUM(N17:N24)</f>
        <v>119701.33</v>
      </c>
    </row>
    <row r="27" spans="1:21">
      <c r="Q27" s="1" t="s">
        <v>999</v>
      </c>
      <c r="R27" s="1">
        <v>268</v>
      </c>
      <c r="S27" s="1">
        <v>50000</v>
      </c>
      <c r="U27" s="1">
        <v>31</v>
      </c>
    </row>
    <row r="29" spans="1:21">
      <c r="A29" s="1" t="s">
        <v>1004</v>
      </c>
      <c r="B29" s="42" t="s">
        <v>420</v>
      </c>
      <c r="C29" s="42" t="s">
        <v>24</v>
      </c>
      <c r="D29" s="42" t="s">
        <v>16</v>
      </c>
      <c r="E29" s="42" t="s">
        <v>1012</v>
      </c>
      <c r="F29" s="42">
        <v>8626</v>
      </c>
      <c r="G29" s="42"/>
      <c r="H29" s="42">
        <v>15290</v>
      </c>
      <c r="I29" s="42">
        <v>320</v>
      </c>
      <c r="J29" s="42">
        <v>0.13</v>
      </c>
      <c r="K29" s="42">
        <f>I29*J29</f>
        <v>41.6</v>
      </c>
      <c r="L29" s="43">
        <f>H29-K29</f>
        <v>15248.4</v>
      </c>
      <c r="M29" s="43"/>
      <c r="N29" s="43">
        <f>L29-M29</f>
        <v>15248.4</v>
      </c>
      <c r="O29" s="43">
        <f>H29/1000*70</f>
        <v>1070.3</v>
      </c>
      <c r="P29" s="42">
        <v>0</v>
      </c>
      <c r="Q29" s="42">
        <v>31</v>
      </c>
      <c r="R29" s="42">
        <f>L29*Q29</f>
        <v>472700.39999999997</v>
      </c>
    </row>
    <row r="30" spans="1:21">
      <c r="A30" s="1" t="s">
        <v>1013</v>
      </c>
      <c r="B30" s="42" t="s">
        <v>420</v>
      </c>
      <c r="C30" s="42" t="s">
        <v>24</v>
      </c>
      <c r="D30" s="42" t="s">
        <v>16</v>
      </c>
      <c r="E30" s="42" t="s">
        <v>1014</v>
      </c>
      <c r="F30" s="42">
        <v>8627</v>
      </c>
      <c r="G30" s="42"/>
      <c r="H30" s="42">
        <v>15040</v>
      </c>
      <c r="I30" s="42">
        <v>323</v>
      </c>
      <c r="J30" s="42">
        <v>0.13</v>
      </c>
      <c r="K30" s="42">
        <f>I30*J30</f>
        <v>41.99</v>
      </c>
      <c r="L30" s="43">
        <f>H30-K30</f>
        <v>14998.01</v>
      </c>
      <c r="M30" s="43"/>
      <c r="N30" s="43">
        <f>L30-M30</f>
        <v>14998.01</v>
      </c>
      <c r="O30" s="43">
        <f>H30/1000*70</f>
        <v>1052.8</v>
      </c>
      <c r="P30" s="42">
        <v>0</v>
      </c>
      <c r="Q30" s="42">
        <v>31</v>
      </c>
      <c r="R30" s="42">
        <f>L30*Q30</f>
        <v>464938.31</v>
      </c>
    </row>
  </sheetData>
  <mergeCells count="2">
    <mergeCell ref="A19:A20"/>
    <mergeCell ref="A21:A22"/>
  </mergeCell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5:U20"/>
  <sheetViews>
    <sheetView workbookViewId="0">
      <selection activeCell="C10" sqref="C10"/>
    </sheetView>
  </sheetViews>
  <sheetFormatPr defaultRowHeight="14.4"/>
  <cols>
    <col min="1" max="1" width="8.88671875" style="1"/>
    <col min="2" max="2" width="13.88671875" style="1" customWidth="1"/>
    <col min="3" max="3" width="10.77734375" style="1" customWidth="1"/>
    <col min="4" max="4" width="5.5546875" style="1" customWidth="1"/>
    <col min="5" max="5" width="8.88671875" style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0.399999999999999">
      <c r="A5" s="58" t="s">
        <v>3</v>
      </c>
      <c r="B5" s="58" t="s">
        <v>4</v>
      </c>
      <c r="C5" s="58" t="s">
        <v>5</v>
      </c>
      <c r="D5" s="58" t="s">
        <v>6</v>
      </c>
      <c r="E5" s="58" t="s">
        <v>37</v>
      </c>
      <c r="F5" s="59" t="s">
        <v>7</v>
      </c>
      <c r="G5" s="58" t="s">
        <v>8</v>
      </c>
      <c r="H5" s="58" t="s">
        <v>9</v>
      </c>
      <c r="I5" s="58" t="s">
        <v>10</v>
      </c>
      <c r="J5" s="59" t="s">
        <v>18</v>
      </c>
      <c r="K5" s="59" t="s">
        <v>17</v>
      </c>
      <c r="L5" s="58" t="s">
        <v>11</v>
      </c>
      <c r="M5" s="59" t="s">
        <v>36</v>
      </c>
      <c r="N5" s="58" t="s">
        <v>12</v>
      </c>
      <c r="O5" s="58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1">
      <c r="A6" s="69"/>
      <c r="B6" s="60"/>
      <c r="C6" s="60"/>
      <c r="D6" s="60"/>
      <c r="E6" s="60"/>
      <c r="F6" s="60"/>
      <c r="G6" s="60"/>
      <c r="H6" s="60"/>
      <c r="I6" s="60"/>
      <c r="J6" s="60"/>
      <c r="K6" s="60"/>
      <c r="L6" s="61"/>
      <c r="M6" s="61"/>
      <c r="N6" s="60"/>
      <c r="O6" s="62"/>
      <c r="P6" s="62"/>
      <c r="Q6" s="62"/>
      <c r="R6" s="62"/>
      <c r="S6" s="62"/>
      <c r="T6" s="62"/>
      <c r="U6" s="62"/>
    </row>
    <row r="7" spans="1:21">
      <c r="A7" s="390" t="s">
        <v>502</v>
      </c>
      <c r="B7" s="42" t="s">
        <v>504</v>
      </c>
      <c r="C7" s="42" t="s">
        <v>24</v>
      </c>
      <c r="D7" s="42" t="s">
        <v>16</v>
      </c>
      <c r="E7" s="42" t="s">
        <v>505</v>
      </c>
      <c r="F7" s="42">
        <v>26475</v>
      </c>
      <c r="G7" s="42"/>
      <c r="H7" s="42">
        <v>12500</v>
      </c>
      <c r="I7" s="42">
        <v>250</v>
      </c>
      <c r="J7" s="42">
        <v>0.13</v>
      </c>
      <c r="K7" s="43">
        <f t="shared" ref="K7:K8" si="0">I7*J7</f>
        <v>32.5</v>
      </c>
      <c r="L7" s="43">
        <f t="shared" ref="L7:L8" si="1">H7-K7</f>
        <v>12467.5</v>
      </c>
      <c r="M7" s="43">
        <f t="shared" ref="M7:M8" si="2">H7/1000*70</f>
        <v>875</v>
      </c>
      <c r="N7" s="42">
        <v>0</v>
      </c>
      <c r="O7" s="42"/>
      <c r="P7" s="42"/>
      <c r="Q7" s="42"/>
      <c r="R7" s="62"/>
      <c r="S7" s="62"/>
      <c r="T7" s="62"/>
      <c r="U7" s="62"/>
    </row>
    <row r="8" spans="1:21">
      <c r="A8" s="390"/>
      <c r="B8" s="42" t="s">
        <v>504</v>
      </c>
      <c r="C8" s="42" t="s">
        <v>24</v>
      </c>
      <c r="D8" s="42" t="s">
        <v>16</v>
      </c>
      <c r="E8" s="42" t="s">
        <v>506</v>
      </c>
      <c r="F8" s="42">
        <v>26474</v>
      </c>
      <c r="G8" s="42"/>
      <c r="H8" s="42">
        <v>12480</v>
      </c>
      <c r="I8" s="42">
        <v>250</v>
      </c>
      <c r="J8" s="42">
        <v>0.13</v>
      </c>
      <c r="K8" s="43">
        <f t="shared" si="0"/>
        <v>32.5</v>
      </c>
      <c r="L8" s="43">
        <f t="shared" si="1"/>
        <v>12447.5</v>
      </c>
      <c r="M8" s="43">
        <f t="shared" si="2"/>
        <v>873.6</v>
      </c>
      <c r="N8" s="42">
        <v>0</v>
      </c>
      <c r="O8" s="42"/>
      <c r="P8" s="62"/>
      <c r="Q8" s="62"/>
      <c r="R8" s="62"/>
      <c r="S8" s="62"/>
      <c r="T8" s="62"/>
      <c r="U8" s="62"/>
    </row>
    <row r="9" spans="1:21">
      <c r="A9" s="69"/>
      <c r="B9" s="60"/>
      <c r="C9" s="60"/>
      <c r="D9" s="60"/>
      <c r="E9" s="60"/>
      <c r="F9" s="60"/>
      <c r="G9" s="60"/>
      <c r="H9" s="60"/>
      <c r="I9" s="60"/>
      <c r="J9" s="60"/>
      <c r="K9" s="60"/>
      <c r="L9" s="61"/>
      <c r="M9" s="61"/>
      <c r="N9" s="60"/>
      <c r="O9" s="62"/>
      <c r="P9" s="62"/>
      <c r="Q9" s="62"/>
      <c r="R9" s="62"/>
      <c r="S9" s="62"/>
      <c r="T9" s="62"/>
      <c r="U9" s="62"/>
    </row>
    <row r="10" spans="1:21">
      <c r="A10" s="78"/>
      <c r="B10" s="42"/>
      <c r="C10" s="42"/>
      <c r="D10" s="42"/>
      <c r="E10" s="42"/>
      <c r="F10" s="42"/>
      <c r="G10" s="42"/>
      <c r="H10" s="42"/>
      <c r="I10" s="42"/>
      <c r="J10" s="42"/>
      <c r="K10" s="42"/>
      <c r="L10" s="43"/>
      <c r="M10" s="43"/>
      <c r="N10" s="42"/>
      <c r="O10" s="42"/>
      <c r="P10" s="62"/>
      <c r="Q10" s="62"/>
      <c r="R10" s="62"/>
      <c r="S10" s="62"/>
      <c r="T10" s="62"/>
      <c r="U10" s="62"/>
    </row>
    <row r="11" spans="1:21">
      <c r="A11" s="63"/>
      <c r="B11" s="60"/>
      <c r="C11" s="60"/>
      <c r="D11" s="60"/>
      <c r="E11" s="60"/>
      <c r="F11" s="60"/>
      <c r="G11" s="60"/>
      <c r="H11" s="60"/>
      <c r="I11" s="60"/>
      <c r="J11" s="60"/>
      <c r="K11" s="60"/>
      <c r="L11" s="61"/>
      <c r="M11" s="61"/>
      <c r="N11" s="60"/>
      <c r="O11" s="62"/>
      <c r="P11" s="62"/>
      <c r="Q11" s="62"/>
      <c r="R11" s="62"/>
      <c r="S11" s="62"/>
      <c r="T11" s="62"/>
      <c r="U11" s="62"/>
    </row>
    <row r="12" spans="1:21">
      <c r="A12" s="78"/>
      <c r="B12" s="42"/>
      <c r="C12" s="42"/>
      <c r="D12" s="42"/>
      <c r="E12" s="42"/>
      <c r="F12" s="42"/>
      <c r="G12" s="42"/>
      <c r="H12" s="42"/>
      <c r="I12" s="42"/>
      <c r="J12" s="42"/>
      <c r="K12" s="42"/>
      <c r="L12" s="43"/>
      <c r="M12" s="43"/>
      <c r="N12" s="42"/>
      <c r="O12" s="42"/>
      <c r="P12" s="42"/>
      <c r="Q12" s="42"/>
      <c r="R12" s="62"/>
      <c r="S12" s="62"/>
      <c r="T12" s="62"/>
      <c r="U12" s="62"/>
    </row>
    <row r="13" spans="1:21">
      <c r="A13" s="78"/>
      <c r="B13" s="42"/>
      <c r="C13" s="42"/>
      <c r="D13" s="42"/>
      <c r="E13" s="42"/>
      <c r="F13" s="42"/>
      <c r="G13" s="42"/>
      <c r="H13" s="42"/>
      <c r="I13" s="42"/>
      <c r="J13" s="42"/>
      <c r="K13" s="42"/>
      <c r="L13" s="43"/>
      <c r="M13" s="43"/>
      <c r="N13" s="42"/>
      <c r="O13" s="60"/>
      <c r="P13" s="60"/>
      <c r="Q13" s="62"/>
      <c r="R13" s="62"/>
      <c r="S13" s="62"/>
      <c r="T13" s="62"/>
      <c r="U13" s="62"/>
    </row>
    <row r="14" spans="1:21">
      <c r="A14" s="63"/>
      <c r="B14" s="60"/>
      <c r="C14" s="83"/>
      <c r="D14" s="60"/>
      <c r="E14" s="60"/>
      <c r="F14" s="60"/>
      <c r="G14" s="60"/>
      <c r="H14" s="60"/>
      <c r="I14" s="60"/>
      <c r="J14" s="60"/>
      <c r="K14" s="61"/>
      <c r="L14" s="65"/>
      <c r="M14" s="61"/>
      <c r="N14" s="60"/>
      <c r="O14" s="60"/>
      <c r="P14" s="60"/>
      <c r="Q14" s="62"/>
      <c r="R14" s="62"/>
      <c r="S14" s="62"/>
      <c r="T14" s="62"/>
      <c r="U14" s="62"/>
    </row>
    <row r="15" spans="1:21">
      <c r="A15" s="63"/>
      <c r="B15" s="60"/>
      <c r="C15" s="83"/>
      <c r="D15" s="60"/>
      <c r="E15" s="60"/>
      <c r="F15" s="60"/>
      <c r="G15" s="60"/>
      <c r="H15" s="60"/>
      <c r="I15" s="60"/>
      <c r="J15" s="60"/>
      <c r="K15" s="61"/>
      <c r="L15" s="65"/>
      <c r="M15" s="61"/>
      <c r="N15" s="60"/>
      <c r="O15" s="60"/>
      <c r="P15" s="60"/>
      <c r="Q15" s="62"/>
      <c r="R15" s="62"/>
      <c r="S15" s="62"/>
      <c r="T15" s="62"/>
      <c r="U15" s="62"/>
    </row>
    <row r="16" spans="1:21">
      <c r="A16" s="62"/>
      <c r="B16" s="62"/>
      <c r="C16" s="62"/>
      <c r="D16" s="62"/>
      <c r="E16" s="62"/>
      <c r="F16" s="62"/>
      <c r="G16" s="62"/>
      <c r="H16" s="62"/>
      <c r="I16" s="62"/>
      <c r="J16" s="62"/>
      <c r="K16" s="62"/>
      <c r="L16" s="66"/>
      <c r="M16" s="62"/>
      <c r="N16" s="62"/>
      <c r="O16" s="62"/>
      <c r="P16" s="60"/>
      <c r="Q16" s="62"/>
      <c r="R16" s="62"/>
      <c r="S16" s="62"/>
      <c r="T16" s="62"/>
      <c r="U16" s="62"/>
    </row>
    <row r="17" spans="1:21">
      <c r="A17" s="62"/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8"/>
      <c r="M17" s="68"/>
      <c r="N17" s="67"/>
      <c r="O17" s="67"/>
      <c r="P17" s="60"/>
      <c r="Q17" s="62"/>
      <c r="R17" s="62"/>
      <c r="S17" s="62"/>
      <c r="T17" s="62"/>
      <c r="U17" s="62"/>
    </row>
    <row r="18" spans="1:21">
      <c r="A18" s="62"/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8"/>
      <c r="M18" s="68"/>
      <c r="N18" s="67"/>
      <c r="O18" s="67"/>
      <c r="P18" s="67"/>
      <c r="Q18" s="62"/>
      <c r="R18" s="62"/>
      <c r="S18" s="62"/>
      <c r="T18" s="62"/>
      <c r="U18" s="62"/>
    </row>
    <row r="19" spans="1:21">
      <c r="A19" s="62"/>
      <c r="B19" s="67"/>
      <c r="C19" s="67"/>
      <c r="D19" s="67"/>
      <c r="E19" s="67"/>
      <c r="F19" s="67"/>
      <c r="G19" s="67"/>
      <c r="H19" s="67"/>
      <c r="I19" s="67"/>
      <c r="J19" s="67"/>
      <c r="K19" s="67"/>
      <c r="L19" s="68"/>
      <c r="M19" s="68"/>
      <c r="N19" s="67"/>
      <c r="O19" s="67"/>
      <c r="P19" s="67"/>
      <c r="Q19" s="62"/>
      <c r="R19" s="62"/>
      <c r="S19" s="62"/>
      <c r="T19" s="62"/>
      <c r="U19" s="62"/>
    </row>
    <row r="20" spans="1:21">
      <c r="A20" s="21"/>
      <c r="B20" s="67"/>
      <c r="C20" s="67"/>
      <c r="D20" s="67"/>
      <c r="E20" s="67"/>
      <c r="F20" s="67"/>
      <c r="G20" s="67"/>
      <c r="H20" s="67"/>
      <c r="I20" s="67"/>
      <c r="J20" s="67"/>
      <c r="K20" s="67"/>
      <c r="L20" s="68"/>
      <c r="M20" s="68"/>
      <c r="N20" s="67"/>
      <c r="O20" s="67"/>
      <c r="P20" s="67"/>
      <c r="Q20" s="62"/>
      <c r="R20" s="62"/>
      <c r="S20" s="62"/>
      <c r="T20" s="62"/>
      <c r="U20" s="62"/>
    </row>
  </sheetData>
  <mergeCells count="1">
    <mergeCell ref="A7:A8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5:U20"/>
  <sheetViews>
    <sheetView workbookViewId="0">
      <selection activeCell="G18" sqref="G18"/>
    </sheetView>
  </sheetViews>
  <sheetFormatPr defaultRowHeight="14.4"/>
  <cols>
    <col min="1" max="1" width="8.88671875" style="1"/>
    <col min="2" max="2" width="13.88671875" style="1" customWidth="1"/>
    <col min="3" max="3" width="10.77734375" style="1" customWidth="1"/>
    <col min="4" max="4" width="5.5546875" style="1" customWidth="1"/>
    <col min="5" max="5" width="8.88671875" style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0.399999999999999">
      <c r="A5" s="58" t="s">
        <v>3</v>
      </c>
      <c r="B5" s="58" t="s">
        <v>4</v>
      </c>
      <c r="C5" s="58" t="s">
        <v>5</v>
      </c>
      <c r="D5" s="58" t="s">
        <v>6</v>
      </c>
      <c r="E5" s="58" t="s">
        <v>37</v>
      </c>
      <c r="F5" s="59" t="s">
        <v>7</v>
      </c>
      <c r="G5" s="58" t="s">
        <v>8</v>
      </c>
      <c r="H5" s="58" t="s">
        <v>9</v>
      </c>
      <c r="I5" s="58" t="s">
        <v>10</v>
      </c>
      <c r="J5" s="59" t="s">
        <v>18</v>
      </c>
      <c r="K5" s="59" t="s">
        <v>17</v>
      </c>
      <c r="L5" s="58" t="s">
        <v>11</v>
      </c>
      <c r="M5" s="59" t="s">
        <v>36</v>
      </c>
      <c r="N5" s="58" t="s">
        <v>12</v>
      </c>
      <c r="O5" s="58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1">
      <c r="A6" s="69"/>
      <c r="B6" s="60"/>
      <c r="C6" s="60"/>
      <c r="D6" s="60"/>
      <c r="E6" s="60"/>
      <c r="F6" s="60"/>
      <c r="G6" s="60"/>
      <c r="H6" s="60"/>
      <c r="I6" s="60"/>
      <c r="J6" s="60"/>
      <c r="K6" s="60"/>
      <c r="L6" s="61"/>
      <c r="M6" s="61"/>
      <c r="N6" s="60"/>
      <c r="O6" s="62"/>
      <c r="P6" s="62"/>
      <c r="Q6" s="62"/>
      <c r="R6" s="62"/>
      <c r="S6" s="62"/>
      <c r="T6" s="62"/>
      <c r="U6" s="62"/>
    </row>
    <row r="7" spans="1:21">
      <c r="A7" s="374" t="s">
        <v>521</v>
      </c>
      <c r="B7" s="42" t="s">
        <v>524</v>
      </c>
      <c r="C7" s="42" t="s">
        <v>24</v>
      </c>
      <c r="D7" s="42" t="s">
        <v>16</v>
      </c>
      <c r="E7" s="42" t="s">
        <v>525</v>
      </c>
      <c r="F7" s="42">
        <v>627</v>
      </c>
      <c r="G7" s="42"/>
      <c r="H7" s="42">
        <v>18000</v>
      </c>
      <c r="I7" s="42">
        <v>360</v>
      </c>
      <c r="J7" s="42">
        <v>0.13</v>
      </c>
      <c r="K7" s="43">
        <f t="shared" ref="K7:K11" si="0">I7*J7</f>
        <v>46.800000000000004</v>
      </c>
      <c r="L7" s="43">
        <f t="shared" ref="L7:L11" si="1">H7-K7</f>
        <v>17953.2</v>
      </c>
      <c r="M7" s="43">
        <f t="shared" ref="M7:M11" si="2">H7/1000*70</f>
        <v>1260</v>
      </c>
      <c r="N7" s="42">
        <v>0</v>
      </c>
      <c r="O7" s="42"/>
      <c r="P7" s="42">
        <f t="shared" ref="P7:P8" si="3">L7*O7</f>
        <v>0</v>
      </c>
      <c r="Q7" s="42"/>
      <c r="R7" s="62"/>
      <c r="S7" s="62"/>
      <c r="T7" s="62"/>
      <c r="U7" s="62"/>
    </row>
    <row r="8" spans="1:21">
      <c r="A8" s="374"/>
      <c r="B8" s="42" t="s">
        <v>524</v>
      </c>
      <c r="C8" s="42" t="s">
        <v>24</v>
      </c>
      <c r="D8" s="42" t="s">
        <v>16</v>
      </c>
      <c r="E8" s="42" t="s">
        <v>526</v>
      </c>
      <c r="F8" s="42">
        <v>626</v>
      </c>
      <c r="G8" s="42"/>
      <c r="H8" s="42">
        <v>18000</v>
      </c>
      <c r="I8" s="42">
        <v>360</v>
      </c>
      <c r="J8" s="42">
        <v>0.13</v>
      </c>
      <c r="K8" s="43">
        <f t="shared" si="0"/>
        <v>46.800000000000004</v>
      </c>
      <c r="L8" s="43">
        <f t="shared" si="1"/>
        <v>17953.2</v>
      </c>
      <c r="M8" s="43">
        <f t="shared" si="2"/>
        <v>1260</v>
      </c>
      <c r="N8" s="42">
        <v>0</v>
      </c>
      <c r="O8" s="42"/>
      <c r="P8" s="42">
        <f t="shared" si="3"/>
        <v>0</v>
      </c>
      <c r="Q8" s="62"/>
      <c r="R8" s="62"/>
      <c r="S8" s="62"/>
      <c r="T8" s="62"/>
      <c r="U8" s="62"/>
    </row>
    <row r="9" spans="1:21">
      <c r="A9" s="390" t="s">
        <v>532</v>
      </c>
      <c r="B9" s="42" t="s">
        <v>524</v>
      </c>
      <c r="C9" s="42" t="s">
        <v>24</v>
      </c>
      <c r="D9" s="42" t="s">
        <v>16</v>
      </c>
      <c r="E9" s="42" t="s">
        <v>539</v>
      </c>
      <c r="F9" s="42">
        <v>638</v>
      </c>
      <c r="G9" s="42"/>
      <c r="H9" s="42">
        <v>14990</v>
      </c>
      <c r="I9" s="42">
        <v>300</v>
      </c>
      <c r="J9" s="42">
        <v>0.13</v>
      </c>
      <c r="K9" s="43">
        <f t="shared" si="0"/>
        <v>39</v>
      </c>
      <c r="L9" s="43">
        <f t="shared" si="1"/>
        <v>14951</v>
      </c>
      <c r="M9" s="43">
        <f t="shared" si="2"/>
        <v>1049.3</v>
      </c>
      <c r="N9" s="42">
        <v>0</v>
      </c>
      <c r="O9" s="62"/>
      <c r="P9" s="62"/>
      <c r="Q9" s="62"/>
      <c r="R9" s="62"/>
      <c r="S9" s="62"/>
      <c r="T9" s="62"/>
      <c r="U9" s="62"/>
    </row>
    <row r="10" spans="1:21">
      <c r="A10" s="390"/>
      <c r="B10" s="42" t="s">
        <v>524</v>
      </c>
      <c r="C10" s="42" t="s">
        <v>24</v>
      </c>
      <c r="D10" s="42" t="s">
        <v>16</v>
      </c>
      <c r="E10" s="42" t="s">
        <v>540</v>
      </c>
      <c r="F10" s="42">
        <v>644</v>
      </c>
      <c r="G10" s="42"/>
      <c r="H10" s="42">
        <v>12480</v>
      </c>
      <c r="I10" s="42">
        <v>250</v>
      </c>
      <c r="J10" s="42">
        <v>0.13</v>
      </c>
      <c r="K10" s="43">
        <f t="shared" si="0"/>
        <v>32.5</v>
      </c>
      <c r="L10" s="43">
        <f t="shared" si="1"/>
        <v>12447.5</v>
      </c>
      <c r="M10" s="43">
        <f t="shared" si="2"/>
        <v>873.6</v>
      </c>
      <c r="N10" s="42">
        <v>0</v>
      </c>
      <c r="O10" s="42"/>
      <c r="P10" s="62"/>
      <c r="Q10" s="62"/>
      <c r="R10" s="62"/>
      <c r="S10" s="62"/>
      <c r="T10" s="62"/>
      <c r="U10" s="62"/>
    </row>
    <row r="11" spans="1:21">
      <c r="A11" s="390"/>
      <c r="B11" s="42" t="s">
        <v>524</v>
      </c>
      <c r="C11" s="42" t="s">
        <v>24</v>
      </c>
      <c r="D11" s="42" t="s">
        <v>16</v>
      </c>
      <c r="E11" s="42" t="s">
        <v>541</v>
      </c>
      <c r="F11" s="42">
        <v>639</v>
      </c>
      <c r="G11" s="42"/>
      <c r="H11" s="42">
        <v>12480</v>
      </c>
      <c r="I11" s="42">
        <v>250</v>
      </c>
      <c r="J11" s="42">
        <v>0.13</v>
      </c>
      <c r="K11" s="43">
        <f t="shared" si="0"/>
        <v>32.5</v>
      </c>
      <c r="L11" s="43">
        <f t="shared" si="1"/>
        <v>12447.5</v>
      </c>
      <c r="M11" s="43">
        <f t="shared" si="2"/>
        <v>873.6</v>
      </c>
      <c r="N11" s="42">
        <v>0</v>
      </c>
      <c r="O11" s="62"/>
      <c r="P11" s="62"/>
      <c r="Q11" s="62"/>
      <c r="R11" s="62"/>
      <c r="S11" s="62"/>
      <c r="T11" s="62"/>
      <c r="U11" s="62"/>
    </row>
    <row r="12" spans="1:21">
      <c r="A12" s="78"/>
      <c r="B12" s="42"/>
      <c r="C12" s="42"/>
      <c r="D12" s="42"/>
      <c r="E12" s="42"/>
      <c r="F12" s="42"/>
      <c r="G12" s="42"/>
      <c r="H12" s="42"/>
      <c r="I12" s="42"/>
      <c r="J12" s="42"/>
      <c r="K12" s="42"/>
      <c r="L12" s="43"/>
      <c r="M12" s="43"/>
      <c r="N12" s="42"/>
      <c r="O12" s="42"/>
      <c r="P12" s="42"/>
      <c r="Q12" s="42"/>
      <c r="R12" s="62"/>
      <c r="S12" s="62"/>
      <c r="T12" s="62"/>
      <c r="U12" s="62"/>
    </row>
    <row r="13" spans="1:21">
      <c r="A13" s="389" t="s">
        <v>563</v>
      </c>
      <c r="B13" s="42" t="s">
        <v>564</v>
      </c>
      <c r="C13" s="42" t="s">
        <v>24</v>
      </c>
      <c r="D13" s="42" t="s">
        <v>16</v>
      </c>
      <c r="E13" s="42" t="s">
        <v>565</v>
      </c>
      <c r="F13" s="42">
        <v>1267</v>
      </c>
      <c r="G13" s="42"/>
      <c r="H13" s="42">
        <v>12490</v>
      </c>
      <c r="I13" s="42">
        <v>250</v>
      </c>
      <c r="J13" s="42">
        <v>0.13</v>
      </c>
      <c r="K13" s="42">
        <f t="shared" ref="K13:K14" si="4">I13*J13</f>
        <v>32.5</v>
      </c>
      <c r="L13" s="43">
        <f t="shared" ref="L13:L14" si="5">H13-K13</f>
        <v>12457.5</v>
      </c>
      <c r="M13" s="43">
        <f t="shared" ref="M13:M14" si="6">H13/1000*70</f>
        <v>874.30000000000007</v>
      </c>
      <c r="N13" s="42">
        <v>0</v>
      </c>
      <c r="O13" s="60"/>
      <c r="P13" s="60"/>
      <c r="Q13" s="62"/>
      <c r="R13" s="62"/>
      <c r="S13" s="62"/>
      <c r="T13" s="62"/>
      <c r="U13" s="62"/>
    </row>
    <row r="14" spans="1:21">
      <c r="A14" s="389"/>
      <c r="B14" s="42" t="s">
        <v>564</v>
      </c>
      <c r="C14" s="42" t="s">
        <v>24</v>
      </c>
      <c r="D14" s="42" t="s">
        <v>16</v>
      </c>
      <c r="E14" s="42" t="s">
        <v>566</v>
      </c>
      <c r="F14" s="42">
        <v>1263</v>
      </c>
      <c r="G14" s="42"/>
      <c r="H14" s="42">
        <v>12570</v>
      </c>
      <c r="I14" s="42">
        <v>250</v>
      </c>
      <c r="J14" s="42">
        <v>0.13</v>
      </c>
      <c r="K14" s="42">
        <f t="shared" si="4"/>
        <v>32.5</v>
      </c>
      <c r="L14" s="43">
        <f t="shared" si="5"/>
        <v>12537.5</v>
      </c>
      <c r="M14" s="43">
        <f t="shared" si="6"/>
        <v>879.9</v>
      </c>
      <c r="N14" s="42">
        <v>0</v>
      </c>
      <c r="O14" s="60"/>
      <c r="P14" s="60"/>
      <c r="Q14" s="62"/>
      <c r="R14" s="62"/>
      <c r="S14" s="62"/>
      <c r="T14" s="62"/>
      <c r="U14" s="62"/>
    </row>
    <row r="15" spans="1:21">
      <c r="A15" s="63"/>
      <c r="B15" s="60"/>
      <c r="C15" s="84"/>
      <c r="D15" s="60"/>
      <c r="E15" s="60"/>
      <c r="F15" s="60"/>
      <c r="G15" s="60"/>
      <c r="H15" s="60"/>
      <c r="I15" s="60"/>
      <c r="J15" s="60"/>
      <c r="K15" s="61"/>
      <c r="L15" s="65"/>
      <c r="M15" s="61"/>
      <c r="N15" s="60"/>
      <c r="O15" s="60"/>
      <c r="P15" s="60"/>
      <c r="Q15" s="62"/>
      <c r="R15" s="62"/>
      <c r="S15" s="62"/>
      <c r="T15" s="62"/>
      <c r="U15" s="62"/>
    </row>
    <row r="16" spans="1:21">
      <c r="A16" s="62"/>
      <c r="B16" s="62"/>
      <c r="C16" s="62"/>
      <c r="D16" s="62"/>
      <c r="E16" s="62"/>
      <c r="F16" s="62"/>
      <c r="G16" s="62"/>
      <c r="H16" s="62"/>
      <c r="I16" s="62"/>
      <c r="J16" s="62"/>
      <c r="K16" s="62"/>
      <c r="L16" s="66"/>
      <c r="M16" s="62"/>
      <c r="N16" s="62"/>
      <c r="O16" s="62"/>
      <c r="P16" s="60"/>
      <c r="Q16" s="62"/>
      <c r="R16" s="62"/>
      <c r="S16" s="62"/>
      <c r="T16" s="62"/>
      <c r="U16" s="62"/>
    </row>
    <row r="17" spans="1:21">
      <c r="A17" s="62"/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8"/>
      <c r="M17" s="68"/>
      <c r="N17" s="67"/>
      <c r="O17" s="67"/>
      <c r="P17" s="60"/>
      <c r="Q17" s="62"/>
      <c r="R17" s="62"/>
      <c r="S17" s="62"/>
      <c r="T17" s="62"/>
      <c r="U17" s="62"/>
    </row>
    <row r="18" spans="1:21">
      <c r="A18" s="62"/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8"/>
      <c r="M18" s="68"/>
      <c r="N18" s="67"/>
      <c r="O18" s="67"/>
      <c r="P18" s="67"/>
      <c r="Q18" s="62"/>
      <c r="R18" s="62"/>
      <c r="S18" s="62"/>
      <c r="T18" s="62"/>
      <c r="U18" s="62"/>
    </row>
    <row r="19" spans="1:21">
      <c r="A19" s="62"/>
      <c r="B19" s="67"/>
      <c r="C19" s="67"/>
      <c r="D19" s="67"/>
      <c r="E19" s="67"/>
      <c r="F19" s="67"/>
      <c r="G19" s="67"/>
      <c r="H19" s="67">
        <f>SUM(H7:H18)</f>
        <v>101010</v>
      </c>
      <c r="I19" s="67"/>
      <c r="J19" s="67"/>
      <c r="K19" s="68">
        <f>SUM(K7:K18)</f>
        <v>262.60000000000002</v>
      </c>
      <c r="L19" s="68">
        <f>SUM(L7:L18)</f>
        <v>100747.4</v>
      </c>
      <c r="M19" s="68"/>
      <c r="N19" s="67"/>
      <c r="O19" s="67"/>
      <c r="P19" s="67"/>
      <c r="Q19" s="62"/>
      <c r="R19" s="62"/>
      <c r="S19" s="62"/>
      <c r="T19" s="62"/>
      <c r="U19" s="62"/>
    </row>
    <row r="20" spans="1:21">
      <c r="A20" s="21"/>
      <c r="B20" s="67"/>
      <c r="C20" s="67"/>
      <c r="D20" s="67"/>
      <c r="E20" s="67"/>
      <c r="F20" s="67"/>
      <c r="G20" s="67"/>
      <c r="H20" s="67"/>
      <c r="I20" s="67"/>
      <c r="J20" s="67"/>
      <c r="K20" s="67"/>
      <c r="L20" s="68"/>
      <c r="M20" s="68"/>
      <c r="N20" s="67"/>
      <c r="O20" s="67"/>
      <c r="P20" s="67"/>
      <c r="Q20" s="62"/>
      <c r="R20" s="62"/>
      <c r="S20" s="62"/>
      <c r="T20" s="62"/>
      <c r="U20" s="62"/>
    </row>
  </sheetData>
  <mergeCells count="3">
    <mergeCell ref="A7:A8"/>
    <mergeCell ref="A9:A11"/>
    <mergeCell ref="A13:A14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5:U162"/>
  <sheetViews>
    <sheetView topLeftCell="A148" workbookViewId="0">
      <selection activeCell="A163" sqref="A163"/>
    </sheetView>
  </sheetViews>
  <sheetFormatPr defaultRowHeight="14.4"/>
  <cols>
    <col min="1" max="1" width="8.88671875" style="1"/>
    <col min="2" max="2" width="24.44140625" style="1" customWidth="1"/>
    <col min="3" max="3" width="10.77734375" style="1" customWidth="1"/>
    <col min="4" max="4" width="5.5546875" style="1" customWidth="1"/>
    <col min="5" max="5" width="8.88671875" style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0.399999999999999">
      <c r="A5" s="58" t="s">
        <v>3</v>
      </c>
      <c r="B5" s="58" t="s">
        <v>4</v>
      </c>
      <c r="C5" s="58" t="s">
        <v>5</v>
      </c>
      <c r="D5" s="58" t="s">
        <v>6</v>
      </c>
      <c r="E5" s="58" t="s">
        <v>37</v>
      </c>
      <c r="F5" s="59" t="s">
        <v>7</v>
      </c>
      <c r="G5" s="58" t="s">
        <v>8</v>
      </c>
      <c r="H5" s="58" t="s">
        <v>9</v>
      </c>
      <c r="I5" s="58" t="s">
        <v>10</v>
      </c>
      <c r="J5" s="59" t="s">
        <v>18</v>
      </c>
      <c r="K5" s="59" t="s">
        <v>17</v>
      </c>
      <c r="L5" s="58" t="s">
        <v>11</v>
      </c>
      <c r="M5" s="59" t="s">
        <v>36</v>
      </c>
      <c r="N5" s="58" t="s">
        <v>12</v>
      </c>
      <c r="O5" s="58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1">
      <c r="A6" s="69"/>
      <c r="B6" s="60"/>
      <c r="C6" s="60"/>
      <c r="D6" s="60"/>
      <c r="E6" s="60"/>
      <c r="F6" s="60"/>
      <c r="G6" s="60"/>
      <c r="H6" s="60"/>
      <c r="I6" s="60"/>
      <c r="J6" s="60"/>
      <c r="K6" s="60"/>
      <c r="L6" s="61"/>
      <c r="M6" s="61"/>
      <c r="N6" s="60"/>
      <c r="O6" s="62"/>
      <c r="P6" s="62"/>
      <c r="Q6" s="62"/>
      <c r="R6" s="62"/>
      <c r="S6" s="62"/>
      <c r="T6" s="62"/>
      <c r="U6" s="62"/>
    </row>
    <row r="7" spans="1:21">
      <c r="A7" s="374" t="s">
        <v>683</v>
      </c>
      <c r="B7" s="42" t="s">
        <v>684</v>
      </c>
      <c r="C7" s="42" t="s">
        <v>24</v>
      </c>
      <c r="D7" s="42" t="s">
        <v>16</v>
      </c>
      <c r="E7" s="42" t="s">
        <v>345</v>
      </c>
      <c r="F7" s="42">
        <v>12</v>
      </c>
      <c r="G7" s="42"/>
      <c r="H7" s="42">
        <v>12500</v>
      </c>
      <c r="I7" s="42">
        <v>250</v>
      </c>
      <c r="J7" s="42">
        <v>0.13</v>
      </c>
      <c r="K7" s="42">
        <v>33</v>
      </c>
      <c r="L7" s="43">
        <f t="shared" ref="L7:L13" si="0">H7-K7</f>
        <v>12467</v>
      </c>
      <c r="M7" s="43">
        <v>0</v>
      </c>
      <c r="N7" s="43">
        <f t="shared" ref="N7:N13" si="1">L7-M7</f>
        <v>12467</v>
      </c>
      <c r="O7" s="43">
        <f t="shared" ref="O7:O13" si="2">H7/1000*70</f>
        <v>875</v>
      </c>
      <c r="P7" s="42">
        <v>0</v>
      </c>
      <c r="Q7" s="42"/>
      <c r="R7" s="62"/>
      <c r="S7" s="62"/>
      <c r="T7" s="62"/>
      <c r="U7" s="62"/>
    </row>
    <row r="8" spans="1:21">
      <c r="A8" s="374"/>
      <c r="B8" s="42" t="s">
        <v>684</v>
      </c>
      <c r="C8" s="42" t="s">
        <v>24</v>
      </c>
      <c r="D8" s="42" t="s">
        <v>16</v>
      </c>
      <c r="E8" s="42" t="s">
        <v>685</v>
      </c>
      <c r="F8" s="42">
        <v>13</v>
      </c>
      <c r="G8" s="42"/>
      <c r="H8" s="42">
        <v>12500</v>
      </c>
      <c r="I8" s="42">
        <v>250</v>
      </c>
      <c r="J8" s="42">
        <v>0.13</v>
      </c>
      <c r="K8" s="42">
        <v>33</v>
      </c>
      <c r="L8" s="43">
        <f t="shared" si="0"/>
        <v>12467</v>
      </c>
      <c r="M8" s="43">
        <v>0</v>
      </c>
      <c r="N8" s="43">
        <f t="shared" si="1"/>
        <v>12467</v>
      </c>
      <c r="O8" s="43">
        <f t="shared" si="2"/>
        <v>875</v>
      </c>
      <c r="P8" s="42">
        <v>0</v>
      </c>
      <c r="Q8" s="62"/>
      <c r="R8" s="62"/>
      <c r="S8" s="62"/>
      <c r="T8" s="62"/>
      <c r="U8" s="62"/>
    </row>
    <row r="9" spans="1:21">
      <c r="A9" s="374"/>
      <c r="B9" s="42" t="s">
        <v>684</v>
      </c>
      <c r="C9" s="42" t="s">
        <v>24</v>
      </c>
      <c r="D9" s="42" t="s">
        <v>16</v>
      </c>
      <c r="E9" s="42" t="s">
        <v>686</v>
      </c>
      <c r="F9" s="42">
        <v>11</v>
      </c>
      <c r="G9" s="42"/>
      <c r="H9" s="42">
        <v>12480</v>
      </c>
      <c r="I9" s="42">
        <v>250</v>
      </c>
      <c r="J9" s="42">
        <v>0.13</v>
      </c>
      <c r="K9" s="42">
        <v>33</v>
      </c>
      <c r="L9" s="43">
        <f t="shared" si="0"/>
        <v>12447</v>
      </c>
      <c r="M9" s="43">
        <v>0</v>
      </c>
      <c r="N9" s="43">
        <f t="shared" si="1"/>
        <v>12447</v>
      </c>
      <c r="O9" s="43">
        <f t="shared" si="2"/>
        <v>873.6</v>
      </c>
      <c r="P9" s="42">
        <v>0</v>
      </c>
      <c r="Q9" s="62"/>
      <c r="R9" s="62"/>
      <c r="S9" s="62"/>
      <c r="T9" s="62"/>
      <c r="U9" s="62"/>
    </row>
    <row r="10" spans="1:21">
      <c r="A10" s="88" t="s">
        <v>690</v>
      </c>
      <c r="B10" s="42" t="s">
        <v>684</v>
      </c>
      <c r="C10" s="42" t="s">
        <v>24</v>
      </c>
      <c r="D10" s="42" t="s">
        <v>16</v>
      </c>
      <c r="E10" s="42" t="s">
        <v>692</v>
      </c>
      <c r="F10" s="42">
        <v>22</v>
      </c>
      <c r="G10" s="42"/>
      <c r="H10" s="42">
        <v>12500</v>
      </c>
      <c r="I10" s="42">
        <v>250</v>
      </c>
      <c r="J10" s="42">
        <v>0.13</v>
      </c>
      <c r="K10" s="42">
        <v>33</v>
      </c>
      <c r="L10" s="43">
        <f t="shared" si="0"/>
        <v>12467</v>
      </c>
      <c r="M10" s="43"/>
      <c r="N10" s="43">
        <f t="shared" si="1"/>
        <v>12467</v>
      </c>
      <c r="O10" s="43">
        <f t="shared" si="2"/>
        <v>875</v>
      </c>
      <c r="P10" s="42">
        <v>0</v>
      </c>
      <c r="Q10" s="62"/>
      <c r="R10" s="62"/>
      <c r="S10" s="62"/>
      <c r="T10" s="62"/>
      <c r="U10" s="62"/>
    </row>
    <row r="11" spans="1:21">
      <c r="A11" s="88"/>
      <c r="B11" s="42"/>
      <c r="C11" s="42"/>
      <c r="D11" s="42"/>
      <c r="E11" s="42"/>
      <c r="F11" s="42"/>
      <c r="G11" s="42"/>
      <c r="H11" s="42"/>
      <c r="I11" s="42"/>
      <c r="J11" s="42"/>
      <c r="K11" s="42"/>
      <c r="L11" s="43"/>
      <c r="M11" s="43"/>
      <c r="N11" s="43"/>
      <c r="O11" s="43"/>
      <c r="P11" s="42"/>
      <c r="Q11" s="62" t="s">
        <v>884</v>
      </c>
      <c r="R11" s="62">
        <v>251</v>
      </c>
      <c r="S11" s="62">
        <v>60000</v>
      </c>
      <c r="T11" s="62"/>
      <c r="U11" s="62">
        <v>31.5</v>
      </c>
    </row>
    <row r="12" spans="1:21">
      <c r="A12" s="88" t="s">
        <v>704</v>
      </c>
      <c r="B12" s="42" t="s">
        <v>864</v>
      </c>
      <c r="C12" s="42" t="s">
        <v>24</v>
      </c>
      <c r="D12" s="42" t="s">
        <v>16</v>
      </c>
      <c r="E12" s="42" t="s">
        <v>894</v>
      </c>
      <c r="F12" s="42">
        <v>8015</v>
      </c>
      <c r="G12" s="42"/>
      <c r="H12" s="42">
        <v>19990</v>
      </c>
      <c r="I12" s="42">
        <v>400</v>
      </c>
      <c r="J12" s="42">
        <v>0.13</v>
      </c>
      <c r="K12" s="42">
        <f t="shared" ref="K12:K13" si="3">I12*J12</f>
        <v>52</v>
      </c>
      <c r="L12" s="43">
        <f t="shared" si="0"/>
        <v>19938</v>
      </c>
      <c r="M12" s="43"/>
      <c r="N12" s="43">
        <f t="shared" si="1"/>
        <v>19938</v>
      </c>
      <c r="O12" s="43">
        <f t="shared" si="2"/>
        <v>1399.3</v>
      </c>
      <c r="P12" s="42">
        <v>0</v>
      </c>
      <c r="Q12" s="42">
        <v>31.5</v>
      </c>
      <c r="R12" s="42">
        <f t="shared" ref="R12:R13" si="4">L12*Q12</f>
        <v>628047</v>
      </c>
      <c r="S12" s="62"/>
      <c r="T12" s="62"/>
      <c r="U12" s="62"/>
    </row>
    <row r="13" spans="1:21">
      <c r="A13" s="78" t="s">
        <v>907</v>
      </c>
      <c r="B13" s="42" t="s">
        <v>864</v>
      </c>
      <c r="C13" s="42" t="s">
        <v>24</v>
      </c>
      <c r="D13" s="42" t="s">
        <v>16</v>
      </c>
      <c r="E13" s="42" t="s">
        <v>915</v>
      </c>
      <c r="F13" s="42">
        <v>11265</v>
      </c>
      <c r="G13" s="42"/>
      <c r="H13" s="42">
        <v>20000</v>
      </c>
      <c r="I13" s="42">
        <v>400</v>
      </c>
      <c r="J13" s="42">
        <v>0.13</v>
      </c>
      <c r="K13" s="42">
        <f t="shared" si="3"/>
        <v>52</v>
      </c>
      <c r="L13" s="43">
        <f t="shared" si="0"/>
        <v>19948</v>
      </c>
      <c r="M13" s="43"/>
      <c r="N13" s="43">
        <f t="shared" si="1"/>
        <v>19948</v>
      </c>
      <c r="O13" s="43">
        <f t="shared" si="2"/>
        <v>1400</v>
      </c>
      <c r="P13" s="42">
        <v>0</v>
      </c>
      <c r="Q13" s="42">
        <v>31.5</v>
      </c>
      <c r="R13" s="42">
        <f t="shared" si="4"/>
        <v>628362</v>
      </c>
      <c r="S13" s="62"/>
      <c r="T13" s="62"/>
      <c r="U13" s="62"/>
    </row>
    <row r="14" spans="1:21">
      <c r="A14" s="89"/>
      <c r="B14" s="42"/>
      <c r="C14" s="42"/>
      <c r="D14" s="42"/>
      <c r="E14" s="42"/>
      <c r="F14" s="42"/>
      <c r="G14" s="42"/>
      <c r="H14" s="42"/>
      <c r="I14" s="42"/>
      <c r="J14" s="42"/>
      <c r="K14" s="42"/>
      <c r="L14" s="43"/>
      <c r="M14" s="43"/>
      <c r="N14" s="42"/>
      <c r="O14" s="60"/>
      <c r="P14" s="60"/>
      <c r="Q14" s="62"/>
      <c r="R14" s="62"/>
      <c r="S14" s="62"/>
      <c r="T14" s="62"/>
      <c r="U14" s="62"/>
    </row>
    <row r="15" spans="1:21">
      <c r="A15" s="389" t="s">
        <v>951</v>
      </c>
      <c r="B15" s="42" t="s">
        <v>864</v>
      </c>
      <c r="C15" s="42" t="s">
        <v>24</v>
      </c>
      <c r="D15" s="42" t="s">
        <v>16</v>
      </c>
      <c r="E15" s="42" t="s">
        <v>952</v>
      </c>
      <c r="F15" s="42">
        <v>1634</v>
      </c>
      <c r="G15" s="42"/>
      <c r="H15" s="42">
        <v>12500</v>
      </c>
      <c r="I15" s="42">
        <v>250</v>
      </c>
      <c r="J15" s="42">
        <v>0.13</v>
      </c>
      <c r="K15" s="42">
        <v>33</v>
      </c>
      <c r="L15" s="43">
        <f t="shared" ref="L15:L16" si="5">H15-K15</f>
        <v>12467</v>
      </c>
      <c r="M15" s="43"/>
      <c r="N15" s="43">
        <f t="shared" ref="N15:N16" si="6">L15-M15</f>
        <v>12467</v>
      </c>
      <c r="O15" s="43">
        <f t="shared" ref="O15:O16" si="7">H15/1000*70</f>
        <v>875</v>
      </c>
      <c r="P15" s="42">
        <v>8000</v>
      </c>
      <c r="Q15" s="42">
        <v>31.5</v>
      </c>
      <c r="R15" s="42">
        <f t="shared" ref="R15:R16" si="8">L15*Q15</f>
        <v>392710.5</v>
      </c>
      <c r="S15" s="62"/>
      <c r="T15" s="62"/>
      <c r="U15" s="62"/>
    </row>
    <row r="16" spans="1:21">
      <c r="A16" s="389"/>
      <c r="B16" s="42" t="s">
        <v>864</v>
      </c>
      <c r="C16" s="42" t="s">
        <v>24</v>
      </c>
      <c r="D16" s="42" t="s">
        <v>16</v>
      </c>
      <c r="E16" s="42" t="s">
        <v>43</v>
      </c>
      <c r="F16" s="42">
        <v>1642</v>
      </c>
      <c r="G16" s="42"/>
      <c r="H16" s="42">
        <v>12500</v>
      </c>
      <c r="I16" s="42">
        <v>250</v>
      </c>
      <c r="J16" s="42">
        <v>0.13</v>
      </c>
      <c r="K16" s="42">
        <v>33</v>
      </c>
      <c r="L16" s="43">
        <f t="shared" si="5"/>
        <v>12467</v>
      </c>
      <c r="M16" s="43"/>
      <c r="N16" s="43">
        <f t="shared" si="6"/>
        <v>12467</v>
      </c>
      <c r="O16" s="43">
        <f t="shared" si="7"/>
        <v>875</v>
      </c>
      <c r="P16" s="42">
        <v>9200</v>
      </c>
      <c r="Q16" s="42">
        <v>31.5</v>
      </c>
      <c r="R16" s="42">
        <f t="shared" si="8"/>
        <v>392710.5</v>
      </c>
      <c r="S16" s="62"/>
      <c r="T16" s="62"/>
      <c r="U16" s="62"/>
    </row>
    <row r="17" spans="1:21">
      <c r="A17" s="62"/>
      <c r="B17" s="62"/>
      <c r="C17" s="62"/>
      <c r="D17" s="62"/>
      <c r="E17" s="62"/>
      <c r="F17" s="62"/>
      <c r="G17" s="62"/>
      <c r="H17" s="62"/>
      <c r="I17" s="62"/>
      <c r="J17" s="62"/>
      <c r="K17" s="62"/>
      <c r="L17" s="66"/>
      <c r="M17" s="62"/>
      <c r="N17" s="62"/>
      <c r="O17" s="62"/>
      <c r="P17" s="60"/>
      <c r="Q17" s="62"/>
      <c r="R17" s="62"/>
      <c r="S17" s="62"/>
      <c r="T17" s="62"/>
      <c r="U17" s="62"/>
    </row>
    <row r="18" spans="1:21">
      <c r="A18" s="62"/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8"/>
      <c r="M18" s="68"/>
      <c r="N18" s="67"/>
      <c r="O18" s="67"/>
      <c r="P18" s="60"/>
      <c r="Q18" s="62"/>
      <c r="R18" s="62"/>
      <c r="S18" s="62"/>
      <c r="T18" s="62"/>
      <c r="U18" s="62"/>
    </row>
    <row r="19" spans="1:21">
      <c r="A19" s="390" t="s">
        <v>1033</v>
      </c>
      <c r="B19" s="42" t="s">
        <v>684</v>
      </c>
      <c r="C19" s="42" t="s">
        <v>24</v>
      </c>
      <c r="D19" s="42" t="s">
        <v>16</v>
      </c>
      <c r="E19" s="42" t="s">
        <v>60</v>
      </c>
      <c r="F19" s="42">
        <v>993</v>
      </c>
      <c r="G19" s="42"/>
      <c r="H19" s="42">
        <v>12500</v>
      </c>
      <c r="I19" s="42">
        <v>250</v>
      </c>
      <c r="J19" s="42"/>
      <c r="K19" s="42">
        <f t="shared" ref="K19:K24" si="9">I19*J19</f>
        <v>0</v>
      </c>
      <c r="L19" s="43">
        <f t="shared" ref="L19:L24" si="10">H19-K19</f>
        <v>12500</v>
      </c>
      <c r="M19" s="43"/>
      <c r="N19" s="43">
        <f t="shared" ref="N19:N24" si="11">L19-M19</f>
        <v>12500</v>
      </c>
      <c r="O19" s="43">
        <f t="shared" ref="O19:O24" si="12">H19/1000*70</f>
        <v>875</v>
      </c>
      <c r="P19" s="42">
        <v>10000</v>
      </c>
      <c r="Q19" s="42">
        <v>34</v>
      </c>
      <c r="R19" s="42">
        <f t="shared" ref="R19:R24" si="13">L19*Q19</f>
        <v>425000</v>
      </c>
      <c r="S19" s="62"/>
      <c r="T19" s="62"/>
      <c r="U19" s="62"/>
    </row>
    <row r="20" spans="1:21">
      <c r="A20" s="390"/>
      <c r="B20" s="42" t="s">
        <v>684</v>
      </c>
      <c r="C20" s="42" t="s">
        <v>24</v>
      </c>
      <c r="D20" s="42" t="s">
        <v>16</v>
      </c>
      <c r="E20" s="42" t="s">
        <v>1034</v>
      </c>
      <c r="F20" s="42">
        <v>995</v>
      </c>
      <c r="G20" s="42"/>
      <c r="H20" s="42">
        <v>12500</v>
      </c>
      <c r="I20" s="42">
        <v>250</v>
      </c>
      <c r="J20" s="42"/>
      <c r="K20" s="42">
        <f t="shared" si="9"/>
        <v>0</v>
      </c>
      <c r="L20" s="43">
        <f t="shared" si="10"/>
        <v>12500</v>
      </c>
      <c r="M20" s="43"/>
      <c r="N20" s="43">
        <f t="shared" si="11"/>
        <v>12500</v>
      </c>
      <c r="O20" s="43">
        <f t="shared" si="12"/>
        <v>875</v>
      </c>
      <c r="P20" s="42">
        <v>10000</v>
      </c>
      <c r="Q20" s="42">
        <v>34</v>
      </c>
      <c r="R20" s="42">
        <f t="shared" si="13"/>
        <v>425000</v>
      </c>
      <c r="S20" s="62"/>
      <c r="T20" s="62"/>
      <c r="U20" s="62"/>
    </row>
    <row r="21" spans="1:21">
      <c r="A21" s="390"/>
      <c r="B21" s="42" t="s">
        <v>684</v>
      </c>
      <c r="C21" s="42" t="s">
        <v>24</v>
      </c>
      <c r="D21" s="42" t="s">
        <v>16</v>
      </c>
      <c r="E21" s="92" t="s">
        <v>1035</v>
      </c>
      <c r="F21" s="92">
        <v>996</v>
      </c>
      <c r="G21" s="92"/>
      <c r="H21" s="92">
        <v>14980</v>
      </c>
      <c r="I21" s="92">
        <v>300</v>
      </c>
      <c r="J21" s="92"/>
      <c r="K21" s="42">
        <f t="shared" si="9"/>
        <v>0</v>
      </c>
      <c r="L21" s="43">
        <f t="shared" si="10"/>
        <v>14980</v>
      </c>
      <c r="M21" s="43"/>
      <c r="N21" s="43">
        <f t="shared" si="11"/>
        <v>14980</v>
      </c>
      <c r="O21" s="43">
        <f t="shared" si="12"/>
        <v>1048.6000000000001</v>
      </c>
      <c r="P21" s="92">
        <v>10700</v>
      </c>
      <c r="Q21" s="92">
        <v>34</v>
      </c>
      <c r="R21" s="92">
        <f t="shared" si="13"/>
        <v>509320</v>
      </c>
      <c r="S21" s="62"/>
      <c r="T21" s="62"/>
      <c r="U21" s="62"/>
    </row>
    <row r="22" spans="1:21">
      <c r="A22" s="1" t="s">
        <v>1036</v>
      </c>
      <c r="B22" s="42" t="s">
        <v>684</v>
      </c>
      <c r="C22" s="42" t="s">
        <v>24</v>
      </c>
      <c r="D22" s="42" t="s">
        <v>16</v>
      </c>
      <c r="E22" s="42" t="s">
        <v>1037</v>
      </c>
      <c r="F22" s="42">
        <v>857</v>
      </c>
      <c r="G22" s="42"/>
      <c r="H22" s="42">
        <v>15000</v>
      </c>
      <c r="I22" s="42">
        <v>300</v>
      </c>
      <c r="J22" s="42"/>
      <c r="K22" s="42">
        <f t="shared" si="9"/>
        <v>0</v>
      </c>
      <c r="L22" s="43">
        <f t="shared" si="10"/>
        <v>15000</v>
      </c>
      <c r="M22" s="43"/>
      <c r="N22" s="43">
        <f t="shared" si="11"/>
        <v>15000</v>
      </c>
      <c r="O22" s="43">
        <f t="shared" si="12"/>
        <v>1050</v>
      </c>
      <c r="P22" s="42">
        <v>10500</v>
      </c>
      <c r="Q22" s="42">
        <v>34</v>
      </c>
      <c r="R22" s="42">
        <f t="shared" si="13"/>
        <v>510000</v>
      </c>
    </row>
    <row r="23" spans="1:21">
      <c r="A23" s="1" t="s">
        <v>1048</v>
      </c>
      <c r="B23" s="42" t="s">
        <v>684</v>
      </c>
      <c r="C23" s="42" t="s">
        <v>24</v>
      </c>
      <c r="D23" s="42" t="s">
        <v>16</v>
      </c>
      <c r="E23" s="92" t="s">
        <v>1049</v>
      </c>
      <c r="F23" s="92">
        <v>110</v>
      </c>
      <c r="G23" s="92"/>
      <c r="H23" s="92">
        <v>14970</v>
      </c>
      <c r="I23" s="92">
        <v>300</v>
      </c>
      <c r="J23" s="92"/>
      <c r="K23" s="42">
        <f t="shared" si="9"/>
        <v>0</v>
      </c>
      <c r="L23" s="43">
        <f t="shared" si="10"/>
        <v>14970</v>
      </c>
      <c r="M23" s="43"/>
      <c r="N23" s="43">
        <f t="shared" si="11"/>
        <v>14970</v>
      </c>
      <c r="O23" s="43">
        <f t="shared" si="12"/>
        <v>1047.9000000000001</v>
      </c>
      <c r="P23" s="92">
        <v>10500</v>
      </c>
      <c r="Q23" s="92">
        <v>34</v>
      </c>
      <c r="R23" s="92">
        <f t="shared" si="13"/>
        <v>508980</v>
      </c>
      <c r="S23" s="92"/>
    </row>
    <row r="24" spans="1:21">
      <c r="A24" s="1" t="s">
        <v>1050</v>
      </c>
      <c r="B24" s="42" t="s">
        <v>684</v>
      </c>
      <c r="C24" s="42" t="s">
        <v>24</v>
      </c>
      <c r="D24" s="42" t="s">
        <v>16</v>
      </c>
      <c r="E24" s="42" t="s">
        <v>1051</v>
      </c>
      <c r="F24" s="42">
        <v>113</v>
      </c>
      <c r="G24" s="42"/>
      <c r="H24" s="42">
        <v>15000</v>
      </c>
      <c r="I24" s="42">
        <v>300</v>
      </c>
      <c r="J24" s="42">
        <v>0.13</v>
      </c>
      <c r="K24" s="42">
        <f t="shared" si="9"/>
        <v>39</v>
      </c>
      <c r="L24" s="43">
        <f t="shared" si="10"/>
        <v>14961</v>
      </c>
      <c r="M24" s="43"/>
      <c r="N24" s="43">
        <f t="shared" si="11"/>
        <v>14961</v>
      </c>
      <c r="O24" s="43">
        <f t="shared" si="12"/>
        <v>1050</v>
      </c>
      <c r="P24" s="42">
        <v>10700</v>
      </c>
      <c r="Q24" s="42">
        <v>34</v>
      </c>
      <c r="R24" s="42">
        <f t="shared" si="13"/>
        <v>508674</v>
      </c>
    </row>
    <row r="26" spans="1:21">
      <c r="A26" s="376" t="s">
        <v>1052</v>
      </c>
      <c r="B26" s="42" t="s">
        <v>684</v>
      </c>
      <c r="C26" s="42" t="s">
        <v>24</v>
      </c>
      <c r="D26" s="42" t="s">
        <v>16</v>
      </c>
      <c r="E26" s="42" t="s">
        <v>1053</v>
      </c>
      <c r="F26" s="42">
        <v>925</v>
      </c>
      <c r="G26" s="42"/>
      <c r="H26" s="42">
        <v>15000</v>
      </c>
      <c r="I26" s="42">
        <v>300</v>
      </c>
      <c r="J26" s="42"/>
      <c r="K26" s="42">
        <f t="shared" ref="K26:K30" si="14">I26*J26</f>
        <v>0</v>
      </c>
      <c r="L26" s="43">
        <f t="shared" ref="L26:L30" si="15">H26-K26</f>
        <v>15000</v>
      </c>
      <c r="M26" s="43"/>
      <c r="N26" s="43">
        <f t="shared" ref="N26:N30" si="16">L26-M26</f>
        <v>15000</v>
      </c>
      <c r="O26" s="43">
        <f t="shared" ref="O26:O30" si="17">H26/1000*70</f>
        <v>1050</v>
      </c>
      <c r="P26" s="42">
        <v>10500</v>
      </c>
      <c r="Q26" s="42">
        <v>34.5</v>
      </c>
      <c r="R26" s="42">
        <f t="shared" ref="R26:R30" si="18">L26*Q26</f>
        <v>517500</v>
      </c>
    </row>
    <row r="27" spans="1:21">
      <c r="A27" s="376"/>
      <c r="B27" s="42" t="s">
        <v>684</v>
      </c>
      <c r="C27" s="42" t="s">
        <v>24</v>
      </c>
      <c r="D27" s="42" t="s">
        <v>16</v>
      </c>
      <c r="E27" s="42" t="s">
        <v>1054</v>
      </c>
      <c r="F27" s="42">
        <v>921</v>
      </c>
      <c r="G27" s="42"/>
      <c r="H27" s="42">
        <v>15000</v>
      </c>
      <c r="I27" s="42">
        <v>300</v>
      </c>
      <c r="J27" s="42"/>
      <c r="K27" s="42">
        <f t="shared" si="14"/>
        <v>0</v>
      </c>
      <c r="L27" s="43">
        <f t="shared" si="15"/>
        <v>15000</v>
      </c>
      <c r="M27" s="43"/>
      <c r="N27" s="43">
        <f t="shared" si="16"/>
        <v>15000</v>
      </c>
      <c r="O27" s="43">
        <f t="shared" si="17"/>
        <v>1050</v>
      </c>
      <c r="P27" s="42">
        <v>10500</v>
      </c>
      <c r="Q27" s="42">
        <v>34.5</v>
      </c>
      <c r="R27" s="42">
        <f t="shared" si="18"/>
        <v>517500</v>
      </c>
    </row>
    <row r="28" spans="1:21">
      <c r="A28" s="376"/>
      <c r="B28" s="42" t="s">
        <v>684</v>
      </c>
      <c r="C28" s="42" t="s">
        <v>24</v>
      </c>
      <c r="D28" s="42" t="s">
        <v>16</v>
      </c>
      <c r="E28" s="42" t="s">
        <v>1055</v>
      </c>
      <c r="F28" s="42">
        <v>926</v>
      </c>
      <c r="G28" s="42"/>
      <c r="H28" s="42">
        <v>14990</v>
      </c>
      <c r="I28" s="42">
        <v>300</v>
      </c>
      <c r="J28" s="42">
        <v>0.13</v>
      </c>
      <c r="K28" s="42">
        <f t="shared" si="14"/>
        <v>39</v>
      </c>
      <c r="L28" s="43">
        <f t="shared" si="15"/>
        <v>14951</v>
      </c>
      <c r="M28" s="43"/>
      <c r="N28" s="43">
        <f t="shared" si="16"/>
        <v>14951</v>
      </c>
      <c r="O28" s="43">
        <f t="shared" si="17"/>
        <v>1049.3</v>
      </c>
      <c r="P28" s="42">
        <v>10500</v>
      </c>
      <c r="Q28" s="42">
        <v>34.5</v>
      </c>
      <c r="R28" s="42">
        <f t="shared" si="18"/>
        <v>515809.5</v>
      </c>
    </row>
    <row r="29" spans="1:21">
      <c r="A29" s="21" t="s">
        <v>1056</v>
      </c>
      <c r="B29" s="42" t="s">
        <v>684</v>
      </c>
      <c r="C29" s="42" t="s">
        <v>24</v>
      </c>
      <c r="D29" s="42" t="s">
        <v>16</v>
      </c>
      <c r="E29" s="42" t="s">
        <v>1057</v>
      </c>
      <c r="F29" s="42">
        <v>932</v>
      </c>
      <c r="G29" s="42"/>
      <c r="H29" s="42">
        <v>15000</v>
      </c>
      <c r="I29" s="42">
        <v>300</v>
      </c>
      <c r="J29" s="42">
        <v>0</v>
      </c>
      <c r="K29" s="42">
        <f t="shared" si="14"/>
        <v>0</v>
      </c>
      <c r="L29" s="43">
        <f t="shared" si="15"/>
        <v>15000</v>
      </c>
      <c r="M29" s="43"/>
      <c r="N29" s="43">
        <f t="shared" si="16"/>
        <v>15000</v>
      </c>
      <c r="O29" s="43">
        <f t="shared" si="17"/>
        <v>1050</v>
      </c>
      <c r="P29" s="42">
        <v>10500</v>
      </c>
      <c r="Q29" s="42">
        <v>34.5</v>
      </c>
      <c r="R29" s="42">
        <f t="shared" si="18"/>
        <v>517500</v>
      </c>
    </row>
    <row r="30" spans="1:21">
      <c r="A30" s="21" t="s">
        <v>1065</v>
      </c>
      <c r="B30" s="42" t="s">
        <v>684</v>
      </c>
      <c r="C30" s="42" t="s">
        <v>24</v>
      </c>
      <c r="D30" s="42" t="s">
        <v>16</v>
      </c>
      <c r="E30" s="92" t="s">
        <v>1066</v>
      </c>
      <c r="F30" s="92">
        <v>0</v>
      </c>
      <c r="G30" s="92"/>
      <c r="H30" s="92">
        <v>15000</v>
      </c>
      <c r="I30" s="92">
        <v>300</v>
      </c>
      <c r="J30" s="92"/>
      <c r="K30" s="42">
        <f t="shared" si="14"/>
        <v>0</v>
      </c>
      <c r="L30" s="43">
        <f t="shared" si="15"/>
        <v>15000</v>
      </c>
      <c r="M30" s="43"/>
      <c r="N30" s="43">
        <f t="shared" si="16"/>
        <v>15000</v>
      </c>
      <c r="O30" s="43">
        <f t="shared" si="17"/>
        <v>1050</v>
      </c>
      <c r="P30" s="92">
        <v>14200</v>
      </c>
      <c r="Q30" s="92">
        <v>34.5</v>
      </c>
      <c r="R30" s="92">
        <f t="shared" si="18"/>
        <v>517500</v>
      </c>
    </row>
    <row r="32" spans="1:21">
      <c r="A32" s="390" t="s">
        <v>1071</v>
      </c>
      <c r="B32" s="42" t="s">
        <v>684</v>
      </c>
      <c r="C32" s="42" t="s">
        <v>1079</v>
      </c>
      <c r="D32" s="42" t="s">
        <v>16</v>
      </c>
      <c r="E32" s="42" t="s">
        <v>1074</v>
      </c>
      <c r="F32" s="42">
        <v>1419</v>
      </c>
      <c r="G32" s="42"/>
      <c r="H32" s="42">
        <v>14910</v>
      </c>
      <c r="I32" s="42">
        <v>298</v>
      </c>
      <c r="J32" s="42">
        <v>0.13</v>
      </c>
      <c r="K32" s="42">
        <v>39</v>
      </c>
      <c r="L32" s="43">
        <f t="shared" ref="L32:L33" si="19">H32-K32</f>
        <v>14871</v>
      </c>
      <c r="M32" s="43"/>
      <c r="N32" s="43">
        <f t="shared" ref="N32:N33" si="20">L32-M32</f>
        <v>14871</v>
      </c>
      <c r="O32" s="43">
        <f t="shared" ref="O32:O33" si="21">H32/1000*70</f>
        <v>1043.7</v>
      </c>
      <c r="P32" s="42">
        <v>8000</v>
      </c>
      <c r="Q32" s="42"/>
      <c r="R32" s="42">
        <f t="shared" ref="R32:R33" si="22">L32*Q32</f>
        <v>0</v>
      </c>
    </row>
    <row r="33" spans="1:18">
      <c r="A33" s="390"/>
      <c r="B33" s="42" t="s">
        <v>684</v>
      </c>
      <c r="C33" s="42" t="s">
        <v>24</v>
      </c>
      <c r="D33" s="42" t="s">
        <v>16</v>
      </c>
      <c r="E33" s="42" t="s">
        <v>1075</v>
      </c>
      <c r="F33" s="42">
        <v>4613</v>
      </c>
      <c r="G33" s="42"/>
      <c r="H33" s="42">
        <v>17500</v>
      </c>
      <c r="I33" s="42">
        <f>H33/50</f>
        <v>350</v>
      </c>
      <c r="J33" s="42">
        <v>0.13</v>
      </c>
      <c r="K33" s="42">
        <v>46</v>
      </c>
      <c r="L33" s="43">
        <f t="shared" si="19"/>
        <v>17454</v>
      </c>
      <c r="M33" s="43"/>
      <c r="N33" s="43">
        <f t="shared" si="20"/>
        <v>17454</v>
      </c>
      <c r="O33" s="43">
        <f t="shared" si="21"/>
        <v>1225</v>
      </c>
      <c r="P33" s="42">
        <v>14000</v>
      </c>
      <c r="Q33" s="42"/>
      <c r="R33" s="42">
        <f t="shared" si="22"/>
        <v>0</v>
      </c>
    </row>
    <row r="35" spans="1:18">
      <c r="A35" s="1" t="s">
        <v>1133</v>
      </c>
      <c r="B35" s="42" t="s">
        <v>684</v>
      </c>
      <c r="C35" s="42" t="s">
        <v>24</v>
      </c>
      <c r="D35" s="42" t="s">
        <v>16</v>
      </c>
      <c r="E35" s="42" t="s">
        <v>1134</v>
      </c>
      <c r="F35" s="42">
        <v>174</v>
      </c>
      <c r="G35" s="42"/>
      <c r="H35" s="42">
        <v>15000</v>
      </c>
      <c r="I35" s="42">
        <v>300</v>
      </c>
      <c r="J35" s="42">
        <v>0.13</v>
      </c>
      <c r="K35" s="42">
        <f t="shared" ref="K35" si="23">I35*J35</f>
        <v>39</v>
      </c>
      <c r="L35" s="43">
        <f t="shared" ref="L35" si="24">H35-K35</f>
        <v>14961</v>
      </c>
      <c r="M35" s="43"/>
      <c r="N35" s="43">
        <f t="shared" ref="N35" si="25">L35-M35</f>
        <v>14961</v>
      </c>
      <c r="O35" s="43">
        <f t="shared" ref="O35" si="26">H35/1000*70</f>
        <v>1050</v>
      </c>
      <c r="P35" s="42">
        <v>0</v>
      </c>
      <c r="Q35" s="42">
        <v>38.200000000000003</v>
      </c>
      <c r="R35" s="42">
        <f t="shared" ref="R35" si="27">L35*Q35</f>
        <v>571510.20000000007</v>
      </c>
    </row>
    <row r="37" spans="1:18">
      <c r="A37" s="1" t="s">
        <v>1139</v>
      </c>
      <c r="B37" s="42" t="s">
        <v>684</v>
      </c>
      <c r="C37" s="42" t="s">
        <v>24</v>
      </c>
      <c r="D37" s="42" t="s">
        <v>16</v>
      </c>
      <c r="E37" s="42" t="s">
        <v>1140</v>
      </c>
      <c r="F37" s="42">
        <v>670</v>
      </c>
      <c r="G37" s="42"/>
      <c r="H37" s="42">
        <v>15000</v>
      </c>
      <c r="I37" s="42">
        <v>300</v>
      </c>
      <c r="J37" s="42">
        <v>0.13</v>
      </c>
      <c r="K37" s="42">
        <f t="shared" ref="K37" si="28">I37*J37</f>
        <v>39</v>
      </c>
      <c r="L37" s="43">
        <f t="shared" ref="L37" si="29">H37-K37</f>
        <v>14961</v>
      </c>
      <c r="M37" s="43"/>
      <c r="N37" s="43">
        <f t="shared" ref="N37" si="30">L37-M37</f>
        <v>14961</v>
      </c>
      <c r="O37" s="43">
        <f t="shared" ref="O37" si="31">H37/1000*70</f>
        <v>1050</v>
      </c>
      <c r="P37" s="42">
        <v>10500</v>
      </c>
      <c r="Q37" s="42"/>
      <c r="R37" s="42">
        <f t="shared" ref="R37" si="32">L37*Q37</f>
        <v>0</v>
      </c>
    </row>
    <row r="39" spans="1:18">
      <c r="A39" s="1" t="s">
        <v>1179</v>
      </c>
      <c r="B39" s="42" t="s">
        <v>684</v>
      </c>
      <c r="C39" s="42" t="s">
        <v>24</v>
      </c>
      <c r="D39" s="42" t="s">
        <v>16</v>
      </c>
      <c r="E39" s="42" t="s">
        <v>1112</v>
      </c>
      <c r="F39" s="42">
        <v>443</v>
      </c>
      <c r="G39" s="42"/>
      <c r="H39" s="42">
        <v>15000</v>
      </c>
      <c r="I39" s="42">
        <v>300</v>
      </c>
      <c r="J39" s="42">
        <v>0.13</v>
      </c>
      <c r="K39" s="42">
        <f t="shared" ref="K39:K40" si="33">I39*J39</f>
        <v>39</v>
      </c>
      <c r="L39" s="43">
        <f t="shared" ref="L39:L40" si="34">H39-K39</f>
        <v>14961</v>
      </c>
      <c r="M39" s="43"/>
      <c r="N39" s="43">
        <f t="shared" ref="N39:N40" si="35">L39-M39</f>
        <v>14961</v>
      </c>
      <c r="O39" s="43">
        <f t="shared" ref="O39:O40" si="36">H39/1000*70</f>
        <v>1050</v>
      </c>
      <c r="P39" s="42">
        <v>13000</v>
      </c>
      <c r="Q39" s="42">
        <v>37.5</v>
      </c>
      <c r="R39" s="42">
        <f t="shared" ref="R39:R40" si="37">L39*Q39</f>
        <v>561037.5</v>
      </c>
    </row>
    <row r="40" spans="1:18">
      <c r="A40" s="21" t="s">
        <v>1182</v>
      </c>
      <c r="B40" s="42" t="s">
        <v>684</v>
      </c>
      <c r="C40" s="42" t="s">
        <v>24</v>
      </c>
      <c r="D40" s="42" t="s">
        <v>16</v>
      </c>
      <c r="E40" s="42" t="s">
        <v>1183</v>
      </c>
      <c r="F40" s="42">
        <v>730</v>
      </c>
      <c r="G40" s="42"/>
      <c r="H40" s="42">
        <v>15000</v>
      </c>
      <c r="I40" s="42">
        <v>300</v>
      </c>
      <c r="J40" s="42">
        <v>0.13</v>
      </c>
      <c r="K40" s="42">
        <f t="shared" si="33"/>
        <v>39</v>
      </c>
      <c r="L40" s="43">
        <f t="shared" si="34"/>
        <v>14961</v>
      </c>
      <c r="M40" s="43"/>
      <c r="N40" s="43">
        <f t="shared" si="35"/>
        <v>14961</v>
      </c>
      <c r="O40" s="43">
        <f t="shared" si="36"/>
        <v>1050</v>
      </c>
      <c r="P40" s="42">
        <v>11000</v>
      </c>
      <c r="Q40" s="42"/>
      <c r="R40" s="42">
        <f t="shared" si="37"/>
        <v>0</v>
      </c>
    </row>
    <row r="41" spans="1:18">
      <c r="A41" s="374" t="s">
        <v>1184</v>
      </c>
      <c r="B41" s="42" t="s">
        <v>684</v>
      </c>
      <c r="C41" s="42" t="s">
        <v>24</v>
      </c>
      <c r="D41" s="42" t="s">
        <v>16</v>
      </c>
      <c r="E41" s="42" t="s">
        <v>1185</v>
      </c>
      <c r="F41" s="42">
        <v>1559</v>
      </c>
      <c r="G41" s="42"/>
      <c r="H41" s="42">
        <v>15000</v>
      </c>
      <c r="I41" s="42">
        <v>300</v>
      </c>
      <c r="J41" s="42">
        <v>0.13</v>
      </c>
      <c r="K41" s="42">
        <v>39</v>
      </c>
      <c r="L41" s="43">
        <v>14961</v>
      </c>
      <c r="M41" s="43"/>
      <c r="N41" s="43">
        <v>14961</v>
      </c>
      <c r="O41" s="43">
        <v>1050</v>
      </c>
      <c r="P41" s="42">
        <v>12500</v>
      </c>
    </row>
    <row r="42" spans="1:18">
      <c r="A42" s="374"/>
      <c r="B42" s="42" t="s">
        <v>684</v>
      </c>
      <c r="C42" s="42" t="s">
        <v>24</v>
      </c>
      <c r="D42" s="42" t="s">
        <v>16</v>
      </c>
      <c r="E42" s="42" t="s">
        <v>506</v>
      </c>
      <c r="F42" s="42">
        <v>442</v>
      </c>
      <c r="G42" s="42"/>
      <c r="H42" s="42">
        <v>15000</v>
      </c>
      <c r="I42" s="42">
        <v>300</v>
      </c>
      <c r="J42" s="42">
        <v>0.13</v>
      </c>
      <c r="K42" s="42">
        <v>39</v>
      </c>
      <c r="L42" s="43">
        <v>14961</v>
      </c>
      <c r="M42" s="43"/>
      <c r="N42" s="43">
        <v>14961</v>
      </c>
      <c r="O42" s="43">
        <v>1050</v>
      </c>
      <c r="P42" s="42">
        <v>13000</v>
      </c>
    </row>
    <row r="43" spans="1:18">
      <c r="A43" s="21" t="s">
        <v>1194</v>
      </c>
      <c r="B43" s="42" t="s">
        <v>684</v>
      </c>
      <c r="C43" s="42" t="s">
        <v>24</v>
      </c>
      <c r="D43" s="42" t="s">
        <v>16</v>
      </c>
      <c r="E43" s="42" t="s">
        <v>1099</v>
      </c>
      <c r="F43" s="42">
        <v>733</v>
      </c>
      <c r="G43" s="42"/>
      <c r="H43" s="42">
        <v>15000</v>
      </c>
      <c r="I43" s="42">
        <v>300</v>
      </c>
      <c r="J43" s="42">
        <v>0.13</v>
      </c>
      <c r="K43" s="42">
        <f t="shared" ref="K43" si="38">I43*J43</f>
        <v>39</v>
      </c>
      <c r="L43" s="43">
        <f t="shared" ref="L43" si="39">H43-K43</f>
        <v>14961</v>
      </c>
      <c r="M43" s="43"/>
      <c r="N43" s="43">
        <f t="shared" ref="N43" si="40">L43-M43</f>
        <v>14961</v>
      </c>
      <c r="O43" s="43">
        <f t="shared" ref="O43" si="41">H43/1000*70</f>
        <v>1050</v>
      </c>
      <c r="P43" s="42">
        <v>12500</v>
      </c>
      <c r="Q43" s="42">
        <v>37.5</v>
      </c>
      <c r="R43" s="42">
        <f t="shared" ref="R43" si="42">L43*Q43</f>
        <v>561037.5</v>
      </c>
    </row>
    <row r="45" spans="1:18">
      <c r="A45" s="21" t="s">
        <v>1241</v>
      </c>
      <c r="B45" s="42" t="s">
        <v>684</v>
      </c>
      <c r="C45" s="42" t="s">
        <v>24</v>
      </c>
      <c r="D45" s="42" t="s">
        <v>16</v>
      </c>
      <c r="E45" s="42" t="s">
        <v>1242</v>
      </c>
      <c r="F45" s="42">
        <v>760</v>
      </c>
      <c r="G45" s="42"/>
      <c r="H45" s="42">
        <v>14980</v>
      </c>
      <c r="I45" s="42">
        <v>300</v>
      </c>
      <c r="J45" s="42">
        <v>0.13</v>
      </c>
      <c r="K45" s="42">
        <f t="shared" ref="K45" si="43">I45*J45</f>
        <v>39</v>
      </c>
      <c r="L45" s="43">
        <f t="shared" ref="L45" si="44">H45-K45</f>
        <v>14941</v>
      </c>
      <c r="M45" s="43"/>
      <c r="N45" s="43">
        <f t="shared" ref="N45" si="45">L45-M45</f>
        <v>14941</v>
      </c>
      <c r="O45" s="43">
        <f t="shared" ref="O45" si="46">H45/1000*70</f>
        <v>1048.6000000000001</v>
      </c>
      <c r="P45" s="42">
        <v>18000</v>
      </c>
      <c r="Q45" s="42"/>
      <c r="R45" s="42">
        <f t="shared" ref="R45" si="47">L45*Q45</f>
        <v>0</v>
      </c>
    </row>
    <row r="47" spans="1:18">
      <c r="A47" s="374" t="s">
        <v>1249</v>
      </c>
      <c r="B47" s="42" t="s">
        <v>684</v>
      </c>
      <c r="C47" s="42" t="s">
        <v>24</v>
      </c>
      <c r="D47" s="42" t="s">
        <v>16</v>
      </c>
      <c r="E47" s="42" t="s">
        <v>1250</v>
      </c>
      <c r="F47" s="42">
        <v>752</v>
      </c>
      <c r="G47" s="42"/>
      <c r="H47" s="42">
        <v>14980</v>
      </c>
      <c r="I47" s="42">
        <v>300</v>
      </c>
      <c r="J47" s="42">
        <v>0.13</v>
      </c>
      <c r="K47" s="42">
        <f t="shared" ref="K47:K51" si="48">I47*J47</f>
        <v>39</v>
      </c>
      <c r="L47" s="43">
        <f t="shared" ref="L47:L56" si="49">H47-K47</f>
        <v>14941</v>
      </c>
      <c r="M47" s="43"/>
      <c r="N47" s="43">
        <f t="shared" ref="N47:N56" si="50">L47-M47</f>
        <v>14941</v>
      </c>
      <c r="O47" s="43">
        <f t="shared" ref="O47:O56" si="51">H47/1000*70</f>
        <v>1048.6000000000001</v>
      </c>
      <c r="P47" s="42">
        <v>23000</v>
      </c>
    </row>
    <row r="48" spans="1:18">
      <c r="A48" s="374"/>
      <c r="B48" s="42" t="s">
        <v>684</v>
      </c>
      <c r="C48" s="42" t="s">
        <v>24</v>
      </c>
      <c r="D48" s="42" t="s">
        <v>16</v>
      </c>
      <c r="E48" s="42" t="s">
        <v>1251</v>
      </c>
      <c r="F48" s="42">
        <v>751</v>
      </c>
      <c r="G48" s="42"/>
      <c r="H48" s="42">
        <v>14970</v>
      </c>
      <c r="I48" s="42">
        <v>300</v>
      </c>
      <c r="J48" s="42">
        <v>0.13</v>
      </c>
      <c r="K48" s="42">
        <f t="shared" si="48"/>
        <v>39</v>
      </c>
      <c r="L48" s="43">
        <f t="shared" si="49"/>
        <v>14931</v>
      </c>
      <c r="M48" s="43"/>
      <c r="N48" s="43">
        <f t="shared" si="50"/>
        <v>14931</v>
      </c>
      <c r="O48" s="43">
        <f t="shared" si="51"/>
        <v>1047.9000000000001</v>
      </c>
      <c r="P48" s="42">
        <v>23000</v>
      </c>
    </row>
    <row r="49" spans="1:18">
      <c r="A49" s="374" t="s">
        <v>1255</v>
      </c>
      <c r="B49" s="42" t="s">
        <v>684</v>
      </c>
      <c r="C49" s="42" t="s">
        <v>24</v>
      </c>
      <c r="D49" s="42" t="s">
        <v>16</v>
      </c>
      <c r="E49" s="42" t="s">
        <v>1256</v>
      </c>
      <c r="F49" s="42">
        <v>1807</v>
      </c>
      <c r="G49" s="42"/>
      <c r="H49" s="42">
        <v>14960</v>
      </c>
      <c r="I49" s="42">
        <v>300</v>
      </c>
      <c r="J49" s="42">
        <v>0.13</v>
      </c>
      <c r="K49" s="42">
        <f t="shared" si="48"/>
        <v>39</v>
      </c>
      <c r="L49" s="43">
        <f t="shared" si="49"/>
        <v>14921</v>
      </c>
      <c r="M49" s="43"/>
      <c r="N49" s="43">
        <f t="shared" si="50"/>
        <v>14921</v>
      </c>
      <c r="O49" s="43">
        <f t="shared" si="51"/>
        <v>1047.2</v>
      </c>
      <c r="P49" s="42">
        <v>10500</v>
      </c>
      <c r="Q49" s="42">
        <v>40.5</v>
      </c>
      <c r="R49" s="42">
        <f t="shared" ref="R49:R56" si="52">L49*Q49</f>
        <v>604300.5</v>
      </c>
    </row>
    <row r="50" spans="1:18">
      <c r="A50" s="374"/>
      <c r="B50" s="42" t="s">
        <v>1257</v>
      </c>
      <c r="C50" s="42" t="s">
        <v>24</v>
      </c>
      <c r="D50" s="42" t="s">
        <v>16</v>
      </c>
      <c r="E50" s="42" t="s">
        <v>666</v>
      </c>
      <c r="F50" s="42">
        <v>0</v>
      </c>
      <c r="G50" s="42"/>
      <c r="H50" s="42">
        <v>12500</v>
      </c>
      <c r="I50" s="42">
        <v>250</v>
      </c>
      <c r="J50" s="42">
        <v>0.13</v>
      </c>
      <c r="K50" s="42">
        <f t="shared" si="48"/>
        <v>32.5</v>
      </c>
      <c r="L50" s="43">
        <f t="shared" si="49"/>
        <v>12467.5</v>
      </c>
      <c r="M50" s="43"/>
      <c r="N50" s="43">
        <f t="shared" si="50"/>
        <v>12467.5</v>
      </c>
      <c r="O50" s="43">
        <f t="shared" si="51"/>
        <v>875</v>
      </c>
      <c r="P50" s="42">
        <v>5000</v>
      </c>
      <c r="Q50" s="42">
        <v>42</v>
      </c>
      <c r="R50" s="42">
        <f t="shared" si="52"/>
        <v>523635</v>
      </c>
    </row>
    <row r="51" spans="1:18">
      <c r="A51" s="374" t="s">
        <v>1279</v>
      </c>
      <c r="B51" s="42" t="s">
        <v>684</v>
      </c>
      <c r="C51" s="42" t="s">
        <v>24</v>
      </c>
      <c r="D51" s="42" t="s">
        <v>16</v>
      </c>
      <c r="E51" s="42" t="s">
        <v>1280</v>
      </c>
      <c r="F51" s="42">
        <v>131</v>
      </c>
      <c r="G51" s="42"/>
      <c r="H51" s="42">
        <v>14870</v>
      </c>
      <c r="I51" s="42">
        <v>300</v>
      </c>
      <c r="J51" s="42">
        <v>0.13</v>
      </c>
      <c r="K51" s="42">
        <f t="shared" si="48"/>
        <v>39</v>
      </c>
      <c r="L51" s="43">
        <f t="shared" si="49"/>
        <v>14831</v>
      </c>
      <c r="M51" s="43"/>
      <c r="N51" s="43">
        <f t="shared" si="50"/>
        <v>14831</v>
      </c>
      <c r="O51" s="43">
        <f t="shared" si="51"/>
        <v>1040.8999999999999</v>
      </c>
      <c r="P51" s="42">
        <v>10500</v>
      </c>
      <c r="Q51" s="42">
        <v>43</v>
      </c>
      <c r="R51" s="42">
        <f t="shared" si="52"/>
        <v>637733</v>
      </c>
    </row>
    <row r="52" spans="1:18">
      <c r="A52" s="374"/>
      <c r="B52" s="42" t="s">
        <v>684</v>
      </c>
      <c r="C52" s="42" t="s">
        <v>24</v>
      </c>
      <c r="D52" s="42" t="s">
        <v>16</v>
      </c>
      <c r="E52" s="42" t="s">
        <v>1113</v>
      </c>
      <c r="F52" s="42">
        <v>1609</v>
      </c>
      <c r="G52" s="42"/>
      <c r="H52" s="42">
        <v>12500</v>
      </c>
      <c r="I52" s="42">
        <v>250</v>
      </c>
      <c r="J52" s="42">
        <v>0.13</v>
      </c>
      <c r="K52" s="42">
        <v>33</v>
      </c>
      <c r="L52" s="43">
        <f t="shared" si="49"/>
        <v>12467</v>
      </c>
      <c r="M52" s="43"/>
      <c r="N52" s="43">
        <f t="shared" si="50"/>
        <v>12467</v>
      </c>
      <c r="O52" s="43">
        <f t="shared" si="51"/>
        <v>875</v>
      </c>
      <c r="P52" s="42">
        <v>12250</v>
      </c>
      <c r="Q52" s="42">
        <v>43</v>
      </c>
      <c r="R52" s="42">
        <f t="shared" si="52"/>
        <v>536081</v>
      </c>
    </row>
    <row r="53" spans="1:18">
      <c r="A53" s="374"/>
      <c r="B53" s="42" t="s">
        <v>684</v>
      </c>
      <c r="C53" s="42" t="s">
        <v>1281</v>
      </c>
      <c r="D53" s="42" t="s">
        <v>16</v>
      </c>
      <c r="E53" s="42" t="s">
        <v>1282</v>
      </c>
      <c r="F53" s="42">
        <v>7474</v>
      </c>
      <c r="G53" s="42"/>
      <c r="H53" s="42">
        <v>16050</v>
      </c>
      <c r="I53" s="42">
        <v>305</v>
      </c>
      <c r="J53" s="42">
        <v>0.13</v>
      </c>
      <c r="K53" s="42">
        <v>40</v>
      </c>
      <c r="L53" s="43">
        <f t="shared" si="49"/>
        <v>16010</v>
      </c>
      <c r="M53" s="43"/>
      <c r="N53" s="43">
        <f t="shared" si="50"/>
        <v>16010</v>
      </c>
      <c r="O53" s="43">
        <f t="shared" si="51"/>
        <v>1123.5</v>
      </c>
      <c r="P53" s="42">
        <v>10400</v>
      </c>
      <c r="Q53" s="42"/>
      <c r="R53" s="42">
        <f t="shared" si="52"/>
        <v>0</v>
      </c>
    </row>
    <row r="54" spans="1:18">
      <c r="A54" s="374"/>
      <c r="B54" s="42" t="s">
        <v>684</v>
      </c>
      <c r="C54" s="42" t="s">
        <v>1281</v>
      </c>
      <c r="D54" s="42" t="s">
        <v>16</v>
      </c>
      <c r="E54" s="42" t="s">
        <v>1283</v>
      </c>
      <c r="F54" s="42">
        <v>7473</v>
      </c>
      <c r="G54" s="42"/>
      <c r="H54" s="42">
        <v>12910</v>
      </c>
      <c r="I54" s="42">
        <v>260</v>
      </c>
      <c r="J54" s="42">
        <v>0.13</v>
      </c>
      <c r="K54" s="42">
        <v>34</v>
      </c>
      <c r="L54" s="43">
        <f t="shared" si="49"/>
        <v>12876</v>
      </c>
      <c r="M54" s="43"/>
      <c r="N54" s="43">
        <f t="shared" si="50"/>
        <v>12876</v>
      </c>
      <c r="O54" s="43">
        <f t="shared" si="51"/>
        <v>903.7</v>
      </c>
      <c r="P54" s="42">
        <v>8400</v>
      </c>
      <c r="Q54" s="42"/>
      <c r="R54" s="42">
        <f t="shared" si="52"/>
        <v>0</v>
      </c>
    </row>
    <row r="55" spans="1:18">
      <c r="A55" s="374" t="s">
        <v>1288</v>
      </c>
      <c r="B55" s="42" t="s">
        <v>684</v>
      </c>
      <c r="C55" s="42" t="s">
        <v>1281</v>
      </c>
      <c r="D55" s="42" t="s">
        <v>16</v>
      </c>
      <c r="E55" s="42" t="s">
        <v>1289</v>
      </c>
      <c r="F55" s="42">
        <v>7481</v>
      </c>
      <c r="G55" s="42"/>
      <c r="H55" s="42">
        <v>16020</v>
      </c>
      <c r="I55" s="42">
        <v>318</v>
      </c>
      <c r="J55" s="42">
        <v>0.13</v>
      </c>
      <c r="K55" s="42">
        <f t="shared" ref="K55" si="53">I55*J55</f>
        <v>41.34</v>
      </c>
      <c r="L55" s="43">
        <f t="shared" si="49"/>
        <v>15978.66</v>
      </c>
      <c r="M55" s="43"/>
      <c r="N55" s="43">
        <f t="shared" si="50"/>
        <v>15978.66</v>
      </c>
      <c r="O55" s="43">
        <f t="shared" si="51"/>
        <v>1121.3999999999999</v>
      </c>
      <c r="P55" s="42">
        <v>11600</v>
      </c>
      <c r="Q55" s="42"/>
      <c r="R55" s="42">
        <f t="shared" si="52"/>
        <v>0</v>
      </c>
    </row>
    <row r="56" spans="1:18">
      <c r="A56" s="374"/>
      <c r="B56" s="42" t="s">
        <v>684</v>
      </c>
      <c r="C56" s="42" t="s">
        <v>1281</v>
      </c>
      <c r="D56" s="42" t="s">
        <v>16</v>
      </c>
      <c r="E56" s="42" t="s">
        <v>1290</v>
      </c>
      <c r="F56" s="42">
        <v>7482</v>
      </c>
      <c r="G56" s="42"/>
      <c r="H56" s="42">
        <v>14970</v>
      </c>
      <c r="I56" s="42">
        <v>298</v>
      </c>
      <c r="J56" s="42">
        <v>0.13</v>
      </c>
      <c r="K56" s="42">
        <v>39</v>
      </c>
      <c r="L56" s="43">
        <f t="shared" si="49"/>
        <v>14931</v>
      </c>
      <c r="M56" s="43"/>
      <c r="N56" s="43">
        <f t="shared" si="50"/>
        <v>14931</v>
      </c>
      <c r="O56" s="43">
        <f t="shared" si="51"/>
        <v>1047.9000000000001</v>
      </c>
      <c r="P56" s="42">
        <v>10900</v>
      </c>
      <c r="Q56" s="42"/>
      <c r="R56" s="42">
        <f t="shared" si="52"/>
        <v>0</v>
      </c>
    </row>
    <row r="58" spans="1:18">
      <c r="A58" s="1" t="s">
        <v>1295</v>
      </c>
      <c r="B58" s="42" t="s">
        <v>684</v>
      </c>
      <c r="C58" s="42" t="s">
        <v>24</v>
      </c>
      <c r="D58" s="42" t="s">
        <v>16</v>
      </c>
      <c r="E58" s="42" t="s">
        <v>1149</v>
      </c>
      <c r="F58" s="42"/>
      <c r="G58" s="42"/>
      <c r="H58" s="42">
        <v>14980</v>
      </c>
      <c r="I58" s="42">
        <v>300</v>
      </c>
      <c r="J58" s="42">
        <v>0.13</v>
      </c>
      <c r="K58" s="42">
        <f t="shared" ref="K58" si="54">I58*J58</f>
        <v>39</v>
      </c>
      <c r="L58" s="43">
        <f t="shared" ref="L58" si="55">H58-K58</f>
        <v>14941</v>
      </c>
      <c r="M58" s="43"/>
      <c r="N58" s="43">
        <f t="shared" ref="N58" si="56">L58-M58</f>
        <v>14941</v>
      </c>
      <c r="O58" s="43">
        <f t="shared" ref="O58" si="57">H58/1000*70</f>
        <v>1048.6000000000001</v>
      </c>
      <c r="P58" s="42">
        <v>9500</v>
      </c>
      <c r="Q58" s="42"/>
      <c r="R58" s="42">
        <f t="shared" ref="R58" si="58">L58*Q58</f>
        <v>0</v>
      </c>
    </row>
    <row r="60" spans="1:18">
      <c r="A60" s="374" t="s">
        <v>1303</v>
      </c>
      <c r="B60" s="42" t="s">
        <v>684</v>
      </c>
      <c r="C60" s="42" t="s">
        <v>24</v>
      </c>
      <c r="D60" s="42" t="s">
        <v>16</v>
      </c>
      <c r="E60" s="42" t="s">
        <v>1306</v>
      </c>
      <c r="F60" s="42">
        <v>1495</v>
      </c>
      <c r="G60" s="42"/>
      <c r="H60" s="42">
        <v>14980</v>
      </c>
      <c r="I60" s="42">
        <v>300</v>
      </c>
      <c r="J60" s="42">
        <v>0.13</v>
      </c>
      <c r="K60" s="42">
        <f t="shared" ref="K60:K63" si="59">I60*J60</f>
        <v>39</v>
      </c>
      <c r="L60" s="43">
        <f t="shared" ref="L60:L74" si="60">H60-K60</f>
        <v>14941</v>
      </c>
      <c r="M60" s="43"/>
      <c r="N60" s="43">
        <f t="shared" ref="N60:N74" si="61">L60-M60</f>
        <v>14941</v>
      </c>
      <c r="O60" s="43">
        <f t="shared" ref="O60:O74" si="62">H60/1000*70</f>
        <v>1048.6000000000001</v>
      </c>
      <c r="P60" s="42">
        <v>22000</v>
      </c>
      <c r="Q60" s="42"/>
      <c r="R60" s="42">
        <f t="shared" ref="R60:R74" si="63">L60*Q60</f>
        <v>0</v>
      </c>
    </row>
    <row r="61" spans="1:18">
      <c r="A61" s="374"/>
      <c r="B61" s="42" t="s">
        <v>684</v>
      </c>
      <c r="C61" s="42" t="s">
        <v>24</v>
      </c>
      <c r="D61" s="42" t="s">
        <v>16</v>
      </c>
      <c r="E61" s="42" t="s">
        <v>1307</v>
      </c>
      <c r="F61" s="42">
        <v>1820</v>
      </c>
      <c r="G61" s="42"/>
      <c r="H61" s="42">
        <v>14980</v>
      </c>
      <c r="I61" s="42">
        <v>300</v>
      </c>
      <c r="J61" s="42">
        <v>0.13</v>
      </c>
      <c r="K61" s="42">
        <f t="shared" si="59"/>
        <v>39</v>
      </c>
      <c r="L61" s="43">
        <f t="shared" si="60"/>
        <v>14941</v>
      </c>
      <c r="M61" s="43"/>
      <c r="N61" s="43">
        <f t="shared" si="61"/>
        <v>14941</v>
      </c>
      <c r="O61" s="43">
        <f t="shared" si="62"/>
        <v>1048.6000000000001</v>
      </c>
      <c r="P61" s="42">
        <v>10000</v>
      </c>
      <c r="Q61" s="42"/>
      <c r="R61" s="42">
        <f t="shared" si="63"/>
        <v>0</v>
      </c>
    </row>
    <row r="62" spans="1:18">
      <c r="A62" s="374"/>
      <c r="B62" s="42" t="s">
        <v>684</v>
      </c>
      <c r="C62" s="42" t="s">
        <v>24</v>
      </c>
      <c r="D62" s="42" t="s">
        <v>16</v>
      </c>
      <c r="E62" s="42" t="s">
        <v>1308</v>
      </c>
      <c r="F62" s="42">
        <v>1433</v>
      </c>
      <c r="G62" s="42"/>
      <c r="H62" s="42">
        <v>12490</v>
      </c>
      <c r="I62" s="42">
        <v>254</v>
      </c>
      <c r="J62" s="42">
        <v>0.13</v>
      </c>
      <c r="K62" s="42">
        <f t="shared" si="59"/>
        <v>33.020000000000003</v>
      </c>
      <c r="L62" s="43">
        <f t="shared" si="60"/>
        <v>12456.98</v>
      </c>
      <c r="M62" s="43"/>
      <c r="N62" s="43">
        <f t="shared" si="61"/>
        <v>12456.98</v>
      </c>
      <c r="O62" s="43">
        <f t="shared" si="62"/>
        <v>874.30000000000007</v>
      </c>
      <c r="P62" s="42">
        <v>9500</v>
      </c>
      <c r="Q62" s="42"/>
      <c r="R62" s="42">
        <f t="shared" si="63"/>
        <v>0</v>
      </c>
    </row>
    <row r="63" spans="1:18">
      <c r="A63" s="1" t="s">
        <v>1326</v>
      </c>
      <c r="B63" s="42" t="s">
        <v>684</v>
      </c>
      <c r="C63" s="42" t="s">
        <v>24</v>
      </c>
      <c r="D63" s="42" t="s">
        <v>16</v>
      </c>
      <c r="E63" s="42" t="s">
        <v>274</v>
      </c>
      <c r="F63" s="42">
        <v>1613</v>
      </c>
      <c r="G63" s="42"/>
      <c r="H63" s="42">
        <v>14970</v>
      </c>
      <c r="I63" s="42">
        <v>300</v>
      </c>
      <c r="J63" s="42">
        <v>0.13</v>
      </c>
      <c r="K63" s="42">
        <f t="shared" si="59"/>
        <v>39</v>
      </c>
      <c r="L63" s="43">
        <f t="shared" si="60"/>
        <v>14931</v>
      </c>
      <c r="M63" s="43"/>
      <c r="N63" s="43">
        <f t="shared" si="61"/>
        <v>14931</v>
      </c>
      <c r="O63" s="43">
        <f t="shared" si="62"/>
        <v>1047.9000000000001</v>
      </c>
      <c r="P63" s="42">
        <v>11000</v>
      </c>
      <c r="Q63" s="42"/>
      <c r="R63" s="42">
        <f t="shared" si="63"/>
        <v>0</v>
      </c>
    </row>
    <row r="64" spans="1:18">
      <c r="A64" s="1" t="s">
        <v>1342</v>
      </c>
      <c r="B64" s="42" t="s">
        <v>684</v>
      </c>
      <c r="C64" s="42" t="s">
        <v>24</v>
      </c>
      <c r="D64" s="42" t="s">
        <v>16</v>
      </c>
      <c r="E64" s="42" t="s">
        <v>274</v>
      </c>
      <c r="F64" s="42">
        <v>1614</v>
      </c>
      <c r="G64" s="42"/>
      <c r="H64" s="42">
        <v>12490</v>
      </c>
      <c r="I64" s="42">
        <v>250</v>
      </c>
      <c r="J64" s="42">
        <v>0.13</v>
      </c>
      <c r="K64" s="42">
        <v>33</v>
      </c>
      <c r="L64" s="43">
        <f t="shared" si="60"/>
        <v>12457</v>
      </c>
      <c r="M64" s="43"/>
      <c r="N64" s="43">
        <f t="shared" si="61"/>
        <v>12457</v>
      </c>
      <c r="O64" s="43">
        <f t="shared" si="62"/>
        <v>874.30000000000007</v>
      </c>
      <c r="P64" s="42">
        <v>10500</v>
      </c>
      <c r="Q64" s="42"/>
      <c r="R64" s="42">
        <f t="shared" si="63"/>
        <v>0</v>
      </c>
    </row>
    <row r="65" spans="1:18">
      <c r="A65" s="21" t="s">
        <v>1358</v>
      </c>
      <c r="B65" s="42" t="s">
        <v>684</v>
      </c>
      <c r="C65" s="42" t="s">
        <v>24</v>
      </c>
      <c r="D65" s="42" t="s">
        <v>16</v>
      </c>
      <c r="E65" s="42" t="s">
        <v>1362</v>
      </c>
      <c r="F65" s="42">
        <v>0</v>
      </c>
      <c r="G65" s="42"/>
      <c r="H65" s="42">
        <v>14600</v>
      </c>
      <c r="I65" s="42">
        <v>302</v>
      </c>
      <c r="J65" s="42">
        <v>0.13</v>
      </c>
      <c r="K65" s="42">
        <f t="shared" ref="K65:K67" si="64">I65*J65</f>
        <v>39.26</v>
      </c>
      <c r="L65" s="43">
        <f t="shared" si="60"/>
        <v>14560.74</v>
      </c>
      <c r="M65" s="43"/>
      <c r="N65" s="43">
        <f t="shared" si="61"/>
        <v>14560.74</v>
      </c>
      <c r="O65" s="43">
        <f t="shared" si="62"/>
        <v>1022</v>
      </c>
      <c r="P65" s="42">
        <v>7000</v>
      </c>
      <c r="Q65" s="42">
        <v>39</v>
      </c>
      <c r="R65" s="42">
        <f t="shared" si="63"/>
        <v>567868.86</v>
      </c>
    </row>
    <row r="66" spans="1:18">
      <c r="A66" s="21" t="s">
        <v>1372</v>
      </c>
      <c r="B66" s="42" t="s">
        <v>684</v>
      </c>
      <c r="C66" s="42" t="s">
        <v>24</v>
      </c>
      <c r="D66" s="42" t="s">
        <v>16</v>
      </c>
      <c r="E66" s="42" t="s">
        <v>1362</v>
      </c>
      <c r="F66" s="42">
        <v>0</v>
      </c>
      <c r="G66" s="42"/>
      <c r="H66" s="42">
        <v>14410</v>
      </c>
      <c r="I66" s="42">
        <v>300</v>
      </c>
      <c r="J66" s="42">
        <v>0.13</v>
      </c>
      <c r="K66" s="42">
        <f t="shared" si="64"/>
        <v>39</v>
      </c>
      <c r="L66" s="43">
        <f t="shared" si="60"/>
        <v>14371</v>
      </c>
      <c r="M66" s="43"/>
      <c r="N66" s="43">
        <f t="shared" si="61"/>
        <v>14371</v>
      </c>
      <c r="O66" s="43">
        <f t="shared" si="62"/>
        <v>1008.7</v>
      </c>
      <c r="P66" s="42">
        <v>7500</v>
      </c>
      <c r="Q66" s="42">
        <v>39</v>
      </c>
      <c r="R66" s="42">
        <f t="shared" si="63"/>
        <v>560469</v>
      </c>
    </row>
    <row r="67" spans="1:18">
      <c r="A67" s="21" t="s">
        <v>1379</v>
      </c>
      <c r="B67" s="42" t="s">
        <v>684</v>
      </c>
      <c r="C67" s="42" t="s">
        <v>24</v>
      </c>
      <c r="D67" s="42" t="s">
        <v>16</v>
      </c>
      <c r="E67" s="42" t="s">
        <v>1380</v>
      </c>
      <c r="F67" s="42">
        <v>0</v>
      </c>
      <c r="G67" s="42"/>
      <c r="H67" s="42">
        <v>14470</v>
      </c>
      <c r="I67" s="42">
        <v>300</v>
      </c>
      <c r="J67" s="42">
        <v>0.13</v>
      </c>
      <c r="K67" s="42">
        <f t="shared" si="64"/>
        <v>39</v>
      </c>
      <c r="L67" s="43">
        <f t="shared" si="60"/>
        <v>14431</v>
      </c>
      <c r="M67" s="43"/>
      <c r="N67" s="43">
        <f t="shared" si="61"/>
        <v>14431</v>
      </c>
      <c r="O67" s="43">
        <f t="shared" si="62"/>
        <v>1012.9000000000001</v>
      </c>
      <c r="P67" s="42">
        <v>7000</v>
      </c>
      <c r="Q67" s="42">
        <v>39</v>
      </c>
      <c r="R67" s="42">
        <f t="shared" si="63"/>
        <v>562809</v>
      </c>
    </row>
    <row r="68" spans="1:18">
      <c r="A68" s="21" t="s">
        <v>1419</v>
      </c>
      <c r="B68" s="42" t="s">
        <v>684</v>
      </c>
      <c r="C68" s="42" t="s">
        <v>24</v>
      </c>
      <c r="D68" s="42" t="s">
        <v>16</v>
      </c>
      <c r="E68" s="42" t="s">
        <v>1420</v>
      </c>
      <c r="F68" s="42">
        <v>1661</v>
      </c>
      <c r="G68" s="42"/>
      <c r="H68" s="42">
        <v>12500</v>
      </c>
      <c r="I68" s="42">
        <v>250</v>
      </c>
      <c r="J68" s="42">
        <v>0.13</v>
      </c>
      <c r="K68" s="42">
        <v>33</v>
      </c>
      <c r="L68" s="43">
        <f t="shared" si="60"/>
        <v>12467</v>
      </c>
      <c r="M68" s="43"/>
      <c r="N68" s="43">
        <f t="shared" si="61"/>
        <v>12467</v>
      </c>
      <c r="O68" s="43">
        <f t="shared" si="62"/>
        <v>875</v>
      </c>
      <c r="P68" s="42">
        <v>10300</v>
      </c>
      <c r="Q68" s="42"/>
      <c r="R68" s="42">
        <f t="shared" si="63"/>
        <v>0</v>
      </c>
    </row>
    <row r="69" spans="1:18">
      <c r="A69" s="21" t="s">
        <v>1425</v>
      </c>
      <c r="B69" s="42" t="s">
        <v>684</v>
      </c>
      <c r="C69" s="42" t="s">
        <v>24</v>
      </c>
      <c r="D69" s="42" t="s">
        <v>16</v>
      </c>
      <c r="E69" s="42" t="s">
        <v>1426</v>
      </c>
      <c r="F69" s="42">
        <v>1662</v>
      </c>
      <c r="G69" s="42"/>
      <c r="H69" s="42">
        <v>12500</v>
      </c>
      <c r="I69" s="42">
        <v>250</v>
      </c>
      <c r="J69" s="42">
        <v>0.13</v>
      </c>
      <c r="K69" s="42">
        <v>33</v>
      </c>
      <c r="L69" s="43">
        <f t="shared" si="60"/>
        <v>12467</v>
      </c>
      <c r="M69" s="43"/>
      <c r="N69" s="43">
        <f t="shared" si="61"/>
        <v>12467</v>
      </c>
      <c r="O69" s="43">
        <f t="shared" si="62"/>
        <v>875</v>
      </c>
      <c r="P69" s="42">
        <v>10500</v>
      </c>
      <c r="Q69" s="42">
        <v>38.75</v>
      </c>
      <c r="R69" s="42">
        <f t="shared" si="63"/>
        <v>483096.25</v>
      </c>
    </row>
    <row r="70" spans="1:18">
      <c r="A70" s="374" t="s">
        <v>1433</v>
      </c>
      <c r="B70" s="42" t="s">
        <v>684</v>
      </c>
      <c r="C70" s="42" t="s">
        <v>24</v>
      </c>
      <c r="D70" s="42" t="s">
        <v>16</v>
      </c>
      <c r="E70" s="42" t="s">
        <v>1134</v>
      </c>
      <c r="F70" s="42">
        <v>487</v>
      </c>
      <c r="G70" s="42"/>
      <c r="H70" s="42">
        <v>14990</v>
      </c>
      <c r="I70" s="42">
        <v>300</v>
      </c>
      <c r="J70" s="42">
        <v>0.13</v>
      </c>
      <c r="K70" s="42">
        <f t="shared" ref="K70" si="65">I70*J70</f>
        <v>39</v>
      </c>
      <c r="L70" s="43">
        <f t="shared" si="60"/>
        <v>14951</v>
      </c>
      <c r="M70" s="43"/>
      <c r="N70" s="43">
        <f t="shared" si="61"/>
        <v>14951</v>
      </c>
      <c r="O70" s="43">
        <f t="shared" si="62"/>
        <v>1049.3</v>
      </c>
      <c r="P70" s="42">
        <v>11300</v>
      </c>
      <c r="Q70" s="42">
        <v>37.200000000000003</v>
      </c>
      <c r="R70" s="42">
        <f t="shared" si="63"/>
        <v>556177.20000000007</v>
      </c>
    </row>
    <row r="71" spans="1:18">
      <c r="A71" s="374"/>
      <c r="B71" s="42" t="s">
        <v>684</v>
      </c>
      <c r="C71" s="42" t="s">
        <v>24</v>
      </c>
      <c r="D71" s="42" t="s">
        <v>16</v>
      </c>
      <c r="E71" s="42" t="s">
        <v>1235</v>
      </c>
      <c r="F71" s="42">
        <v>1663</v>
      </c>
      <c r="G71" s="42"/>
      <c r="H71" s="42">
        <v>12500</v>
      </c>
      <c r="I71" s="42">
        <v>250</v>
      </c>
      <c r="J71" s="42">
        <v>0.13</v>
      </c>
      <c r="K71" s="42">
        <v>33</v>
      </c>
      <c r="L71" s="43">
        <f t="shared" si="60"/>
        <v>12467</v>
      </c>
      <c r="M71" s="43"/>
      <c r="N71" s="43">
        <f t="shared" si="61"/>
        <v>12467</v>
      </c>
      <c r="O71" s="43">
        <f t="shared" si="62"/>
        <v>875</v>
      </c>
      <c r="P71" s="42">
        <v>11800</v>
      </c>
      <c r="Q71" s="42">
        <v>37.200000000000003</v>
      </c>
      <c r="R71" s="42">
        <f t="shared" si="63"/>
        <v>463772.4</v>
      </c>
    </row>
    <row r="72" spans="1:18">
      <c r="A72" s="21" t="s">
        <v>1440</v>
      </c>
      <c r="B72" s="169" t="s">
        <v>1443</v>
      </c>
      <c r="C72" s="42" t="s">
        <v>24</v>
      </c>
      <c r="D72" s="42" t="s">
        <v>16</v>
      </c>
      <c r="E72" s="42" t="s">
        <v>1441</v>
      </c>
      <c r="F72" s="42">
        <v>613</v>
      </c>
      <c r="G72" s="42"/>
      <c r="H72" s="42">
        <v>12470</v>
      </c>
      <c r="I72" s="42">
        <v>250</v>
      </c>
      <c r="J72" s="42">
        <v>0.13</v>
      </c>
      <c r="K72" s="42">
        <v>33</v>
      </c>
      <c r="L72" s="43">
        <f t="shared" si="60"/>
        <v>12437</v>
      </c>
      <c r="M72" s="43"/>
      <c r="N72" s="43">
        <f t="shared" si="61"/>
        <v>12437</v>
      </c>
      <c r="O72" s="43">
        <f t="shared" si="62"/>
        <v>872.90000000000009</v>
      </c>
      <c r="P72" s="42">
        <v>0</v>
      </c>
      <c r="Q72" s="42">
        <v>37.200000000000003</v>
      </c>
      <c r="R72" s="42">
        <f t="shared" si="63"/>
        <v>462656.4</v>
      </c>
    </row>
    <row r="73" spans="1:18">
      <c r="A73" s="374" t="s">
        <v>1468</v>
      </c>
      <c r="B73" s="42" t="s">
        <v>1469</v>
      </c>
      <c r="C73" s="42" t="s">
        <v>24</v>
      </c>
      <c r="D73" s="42" t="s">
        <v>16</v>
      </c>
      <c r="E73" s="42" t="s">
        <v>1470</v>
      </c>
      <c r="F73" s="42">
        <v>12148</v>
      </c>
      <c r="G73" s="42"/>
      <c r="H73" s="42">
        <v>15000</v>
      </c>
      <c r="I73" s="42">
        <v>300</v>
      </c>
      <c r="J73" s="42">
        <v>0.13</v>
      </c>
      <c r="K73" s="42">
        <f t="shared" ref="K73:K74" si="66">I73*J73</f>
        <v>39</v>
      </c>
      <c r="L73" s="43">
        <f t="shared" si="60"/>
        <v>14961</v>
      </c>
      <c r="M73" s="43"/>
      <c r="N73" s="43">
        <f t="shared" si="61"/>
        <v>14961</v>
      </c>
      <c r="O73" s="43">
        <f t="shared" si="62"/>
        <v>1050</v>
      </c>
      <c r="P73" s="42">
        <v>25000</v>
      </c>
      <c r="Q73" s="42"/>
      <c r="R73" s="42">
        <f t="shared" si="63"/>
        <v>0</v>
      </c>
    </row>
    <row r="74" spans="1:18">
      <c r="A74" s="374"/>
      <c r="B74" s="42" t="s">
        <v>1469</v>
      </c>
      <c r="C74" s="42" t="s">
        <v>24</v>
      </c>
      <c r="D74" s="42" t="s">
        <v>16</v>
      </c>
      <c r="E74" s="42" t="s">
        <v>1471</v>
      </c>
      <c r="F74" s="42">
        <v>12149</v>
      </c>
      <c r="G74" s="42"/>
      <c r="H74" s="42">
        <v>15000</v>
      </c>
      <c r="I74" s="42">
        <v>300</v>
      </c>
      <c r="J74" s="42">
        <v>0.13</v>
      </c>
      <c r="K74" s="42">
        <f t="shared" si="66"/>
        <v>39</v>
      </c>
      <c r="L74" s="43">
        <f t="shared" si="60"/>
        <v>14961</v>
      </c>
      <c r="M74" s="43"/>
      <c r="N74" s="43">
        <f t="shared" si="61"/>
        <v>14961</v>
      </c>
      <c r="O74" s="43">
        <f t="shared" si="62"/>
        <v>1050</v>
      </c>
      <c r="P74" s="42">
        <v>25000</v>
      </c>
      <c r="Q74" s="42"/>
      <c r="R74" s="42">
        <f t="shared" si="63"/>
        <v>0</v>
      </c>
    </row>
    <row r="76" spans="1:18">
      <c r="A76" s="374" t="s">
        <v>1506</v>
      </c>
      <c r="B76" s="42" t="s">
        <v>1515</v>
      </c>
      <c r="C76" s="42" t="s">
        <v>24</v>
      </c>
      <c r="D76" s="42" t="s">
        <v>16</v>
      </c>
      <c r="E76" s="42" t="s">
        <v>1250</v>
      </c>
      <c r="F76" s="42">
        <v>1037</v>
      </c>
      <c r="G76" s="42"/>
      <c r="H76" s="42">
        <v>14980</v>
      </c>
      <c r="I76" s="42">
        <v>300</v>
      </c>
      <c r="J76" s="42">
        <v>0.13</v>
      </c>
      <c r="K76" s="42">
        <f t="shared" ref="K76:K77" si="67">I76*J76</f>
        <v>39</v>
      </c>
      <c r="L76" s="43">
        <f t="shared" ref="L76:L77" si="68">H76-K76</f>
        <v>14941</v>
      </c>
      <c r="M76" s="43"/>
      <c r="N76" s="43">
        <f t="shared" ref="N76:N77" si="69">L76-M76</f>
        <v>14941</v>
      </c>
      <c r="O76" s="43">
        <f t="shared" ref="O76:O77" si="70">H76/1000*70</f>
        <v>1048.6000000000001</v>
      </c>
      <c r="P76" s="42">
        <v>14000</v>
      </c>
      <c r="Q76" s="42">
        <v>41.5</v>
      </c>
      <c r="R76" s="42">
        <f t="shared" ref="R76:R77" si="71">L76*Q76</f>
        <v>620051.5</v>
      </c>
    </row>
    <row r="77" spans="1:18">
      <c r="A77" s="374"/>
      <c r="B77" s="42" t="s">
        <v>1515</v>
      </c>
      <c r="C77" s="42" t="s">
        <v>24</v>
      </c>
      <c r="D77" s="42" t="s">
        <v>16</v>
      </c>
      <c r="E77" s="42" t="s">
        <v>1514</v>
      </c>
      <c r="F77" s="42">
        <v>12413</v>
      </c>
      <c r="G77" s="42"/>
      <c r="H77" s="42">
        <v>14970</v>
      </c>
      <c r="I77" s="42">
        <v>300</v>
      </c>
      <c r="J77" s="42">
        <v>0.13</v>
      </c>
      <c r="K77" s="42">
        <f t="shared" si="67"/>
        <v>39</v>
      </c>
      <c r="L77" s="43">
        <f t="shared" si="68"/>
        <v>14931</v>
      </c>
      <c r="M77" s="43"/>
      <c r="N77" s="43">
        <f t="shared" si="69"/>
        <v>14931</v>
      </c>
      <c r="O77" s="43">
        <f t="shared" si="70"/>
        <v>1047.9000000000001</v>
      </c>
      <c r="P77" s="42">
        <v>25000</v>
      </c>
      <c r="Q77" s="42">
        <v>41.5</v>
      </c>
      <c r="R77" s="42">
        <f t="shared" si="71"/>
        <v>619636.5</v>
      </c>
    </row>
    <row r="79" spans="1:18">
      <c r="A79" s="1" t="s">
        <v>1531</v>
      </c>
      <c r="B79" s="42" t="s">
        <v>864</v>
      </c>
      <c r="C79" s="115" t="s">
        <v>24</v>
      </c>
      <c r="D79" s="42" t="s">
        <v>16</v>
      </c>
      <c r="E79" s="42" t="s">
        <v>1532</v>
      </c>
      <c r="F79" s="42">
        <v>263</v>
      </c>
      <c r="G79" s="42"/>
      <c r="H79" s="42">
        <v>12500</v>
      </c>
      <c r="I79" s="42">
        <v>250</v>
      </c>
      <c r="J79" s="42">
        <v>0.13</v>
      </c>
      <c r="K79" s="42">
        <v>33</v>
      </c>
      <c r="L79" s="43">
        <f t="shared" ref="L79:L83" si="72">H79-K79</f>
        <v>12467</v>
      </c>
      <c r="M79" s="43"/>
      <c r="N79" s="43">
        <f t="shared" ref="N79:N83" si="73">L79-M79</f>
        <v>12467</v>
      </c>
      <c r="O79" s="43">
        <f t="shared" ref="O79:O83" si="74">H79/1000*70</f>
        <v>875</v>
      </c>
      <c r="P79" s="42">
        <v>0</v>
      </c>
      <c r="Q79" s="42">
        <v>41.5</v>
      </c>
      <c r="R79" s="42">
        <f t="shared" ref="R79:R83" si="75">L79*Q79</f>
        <v>517380.5</v>
      </c>
    </row>
    <row r="80" spans="1:18">
      <c r="A80" s="1" t="s">
        <v>1540</v>
      </c>
      <c r="B80" s="42" t="s">
        <v>864</v>
      </c>
      <c r="C80" s="115" t="s">
        <v>24</v>
      </c>
      <c r="D80" s="42" t="s">
        <v>16</v>
      </c>
      <c r="E80" s="42" t="s">
        <v>274</v>
      </c>
      <c r="F80" s="42">
        <v>1625</v>
      </c>
      <c r="G80" s="42"/>
      <c r="H80" s="42">
        <v>15000</v>
      </c>
      <c r="I80" s="42">
        <v>300</v>
      </c>
      <c r="J80" s="42">
        <v>0.13</v>
      </c>
      <c r="K80" s="42">
        <f t="shared" ref="K80" si="76">I80*J80</f>
        <v>39</v>
      </c>
      <c r="L80" s="43">
        <f t="shared" si="72"/>
        <v>14961</v>
      </c>
      <c r="M80" s="43"/>
      <c r="N80" s="43">
        <f t="shared" si="73"/>
        <v>14961</v>
      </c>
      <c r="O80" s="43">
        <f t="shared" si="74"/>
        <v>1050</v>
      </c>
      <c r="P80" s="42">
        <v>12500</v>
      </c>
      <c r="Q80" s="42">
        <v>41.5</v>
      </c>
      <c r="R80" s="42">
        <f t="shared" si="75"/>
        <v>620881.5</v>
      </c>
    </row>
    <row r="81" spans="1:18">
      <c r="A81" s="1" t="s">
        <v>1644</v>
      </c>
      <c r="B81" s="42" t="s">
        <v>1646</v>
      </c>
      <c r="C81" s="42" t="s">
        <v>24</v>
      </c>
      <c r="D81" s="42" t="s">
        <v>16</v>
      </c>
      <c r="E81" s="42" t="s">
        <v>1647</v>
      </c>
      <c r="F81" s="42">
        <v>1096</v>
      </c>
      <c r="G81" s="42"/>
      <c r="H81" s="42">
        <v>12500</v>
      </c>
      <c r="I81" s="42">
        <v>250</v>
      </c>
      <c r="J81" s="42">
        <v>0.13</v>
      </c>
      <c r="K81" s="42">
        <v>33</v>
      </c>
      <c r="L81" s="43">
        <f t="shared" si="72"/>
        <v>12467</v>
      </c>
      <c r="M81" s="43"/>
      <c r="N81" s="43">
        <f t="shared" si="73"/>
        <v>12467</v>
      </c>
      <c r="O81" s="43">
        <f t="shared" si="74"/>
        <v>875</v>
      </c>
      <c r="P81" s="191">
        <v>10500</v>
      </c>
      <c r="Q81" s="191">
        <v>41.5</v>
      </c>
      <c r="R81" s="42">
        <f t="shared" si="75"/>
        <v>517380.5</v>
      </c>
    </row>
    <row r="82" spans="1:18">
      <c r="A82" s="21" t="s">
        <v>1678</v>
      </c>
      <c r="B82" s="42" t="s">
        <v>1515</v>
      </c>
      <c r="C82" s="42" t="s">
        <v>24</v>
      </c>
      <c r="D82" s="42" t="s">
        <v>16</v>
      </c>
      <c r="E82" s="42" t="s">
        <v>274</v>
      </c>
      <c r="F82" s="42">
        <v>1445</v>
      </c>
      <c r="G82" s="42"/>
      <c r="H82" s="42">
        <v>14930</v>
      </c>
      <c r="I82" s="42">
        <v>300</v>
      </c>
      <c r="J82" s="42">
        <v>0.13</v>
      </c>
      <c r="K82" s="42">
        <f t="shared" ref="K82:K83" si="77">I82*J82</f>
        <v>39</v>
      </c>
      <c r="L82" s="43">
        <f t="shared" si="72"/>
        <v>14891</v>
      </c>
      <c r="M82" s="43"/>
      <c r="N82" s="43">
        <f t="shared" si="73"/>
        <v>14891</v>
      </c>
      <c r="O82" s="43">
        <f t="shared" si="74"/>
        <v>1045.0999999999999</v>
      </c>
      <c r="P82" s="198">
        <v>6500</v>
      </c>
      <c r="Q82" s="198">
        <v>41.5</v>
      </c>
      <c r="R82" s="42">
        <f t="shared" si="75"/>
        <v>617976.5</v>
      </c>
    </row>
    <row r="83" spans="1:18">
      <c r="A83" s="21" t="s">
        <v>1681</v>
      </c>
      <c r="B83" s="42" t="s">
        <v>1683</v>
      </c>
      <c r="C83" s="42" t="s">
        <v>24</v>
      </c>
      <c r="D83" s="42" t="s">
        <v>16</v>
      </c>
      <c r="E83" s="42" t="s">
        <v>1684</v>
      </c>
      <c r="F83" s="42">
        <v>136</v>
      </c>
      <c r="G83" s="42"/>
      <c r="H83" s="42">
        <v>15000</v>
      </c>
      <c r="I83" s="42">
        <v>300</v>
      </c>
      <c r="J83" s="42">
        <v>0.13</v>
      </c>
      <c r="K83" s="42">
        <f t="shared" si="77"/>
        <v>39</v>
      </c>
      <c r="L83" s="43">
        <f t="shared" si="72"/>
        <v>14961</v>
      </c>
      <c r="M83" s="43"/>
      <c r="N83" s="43">
        <f t="shared" si="73"/>
        <v>14961</v>
      </c>
      <c r="O83" s="43">
        <f t="shared" si="74"/>
        <v>1050</v>
      </c>
      <c r="P83" s="199">
        <v>11000</v>
      </c>
      <c r="Q83" s="199">
        <v>41.5</v>
      </c>
      <c r="R83" s="42">
        <f t="shared" si="75"/>
        <v>620881.5</v>
      </c>
    </row>
    <row r="85" spans="1:18">
      <c r="A85" s="21" t="s">
        <v>1997</v>
      </c>
      <c r="B85" s="236" t="s">
        <v>1579</v>
      </c>
      <c r="C85" s="236" t="s">
        <v>24</v>
      </c>
      <c r="D85" s="236" t="s">
        <v>16</v>
      </c>
      <c r="E85" s="236" t="s">
        <v>1998</v>
      </c>
      <c r="F85" s="236">
        <v>649</v>
      </c>
      <c r="G85" s="236"/>
      <c r="H85" s="236">
        <v>15000</v>
      </c>
      <c r="I85" s="236">
        <v>300</v>
      </c>
      <c r="J85" s="236">
        <v>0.13</v>
      </c>
      <c r="K85" s="5">
        <f t="shared" ref="K85:K90" si="78">I85*J85</f>
        <v>39</v>
      </c>
      <c r="L85" s="19">
        <f t="shared" ref="L85:L90" si="79">H85-K85</f>
        <v>14961</v>
      </c>
      <c r="M85" s="19"/>
      <c r="N85" s="43">
        <f t="shared" ref="N85:N90" si="80">L85-M85</f>
        <v>14961</v>
      </c>
      <c r="O85" s="5">
        <f t="shared" ref="O85:O90" si="81">H85/1000*70</f>
        <v>1050</v>
      </c>
      <c r="P85" s="236">
        <v>10000</v>
      </c>
      <c r="Q85" s="236">
        <v>37.6</v>
      </c>
      <c r="R85" s="42">
        <f t="shared" ref="R85:R90" si="82">L85*Q85</f>
        <v>562533.6</v>
      </c>
    </row>
    <row r="86" spans="1:18">
      <c r="A86" s="21" t="s">
        <v>2243</v>
      </c>
      <c r="B86" s="42" t="s">
        <v>2244</v>
      </c>
      <c r="C86" s="42" t="s">
        <v>118</v>
      </c>
      <c r="D86" s="42" t="s">
        <v>16</v>
      </c>
      <c r="E86" s="42" t="s">
        <v>2179</v>
      </c>
      <c r="F86" s="42">
        <v>241</v>
      </c>
      <c r="G86" s="42"/>
      <c r="H86" s="42">
        <v>16000</v>
      </c>
      <c r="I86" s="42">
        <v>320</v>
      </c>
      <c r="J86" s="42">
        <v>0.13</v>
      </c>
      <c r="K86" s="43">
        <f t="shared" si="78"/>
        <v>41.6</v>
      </c>
      <c r="L86" s="43">
        <f t="shared" si="79"/>
        <v>15958.4</v>
      </c>
      <c r="M86" s="43"/>
      <c r="N86" s="43">
        <f t="shared" si="80"/>
        <v>15958.4</v>
      </c>
      <c r="O86" s="43">
        <f t="shared" si="81"/>
        <v>1120</v>
      </c>
      <c r="P86" s="42">
        <v>13500</v>
      </c>
      <c r="Q86" s="42">
        <v>24.05</v>
      </c>
      <c r="R86" s="42">
        <f t="shared" si="82"/>
        <v>383799.52</v>
      </c>
    </row>
    <row r="87" spans="1:18">
      <c r="A87" s="21" t="s">
        <v>2263</v>
      </c>
      <c r="B87" s="42" t="s">
        <v>1579</v>
      </c>
      <c r="C87" s="42" t="s">
        <v>309</v>
      </c>
      <c r="D87" s="42" t="s">
        <v>16</v>
      </c>
      <c r="E87" s="42" t="s">
        <v>2264</v>
      </c>
      <c r="F87" s="42">
        <v>448</v>
      </c>
      <c r="G87" s="42">
        <v>1459</v>
      </c>
      <c r="H87" s="42">
        <v>15000</v>
      </c>
      <c r="I87" s="42">
        <v>300</v>
      </c>
      <c r="J87" s="42">
        <v>0.13</v>
      </c>
      <c r="K87" s="43">
        <f t="shared" si="78"/>
        <v>39</v>
      </c>
      <c r="L87" s="43">
        <f t="shared" si="79"/>
        <v>14961</v>
      </c>
      <c r="M87" s="43"/>
      <c r="N87" s="43">
        <f t="shared" si="80"/>
        <v>14961</v>
      </c>
      <c r="O87" s="43">
        <f t="shared" si="81"/>
        <v>1050</v>
      </c>
      <c r="P87" s="42">
        <v>13200</v>
      </c>
      <c r="Q87" s="42">
        <v>38</v>
      </c>
      <c r="R87" s="42">
        <f t="shared" si="82"/>
        <v>568518</v>
      </c>
    </row>
    <row r="88" spans="1:18">
      <c r="A88" s="21"/>
      <c r="B88" s="42"/>
      <c r="C88" s="42"/>
      <c r="D88" s="42"/>
      <c r="E88" s="42"/>
      <c r="F88" s="42"/>
      <c r="G88" s="42"/>
      <c r="H88" s="42"/>
      <c r="I88" s="42"/>
      <c r="J88" s="42"/>
      <c r="K88" s="43"/>
      <c r="L88" s="43"/>
      <c r="M88" s="43"/>
      <c r="N88" s="43"/>
      <c r="O88" s="43"/>
      <c r="P88" s="42"/>
      <c r="Q88" s="42"/>
      <c r="R88" s="42"/>
    </row>
    <row r="89" spans="1:18">
      <c r="A89" s="374" t="s">
        <v>2282</v>
      </c>
      <c r="B89" s="42" t="s">
        <v>2284</v>
      </c>
      <c r="C89" s="42" t="s">
        <v>309</v>
      </c>
      <c r="D89" s="42" t="s">
        <v>16</v>
      </c>
      <c r="E89" s="42" t="s">
        <v>2285</v>
      </c>
      <c r="F89" s="42">
        <v>349</v>
      </c>
      <c r="G89" s="42"/>
      <c r="H89" s="42">
        <v>14980</v>
      </c>
      <c r="I89" s="42">
        <v>300</v>
      </c>
      <c r="J89" s="42">
        <v>0.13</v>
      </c>
      <c r="K89" s="43">
        <f t="shared" si="78"/>
        <v>39</v>
      </c>
      <c r="L89" s="43">
        <f t="shared" si="79"/>
        <v>14941</v>
      </c>
      <c r="M89" s="43"/>
      <c r="N89" s="43">
        <f t="shared" si="80"/>
        <v>14941</v>
      </c>
      <c r="O89" s="43">
        <f t="shared" si="81"/>
        <v>1048.6000000000001</v>
      </c>
      <c r="P89" s="42">
        <v>10500</v>
      </c>
      <c r="Q89" s="42">
        <v>37.4</v>
      </c>
      <c r="R89" s="42">
        <f t="shared" si="82"/>
        <v>558793.4</v>
      </c>
    </row>
    <row r="90" spans="1:18">
      <c r="A90" s="374"/>
      <c r="B90" s="42" t="s">
        <v>2284</v>
      </c>
      <c r="C90" s="42" t="s">
        <v>309</v>
      </c>
      <c r="D90" s="42" t="s">
        <v>16</v>
      </c>
      <c r="E90" s="42" t="s">
        <v>2286</v>
      </c>
      <c r="F90" s="42">
        <v>350</v>
      </c>
      <c r="G90" s="42"/>
      <c r="H90" s="42">
        <v>14990</v>
      </c>
      <c r="I90" s="42">
        <v>300</v>
      </c>
      <c r="J90" s="42">
        <v>0.13</v>
      </c>
      <c r="K90" s="43">
        <f t="shared" si="78"/>
        <v>39</v>
      </c>
      <c r="L90" s="43">
        <f t="shared" si="79"/>
        <v>14951</v>
      </c>
      <c r="M90" s="43"/>
      <c r="N90" s="43">
        <f t="shared" si="80"/>
        <v>14951</v>
      </c>
      <c r="O90" s="43">
        <f t="shared" si="81"/>
        <v>1049.3</v>
      </c>
      <c r="P90" s="42">
        <v>10500</v>
      </c>
      <c r="Q90" s="42">
        <v>37.4</v>
      </c>
      <c r="R90" s="42">
        <f t="shared" si="82"/>
        <v>559167.4</v>
      </c>
    </row>
    <row r="92" spans="1:18">
      <c r="A92" s="1" t="s">
        <v>2355</v>
      </c>
      <c r="B92" s="42" t="s">
        <v>2356</v>
      </c>
      <c r="C92" s="42" t="s">
        <v>309</v>
      </c>
      <c r="D92" s="42" t="s">
        <v>16</v>
      </c>
      <c r="E92" s="42" t="s">
        <v>2357</v>
      </c>
      <c r="F92" s="42">
        <v>1012</v>
      </c>
      <c r="G92" s="42"/>
      <c r="H92" s="42">
        <v>15000</v>
      </c>
      <c r="I92" s="42">
        <v>300</v>
      </c>
      <c r="J92" s="42">
        <v>0.13</v>
      </c>
      <c r="K92" s="43">
        <f t="shared" ref="K92" si="83">I92*J92</f>
        <v>39</v>
      </c>
      <c r="L92" s="43">
        <f t="shared" ref="L92" si="84">H92-K92</f>
        <v>14961</v>
      </c>
      <c r="M92" s="43"/>
      <c r="N92" s="43">
        <f t="shared" ref="N92" si="85">L92-M92</f>
        <v>14961</v>
      </c>
      <c r="O92" s="43">
        <f t="shared" ref="O92" si="86">H92/1000*70</f>
        <v>1050</v>
      </c>
      <c r="P92" s="42">
        <v>12500</v>
      </c>
      <c r="Q92" s="42">
        <v>37.4</v>
      </c>
      <c r="R92" s="42">
        <f t="shared" ref="R92" si="87">L92*Q92</f>
        <v>559541.4</v>
      </c>
    </row>
    <row r="94" spans="1:18">
      <c r="A94" s="1" t="s">
        <v>2462</v>
      </c>
      <c r="B94" s="42" t="s">
        <v>684</v>
      </c>
      <c r="C94" s="42" t="s">
        <v>24</v>
      </c>
      <c r="D94" s="42" t="s">
        <v>16</v>
      </c>
      <c r="E94" s="42" t="s">
        <v>2463</v>
      </c>
      <c r="F94" s="42">
        <v>38</v>
      </c>
      <c r="G94" s="42"/>
      <c r="H94" s="42">
        <v>15000</v>
      </c>
      <c r="I94" s="42">
        <v>300</v>
      </c>
      <c r="J94" s="42">
        <v>0.13</v>
      </c>
      <c r="K94" s="43">
        <f t="shared" ref="K94:K95" si="88">I94*J94</f>
        <v>39</v>
      </c>
      <c r="L94" s="43">
        <f t="shared" ref="L94:L95" si="89">H94-K94</f>
        <v>14961</v>
      </c>
      <c r="M94" s="43"/>
      <c r="N94" s="43">
        <f t="shared" ref="N94:N95" si="90">L94-M94</f>
        <v>14961</v>
      </c>
      <c r="O94" s="43">
        <f t="shared" ref="O94:O95" si="91">H94/1000*70</f>
        <v>1050</v>
      </c>
      <c r="P94" s="42">
        <v>12500</v>
      </c>
      <c r="Q94" s="42"/>
      <c r="R94" s="42">
        <f t="shared" ref="R94:R95" si="92">L94*Q94</f>
        <v>0</v>
      </c>
    </row>
    <row r="95" spans="1:18">
      <c r="A95" s="1" t="s">
        <v>2465</v>
      </c>
      <c r="B95" s="42" t="s">
        <v>684</v>
      </c>
      <c r="C95" s="42" t="s">
        <v>24</v>
      </c>
      <c r="D95" s="42" t="s">
        <v>16</v>
      </c>
      <c r="E95" s="42" t="s">
        <v>2467</v>
      </c>
      <c r="F95" s="42">
        <v>37</v>
      </c>
      <c r="G95" s="42"/>
      <c r="H95" s="42">
        <v>15000</v>
      </c>
      <c r="I95" s="42">
        <v>300</v>
      </c>
      <c r="J95" s="42">
        <v>0.13</v>
      </c>
      <c r="K95" s="43">
        <f t="shared" si="88"/>
        <v>39</v>
      </c>
      <c r="L95" s="43">
        <f t="shared" si="89"/>
        <v>14961</v>
      </c>
      <c r="M95" s="43"/>
      <c r="N95" s="43">
        <f t="shared" si="90"/>
        <v>14961</v>
      </c>
      <c r="O95" s="43">
        <f t="shared" si="91"/>
        <v>1050</v>
      </c>
      <c r="P95" s="42">
        <v>14000</v>
      </c>
      <c r="Q95" s="42">
        <v>38</v>
      </c>
      <c r="R95" s="42">
        <f t="shared" si="92"/>
        <v>568518</v>
      </c>
    </row>
    <row r="97" spans="1:18">
      <c r="A97" s="374" t="s">
        <v>2478</v>
      </c>
      <c r="B97" s="42" t="s">
        <v>684</v>
      </c>
      <c r="C97" s="42" t="s">
        <v>24</v>
      </c>
      <c r="D97" s="42" t="s">
        <v>16</v>
      </c>
      <c r="E97" s="42" t="s">
        <v>2479</v>
      </c>
      <c r="F97" s="42">
        <v>362</v>
      </c>
      <c r="G97" s="42"/>
      <c r="H97" s="42">
        <v>15000</v>
      </c>
      <c r="I97" s="42">
        <v>300</v>
      </c>
      <c r="J97" s="42">
        <v>0.13</v>
      </c>
      <c r="K97" s="43">
        <f t="shared" ref="K97:K100" si="93">I97*J97</f>
        <v>39</v>
      </c>
      <c r="L97" s="43">
        <f t="shared" ref="L97:L100" si="94">H97-K97</f>
        <v>14961</v>
      </c>
      <c r="M97" s="43"/>
      <c r="N97" s="43">
        <f t="shared" ref="N97:N100" si="95">L97-M97</f>
        <v>14961</v>
      </c>
      <c r="O97" s="43">
        <f t="shared" ref="O97:O100" si="96">H97/1000*70</f>
        <v>1050</v>
      </c>
      <c r="P97" s="42">
        <v>19000</v>
      </c>
      <c r="Q97" s="42">
        <v>38.799999999999997</v>
      </c>
      <c r="R97" s="42">
        <f t="shared" ref="R97:R100" si="97">L97*Q97</f>
        <v>580486.79999999993</v>
      </c>
    </row>
    <row r="98" spans="1:18">
      <c r="A98" s="374"/>
      <c r="B98" s="42" t="s">
        <v>684</v>
      </c>
      <c r="C98" s="42" t="s">
        <v>24</v>
      </c>
      <c r="D98" s="42" t="s">
        <v>16</v>
      </c>
      <c r="E98" s="42" t="s">
        <v>2480</v>
      </c>
      <c r="F98" s="42">
        <v>361</v>
      </c>
      <c r="G98" s="42"/>
      <c r="H98" s="42">
        <v>15000</v>
      </c>
      <c r="I98" s="42">
        <v>300</v>
      </c>
      <c r="J98" s="42">
        <v>0.13</v>
      </c>
      <c r="K98" s="43">
        <f t="shared" si="93"/>
        <v>39</v>
      </c>
      <c r="L98" s="43">
        <f t="shared" si="94"/>
        <v>14961</v>
      </c>
      <c r="M98" s="43"/>
      <c r="N98" s="43">
        <f t="shared" si="95"/>
        <v>14961</v>
      </c>
      <c r="O98" s="43">
        <f t="shared" si="96"/>
        <v>1050</v>
      </c>
      <c r="P98" s="42">
        <v>19000</v>
      </c>
      <c r="Q98" s="42">
        <v>38.799999999999997</v>
      </c>
      <c r="R98" s="42">
        <f t="shared" si="97"/>
        <v>580486.79999999993</v>
      </c>
    </row>
    <row r="99" spans="1:18">
      <c r="A99" s="1" t="s">
        <v>2482</v>
      </c>
      <c r="B99" s="42" t="s">
        <v>684</v>
      </c>
      <c r="C99" s="42" t="s">
        <v>24</v>
      </c>
      <c r="D99" s="42" t="s">
        <v>16</v>
      </c>
      <c r="E99" s="42" t="s">
        <v>2483</v>
      </c>
      <c r="F99" s="42">
        <v>363</v>
      </c>
      <c r="G99" s="42"/>
      <c r="H99" s="42">
        <v>15000</v>
      </c>
      <c r="I99" s="42">
        <v>300</v>
      </c>
      <c r="J99" s="42">
        <v>0.13</v>
      </c>
      <c r="K99" s="43">
        <f t="shared" si="93"/>
        <v>39</v>
      </c>
      <c r="L99" s="43">
        <f t="shared" si="94"/>
        <v>14961</v>
      </c>
      <c r="M99" s="43"/>
      <c r="N99" s="43">
        <f t="shared" si="95"/>
        <v>14961</v>
      </c>
      <c r="O99" s="43">
        <f t="shared" si="96"/>
        <v>1050</v>
      </c>
      <c r="P99" s="42">
        <v>19000</v>
      </c>
      <c r="Q99" s="42">
        <v>38.799999999999997</v>
      </c>
      <c r="R99" s="42">
        <f t="shared" si="97"/>
        <v>580486.79999999993</v>
      </c>
    </row>
    <row r="100" spans="1:18">
      <c r="A100" s="21" t="s">
        <v>2500</v>
      </c>
      <c r="B100" s="42" t="s">
        <v>684</v>
      </c>
      <c r="C100" s="92" t="s">
        <v>24</v>
      </c>
      <c r="D100" s="42" t="s">
        <v>16</v>
      </c>
      <c r="E100" s="42" t="s">
        <v>2507</v>
      </c>
      <c r="F100" s="42">
        <v>178</v>
      </c>
      <c r="G100" s="42"/>
      <c r="H100" s="42">
        <v>12500</v>
      </c>
      <c r="I100" s="42">
        <v>250</v>
      </c>
      <c r="J100" s="42">
        <v>0.13</v>
      </c>
      <c r="K100" s="43">
        <f t="shared" si="93"/>
        <v>32.5</v>
      </c>
      <c r="L100" s="43">
        <f t="shared" si="94"/>
        <v>12467.5</v>
      </c>
      <c r="M100" s="43"/>
      <c r="N100" s="43">
        <f t="shared" si="95"/>
        <v>12467.5</v>
      </c>
      <c r="O100" s="43">
        <f t="shared" si="96"/>
        <v>875</v>
      </c>
      <c r="P100" s="42">
        <v>15000</v>
      </c>
      <c r="Q100" s="42">
        <v>38</v>
      </c>
      <c r="R100" s="42">
        <f t="shared" si="97"/>
        <v>473765</v>
      </c>
    </row>
    <row r="102" spans="1:18">
      <c r="A102" s="1" t="s">
        <v>2618</v>
      </c>
      <c r="B102" s="42" t="s">
        <v>864</v>
      </c>
      <c r="C102" s="42" t="s">
        <v>24</v>
      </c>
      <c r="D102" s="42" t="s">
        <v>16</v>
      </c>
      <c r="E102" s="42" t="s">
        <v>2622</v>
      </c>
      <c r="F102" s="42">
        <v>148</v>
      </c>
      <c r="G102" s="42"/>
      <c r="H102" s="42">
        <v>15000</v>
      </c>
      <c r="I102" s="42">
        <v>300</v>
      </c>
      <c r="J102" s="42">
        <v>0.13</v>
      </c>
      <c r="K102" s="43">
        <f t="shared" ref="K102" si="98">I102*J102</f>
        <v>39</v>
      </c>
      <c r="L102" s="43">
        <f t="shared" ref="L102" si="99">H102-K102</f>
        <v>14961</v>
      </c>
      <c r="M102" s="43"/>
      <c r="N102" s="43">
        <f t="shared" ref="N102" si="100">L102-M102</f>
        <v>14961</v>
      </c>
      <c r="O102" s="43">
        <f t="shared" ref="O102" si="101">H102/1000*70</f>
        <v>1050</v>
      </c>
      <c r="P102" s="42">
        <v>15500</v>
      </c>
      <c r="Q102" s="42">
        <v>38</v>
      </c>
      <c r="R102" s="42">
        <f t="shared" ref="R102" si="102">L102*Q102</f>
        <v>568518</v>
      </c>
    </row>
    <row r="104" spans="1:18">
      <c r="A104" s="21" t="s">
        <v>2751</v>
      </c>
      <c r="B104" s="287" t="s">
        <v>684</v>
      </c>
      <c r="C104" s="42" t="s">
        <v>24</v>
      </c>
      <c r="D104" s="42" t="s">
        <v>16</v>
      </c>
      <c r="E104" s="42" t="s">
        <v>2752</v>
      </c>
      <c r="F104" s="42">
        <v>2452</v>
      </c>
      <c r="G104" s="42"/>
      <c r="H104" s="42">
        <v>15000</v>
      </c>
      <c r="I104" s="42">
        <v>300</v>
      </c>
      <c r="J104" s="42">
        <v>0.13</v>
      </c>
      <c r="K104" s="43">
        <f t="shared" ref="K104" si="103">I104*J104</f>
        <v>39</v>
      </c>
      <c r="L104" s="43">
        <f t="shared" ref="L104" si="104">H104-K104</f>
        <v>14961</v>
      </c>
      <c r="M104" s="43"/>
      <c r="N104" s="43">
        <f t="shared" ref="N104" si="105">L104-M104</f>
        <v>14961</v>
      </c>
      <c r="O104" s="43">
        <f t="shared" ref="O104" si="106">H104/1000*70</f>
        <v>1050</v>
      </c>
      <c r="P104" s="42">
        <v>22500</v>
      </c>
      <c r="Q104" s="42">
        <v>39.5</v>
      </c>
      <c r="R104" s="42">
        <f t="shared" ref="R104" si="107">L104*Q104</f>
        <v>590959.5</v>
      </c>
    </row>
    <row r="106" spans="1:18">
      <c r="A106" s="374" t="s">
        <v>2755</v>
      </c>
      <c r="B106" s="288" t="s">
        <v>2767</v>
      </c>
      <c r="C106" s="42" t="s">
        <v>24</v>
      </c>
      <c r="D106" s="42" t="s">
        <v>16</v>
      </c>
      <c r="E106" s="42" t="s">
        <v>2768</v>
      </c>
      <c r="F106" s="42">
        <v>1782</v>
      </c>
      <c r="G106" s="42"/>
      <c r="H106" s="42">
        <v>15000</v>
      </c>
      <c r="I106" s="42">
        <v>300</v>
      </c>
      <c r="J106" s="42">
        <v>0.13</v>
      </c>
      <c r="K106" s="43">
        <f t="shared" ref="K106:K115" si="108">I106*J106</f>
        <v>39</v>
      </c>
      <c r="L106" s="43">
        <f t="shared" ref="L106:L115" si="109">H106-K106</f>
        <v>14961</v>
      </c>
      <c r="M106" s="43"/>
      <c r="N106" s="43">
        <f t="shared" ref="N106:N115" si="110">L106-M106</f>
        <v>14961</v>
      </c>
      <c r="O106" s="43">
        <f t="shared" ref="O106:O115" si="111">H106/1000*70</f>
        <v>1050</v>
      </c>
      <c r="P106" s="42">
        <v>15400</v>
      </c>
      <c r="Q106" s="42">
        <v>39.5</v>
      </c>
      <c r="R106" s="42">
        <f t="shared" ref="R106:R115" si="112">L106*Q106</f>
        <v>590959.5</v>
      </c>
    </row>
    <row r="107" spans="1:18">
      <c r="A107" s="374"/>
      <c r="B107" s="288" t="s">
        <v>2767</v>
      </c>
      <c r="C107" s="42" t="s">
        <v>24</v>
      </c>
      <c r="D107" s="42" t="s">
        <v>16</v>
      </c>
      <c r="E107" s="42" t="s">
        <v>2769</v>
      </c>
      <c r="F107" s="42">
        <v>1781</v>
      </c>
      <c r="G107" s="42"/>
      <c r="H107" s="42">
        <v>15000</v>
      </c>
      <c r="I107" s="42">
        <v>300</v>
      </c>
      <c r="J107" s="42">
        <v>0.13</v>
      </c>
      <c r="K107" s="43">
        <f t="shared" si="108"/>
        <v>39</v>
      </c>
      <c r="L107" s="43">
        <f t="shared" si="109"/>
        <v>14961</v>
      </c>
      <c r="M107" s="43"/>
      <c r="N107" s="43">
        <f t="shared" si="110"/>
        <v>14961</v>
      </c>
      <c r="O107" s="43">
        <f t="shared" si="111"/>
        <v>1050</v>
      </c>
      <c r="P107" s="42">
        <v>15400</v>
      </c>
      <c r="Q107" s="42">
        <v>39.5</v>
      </c>
      <c r="R107" s="42">
        <f t="shared" si="112"/>
        <v>590959.5</v>
      </c>
    </row>
    <row r="108" spans="1:18">
      <c r="A108" s="1" t="s">
        <v>2784</v>
      </c>
      <c r="B108" s="290" t="s">
        <v>2767</v>
      </c>
      <c r="C108" s="42" t="s">
        <v>24</v>
      </c>
      <c r="D108" s="42" t="s">
        <v>16</v>
      </c>
      <c r="E108" s="42" t="s">
        <v>2792</v>
      </c>
      <c r="F108" s="42">
        <v>1783</v>
      </c>
      <c r="G108" s="42"/>
      <c r="H108" s="42">
        <v>15000</v>
      </c>
      <c r="I108" s="42">
        <v>300</v>
      </c>
      <c r="J108" s="42">
        <v>0.13</v>
      </c>
      <c r="K108" s="43">
        <f t="shared" si="108"/>
        <v>39</v>
      </c>
      <c r="L108" s="43">
        <f t="shared" si="109"/>
        <v>14961</v>
      </c>
      <c r="M108" s="43"/>
      <c r="N108" s="43">
        <f t="shared" si="110"/>
        <v>14961</v>
      </c>
      <c r="O108" s="43">
        <f t="shared" si="111"/>
        <v>1050</v>
      </c>
      <c r="P108" s="42">
        <v>16500</v>
      </c>
      <c r="Q108" s="42">
        <v>39.5</v>
      </c>
      <c r="R108" s="42">
        <f t="shared" si="112"/>
        <v>590959.5</v>
      </c>
    </row>
    <row r="109" spans="1:18">
      <c r="A109" s="1" t="s">
        <v>2795</v>
      </c>
      <c r="B109" s="293" t="s">
        <v>2796</v>
      </c>
      <c r="C109" s="42" t="s">
        <v>24</v>
      </c>
      <c r="D109" s="42" t="s">
        <v>16</v>
      </c>
      <c r="E109" s="42" t="s">
        <v>2797</v>
      </c>
      <c r="F109" s="42">
        <v>937</v>
      </c>
      <c r="G109" s="42"/>
      <c r="H109" s="42">
        <v>12500</v>
      </c>
      <c r="I109" s="42">
        <v>250</v>
      </c>
      <c r="J109" s="42">
        <v>0.13</v>
      </c>
      <c r="K109" s="43">
        <f t="shared" si="108"/>
        <v>32.5</v>
      </c>
      <c r="L109" s="43">
        <f t="shared" si="109"/>
        <v>12467.5</v>
      </c>
      <c r="M109" s="43"/>
      <c r="N109" s="43">
        <f t="shared" si="110"/>
        <v>12467.5</v>
      </c>
      <c r="O109" s="43">
        <f t="shared" si="111"/>
        <v>875</v>
      </c>
      <c r="P109" s="42">
        <v>0</v>
      </c>
      <c r="Q109" s="42">
        <v>39.5</v>
      </c>
      <c r="R109" s="42">
        <f t="shared" si="112"/>
        <v>492466.25</v>
      </c>
    </row>
    <row r="110" spans="1:18">
      <c r="A110" s="21" t="s">
        <v>2832</v>
      </c>
      <c r="B110" s="42" t="s">
        <v>2818</v>
      </c>
      <c r="C110" s="42" t="s">
        <v>24</v>
      </c>
      <c r="D110" s="42" t="s">
        <v>16</v>
      </c>
      <c r="E110" s="42" t="s">
        <v>2834</v>
      </c>
      <c r="F110" s="42">
        <v>2504</v>
      </c>
      <c r="G110" s="42"/>
      <c r="H110" s="42">
        <v>14990</v>
      </c>
      <c r="I110" s="42">
        <v>300</v>
      </c>
      <c r="J110" s="42">
        <v>0.13</v>
      </c>
      <c r="K110" s="43">
        <f t="shared" si="108"/>
        <v>39</v>
      </c>
      <c r="L110" s="43">
        <f t="shared" si="109"/>
        <v>14951</v>
      </c>
      <c r="M110" s="43"/>
      <c r="N110" s="43">
        <f t="shared" si="110"/>
        <v>14951</v>
      </c>
      <c r="O110" s="43">
        <f t="shared" si="111"/>
        <v>1049.3</v>
      </c>
      <c r="P110" s="42">
        <v>8800</v>
      </c>
      <c r="Q110" s="42">
        <v>43</v>
      </c>
      <c r="R110" s="42">
        <f t="shared" si="112"/>
        <v>642893</v>
      </c>
    </row>
    <row r="111" spans="1:18">
      <c r="A111" s="21" t="s">
        <v>2848</v>
      </c>
      <c r="B111" s="42" t="s">
        <v>2849</v>
      </c>
      <c r="C111" s="42" t="s">
        <v>24</v>
      </c>
      <c r="D111" s="42" t="s">
        <v>16</v>
      </c>
      <c r="E111" s="42" t="s">
        <v>1670</v>
      </c>
      <c r="F111" s="42">
        <v>2726</v>
      </c>
      <c r="G111" s="42"/>
      <c r="H111" s="42">
        <v>14950</v>
      </c>
      <c r="I111" s="42">
        <v>300</v>
      </c>
      <c r="J111" s="42">
        <v>0.13</v>
      </c>
      <c r="K111" s="43">
        <f t="shared" si="108"/>
        <v>39</v>
      </c>
      <c r="L111" s="43">
        <f t="shared" si="109"/>
        <v>14911</v>
      </c>
      <c r="M111" s="43"/>
      <c r="N111" s="43">
        <f t="shared" si="110"/>
        <v>14911</v>
      </c>
      <c r="O111" s="43">
        <f t="shared" si="111"/>
        <v>1046.5</v>
      </c>
      <c r="P111" s="42">
        <v>0</v>
      </c>
      <c r="Q111" s="42">
        <v>44</v>
      </c>
      <c r="R111" s="42">
        <f t="shared" si="112"/>
        <v>656084</v>
      </c>
    </row>
    <row r="112" spans="1:18">
      <c r="A112" s="21" t="s">
        <v>2852</v>
      </c>
      <c r="B112" s="42" t="s">
        <v>2853</v>
      </c>
      <c r="C112" s="42" t="s">
        <v>24</v>
      </c>
      <c r="D112" s="42" t="s">
        <v>16</v>
      </c>
      <c r="E112" s="42" t="s">
        <v>2854</v>
      </c>
      <c r="F112" s="42">
        <v>6160</v>
      </c>
      <c r="G112" s="42"/>
      <c r="H112" s="42">
        <v>14990</v>
      </c>
      <c r="I112" s="42">
        <v>300</v>
      </c>
      <c r="J112" s="42">
        <v>0.13</v>
      </c>
      <c r="K112" s="43">
        <f t="shared" si="108"/>
        <v>39</v>
      </c>
      <c r="L112" s="43">
        <f t="shared" si="109"/>
        <v>14951</v>
      </c>
      <c r="M112" s="43"/>
      <c r="N112" s="43">
        <f t="shared" si="110"/>
        <v>14951</v>
      </c>
      <c r="O112" s="43">
        <f t="shared" si="111"/>
        <v>1049.3</v>
      </c>
      <c r="P112" s="42">
        <v>0</v>
      </c>
      <c r="Q112" s="42">
        <v>44</v>
      </c>
      <c r="R112" s="42">
        <f t="shared" si="112"/>
        <v>657844</v>
      </c>
    </row>
    <row r="113" spans="1:18">
      <c r="A113" s="374" t="s">
        <v>2858</v>
      </c>
      <c r="B113" s="297" t="s">
        <v>2767</v>
      </c>
      <c r="C113" s="42" t="s">
        <v>24</v>
      </c>
      <c r="D113" s="42" t="s">
        <v>16</v>
      </c>
      <c r="E113" s="42" t="s">
        <v>2860</v>
      </c>
      <c r="F113" s="42">
        <v>1810</v>
      </c>
      <c r="G113" s="42"/>
      <c r="H113" s="42">
        <v>14990</v>
      </c>
      <c r="I113" s="42">
        <v>300</v>
      </c>
      <c r="J113" s="42">
        <v>0.13</v>
      </c>
      <c r="K113" s="43">
        <f t="shared" si="108"/>
        <v>39</v>
      </c>
      <c r="L113" s="43">
        <f t="shared" si="109"/>
        <v>14951</v>
      </c>
      <c r="M113" s="43"/>
      <c r="N113" s="43">
        <f t="shared" si="110"/>
        <v>14951</v>
      </c>
      <c r="O113" s="43">
        <f t="shared" si="111"/>
        <v>1049.3</v>
      </c>
      <c r="P113" s="42">
        <v>28000</v>
      </c>
      <c r="Q113" s="42">
        <v>44</v>
      </c>
      <c r="R113" s="42">
        <f t="shared" si="112"/>
        <v>657844</v>
      </c>
    </row>
    <row r="114" spans="1:18">
      <c r="A114" s="374"/>
      <c r="B114" s="297" t="s">
        <v>2767</v>
      </c>
      <c r="C114" s="42" t="s">
        <v>24</v>
      </c>
      <c r="D114" s="42" t="s">
        <v>16</v>
      </c>
      <c r="E114" s="42" t="s">
        <v>2861</v>
      </c>
      <c r="F114" s="42">
        <v>33</v>
      </c>
      <c r="G114" s="42"/>
      <c r="H114" s="42">
        <v>14990</v>
      </c>
      <c r="I114" s="42">
        <v>300</v>
      </c>
      <c r="J114" s="42">
        <v>0.13</v>
      </c>
      <c r="K114" s="43">
        <f t="shared" si="108"/>
        <v>39</v>
      </c>
      <c r="L114" s="43">
        <f t="shared" si="109"/>
        <v>14951</v>
      </c>
      <c r="M114" s="43"/>
      <c r="N114" s="43">
        <f t="shared" si="110"/>
        <v>14951</v>
      </c>
      <c r="O114" s="43">
        <f t="shared" si="111"/>
        <v>1049.3</v>
      </c>
      <c r="P114" s="42">
        <v>0</v>
      </c>
      <c r="Q114" s="42">
        <v>44</v>
      </c>
      <c r="R114" s="42">
        <f t="shared" si="112"/>
        <v>657844</v>
      </c>
    </row>
    <row r="115" spans="1:18">
      <c r="A115" s="21" t="s">
        <v>2863</v>
      </c>
      <c r="B115" s="298" t="s">
        <v>2767</v>
      </c>
      <c r="C115" s="42" t="s">
        <v>24</v>
      </c>
      <c r="D115" s="42" t="s">
        <v>16</v>
      </c>
      <c r="E115" s="42" t="s">
        <v>2864</v>
      </c>
      <c r="F115" s="42">
        <v>1821</v>
      </c>
      <c r="G115" s="42"/>
      <c r="H115" s="42">
        <v>15000</v>
      </c>
      <c r="I115" s="42">
        <v>300</v>
      </c>
      <c r="J115" s="42">
        <v>0.13</v>
      </c>
      <c r="K115" s="43">
        <f t="shared" si="108"/>
        <v>39</v>
      </c>
      <c r="L115" s="43">
        <f t="shared" si="109"/>
        <v>14961</v>
      </c>
      <c r="M115" s="43"/>
      <c r="N115" s="43">
        <f t="shared" si="110"/>
        <v>14961</v>
      </c>
      <c r="O115" s="43">
        <f t="shared" si="111"/>
        <v>1050</v>
      </c>
      <c r="P115" s="42">
        <v>30000</v>
      </c>
      <c r="Q115" s="42">
        <v>44</v>
      </c>
      <c r="R115" s="42">
        <f t="shared" si="112"/>
        <v>658284</v>
      </c>
    </row>
    <row r="117" spans="1:18">
      <c r="A117" s="21" t="s">
        <v>2879</v>
      </c>
      <c r="B117" s="42" t="s">
        <v>684</v>
      </c>
      <c r="C117" s="42" t="s">
        <v>24</v>
      </c>
      <c r="D117" s="42" t="s">
        <v>16</v>
      </c>
      <c r="E117" s="42" t="s">
        <v>2881</v>
      </c>
      <c r="F117" s="42">
        <v>23564</v>
      </c>
      <c r="G117" s="42"/>
      <c r="H117" s="42">
        <v>14920</v>
      </c>
      <c r="I117" s="42">
        <v>300</v>
      </c>
      <c r="J117" s="42">
        <v>0.13</v>
      </c>
      <c r="K117" s="43">
        <f t="shared" ref="K117:K119" si="113">I117*J117</f>
        <v>39</v>
      </c>
      <c r="L117" s="43">
        <f t="shared" ref="L117:L119" si="114">H117-K117</f>
        <v>14881</v>
      </c>
      <c r="M117" s="43"/>
      <c r="N117" s="43">
        <f t="shared" ref="N117:N119" si="115">L117-M117</f>
        <v>14881</v>
      </c>
      <c r="O117" s="43">
        <f t="shared" ref="O117:O119" si="116">H117/1000*70</f>
        <v>1044.4000000000001</v>
      </c>
      <c r="P117" s="42">
        <v>32000</v>
      </c>
      <c r="Q117" s="42">
        <v>43</v>
      </c>
      <c r="R117" s="42">
        <f t="shared" ref="R117:R119" si="117">L117*Q117</f>
        <v>639883</v>
      </c>
    </row>
    <row r="118" spans="1:18">
      <c r="A118" s="21" t="s">
        <v>2941</v>
      </c>
      <c r="B118" s="42" t="s">
        <v>2942</v>
      </c>
      <c r="C118" s="42" t="s">
        <v>24</v>
      </c>
      <c r="D118" s="42" t="s">
        <v>16</v>
      </c>
      <c r="E118" s="42" t="s">
        <v>775</v>
      </c>
      <c r="F118" s="42">
        <v>91105</v>
      </c>
      <c r="G118" s="42"/>
      <c r="H118" s="42">
        <v>17500</v>
      </c>
      <c r="I118" s="42">
        <v>350</v>
      </c>
      <c r="J118" s="42">
        <v>0.13</v>
      </c>
      <c r="K118" s="43">
        <f t="shared" si="113"/>
        <v>45.5</v>
      </c>
      <c r="L118" s="43">
        <f t="shared" si="114"/>
        <v>17454.5</v>
      </c>
      <c r="M118" s="43"/>
      <c r="N118" s="43">
        <f t="shared" si="115"/>
        <v>17454.5</v>
      </c>
      <c r="O118" s="43">
        <f t="shared" si="116"/>
        <v>1225</v>
      </c>
      <c r="P118" s="42">
        <v>14000</v>
      </c>
      <c r="Q118" s="42"/>
      <c r="R118" s="42">
        <f t="shared" si="117"/>
        <v>0</v>
      </c>
    </row>
    <row r="119" spans="1:18">
      <c r="A119" s="21" t="s">
        <v>2985</v>
      </c>
      <c r="B119" s="42" t="s">
        <v>2986</v>
      </c>
      <c r="C119" s="42" t="s">
        <v>24</v>
      </c>
      <c r="D119" s="42" t="s">
        <v>16</v>
      </c>
      <c r="E119" s="42" t="s">
        <v>2987</v>
      </c>
      <c r="F119" s="42">
        <v>1847</v>
      </c>
      <c r="G119" s="42"/>
      <c r="H119" s="42">
        <v>15000</v>
      </c>
      <c r="I119" s="42">
        <v>300</v>
      </c>
      <c r="J119" s="42">
        <v>0.13</v>
      </c>
      <c r="K119" s="43">
        <f t="shared" si="113"/>
        <v>39</v>
      </c>
      <c r="L119" s="43">
        <f t="shared" si="114"/>
        <v>14961</v>
      </c>
      <c r="M119" s="43"/>
      <c r="N119" s="43">
        <f t="shared" si="115"/>
        <v>14961</v>
      </c>
      <c r="O119" s="43">
        <f t="shared" si="116"/>
        <v>1050</v>
      </c>
      <c r="P119" s="42">
        <v>13000</v>
      </c>
      <c r="Q119" s="42">
        <v>39</v>
      </c>
      <c r="R119" s="42">
        <f t="shared" si="117"/>
        <v>583479</v>
      </c>
    </row>
    <row r="121" spans="1:18">
      <c r="A121" s="21" t="s">
        <v>2995</v>
      </c>
      <c r="B121" s="42" t="s">
        <v>2986</v>
      </c>
      <c r="C121" s="42" t="s">
        <v>24</v>
      </c>
      <c r="D121" s="42" t="s">
        <v>16</v>
      </c>
      <c r="E121" s="42" t="s">
        <v>2470</v>
      </c>
      <c r="F121" s="42">
        <v>1848</v>
      </c>
      <c r="G121" s="42"/>
      <c r="H121" s="42">
        <v>14980</v>
      </c>
      <c r="I121" s="42">
        <v>300</v>
      </c>
      <c r="J121" s="42">
        <v>0.13</v>
      </c>
      <c r="K121" s="43">
        <f t="shared" ref="K121" si="118">I121*J121</f>
        <v>39</v>
      </c>
      <c r="L121" s="43">
        <f t="shared" ref="L121" si="119">H121-K121</f>
        <v>14941</v>
      </c>
      <c r="M121" s="43"/>
      <c r="N121" s="43">
        <f t="shared" ref="N121" si="120">L121-M121</f>
        <v>14941</v>
      </c>
      <c r="O121" s="43">
        <f t="shared" ref="O121" si="121">H121/1000*70</f>
        <v>1048.6000000000001</v>
      </c>
      <c r="P121" s="42">
        <v>13000</v>
      </c>
      <c r="Q121" s="42">
        <v>39</v>
      </c>
      <c r="R121" s="42">
        <f t="shared" ref="R121" si="122">L121*Q121</f>
        <v>582699</v>
      </c>
    </row>
    <row r="123" spans="1:18">
      <c r="A123" s="374" t="s">
        <v>3012</v>
      </c>
      <c r="B123" s="42" t="s">
        <v>684</v>
      </c>
      <c r="C123" s="42" t="s">
        <v>24</v>
      </c>
      <c r="D123" s="42" t="s">
        <v>16</v>
      </c>
      <c r="E123" s="42" t="s">
        <v>3015</v>
      </c>
      <c r="F123" s="42">
        <v>0</v>
      </c>
      <c r="G123" s="42"/>
      <c r="H123" s="42">
        <v>15000</v>
      </c>
      <c r="I123" s="42">
        <v>300</v>
      </c>
      <c r="J123" s="42">
        <v>0.13</v>
      </c>
      <c r="K123" s="43">
        <f t="shared" ref="K123:K124" si="123">I123*J123</f>
        <v>39</v>
      </c>
      <c r="L123" s="43">
        <f t="shared" ref="L123:L124" si="124">H123-K123</f>
        <v>14961</v>
      </c>
      <c r="M123" s="43"/>
      <c r="N123" s="43">
        <f t="shared" ref="N123:N124" si="125">L123-M123</f>
        <v>14961</v>
      </c>
      <c r="O123" s="43">
        <f t="shared" ref="O123:O124" si="126">H123/1000*70</f>
        <v>1050</v>
      </c>
      <c r="P123" s="42">
        <v>0</v>
      </c>
      <c r="Q123" s="42">
        <v>39</v>
      </c>
      <c r="R123" s="42">
        <f t="shared" ref="R123:R124" si="127">L123*Q123</f>
        <v>583479</v>
      </c>
    </row>
    <row r="124" spans="1:18">
      <c r="A124" s="374"/>
      <c r="B124" s="42" t="s">
        <v>684</v>
      </c>
      <c r="C124" s="42" t="s">
        <v>24</v>
      </c>
      <c r="D124" s="42" t="s">
        <v>16</v>
      </c>
      <c r="E124" s="42" t="s">
        <v>3016</v>
      </c>
      <c r="F124" s="42">
        <v>1907</v>
      </c>
      <c r="G124" s="42"/>
      <c r="H124" s="42">
        <v>14950</v>
      </c>
      <c r="I124" s="42">
        <v>300</v>
      </c>
      <c r="J124" s="42">
        <v>0.13</v>
      </c>
      <c r="K124" s="43">
        <f t="shared" si="123"/>
        <v>39</v>
      </c>
      <c r="L124" s="43">
        <f t="shared" si="124"/>
        <v>14911</v>
      </c>
      <c r="M124" s="43"/>
      <c r="N124" s="43">
        <f t="shared" si="125"/>
        <v>14911</v>
      </c>
      <c r="O124" s="43">
        <f t="shared" si="126"/>
        <v>1046.5</v>
      </c>
      <c r="P124" s="42">
        <v>11070</v>
      </c>
      <c r="Q124" s="42">
        <v>39</v>
      </c>
      <c r="R124" s="42">
        <f t="shared" si="127"/>
        <v>581529</v>
      </c>
    </row>
    <row r="126" spans="1:18">
      <c r="A126" s="1" t="s">
        <v>3036</v>
      </c>
      <c r="B126" s="42" t="s">
        <v>2849</v>
      </c>
      <c r="C126" s="42" t="s">
        <v>24</v>
      </c>
      <c r="D126" s="42" t="s">
        <v>16</v>
      </c>
      <c r="E126" s="42" t="s">
        <v>2185</v>
      </c>
      <c r="F126" s="42">
        <v>2329</v>
      </c>
      <c r="G126" s="42"/>
      <c r="H126" s="42">
        <v>15000</v>
      </c>
      <c r="I126" s="42">
        <v>300</v>
      </c>
      <c r="J126" s="42">
        <v>0.13</v>
      </c>
      <c r="K126" s="43">
        <f t="shared" ref="K126" si="128">I126*J126</f>
        <v>39</v>
      </c>
      <c r="L126" s="43">
        <f t="shared" ref="L126" si="129">H126-K126</f>
        <v>14961</v>
      </c>
      <c r="M126" s="43"/>
      <c r="N126" s="43">
        <f t="shared" ref="N126" si="130">L126-M126</f>
        <v>14961</v>
      </c>
      <c r="O126" s="43">
        <f t="shared" ref="O126" si="131">H126/1000*70</f>
        <v>1050</v>
      </c>
      <c r="P126" s="42">
        <v>10500</v>
      </c>
      <c r="Q126" s="42">
        <v>37.5</v>
      </c>
      <c r="R126" s="42">
        <f t="shared" ref="R126" si="132">L126*Q126</f>
        <v>561037.5</v>
      </c>
    </row>
    <row r="128" spans="1:18">
      <c r="A128" s="1" t="s">
        <v>3044</v>
      </c>
      <c r="B128" s="42" t="s">
        <v>3045</v>
      </c>
      <c r="C128" s="42" t="s">
        <v>24</v>
      </c>
      <c r="D128" s="42" t="s">
        <v>16</v>
      </c>
      <c r="E128" s="42" t="s">
        <v>2622</v>
      </c>
      <c r="F128" s="42">
        <v>701</v>
      </c>
      <c r="G128" s="42"/>
      <c r="H128" s="42">
        <v>15000</v>
      </c>
      <c r="I128" s="42">
        <v>300</v>
      </c>
      <c r="J128" s="42">
        <v>0.13</v>
      </c>
      <c r="K128" s="43">
        <f t="shared" ref="K128" si="133">I128*J128</f>
        <v>39</v>
      </c>
      <c r="L128" s="43">
        <f t="shared" ref="L128" si="134">H128-K128</f>
        <v>14961</v>
      </c>
      <c r="M128" s="43"/>
      <c r="N128" s="43">
        <f t="shared" ref="N128" si="135">L128-M128</f>
        <v>14961</v>
      </c>
      <c r="O128" s="43">
        <f t="shared" ref="O128" si="136">H128/1000*70</f>
        <v>1050</v>
      </c>
      <c r="P128" s="42">
        <v>10000</v>
      </c>
      <c r="Q128" s="42">
        <v>37.5</v>
      </c>
      <c r="R128" s="42">
        <f t="shared" ref="R128" si="137">L128*Q128</f>
        <v>561037.5</v>
      </c>
    </row>
    <row r="130" spans="1:18">
      <c r="A130" s="1" t="s">
        <v>3154</v>
      </c>
      <c r="B130" s="42" t="s">
        <v>684</v>
      </c>
      <c r="C130" s="42" t="s">
        <v>24</v>
      </c>
      <c r="D130" s="42" t="s">
        <v>16</v>
      </c>
      <c r="E130" s="42" t="s">
        <v>3155</v>
      </c>
      <c r="F130" s="42">
        <v>155</v>
      </c>
      <c r="G130" s="42"/>
      <c r="H130" s="42">
        <v>15000</v>
      </c>
      <c r="I130" s="42">
        <v>300</v>
      </c>
      <c r="J130" s="42">
        <v>0.13</v>
      </c>
      <c r="K130" s="43">
        <f t="shared" ref="K130:K131" si="138">I130*J130</f>
        <v>39</v>
      </c>
      <c r="L130" s="43">
        <f t="shared" ref="L130:L131" si="139">H130-K130</f>
        <v>14961</v>
      </c>
      <c r="M130" s="43"/>
      <c r="N130" s="43">
        <f t="shared" ref="N130:N131" si="140">L130-M130</f>
        <v>14961</v>
      </c>
      <c r="O130" s="43">
        <f t="shared" ref="O130:O131" si="141">H130/1000*70</f>
        <v>1050</v>
      </c>
      <c r="P130" s="42">
        <v>10200</v>
      </c>
      <c r="Q130" s="42">
        <v>34.200000000000003</v>
      </c>
      <c r="R130" s="42">
        <f t="shared" ref="R130:R131" si="142">L130*Q130</f>
        <v>511666.20000000007</v>
      </c>
    </row>
    <row r="131" spans="1:18">
      <c r="A131" s="21" t="s">
        <v>3157</v>
      </c>
      <c r="B131" s="42" t="s">
        <v>684</v>
      </c>
      <c r="C131" s="42" t="s">
        <v>24</v>
      </c>
      <c r="D131" s="42" t="s">
        <v>16</v>
      </c>
      <c r="E131" s="42" t="s">
        <v>3158</v>
      </c>
      <c r="F131" s="42">
        <v>154</v>
      </c>
      <c r="G131" s="42"/>
      <c r="H131" s="42">
        <v>15000</v>
      </c>
      <c r="I131" s="42">
        <v>300</v>
      </c>
      <c r="J131" s="42">
        <v>0.13</v>
      </c>
      <c r="K131" s="43">
        <f t="shared" si="138"/>
        <v>39</v>
      </c>
      <c r="L131" s="43">
        <f t="shared" si="139"/>
        <v>14961</v>
      </c>
      <c r="M131" s="43"/>
      <c r="N131" s="43">
        <f t="shared" si="140"/>
        <v>14961</v>
      </c>
      <c r="O131" s="43">
        <f t="shared" si="141"/>
        <v>1050</v>
      </c>
      <c r="P131" s="42">
        <v>10200</v>
      </c>
      <c r="Q131" s="42">
        <v>34.200000000000003</v>
      </c>
      <c r="R131" s="42">
        <f t="shared" si="142"/>
        <v>511666.20000000007</v>
      </c>
    </row>
    <row r="133" spans="1:18">
      <c r="A133" s="374" t="s">
        <v>3164</v>
      </c>
      <c r="B133" s="42" t="s">
        <v>684</v>
      </c>
      <c r="C133" s="42" t="s">
        <v>24</v>
      </c>
      <c r="D133" s="42" t="s">
        <v>16</v>
      </c>
      <c r="E133" s="42" t="s">
        <v>3169</v>
      </c>
      <c r="F133" s="42">
        <v>730</v>
      </c>
      <c r="G133" s="42"/>
      <c r="H133" s="42">
        <v>15000</v>
      </c>
      <c r="I133" s="42">
        <v>300</v>
      </c>
      <c r="J133" s="42">
        <v>0.13</v>
      </c>
      <c r="K133" s="43">
        <f t="shared" ref="K133:K134" si="143">I133*J133</f>
        <v>39</v>
      </c>
      <c r="L133" s="43">
        <f t="shared" ref="L133:L134" si="144">H133-K133</f>
        <v>14961</v>
      </c>
      <c r="M133" s="43"/>
      <c r="N133" s="43">
        <f t="shared" ref="N133:N134" si="145">L133-M133</f>
        <v>14961</v>
      </c>
      <c r="O133" s="43">
        <f t="shared" ref="O133:O134" si="146">H133/1000*70</f>
        <v>1050</v>
      </c>
      <c r="P133" s="42">
        <v>10000</v>
      </c>
      <c r="Q133" s="42">
        <v>34.200000000000003</v>
      </c>
      <c r="R133" s="42">
        <f t="shared" ref="R133:R134" si="147">L133*Q133</f>
        <v>511666.20000000007</v>
      </c>
    </row>
    <row r="134" spans="1:18">
      <c r="A134" s="374"/>
      <c r="B134" s="42" t="s">
        <v>684</v>
      </c>
      <c r="C134" s="42" t="s">
        <v>24</v>
      </c>
      <c r="D134" s="42" t="s">
        <v>16</v>
      </c>
      <c r="E134" s="42" t="s">
        <v>3170</v>
      </c>
      <c r="F134" s="42">
        <v>729</v>
      </c>
      <c r="G134" s="42"/>
      <c r="H134" s="42">
        <v>15000</v>
      </c>
      <c r="I134" s="42">
        <v>300</v>
      </c>
      <c r="J134" s="42">
        <v>0.13</v>
      </c>
      <c r="K134" s="43">
        <f t="shared" si="143"/>
        <v>39</v>
      </c>
      <c r="L134" s="43">
        <f t="shared" si="144"/>
        <v>14961</v>
      </c>
      <c r="M134" s="43"/>
      <c r="N134" s="43">
        <f t="shared" si="145"/>
        <v>14961</v>
      </c>
      <c r="O134" s="43">
        <f t="shared" si="146"/>
        <v>1050</v>
      </c>
      <c r="P134" s="42">
        <v>10000</v>
      </c>
      <c r="Q134" s="42">
        <v>34.200000000000003</v>
      </c>
      <c r="R134" s="42">
        <f t="shared" si="147"/>
        <v>511666.20000000007</v>
      </c>
    </row>
    <row r="136" spans="1:18">
      <c r="A136" s="1" t="s">
        <v>3183</v>
      </c>
      <c r="B136" s="42" t="s">
        <v>684</v>
      </c>
      <c r="C136" s="42" t="s">
        <v>24</v>
      </c>
      <c r="D136" s="42" t="s">
        <v>16</v>
      </c>
      <c r="E136" s="42" t="s">
        <v>2185</v>
      </c>
      <c r="F136" s="42">
        <v>735</v>
      </c>
      <c r="G136" s="42"/>
      <c r="H136" s="42">
        <v>14980</v>
      </c>
      <c r="I136" s="42">
        <v>300</v>
      </c>
      <c r="J136" s="42">
        <v>0.13</v>
      </c>
      <c r="K136" s="43">
        <f t="shared" ref="K136" si="148">I136*J136</f>
        <v>39</v>
      </c>
      <c r="L136" s="43">
        <f t="shared" ref="L136" si="149">H136-K136</f>
        <v>14941</v>
      </c>
      <c r="M136" s="43"/>
      <c r="N136" s="43">
        <f t="shared" ref="N136" si="150">L136-M136</f>
        <v>14941</v>
      </c>
      <c r="O136" s="43">
        <f t="shared" ref="O136" si="151">H136/1000*70</f>
        <v>1048.6000000000001</v>
      </c>
      <c r="P136" s="42">
        <v>9300</v>
      </c>
      <c r="Q136" s="42">
        <v>34.200000000000003</v>
      </c>
      <c r="R136" s="42">
        <f t="shared" ref="R136" si="152">L136*Q136</f>
        <v>510982.20000000007</v>
      </c>
    </row>
    <row r="138" spans="1:18">
      <c r="A138" s="1" t="s">
        <v>3197</v>
      </c>
      <c r="B138" s="42" t="s">
        <v>684</v>
      </c>
      <c r="C138" s="42" t="s">
        <v>24</v>
      </c>
      <c r="D138" s="42" t="s">
        <v>16</v>
      </c>
      <c r="E138" s="42" t="s">
        <v>2185</v>
      </c>
      <c r="F138" s="42">
        <v>739</v>
      </c>
      <c r="G138" s="42"/>
      <c r="H138" s="42">
        <v>15000</v>
      </c>
      <c r="I138" s="42">
        <v>300</v>
      </c>
      <c r="J138" s="42">
        <v>0.13</v>
      </c>
      <c r="K138" s="43">
        <f t="shared" ref="K138:K142" si="153">I138*J138</f>
        <v>39</v>
      </c>
      <c r="L138" s="43">
        <f t="shared" ref="L138:L142" si="154">H138-K138</f>
        <v>14961</v>
      </c>
      <c r="M138" s="43"/>
      <c r="N138" s="43">
        <f t="shared" ref="N138:N142" si="155">L138-M138</f>
        <v>14961</v>
      </c>
      <c r="O138" s="43">
        <f t="shared" ref="O138:O142" si="156">H138/1000*70</f>
        <v>1050</v>
      </c>
      <c r="P138" s="42">
        <v>9300</v>
      </c>
      <c r="Q138" s="42">
        <v>34.200000000000003</v>
      </c>
      <c r="R138" s="42">
        <f t="shared" ref="R138:R142" si="157">L138*Q138</f>
        <v>511666.20000000007</v>
      </c>
    </row>
    <row r="139" spans="1:18">
      <c r="A139" s="1" t="s">
        <v>3229</v>
      </c>
      <c r="B139" s="42" t="s">
        <v>684</v>
      </c>
      <c r="C139" s="42" t="s">
        <v>24</v>
      </c>
      <c r="D139" s="42" t="s">
        <v>16</v>
      </c>
      <c r="E139" s="42" t="s">
        <v>3233</v>
      </c>
      <c r="F139" s="42">
        <v>1156</v>
      </c>
      <c r="G139" s="42"/>
      <c r="H139" s="42">
        <v>15000</v>
      </c>
      <c r="I139" s="42">
        <v>300</v>
      </c>
      <c r="J139" s="42">
        <v>0.13</v>
      </c>
      <c r="K139" s="43">
        <f t="shared" si="153"/>
        <v>39</v>
      </c>
      <c r="L139" s="43">
        <f t="shared" si="154"/>
        <v>14961</v>
      </c>
      <c r="M139" s="43"/>
      <c r="N139" s="43">
        <f t="shared" si="155"/>
        <v>14961</v>
      </c>
      <c r="O139" s="43">
        <f t="shared" si="156"/>
        <v>1050</v>
      </c>
      <c r="P139" s="42">
        <v>9500</v>
      </c>
      <c r="Q139" s="42">
        <v>34.200000000000003</v>
      </c>
      <c r="R139" s="42">
        <f t="shared" si="157"/>
        <v>511666.20000000007</v>
      </c>
    </row>
    <row r="140" spans="1:18">
      <c r="B140" s="42"/>
      <c r="C140" s="42"/>
      <c r="D140" s="42"/>
      <c r="E140" s="42"/>
      <c r="F140" s="42"/>
      <c r="G140" s="42"/>
      <c r="H140" s="42"/>
      <c r="I140" s="42"/>
      <c r="J140" s="42"/>
      <c r="K140" s="43"/>
      <c r="L140" s="43"/>
      <c r="M140" s="43"/>
      <c r="N140" s="43"/>
      <c r="O140" s="43"/>
      <c r="P140" s="42"/>
      <c r="Q140" s="42"/>
      <c r="R140" s="42"/>
    </row>
    <row r="141" spans="1:18">
      <c r="A141" s="374" t="s">
        <v>3235</v>
      </c>
      <c r="B141" s="42" t="s">
        <v>3238</v>
      </c>
      <c r="C141" s="42" t="s">
        <v>24</v>
      </c>
      <c r="D141" s="42" t="s">
        <v>16</v>
      </c>
      <c r="E141" s="42" t="s">
        <v>3237</v>
      </c>
      <c r="F141" s="42">
        <v>0</v>
      </c>
      <c r="G141" s="42"/>
      <c r="H141" s="42">
        <v>15000</v>
      </c>
      <c r="I141" s="42">
        <v>300</v>
      </c>
      <c r="J141" s="42">
        <v>0.13</v>
      </c>
      <c r="K141" s="43">
        <f t="shared" si="153"/>
        <v>39</v>
      </c>
      <c r="L141" s="43">
        <f t="shared" si="154"/>
        <v>14961</v>
      </c>
      <c r="M141" s="43"/>
      <c r="N141" s="43">
        <f t="shared" si="155"/>
        <v>14961</v>
      </c>
      <c r="O141" s="43">
        <f t="shared" si="156"/>
        <v>1050</v>
      </c>
      <c r="P141" s="42">
        <v>9700</v>
      </c>
      <c r="Q141" s="42"/>
      <c r="R141" s="42">
        <f t="shared" si="157"/>
        <v>0</v>
      </c>
    </row>
    <row r="142" spans="1:18">
      <c r="A142" s="374"/>
      <c r="B142" s="42" t="s">
        <v>3238</v>
      </c>
      <c r="C142" s="42" t="s">
        <v>24</v>
      </c>
      <c r="D142" s="42" t="s">
        <v>16</v>
      </c>
      <c r="E142" s="42" t="s">
        <v>3086</v>
      </c>
      <c r="F142" s="42">
        <v>0</v>
      </c>
      <c r="G142" s="42"/>
      <c r="H142" s="42">
        <v>14990</v>
      </c>
      <c r="I142" s="42">
        <v>300</v>
      </c>
      <c r="J142" s="42">
        <v>0.13</v>
      </c>
      <c r="K142" s="43">
        <f t="shared" si="153"/>
        <v>39</v>
      </c>
      <c r="L142" s="43">
        <f t="shared" si="154"/>
        <v>14951</v>
      </c>
      <c r="M142" s="43"/>
      <c r="N142" s="43">
        <f t="shared" si="155"/>
        <v>14951</v>
      </c>
      <c r="O142" s="43">
        <f t="shared" si="156"/>
        <v>1049.3</v>
      </c>
      <c r="P142" s="42">
        <v>9800</v>
      </c>
      <c r="Q142" s="42"/>
      <c r="R142" s="42">
        <f t="shared" si="157"/>
        <v>0</v>
      </c>
    </row>
    <row r="144" spans="1:18">
      <c r="A144" s="374" t="s">
        <v>3239</v>
      </c>
      <c r="B144" s="42" t="s">
        <v>684</v>
      </c>
      <c r="C144" s="42" t="s">
        <v>24</v>
      </c>
      <c r="D144" s="42" t="s">
        <v>16</v>
      </c>
      <c r="E144" s="42" t="s">
        <v>2565</v>
      </c>
      <c r="F144" s="311" t="s">
        <v>3240</v>
      </c>
      <c r="G144" s="42"/>
      <c r="H144" s="42">
        <v>15000</v>
      </c>
      <c r="I144" s="42">
        <v>300</v>
      </c>
      <c r="J144" s="42">
        <v>0.13</v>
      </c>
      <c r="K144" s="43">
        <f t="shared" ref="K144:K147" si="158">I144*J144</f>
        <v>39</v>
      </c>
      <c r="L144" s="43">
        <f t="shared" ref="L144:L147" si="159">H144-K144</f>
        <v>14961</v>
      </c>
      <c r="M144" s="43"/>
      <c r="N144" s="43">
        <f t="shared" ref="N144:N147" si="160">L144-M144</f>
        <v>14961</v>
      </c>
      <c r="O144" s="43">
        <f t="shared" ref="O144:O147" si="161">H144/1000*70</f>
        <v>1050</v>
      </c>
      <c r="P144" s="42">
        <v>9500</v>
      </c>
      <c r="Q144" s="42">
        <v>33</v>
      </c>
      <c r="R144" s="42">
        <f t="shared" ref="R144:R147" si="162">L144*Q144</f>
        <v>493713</v>
      </c>
    </row>
    <row r="145" spans="1:18">
      <c r="A145" s="374"/>
      <c r="B145" s="42" t="s">
        <v>684</v>
      </c>
      <c r="C145" s="42" t="s">
        <v>24</v>
      </c>
      <c r="D145" s="42" t="s">
        <v>16</v>
      </c>
      <c r="E145" s="42" t="s">
        <v>2644</v>
      </c>
      <c r="F145" s="42">
        <v>469</v>
      </c>
      <c r="G145" s="42"/>
      <c r="H145" s="42">
        <v>15000</v>
      </c>
      <c r="I145" s="42">
        <v>300</v>
      </c>
      <c r="J145" s="42">
        <v>0.13</v>
      </c>
      <c r="K145" s="43">
        <f t="shared" si="158"/>
        <v>39</v>
      </c>
      <c r="L145" s="43">
        <f t="shared" si="159"/>
        <v>14961</v>
      </c>
      <c r="M145" s="43"/>
      <c r="N145" s="43">
        <f t="shared" si="160"/>
        <v>14961</v>
      </c>
      <c r="O145" s="43">
        <f t="shared" si="161"/>
        <v>1050</v>
      </c>
      <c r="P145" s="42">
        <v>9500</v>
      </c>
      <c r="Q145" s="42">
        <v>33</v>
      </c>
      <c r="R145" s="42">
        <f t="shared" si="162"/>
        <v>493713</v>
      </c>
    </row>
    <row r="146" spans="1:18">
      <c r="A146" s="374"/>
      <c r="B146" s="42" t="s">
        <v>684</v>
      </c>
      <c r="C146" s="42" t="s">
        <v>24</v>
      </c>
      <c r="D146" s="42" t="s">
        <v>16</v>
      </c>
      <c r="E146" s="42" t="s">
        <v>3241</v>
      </c>
      <c r="F146" s="42">
        <v>470</v>
      </c>
      <c r="G146" s="42"/>
      <c r="H146" s="42">
        <v>15000</v>
      </c>
      <c r="I146" s="42">
        <v>300</v>
      </c>
      <c r="J146" s="42">
        <v>0.13</v>
      </c>
      <c r="K146" s="43">
        <f t="shared" si="158"/>
        <v>39</v>
      </c>
      <c r="L146" s="43">
        <f t="shared" si="159"/>
        <v>14961</v>
      </c>
      <c r="M146" s="43"/>
      <c r="N146" s="43">
        <f t="shared" si="160"/>
        <v>14961</v>
      </c>
      <c r="O146" s="43">
        <f t="shared" si="161"/>
        <v>1050</v>
      </c>
      <c r="P146" s="42">
        <v>9500</v>
      </c>
      <c r="Q146" s="42">
        <v>33</v>
      </c>
      <c r="R146" s="42">
        <f t="shared" si="162"/>
        <v>493713</v>
      </c>
    </row>
    <row r="147" spans="1:18">
      <c r="A147" s="374"/>
      <c r="B147" s="42" t="s">
        <v>684</v>
      </c>
      <c r="C147" s="42" t="s">
        <v>24</v>
      </c>
      <c r="D147" s="42" t="s">
        <v>16</v>
      </c>
      <c r="E147" s="42" t="s">
        <v>3242</v>
      </c>
      <c r="F147" s="42">
        <v>473</v>
      </c>
      <c r="G147" s="42"/>
      <c r="H147" s="42">
        <v>14990</v>
      </c>
      <c r="I147" s="42">
        <v>300</v>
      </c>
      <c r="J147" s="42">
        <v>0.13</v>
      </c>
      <c r="K147" s="43">
        <f t="shared" si="158"/>
        <v>39</v>
      </c>
      <c r="L147" s="43">
        <f t="shared" si="159"/>
        <v>14951</v>
      </c>
      <c r="M147" s="43"/>
      <c r="N147" s="43">
        <f t="shared" si="160"/>
        <v>14951</v>
      </c>
      <c r="O147" s="43">
        <f t="shared" si="161"/>
        <v>1049.3</v>
      </c>
      <c r="P147" s="42">
        <v>9500</v>
      </c>
      <c r="Q147" s="42">
        <v>33</v>
      </c>
      <c r="R147" s="42">
        <f t="shared" si="162"/>
        <v>493383</v>
      </c>
    </row>
    <row r="149" spans="1:18">
      <c r="A149" s="1" t="s">
        <v>3357</v>
      </c>
      <c r="B149" s="42" t="s">
        <v>3045</v>
      </c>
      <c r="C149" s="42" t="s">
        <v>24</v>
      </c>
      <c r="D149" s="42" t="s">
        <v>16</v>
      </c>
      <c r="E149" s="47" t="s">
        <v>3359</v>
      </c>
      <c r="F149" s="47">
        <v>583</v>
      </c>
      <c r="G149" s="47"/>
      <c r="H149" s="47">
        <v>15000</v>
      </c>
      <c r="I149" s="47">
        <v>300</v>
      </c>
      <c r="J149" s="47">
        <v>0.13</v>
      </c>
      <c r="K149" s="43">
        <f t="shared" ref="K149:K151" si="163">I149*J149</f>
        <v>39</v>
      </c>
      <c r="L149" s="43">
        <f t="shared" ref="L149:L151" si="164">H149-K149</f>
        <v>14961</v>
      </c>
      <c r="M149" s="43"/>
      <c r="N149" s="43">
        <f t="shared" ref="N149:N151" si="165">L149-M149</f>
        <v>14961</v>
      </c>
      <c r="O149" s="43">
        <f t="shared" ref="O149:O151" si="166">H149/1000*70</f>
        <v>1050</v>
      </c>
      <c r="P149" s="42">
        <v>10300</v>
      </c>
      <c r="Q149" s="42">
        <v>35</v>
      </c>
      <c r="R149" s="42">
        <f t="shared" ref="R149:R151" si="167">L149*Q149</f>
        <v>523635</v>
      </c>
    </row>
    <row r="150" spans="1:18">
      <c r="A150" s="374" t="s">
        <v>3366</v>
      </c>
      <c r="B150" s="42" t="s">
        <v>3045</v>
      </c>
      <c r="C150" s="42" t="s">
        <v>24</v>
      </c>
      <c r="D150" s="42" t="s">
        <v>16</v>
      </c>
      <c r="E150" s="47" t="s">
        <v>3368</v>
      </c>
      <c r="F150" s="47">
        <v>591</v>
      </c>
      <c r="G150" s="47"/>
      <c r="H150" s="47">
        <v>15000</v>
      </c>
      <c r="I150" s="47">
        <v>300</v>
      </c>
      <c r="J150" s="47">
        <v>0.13</v>
      </c>
      <c r="K150" s="43">
        <f t="shared" si="163"/>
        <v>39</v>
      </c>
      <c r="L150" s="43">
        <f t="shared" si="164"/>
        <v>14961</v>
      </c>
      <c r="M150" s="43"/>
      <c r="N150" s="43">
        <f t="shared" si="165"/>
        <v>14961</v>
      </c>
      <c r="O150" s="43">
        <f t="shared" si="166"/>
        <v>1050</v>
      </c>
      <c r="P150" s="42">
        <v>9800</v>
      </c>
      <c r="Q150" s="42">
        <v>35</v>
      </c>
      <c r="R150" s="42">
        <f t="shared" si="167"/>
        <v>523635</v>
      </c>
    </row>
    <row r="151" spans="1:18">
      <c r="A151" s="374"/>
      <c r="B151" s="42" t="s">
        <v>3045</v>
      </c>
      <c r="C151" s="42" t="s">
        <v>24</v>
      </c>
      <c r="D151" s="42" t="s">
        <v>16</v>
      </c>
      <c r="E151" s="47" t="s">
        <v>3359</v>
      </c>
      <c r="F151" s="47">
        <v>592</v>
      </c>
      <c r="G151" s="47"/>
      <c r="H151" s="47">
        <v>14990</v>
      </c>
      <c r="I151" s="47">
        <v>300</v>
      </c>
      <c r="J151" s="47">
        <v>0.13</v>
      </c>
      <c r="K151" s="43">
        <f t="shared" si="163"/>
        <v>39</v>
      </c>
      <c r="L151" s="43">
        <f t="shared" si="164"/>
        <v>14951</v>
      </c>
      <c r="M151" s="43"/>
      <c r="N151" s="43">
        <f t="shared" si="165"/>
        <v>14951</v>
      </c>
      <c r="O151" s="43">
        <f t="shared" si="166"/>
        <v>1049.3</v>
      </c>
      <c r="P151" s="42">
        <v>9800</v>
      </c>
      <c r="Q151" s="42">
        <v>35</v>
      </c>
      <c r="R151" s="42">
        <f t="shared" si="167"/>
        <v>523285</v>
      </c>
    </row>
    <row r="153" spans="1:18">
      <c r="A153" s="1" t="s">
        <v>3400</v>
      </c>
      <c r="B153" s="42" t="s">
        <v>684</v>
      </c>
      <c r="C153" s="42" t="s">
        <v>24</v>
      </c>
      <c r="D153" s="42" t="s">
        <v>16</v>
      </c>
      <c r="E153" s="47" t="s">
        <v>3382</v>
      </c>
      <c r="F153" s="47">
        <v>533</v>
      </c>
      <c r="G153" s="47"/>
      <c r="H153" s="47">
        <v>15000</v>
      </c>
      <c r="I153" s="47">
        <v>300</v>
      </c>
      <c r="J153" s="47">
        <v>0.13</v>
      </c>
      <c r="K153" s="43">
        <f t="shared" ref="K153" si="168">I153*J153</f>
        <v>39</v>
      </c>
      <c r="L153" s="43">
        <f t="shared" ref="L153" si="169">H153-K153</f>
        <v>14961</v>
      </c>
      <c r="M153" s="43"/>
      <c r="N153" s="43">
        <f t="shared" ref="N153" si="170">L153-M153</f>
        <v>14961</v>
      </c>
      <c r="O153" s="43">
        <f t="shared" ref="O153" si="171">H153/1000*70</f>
        <v>1050</v>
      </c>
      <c r="P153" s="42">
        <v>9500</v>
      </c>
      <c r="Q153" s="42"/>
      <c r="R153" s="42">
        <f t="shared" ref="R153" si="172">L153*Q153</f>
        <v>0</v>
      </c>
    </row>
    <row r="155" spans="1:18">
      <c r="A155" s="374" t="s">
        <v>3548</v>
      </c>
      <c r="B155" s="42" t="s">
        <v>684</v>
      </c>
      <c r="C155" s="42" t="s">
        <v>24</v>
      </c>
      <c r="D155" s="42" t="s">
        <v>16</v>
      </c>
      <c r="E155" s="47" t="s">
        <v>3552</v>
      </c>
      <c r="F155" s="47">
        <v>669</v>
      </c>
      <c r="G155" s="47"/>
      <c r="H155" s="47">
        <v>15000</v>
      </c>
      <c r="I155" s="47">
        <v>300</v>
      </c>
      <c r="J155" s="47">
        <v>0.13</v>
      </c>
      <c r="K155" s="43">
        <f t="shared" ref="K155:K156" si="173">I155*J155</f>
        <v>39</v>
      </c>
      <c r="L155" s="43">
        <f t="shared" ref="L155:L156" si="174">H155-K155</f>
        <v>14961</v>
      </c>
      <c r="M155" s="43"/>
      <c r="N155" s="43">
        <f t="shared" ref="N155:N156" si="175">L155-M155</f>
        <v>14961</v>
      </c>
      <c r="O155" s="43">
        <f t="shared" ref="O155:O156" si="176">H155/1000*70</f>
        <v>1050</v>
      </c>
      <c r="P155" s="42">
        <v>9800</v>
      </c>
      <c r="Q155" s="42"/>
      <c r="R155" s="42">
        <f t="shared" ref="R155:R156" si="177">L155*Q155</f>
        <v>0</v>
      </c>
    </row>
    <row r="156" spans="1:18">
      <c r="A156" s="374"/>
      <c r="B156" s="42" t="s">
        <v>684</v>
      </c>
      <c r="C156" s="42" t="s">
        <v>24</v>
      </c>
      <c r="D156" s="42" t="s">
        <v>16</v>
      </c>
      <c r="E156" s="47" t="s">
        <v>3553</v>
      </c>
      <c r="F156" s="47">
        <v>666</v>
      </c>
      <c r="G156" s="47"/>
      <c r="H156" s="47">
        <v>14980</v>
      </c>
      <c r="I156" s="47">
        <v>300</v>
      </c>
      <c r="J156" s="47">
        <v>0.13</v>
      </c>
      <c r="K156" s="43">
        <f t="shared" si="173"/>
        <v>39</v>
      </c>
      <c r="L156" s="43">
        <f t="shared" si="174"/>
        <v>14941</v>
      </c>
      <c r="M156" s="43"/>
      <c r="N156" s="43">
        <f t="shared" si="175"/>
        <v>14941</v>
      </c>
      <c r="O156" s="43">
        <f t="shared" si="176"/>
        <v>1048.6000000000001</v>
      </c>
      <c r="P156" s="42">
        <v>9800</v>
      </c>
      <c r="Q156" s="42"/>
      <c r="R156" s="42">
        <f t="shared" si="177"/>
        <v>0</v>
      </c>
    </row>
    <row r="158" spans="1:18">
      <c r="A158" s="1" t="s">
        <v>3609</v>
      </c>
      <c r="B158" s="42" t="s">
        <v>684</v>
      </c>
      <c r="C158" s="42" t="s">
        <v>24</v>
      </c>
      <c r="D158" s="42" t="s">
        <v>16</v>
      </c>
      <c r="E158" s="47" t="s">
        <v>3605</v>
      </c>
      <c r="F158" s="47">
        <v>715</v>
      </c>
      <c r="G158" s="47"/>
      <c r="H158" s="47">
        <v>14990</v>
      </c>
      <c r="I158" s="47">
        <v>300</v>
      </c>
      <c r="J158" s="47">
        <v>0.13</v>
      </c>
      <c r="K158" s="43">
        <f t="shared" ref="K158" si="178">I158*J158</f>
        <v>39</v>
      </c>
      <c r="L158" s="43">
        <f t="shared" ref="L158" si="179">H158-K158</f>
        <v>14951</v>
      </c>
      <c r="M158" s="43"/>
      <c r="N158" s="43">
        <f t="shared" ref="N158" si="180">L158-M158</f>
        <v>14951</v>
      </c>
      <c r="O158" s="43">
        <f t="shared" ref="O158" si="181">H158/1000*70</f>
        <v>1049.3</v>
      </c>
      <c r="P158" s="42">
        <v>9000</v>
      </c>
    </row>
    <row r="160" spans="1:18">
      <c r="A160" s="1" t="s">
        <v>3611</v>
      </c>
      <c r="B160" s="42" t="s">
        <v>684</v>
      </c>
      <c r="C160" s="42" t="s">
        <v>24</v>
      </c>
      <c r="D160" s="42" t="s">
        <v>16</v>
      </c>
      <c r="E160" s="47" t="s">
        <v>3610</v>
      </c>
      <c r="F160" s="47">
        <v>720</v>
      </c>
      <c r="G160" s="47"/>
      <c r="H160" s="47">
        <v>15000</v>
      </c>
      <c r="I160" s="47">
        <v>300</v>
      </c>
      <c r="J160" s="47">
        <v>0.13</v>
      </c>
      <c r="K160" s="43">
        <f t="shared" ref="K160" si="182">I160*J160</f>
        <v>39</v>
      </c>
      <c r="L160" s="43">
        <f t="shared" ref="L160" si="183">H160-K160</f>
        <v>14961</v>
      </c>
      <c r="M160" s="43"/>
      <c r="N160" s="43">
        <f t="shared" ref="N160" si="184">L160-M160</f>
        <v>14961</v>
      </c>
      <c r="O160" s="43">
        <f t="shared" ref="O160" si="185">H160/1000*70</f>
        <v>1050</v>
      </c>
      <c r="P160" s="42">
        <v>9000</v>
      </c>
      <c r="Q160" s="42"/>
      <c r="R160" s="42">
        <f t="shared" ref="R160" si="186">L160*Q160</f>
        <v>0</v>
      </c>
    </row>
    <row r="162" spans="1:18">
      <c r="A162" s="1" t="s">
        <v>3676</v>
      </c>
      <c r="B162" s="42" t="s">
        <v>3045</v>
      </c>
      <c r="C162" s="42" t="s">
        <v>24</v>
      </c>
      <c r="D162" s="42" t="s">
        <v>16</v>
      </c>
      <c r="E162" s="47" t="s">
        <v>3678</v>
      </c>
      <c r="F162" s="47">
        <v>773</v>
      </c>
      <c r="G162" s="47"/>
      <c r="H162" s="47">
        <v>19970</v>
      </c>
      <c r="I162" s="47">
        <v>400</v>
      </c>
      <c r="J162" s="47">
        <v>0.13</v>
      </c>
      <c r="K162" s="43">
        <f t="shared" ref="K162" si="187">I162*J162</f>
        <v>52</v>
      </c>
      <c r="L162" s="43">
        <f t="shared" ref="L162" si="188">H162-K162</f>
        <v>19918</v>
      </c>
      <c r="M162" s="43"/>
      <c r="N162" s="43">
        <f t="shared" ref="N162" si="189">L162-M162</f>
        <v>19918</v>
      </c>
      <c r="O162" s="43">
        <f t="shared" ref="O162" si="190">H162/1000*70</f>
        <v>1397.8999999999999</v>
      </c>
      <c r="P162" s="42">
        <v>9800</v>
      </c>
      <c r="Q162" s="42"/>
      <c r="R162" s="42">
        <f t="shared" ref="R162" si="191">L162*Q162</f>
        <v>0</v>
      </c>
    </row>
  </sheetData>
  <mergeCells count="24">
    <mergeCell ref="A55:A56"/>
    <mergeCell ref="A51:A54"/>
    <mergeCell ref="A49:A50"/>
    <mergeCell ref="A47:A48"/>
    <mergeCell ref="A60:A62"/>
    <mergeCell ref="A41:A42"/>
    <mergeCell ref="A7:A9"/>
    <mergeCell ref="A15:A16"/>
    <mergeCell ref="A19:A21"/>
    <mergeCell ref="A26:A28"/>
    <mergeCell ref="A32:A33"/>
    <mergeCell ref="A155:A156"/>
    <mergeCell ref="A150:A151"/>
    <mergeCell ref="A70:A71"/>
    <mergeCell ref="A106:A107"/>
    <mergeCell ref="A123:A124"/>
    <mergeCell ref="A89:A90"/>
    <mergeCell ref="A113:A114"/>
    <mergeCell ref="A76:A77"/>
    <mergeCell ref="A133:A134"/>
    <mergeCell ref="A73:A74"/>
    <mergeCell ref="A144:A147"/>
    <mergeCell ref="A141:A142"/>
    <mergeCell ref="A97:A98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5:U14"/>
  <sheetViews>
    <sheetView workbookViewId="0">
      <selection activeCell="A8" sqref="A8:A12"/>
    </sheetView>
  </sheetViews>
  <sheetFormatPr defaultRowHeight="14.4"/>
  <cols>
    <col min="1" max="1" width="8.88671875" style="1"/>
    <col min="2" max="2" width="24.44140625" style="1" customWidth="1"/>
    <col min="3" max="3" width="10.77734375" style="1" customWidth="1"/>
    <col min="4" max="4" width="5.5546875" style="1" customWidth="1"/>
    <col min="5" max="5" width="8.88671875" style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0.399999999999999">
      <c r="A5" s="58" t="s">
        <v>3</v>
      </c>
      <c r="B5" s="58" t="s">
        <v>4</v>
      </c>
      <c r="C5" s="58" t="s">
        <v>5</v>
      </c>
      <c r="D5" s="58" t="s">
        <v>6</v>
      </c>
      <c r="E5" s="58" t="s">
        <v>37</v>
      </c>
      <c r="F5" s="59" t="s">
        <v>7</v>
      </c>
      <c r="G5" s="58" t="s">
        <v>8</v>
      </c>
      <c r="H5" s="58" t="s">
        <v>9</v>
      </c>
      <c r="I5" s="58" t="s">
        <v>10</v>
      </c>
      <c r="J5" s="59" t="s">
        <v>18</v>
      </c>
      <c r="K5" s="59" t="s">
        <v>17</v>
      </c>
      <c r="L5" s="58" t="s">
        <v>11</v>
      </c>
      <c r="M5" s="59" t="s">
        <v>36</v>
      </c>
      <c r="N5" s="58" t="s">
        <v>12</v>
      </c>
      <c r="O5" s="58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1">
      <c r="A6" s="69"/>
      <c r="B6" s="301"/>
      <c r="C6" s="301"/>
      <c r="D6" s="301"/>
      <c r="E6" s="301"/>
      <c r="F6" s="301"/>
      <c r="G6" s="301"/>
      <c r="H6" s="301"/>
      <c r="I6" s="301"/>
      <c r="J6" s="301"/>
      <c r="K6" s="301"/>
      <c r="L6" s="61"/>
      <c r="M6" s="61"/>
      <c r="N6" s="301"/>
      <c r="O6" s="62"/>
      <c r="P6" s="62"/>
      <c r="Q6" s="62"/>
      <c r="R6" s="62"/>
      <c r="S6" s="62"/>
      <c r="T6" s="62"/>
      <c r="U6" s="62"/>
    </row>
    <row r="8" spans="1:21">
      <c r="A8" s="374" t="s">
        <v>3252</v>
      </c>
      <c r="B8" s="42" t="s">
        <v>3262</v>
      </c>
      <c r="C8" s="42" t="s">
        <v>24</v>
      </c>
      <c r="D8" s="42" t="s">
        <v>16</v>
      </c>
      <c r="E8" s="42" t="s">
        <v>3255</v>
      </c>
      <c r="F8" s="42">
        <v>480</v>
      </c>
      <c r="G8" s="42"/>
      <c r="H8" s="42">
        <v>15000</v>
      </c>
      <c r="I8" s="42">
        <v>300</v>
      </c>
      <c r="J8" s="42">
        <v>0.13</v>
      </c>
      <c r="K8" s="43">
        <f t="shared" ref="K8:K14" si="0">I8*J8</f>
        <v>39</v>
      </c>
      <c r="L8" s="43">
        <f t="shared" ref="L8:L14" si="1">H8-K8</f>
        <v>14961</v>
      </c>
      <c r="M8" s="43"/>
      <c r="N8" s="43">
        <f t="shared" ref="N8:N14" si="2">L8-M8</f>
        <v>14961</v>
      </c>
      <c r="O8" s="43">
        <f t="shared" ref="O8:O14" si="3">H8/1000*70</f>
        <v>1050</v>
      </c>
      <c r="P8" s="42">
        <v>9700</v>
      </c>
      <c r="Q8" s="42">
        <v>33</v>
      </c>
      <c r="R8" s="42">
        <f t="shared" ref="R8:R14" si="4">L8*Q8</f>
        <v>493713</v>
      </c>
    </row>
    <row r="9" spans="1:21">
      <c r="A9" s="374"/>
      <c r="B9" s="42" t="s">
        <v>3262</v>
      </c>
      <c r="C9" s="42" t="s">
        <v>24</v>
      </c>
      <c r="D9" s="42" t="s">
        <v>16</v>
      </c>
      <c r="E9" s="42" t="s">
        <v>3256</v>
      </c>
      <c r="F9" s="42">
        <v>479</v>
      </c>
      <c r="G9" s="42"/>
      <c r="H9" s="42">
        <v>14990</v>
      </c>
      <c r="I9" s="42">
        <v>300</v>
      </c>
      <c r="J9" s="42">
        <v>0.13</v>
      </c>
      <c r="K9" s="43">
        <f t="shared" si="0"/>
        <v>39</v>
      </c>
      <c r="L9" s="43">
        <f t="shared" si="1"/>
        <v>14951</v>
      </c>
      <c r="M9" s="43"/>
      <c r="N9" s="43">
        <f t="shared" si="2"/>
        <v>14951</v>
      </c>
      <c r="O9" s="43">
        <f t="shared" si="3"/>
        <v>1049.3</v>
      </c>
      <c r="P9" s="42">
        <v>9700</v>
      </c>
      <c r="Q9" s="42">
        <v>33</v>
      </c>
      <c r="R9" s="42">
        <f t="shared" si="4"/>
        <v>493383</v>
      </c>
    </row>
    <row r="10" spans="1:21">
      <c r="A10" s="374"/>
      <c r="B10" s="42" t="s">
        <v>3262</v>
      </c>
      <c r="C10" s="42" t="s">
        <v>24</v>
      </c>
      <c r="D10" s="42" t="s">
        <v>16</v>
      </c>
      <c r="E10" s="42" t="s">
        <v>3257</v>
      </c>
      <c r="F10" s="42">
        <v>482</v>
      </c>
      <c r="G10" s="42"/>
      <c r="H10" s="42">
        <v>15000</v>
      </c>
      <c r="I10" s="42">
        <v>300</v>
      </c>
      <c r="J10" s="42">
        <v>0.13</v>
      </c>
      <c r="K10" s="43">
        <f t="shared" si="0"/>
        <v>39</v>
      </c>
      <c r="L10" s="43">
        <f t="shared" si="1"/>
        <v>14961</v>
      </c>
      <c r="M10" s="43"/>
      <c r="N10" s="43">
        <f t="shared" si="2"/>
        <v>14961</v>
      </c>
      <c r="O10" s="43">
        <f t="shared" si="3"/>
        <v>1050</v>
      </c>
      <c r="P10" s="42">
        <v>9700</v>
      </c>
      <c r="Q10" s="42">
        <v>33</v>
      </c>
      <c r="R10" s="42">
        <f t="shared" si="4"/>
        <v>493713</v>
      </c>
    </row>
    <row r="11" spans="1:21">
      <c r="A11" s="374"/>
      <c r="B11" s="42" t="s">
        <v>3262</v>
      </c>
      <c r="C11" s="42" t="s">
        <v>24</v>
      </c>
      <c r="D11" s="42" t="s">
        <v>16</v>
      </c>
      <c r="E11" s="42" t="s">
        <v>3258</v>
      </c>
      <c r="F11" s="42">
        <v>481</v>
      </c>
      <c r="G11" s="42"/>
      <c r="H11" s="42">
        <v>15000</v>
      </c>
      <c r="I11" s="42">
        <v>300</v>
      </c>
      <c r="J11" s="42">
        <v>0.13</v>
      </c>
      <c r="K11" s="43">
        <f t="shared" si="0"/>
        <v>39</v>
      </c>
      <c r="L11" s="43">
        <f t="shared" si="1"/>
        <v>14961</v>
      </c>
      <c r="M11" s="43"/>
      <c r="N11" s="43">
        <f t="shared" si="2"/>
        <v>14961</v>
      </c>
      <c r="O11" s="43">
        <f t="shared" si="3"/>
        <v>1050</v>
      </c>
      <c r="P11" s="42">
        <v>9700</v>
      </c>
      <c r="Q11" s="42">
        <v>33</v>
      </c>
      <c r="R11" s="42">
        <f t="shared" si="4"/>
        <v>493713</v>
      </c>
    </row>
    <row r="12" spans="1:21">
      <c r="A12" s="374"/>
      <c r="B12" s="42" t="s">
        <v>3262</v>
      </c>
      <c r="C12" s="42" t="s">
        <v>24</v>
      </c>
      <c r="D12" s="42" t="s">
        <v>16</v>
      </c>
      <c r="E12" s="42" t="s">
        <v>2819</v>
      </c>
      <c r="F12" s="42">
        <v>483</v>
      </c>
      <c r="G12" s="42"/>
      <c r="H12" s="42">
        <v>14990</v>
      </c>
      <c r="I12" s="42">
        <v>300</v>
      </c>
      <c r="J12" s="42">
        <v>0.13</v>
      </c>
      <c r="K12" s="43">
        <f t="shared" si="0"/>
        <v>39</v>
      </c>
      <c r="L12" s="43">
        <f t="shared" si="1"/>
        <v>14951</v>
      </c>
      <c r="M12" s="43"/>
      <c r="N12" s="43">
        <f t="shared" si="2"/>
        <v>14951</v>
      </c>
      <c r="O12" s="43">
        <f t="shared" si="3"/>
        <v>1049.3</v>
      </c>
      <c r="P12" s="42">
        <v>9500</v>
      </c>
      <c r="Q12" s="42">
        <v>33</v>
      </c>
      <c r="R12" s="42">
        <f t="shared" si="4"/>
        <v>493383</v>
      </c>
    </row>
    <row r="13" spans="1:21">
      <c r="A13" s="374" t="s">
        <v>3260</v>
      </c>
      <c r="B13" s="42" t="s">
        <v>3262</v>
      </c>
      <c r="C13" s="42" t="s">
        <v>24</v>
      </c>
      <c r="D13" s="42" t="s">
        <v>16</v>
      </c>
      <c r="E13" s="42" t="s">
        <v>2620</v>
      </c>
      <c r="F13" s="42">
        <v>484</v>
      </c>
      <c r="G13" s="42"/>
      <c r="H13" s="42">
        <v>14980</v>
      </c>
      <c r="I13" s="42">
        <v>300</v>
      </c>
      <c r="J13" s="42">
        <v>0.13</v>
      </c>
      <c r="K13" s="43">
        <f t="shared" si="0"/>
        <v>39</v>
      </c>
      <c r="L13" s="43">
        <f t="shared" si="1"/>
        <v>14941</v>
      </c>
      <c r="M13" s="43"/>
      <c r="N13" s="43">
        <f t="shared" si="2"/>
        <v>14941</v>
      </c>
      <c r="O13" s="43">
        <f t="shared" si="3"/>
        <v>1048.6000000000001</v>
      </c>
      <c r="P13" s="42">
        <v>9500</v>
      </c>
      <c r="Q13" s="42">
        <v>33</v>
      </c>
      <c r="R13" s="42">
        <f t="shared" si="4"/>
        <v>493053</v>
      </c>
    </row>
    <row r="14" spans="1:21">
      <c r="A14" s="374"/>
      <c r="B14" s="42" t="s">
        <v>3262</v>
      </c>
      <c r="C14" s="42" t="s">
        <v>24</v>
      </c>
      <c r="D14" s="42" t="s">
        <v>16</v>
      </c>
      <c r="E14" s="42" t="s">
        <v>3241</v>
      </c>
      <c r="F14" s="42">
        <v>485</v>
      </c>
      <c r="G14" s="42"/>
      <c r="H14" s="42">
        <v>15000</v>
      </c>
      <c r="I14" s="42">
        <v>300</v>
      </c>
      <c r="J14" s="42">
        <v>0.13</v>
      </c>
      <c r="K14" s="43">
        <f t="shared" si="0"/>
        <v>39</v>
      </c>
      <c r="L14" s="43">
        <f t="shared" si="1"/>
        <v>14961</v>
      </c>
      <c r="M14" s="43"/>
      <c r="N14" s="43">
        <f t="shared" si="2"/>
        <v>14961</v>
      </c>
      <c r="O14" s="43">
        <f t="shared" si="3"/>
        <v>1050</v>
      </c>
      <c r="P14" s="42">
        <v>9500</v>
      </c>
      <c r="Q14" s="42">
        <v>33</v>
      </c>
      <c r="R14" s="42">
        <f t="shared" si="4"/>
        <v>493713</v>
      </c>
    </row>
  </sheetData>
  <mergeCells count="2">
    <mergeCell ref="A8:A12"/>
    <mergeCell ref="A13:A14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5:U151"/>
  <sheetViews>
    <sheetView topLeftCell="A139" workbookViewId="0">
      <selection activeCell="F151" sqref="F151"/>
    </sheetView>
  </sheetViews>
  <sheetFormatPr defaultRowHeight="14.4"/>
  <cols>
    <col min="1" max="1" width="8.88671875" style="1"/>
    <col min="2" max="2" width="19.6640625" style="1" customWidth="1"/>
    <col min="3" max="3" width="10.77734375" style="1" customWidth="1"/>
    <col min="4" max="4" width="5.5546875" style="1" customWidth="1"/>
    <col min="5" max="5" width="8.88671875" style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0.399999999999999">
      <c r="A5" s="58" t="s">
        <v>3</v>
      </c>
      <c r="B5" s="58" t="s">
        <v>4</v>
      </c>
      <c r="C5" s="58" t="s">
        <v>5</v>
      </c>
      <c r="D5" s="58" t="s">
        <v>6</v>
      </c>
      <c r="E5" s="58" t="s">
        <v>37</v>
      </c>
      <c r="F5" s="59" t="s">
        <v>7</v>
      </c>
      <c r="G5" s="58" t="s">
        <v>8</v>
      </c>
      <c r="H5" s="58" t="s">
        <v>9</v>
      </c>
      <c r="I5" s="58" t="s">
        <v>10</v>
      </c>
      <c r="J5" s="59" t="s">
        <v>18</v>
      </c>
      <c r="K5" s="59" t="s">
        <v>17</v>
      </c>
      <c r="L5" s="58" t="s">
        <v>11</v>
      </c>
      <c r="M5" s="59" t="s">
        <v>36</v>
      </c>
      <c r="N5" s="58" t="s">
        <v>12</v>
      </c>
      <c r="O5" s="58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1">
      <c r="A6" s="69"/>
      <c r="B6" s="60"/>
      <c r="C6" s="60"/>
      <c r="D6" s="60"/>
      <c r="E6" s="60"/>
      <c r="F6" s="60"/>
      <c r="G6" s="60"/>
      <c r="H6" s="60"/>
      <c r="I6" s="60"/>
      <c r="J6" s="60"/>
      <c r="K6" s="60"/>
      <c r="L6" s="61"/>
      <c r="M6" s="61"/>
      <c r="N6" s="60"/>
      <c r="O6" s="62"/>
      <c r="P6" s="62"/>
      <c r="Q6" s="62" t="s">
        <v>884</v>
      </c>
      <c r="R6" s="62">
        <v>250</v>
      </c>
      <c r="S6" s="62">
        <v>20000</v>
      </c>
      <c r="T6" s="62"/>
      <c r="U6" s="62">
        <v>31.2</v>
      </c>
    </row>
    <row r="7" spans="1:21">
      <c r="A7" s="53" t="s">
        <v>877</v>
      </c>
      <c r="B7" s="92" t="s">
        <v>681</v>
      </c>
      <c r="C7" s="42" t="s">
        <v>24</v>
      </c>
      <c r="D7" s="42" t="s">
        <v>16</v>
      </c>
      <c r="E7" s="42" t="s">
        <v>772</v>
      </c>
      <c r="F7" s="42">
        <v>16527</v>
      </c>
      <c r="G7" s="42"/>
      <c r="H7" s="42">
        <v>19970</v>
      </c>
      <c r="I7" s="42">
        <v>400</v>
      </c>
      <c r="J7" s="42">
        <v>0.13</v>
      </c>
      <c r="K7" s="42">
        <f t="shared" ref="K7" si="0">I7*J7</f>
        <v>52</v>
      </c>
      <c r="L7" s="43">
        <f t="shared" ref="L7" si="1">H7-K7</f>
        <v>19918</v>
      </c>
      <c r="M7" s="43"/>
      <c r="N7" s="43">
        <f t="shared" ref="N7" si="2">L7-M7</f>
        <v>19918</v>
      </c>
      <c r="O7" s="43">
        <f t="shared" ref="O7" si="3">H7/1000*70</f>
        <v>1397.8999999999999</v>
      </c>
      <c r="P7" s="42">
        <v>0</v>
      </c>
      <c r="Q7" s="42">
        <v>31.2</v>
      </c>
      <c r="R7" s="42">
        <f t="shared" ref="R7" si="4">L7*Q7</f>
        <v>621441.6</v>
      </c>
      <c r="S7" s="62"/>
      <c r="T7" s="62"/>
      <c r="U7" s="62"/>
    </row>
    <row r="8" spans="1:21">
      <c r="A8" s="53"/>
      <c r="B8" s="42"/>
      <c r="C8" s="42"/>
      <c r="D8" s="42"/>
      <c r="E8" s="42"/>
      <c r="F8" s="42"/>
      <c r="G8" s="42"/>
      <c r="H8" s="42"/>
      <c r="I8" s="42"/>
      <c r="J8" s="42"/>
      <c r="K8" s="42"/>
      <c r="L8" s="43"/>
      <c r="M8" s="43"/>
      <c r="N8" s="43"/>
      <c r="O8" s="43"/>
      <c r="P8" s="42">
        <v>0</v>
      </c>
      <c r="Q8" s="62"/>
      <c r="R8" s="62"/>
      <c r="S8" s="62"/>
      <c r="T8" s="62"/>
      <c r="U8" s="62"/>
    </row>
    <row r="9" spans="1:21">
      <c r="A9" s="374" t="s">
        <v>1778</v>
      </c>
      <c r="B9" s="169" t="s">
        <v>1782</v>
      </c>
      <c r="C9" s="42" t="s">
        <v>24</v>
      </c>
      <c r="D9" s="42" t="s">
        <v>16</v>
      </c>
      <c r="E9" s="42" t="s">
        <v>1783</v>
      </c>
      <c r="F9" s="42">
        <v>26926</v>
      </c>
      <c r="G9" s="42"/>
      <c r="H9" s="42">
        <v>12410</v>
      </c>
      <c r="I9" s="42">
        <v>250</v>
      </c>
      <c r="J9" s="42">
        <v>0.13</v>
      </c>
      <c r="K9" s="42">
        <v>33</v>
      </c>
      <c r="L9" s="43">
        <f t="shared" ref="L9:L15" si="5">H9-K9</f>
        <v>12377</v>
      </c>
      <c r="M9" s="43"/>
      <c r="N9" s="43">
        <f t="shared" ref="N9:N15" si="6">L9-M9</f>
        <v>12377</v>
      </c>
      <c r="O9" s="43">
        <f t="shared" ref="O9:O15" si="7">H9/1000*70</f>
        <v>868.7</v>
      </c>
      <c r="P9" s="216">
        <v>10500</v>
      </c>
      <c r="Q9" s="216">
        <v>38.25</v>
      </c>
      <c r="R9" s="42">
        <f t="shared" ref="R9:R15" si="8">L9*Q9</f>
        <v>473420.25</v>
      </c>
      <c r="S9" s="62"/>
      <c r="T9" s="62"/>
      <c r="U9" s="62"/>
    </row>
    <row r="10" spans="1:21">
      <c r="A10" s="374"/>
      <c r="B10" s="169" t="s">
        <v>1782</v>
      </c>
      <c r="C10" s="42" t="s">
        <v>24</v>
      </c>
      <c r="D10" s="42" t="s">
        <v>16</v>
      </c>
      <c r="E10" s="42" t="s">
        <v>1784</v>
      </c>
      <c r="F10" s="42">
        <v>26924</v>
      </c>
      <c r="G10" s="42"/>
      <c r="H10" s="42">
        <v>12500</v>
      </c>
      <c r="I10" s="42">
        <v>250</v>
      </c>
      <c r="J10" s="42">
        <v>0.13</v>
      </c>
      <c r="K10" s="42">
        <v>33</v>
      </c>
      <c r="L10" s="43">
        <f t="shared" si="5"/>
        <v>12467</v>
      </c>
      <c r="M10" s="43"/>
      <c r="N10" s="43">
        <f t="shared" si="6"/>
        <v>12467</v>
      </c>
      <c r="O10" s="43">
        <f t="shared" si="7"/>
        <v>875</v>
      </c>
      <c r="P10" s="216">
        <v>10500</v>
      </c>
      <c r="Q10" s="216">
        <v>38.25</v>
      </c>
      <c r="R10" s="42">
        <f t="shared" si="8"/>
        <v>476862.75</v>
      </c>
      <c r="S10" s="62"/>
      <c r="T10" s="62"/>
      <c r="U10" s="62"/>
    </row>
    <row r="11" spans="1:21">
      <c r="A11" s="374"/>
      <c r="B11" s="169" t="s">
        <v>1782</v>
      </c>
      <c r="C11" s="42" t="s">
        <v>24</v>
      </c>
      <c r="D11" s="42" t="s">
        <v>16</v>
      </c>
      <c r="E11" s="42" t="s">
        <v>1785</v>
      </c>
      <c r="F11" s="42">
        <v>26927</v>
      </c>
      <c r="G11" s="42"/>
      <c r="H11" s="42">
        <v>12500</v>
      </c>
      <c r="I11" s="42">
        <v>250</v>
      </c>
      <c r="J11" s="42">
        <v>0.13</v>
      </c>
      <c r="K11" s="42">
        <v>33</v>
      </c>
      <c r="L11" s="43">
        <f t="shared" si="5"/>
        <v>12467</v>
      </c>
      <c r="M11" s="43"/>
      <c r="N11" s="43">
        <f t="shared" si="6"/>
        <v>12467</v>
      </c>
      <c r="O11" s="43">
        <f t="shared" si="7"/>
        <v>875</v>
      </c>
      <c r="P11" s="216">
        <v>10500</v>
      </c>
      <c r="Q11" s="216">
        <v>38.25</v>
      </c>
      <c r="R11" s="42">
        <f t="shared" si="8"/>
        <v>476862.75</v>
      </c>
      <c r="S11" s="62"/>
      <c r="T11" s="62"/>
      <c r="U11" s="62"/>
    </row>
    <row r="12" spans="1:21">
      <c r="A12" s="374"/>
      <c r="B12" s="169" t="s">
        <v>1782</v>
      </c>
      <c r="C12" s="42" t="s">
        <v>24</v>
      </c>
      <c r="D12" s="42" t="s">
        <v>16</v>
      </c>
      <c r="E12" s="42" t="s">
        <v>1786</v>
      </c>
      <c r="F12" s="42">
        <v>26925</v>
      </c>
      <c r="G12" s="42"/>
      <c r="H12" s="42">
        <v>12500</v>
      </c>
      <c r="I12" s="42">
        <v>250</v>
      </c>
      <c r="J12" s="42">
        <v>0.13</v>
      </c>
      <c r="K12" s="42">
        <v>33</v>
      </c>
      <c r="L12" s="43">
        <f t="shared" si="5"/>
        <v>12467</v>
      </c>
      <c r="M12" s="43"/>
      <c r="N12" s="43">
        <f t="shared" si="6"/>
        <v>12467</v>
      </c>
      <c r="O12" s="43">
        <f t="shared" si="7"/>
        <v>875</v>
      </c>
      <c r="P12" s="216">
        <v>10500</v>
      </c>
      <c r="Q12" s="216">
        <v>38.25</v>
      </c>
      <c r="R12" s="42">
        <f t="shared" si="8"/>
        <v>476862.75</v>
      </c>
      <c r="S12" s="62"/>
      <c r="T12" s="62"/>
      <c r="U12" s="62"/>
    </row>
    <row r="13" spans="1:21">
      <c r="A13" s="389" t="s">
        <v>1793</v>
      </c>
      <c r="B13" s="169" t="s">
        <v>1782</v>
      </c>
      <c r="C13" s="42" t="s">
        <v>24</v>
      </c>
      <c r="D13" s="42" t="s">
        <v>16</v>
      </c>
      <c r="E13" s="42" t="s">
        <v>1794</v>
      </c>
      <c r="F13" s="42">
        <v>25621</v>
      </c>
      <c r="G13" s="42"/>
      <c r="H13" s="42">
        <v>17500</v>
      </c>
      <c r="I13" s="42">
        <v>350</v>
      </c>
      <c r="J13" s="42">
        <v>0.13</v>
      </c>
      <c r="K13" s="42">
        <v>46</v>
      </c>
      <c r="L13" s="43">
        <f t="shared" si="5"/>
        <v>17454</v>
      </c>
      <c r="M13" s="43"/>
      <c r="N13" s="43">
        <f t="shared" si="6"/>
        <v>17454</v>
      </c>
      <c r="O13" s="43">
        <f t="shared" si="7"/>
        <v>1225</v>
      </c>
      <c r="P13" s="218">
        <v>15000</v>
      </c>
      <c r="Q13" s="218">
        <v>38.25</v>
      </c>
      <c r="R13" s="42">
        <f t="shared" si="8"/>
        <v>667615.5</v>
      </c>
      <c r="S13" s="62"/>
      <c r="T13" s="62"/>
      <c r="U13" s="62"/>
    </row>
    <row r="14" spans="1:21">
      <c r="A14" s="389"/>
      <c r="B14" s="169" t="s">
        <v>1782</v>
      </c>
      <c r="C14" s="42" t="s">
        <v>24</v>
      </c>
      <c r="D14" s="42" t="s">
        <v>16</v>
      </c>
      <c r="E14" s="42" t="s">
        <v>1795</v>
      </c>
      <c r="F14" s="42">
        <v>27706</v>
      </c>
      <c r="G14" s="42"/>
      <c r="H14" s="42">
        <v>17500</v>
      </c>
      <c r="I14" s="42">
        <v>350</v>
      </c>
      <c r="J14" s="42">
        <v>0.13</v>
      </c>
      <c r="K14" s="42">
        <v>46</v>
      </c>
      <c r="L14" s="43">
        <f t="shared" si="5"/>
        <v>17454</v>
      </c>
      <c r="M14" s="43"/>
      <c r="N14" s="43">
        <f t="shared" si="6"/>
        <v>17454</v>
      </c>
      <c r="O14" s="43">
        <f t="shared" si="7"/>
        <v>1225</v>
      </c>
      <c r="P14" s="218">
        <v>15000</v>
      </c>
      <c r="Q14" s="218">
        <v>38.25</v>
      </c>
      <c r="R14" s="42">
        <f t="shared" si="8"/>
        <v>667615.5</v>
      </c>
      <c r="S14" s="62"/>
      <c r="T14" s="62"/>
      <c r="U14" s="62"/>
    </row>
    <row r="15" spans="1:21">
      <c r="A15" s="63" t="s">
        <v>1796</v>
      </c>
      <c r="B15" s="169" t="s">
        <v>1782</v>
      </c>
      <c r="C15" s="42" t="s">
        <v>24</v>
      </c>
      <c r="D15" s="42" t="s">
        <v>16</v>
      </c>
      <c r="E15" s="42" t="s">
        <v>1797</v>
      </c>
      <c r="F15" s="42">
        <v>27761</v>
      </c>
      <c r="G15" s="42"/>
      <c r="H15" s="42">
        <v>15000</v>
      </c>
      <c r="I15" s="42">
        <v>300</v>
      </c>
      <c r="J15" s="42">
        <v>0.13</v>
      </c>
      <c r="K15" s="42">
        <f t="shared" ref="K15" si="9">I15*J15</f>
        <v>39</v>
      </c>
      <c r="L15" s="43">
        <f t="shared" si="5"/>
        <v>14961</v>
      </c>
      <c r="M15" s="43"/>
      <c r="N15" s="43">
        <f t="shared" si="6"/>
        <v>14961</v>
      </c>
      <c r="O15" s="43">
        <f t="shared" si="7"/>
        <v>1050</v>
      </c>
      <c r="P15" s="219">
        <v>13000</v>
      </c>
      <c r="Q15" s="219">
        <v>38.25</v>
      </c>
      <c r="R15" s="42">
        <f t="shared" si="8"/>
        <v>572258.25</v>
      </c>
      <c r="S15" s="62"/>
      <c r="T15" s="62"/>
      <c r="U15" s="62"/>
    </row>
    <row r="16" spans="1:21">
      <c r="A16" s="62"/>
      <c r="B16" s="62"/>
      <c r="C16" s="62"/>
      <c r="D16" s="62"/>
      <c r="E16" s="62"/>
      <c r="F16" s="62"/>
      <c r="G16" s="62"/>
      <c r="H16" s="62"/>
      <c r="I16" s="62"/>
      <c r="J16" s="62"/>
      <c r="K16" s="62"/>
      <c r="L16" s="66"/>
      <c r="M16" s="62"/>
      <c r="N16" s="62"/>
      <c r="O16" s="62"/>
      <c r="P16" s="60"/>
      <c r="Q16" s="62"/>
      <c r="R16" s="62"/>
      <c r="S16" s="62"/>
      <c r="T16" s="62"/>
      <c r="U16" s="62"/>
    </row>
    <row r="17" spans="1:21">
      <c r="A17" s="374" t="s">
        <v>1945</v>
      </c>
      <c r="B17" s="42" t="s">
        <v>1782</v>
      </c>
      <c r="C17" s="42" t="s">
        <v>24</v>
      </c>
      <c r="D17" s="42" t="s">
        <v>16</v>
      </c>
      <c r="E17" s="42" t="s">
        <v>1950</v>
      </c>
      <c r="F17" s="42">
        <v>24059</v>
      </c>
      <c r="G17" s="42"/>
      <c r="H17" s="42">
        <v>17490</v>
      </c>
      <c r="I17" s="42">
        <v>350</v>
      </c>
      <c r="J17" s="42">
        <v>0.13</v>
      </c>
      <c r="K17" s="43">
        <f t="shared" ref="K17:K22" si="10">I17*J17</f>
        <v>45.5</v>
      </c>
      <c r="L17" s="43">
        <f t="shared" ref="L17:L22" si="11">H17-K17</f>
        <v>17444.5</v>
      </c>
      <c r="M17" s="43"/>
      <c r="N17" s="43">
        <f t="shared" ref="N17:N22" si="12">L17-M17</f>
        <v>17444.5</v>
      </c>
      <c r="O17" s="43">
        <f t="shared" ref="O17:O22" si="13">H17/1000*70</f>
        <v>1224.3</v>
      </c>
      <c r="P17" s="42">
        <v>15000</v>
      </c>
      <c r="Q17" s="42">
        <v>37.700000000000003</v>
      </c>
      <c r="R17" s="42">
        <f t="shared" ref="R17:R22" si="14">L17*Q17</f>
        <v>657657.65</v>
      </c>
      <c r="S17" s="62"/>
      <c r="T17" s="62"/>
      <c r="U17" s="62"/>
    </row>
    <row r="18" spans="1:21">
      <c r="A18" s="374"/>
      <c r="B18" s="42" t="s">
        <v>1782</v>
      </c>
      <c r="C18" s="42" t="s">
        <v>24</v>
      </c>
      <c r="D18" s="42" t="s">
        <v>16</v>
      </c>
      <c r="E18" s="42" t="s">
        <v>1951</v>
      </c>
      <c r="F18" s="42">
        <v>24147</v>
      </c>
      <c r="G18" s="42"/>
      <c r="H18" s="42">
        <v>15000</v>
      </c>
      <c r="I18" s="42">
        <v>300</v>
      </c>
      <c r="J18" s="42">
        <v>0.13</v>
      </c>
      <c r="K18" s="43">
        <f t="shared" si="10"/>
        <v>39</v>
      </c>
      <c r="L18" s="43">
        <f t="shared" si="11"/>
        <v>14961</v>
      </c>
      <c r="M18" s="43"/>
      <c r="N18" s="43">
        <f t="shared" si="12"/>
        <v>14961</v>
      </c>
      <c r="O18" s="43">
        <f t="shared" si="13"/>
        <v>1050</v>
      </c>
      <c r="P18" s="42">
        <v>10000</v>
      </c>
      <c r="Q18" s="42">
        <v>37.700000000000003</v>
      </c>
      <c r="R18" s="42">
        <f t="shared" si="14"/>
        <v>564029.70000000007</v>
      </c>
      <c r="S18" s="62"/>
      <c r="T18" s="62"/>
      <c r="U18" s="62"/>
    </row>
    <row r="19" spans="1:21">
      <c r="A19" s="374"/>
      <c r="B19" s="42" t="s">
        <v>1782</v>
      </c>
      <c r="C19" s="42" t="s">
        <v>24</v>
      </c>
      <c r="D19" s="42" t="s">
        <v>16</v>
      </c>
      <c r="E19" s="42" t="s">
        <v>1952</v>
      </c>
      <c r="F19" s="42">
        <v>24149</v>
      </c>
      <c r="G19" s="42"/>
      <c r="H19" s="42">
        <v>17500</v>
      </c>
      <c r="I19" s="42">
        <v>350</v>
      </c>
      <c r="J19" s="42">
        <v>0.13</v>
      </c>
      <c r="K19" s="43">
        <f t="shared" si="10"/>
        <v>45.5</v>
      </c>
      <c r="L19" s="43">
        <f t="shared" si="11"/>
        <v>17454.5</v>
      </c>
      <c r="M19" s="43"/>
      <c r="N19" s="43">
        <f t="shared" si="12"/>
        <v>17454.5</v>
      </c>
      <c r="O19" s="43">
        <f t="shared" si="13"/>
        <v>1225</v>
      </c>
      <c r="P19" s="42">
        <v>11000</v>
      </c>
      <c r="Q19" s="42">
        <v>37.700000000000003</v>
      </c>
      <c r="R19" s="42">
        <f t="shared" si="14"/>
        <v>658034.65</v>
      </c>
      <c r="S19" s="62"/>
      <c r="T19" s="62"/>
      <c r="U19" s="62"/>
    </row>
    <row r="20" spans="1:21">
      <c r="A20" s="377" t="s">
        <v>1959</v>
      </c>
      <c r="B20" s="42" t="s">
        <v>1782</v>
      </c>
      <c r="C20" s="42" t="s">
        <v>24</v>
      </c>
      <c r="D20" s="42" t="s">
        <v>16</v>
      </c>
      <c r="E20" s="42" t="s">
        <v>1795</v>
      </c>
      <c r="F20" s="42">
        <v>3432</v>
      </c>
      <c r="G20" s="42"/>
      <c r="H20" s="42">
        <v>17500</v>
      </c>
      <c r="I20" s="42">
        <v>350</v>
      </c>
      <c r="J20" s="42">
        <v>0.13</v>
      </c>
      <c r="K20" s="43">
        <f t="shared" si="10"/>
        <v>45.5</v>
      </c>
      <c r="L20" s="43">
        <f t="shared" si="11"/>
        <v>17454.5</v>
      </c>
      <c r="M20" s="43"/>
      <c r="N20" s="43">
        <f t="shared" si="12"/>
        <v>17454.5</v>
      </c>
      <c r="O20" s="43">
        <f t="shared" si="13"/>
        <v>1225</v>
      </c>
      <c r="P20" s="42">
        <v>12500</v>
      </c>
      <c r="Q20" s="42">
        <v>37.700000000000003</v>
      </c>
      <c r="R20" s="42">
        <f t="shared" si="14"/>
        <v>658034.65</v>
      </c>
      <c r="S20" s="62"/>
      <c r="T20" s="62"/>
      <c r="U20" s="62"/>
    </row>
    <row r="21" spans="1:21">
      <c r="A21" s="377"/>
      <c r="B21" s="42" t="s">
        <v>1782</v>
      </c>
      <c r="C21" s="42" t="s">
        <v>24</v>
      </c>
      <c r="D21" s="42" t="s">
        <v>16</v>
      </c>
      <c r="E21" s="42" t="s">
        <v>780</v>
      </c>
      <c r="F21" s="42">
        <v>24091</v>
      </c>
      <c r="G21" s="42"/>
      <c r="H21" s="42">
        <v>17490</v>
      </c>
      <c r="I21" s="42">
        <v>350</v>
      </c>
      <c r="J21" s="42">
        <v>0.13</v>
      </c>
      <c r="K21" s="43">
        <f t="shared" si="10"/>
        <v>45.5</v>
      </c>
      <c r="L21" s="43">
        <f t="shared" si="11"/>
        <v>17444.5</v>
      </c>
      <c r="M21" s="43"/>
      <c r="N21" s="43">
        <f t="shared" si="12"/>
        <v>17444.5</v>
      </c>
      <c r="O21" s="43">
        <f t="shared" si="13"/>
        <v>1224.3</v>
      </c>
      <c r="P21" s="42">
        <v>12500</v>
      </c>
      <c r="Q21" s="42">
        <v>37.700000000000003</v>
      </c>
      <c r="R21" s="42">
        <f t="shared" si="14"/>
        <v>657657.65</v>
      </c>
    </row>
    <row r="22" spans="1:21">
      <c r="A22" s="377"/>
      <c r="B22" s="42" t="s">
        <v>1782</v>
      </c>
      <c r="C22" s="42" t="s">
        <v>24</v>
      </c>
      <c r="D22" s="42" t="s">
        <v>16</v>
      </c>
      <c r="E22" s="42" t="s">
        <v>1960</v>
      </c>
      <c r="F22" s="42">
        <v>24083</v>
      </c>
      <c r="G22" s="42"/>
      <c r="H22" s="42">
        <v>14970</v>
      </c>
      <c r="I22" s="42">
        <v>300</v>
      </c>
      <c r="J22" s="42">
        <v>0.13</v>
      </c>
      <c r="K22" s="43">
        <f t="shared" si="10"/>
        <v>39</v>
      </c>
      <c r="L22" s="43">
        <f t="shared" si="11"/>
        <v>14931</v>
      </c>
      <c r="M22" s="43"/>
      <c r="N22" s="43">
        <f t="shared" si="12"/>
        <v>14931</v>
      </c>
      <c r="O22" s="43">
        <f t="shared" si="13"/>
        <v>1047.9000000000001</v>
      </c>
      <c r="P22" s="42">
        <v>10500</v>
      </c>
      <c r="Q22" s="42">
        <v>37.700000000000003</v>
      </c>
      <c r="R22" s="42">
        <f t="shared" si="14"/>
        <v>562898.70000000007</v>
      </c>
    </row>
    <row r="24" spans="1:21">
      <c r="A24" s="1" t="s">
        <v>2087</v>
      </c>
      <c r="B24" s="42" t="s">
        <v>1782</v>
      </c>
      <c r="C24" s="42" t="s">
        <v>24</v>
      </c>
      <c r="D24" s="42" t="s">
        <v>16</v>
      </c>
      <c r="E24" s="42" t="s">
        <v>785</v>
      </c>
      <c r="F24" s="42">
        <v>25488</v>
      </c>
      <c r="G24" s="42"/>
      <c r="H24" s="42">
        <v>20000</v>
      </c>
      <c r="I24" s="42">
        <v>400</v>
      </c>
      <c r="J24" s="42">
        <v>0.13</v>
      </c>
      <c r="K24" s="43">
        <f t="shared" ref="K24:K30" si="15">I24*J24</f>
        <v>52</v>
      </c>
      <c r="L24" s="43">
        <f t="shared" ref="L24:L30" si="16">H24-K24</f>
        <v>19948</v>
      </c>
      <c r="M24" s="43"/>
      <c r="N24" s="43">
        <f t="shared" ref="N24:N30" si="17">L24-M24</f>
        <v>19948</v>
      </c>
      <c r="O24" s="43">
        <f t="shared" ref="O24:O28" si="18">H24/1000*70</f>
        <v>1400</v>
      </c>
      <c r="P24" s="42">
        <v>12000</v>
      </c>
      <c r="Q24" s="42">
        <v>37.6</v>
      </c>
      <c r="R24" s="42">
        <f t="shared" ref="R24:R30" si="19">L24*Q24</f>
        <v>750044.8</v>
      </c>
      <c r="S24" s="48" t="s">
        <v>1655</v>
      </c>
    </row>
    <row r="25" spans="1:21">
      <c r="A25" s="1" t="s">
        <v>2094</v>
      </c>
      <c r="B25" s="42" t="s">
        <v>1782</v>
      </c>
      <c r="C25" s="42" t="s">
        <v>24</v>
      </c>
      <c r="D25" s="42" t="s">
        <v>16</v>
      </c>
      <c r="E25" s="42" t="s">
        <v>2095</v>
      </c>
      <c r="F25" s="42">
        <v>20722</v>
      </c>
      <c r="G25" s="42"/>
      <c r="H25" s="42">
        <v>20000</v>
      </c>
      <c r="I25" s="42">
        <v>400</v>
      </c>
      <c r="J25" s="42">
        <v>0.13</v>
      </c>
      <c r="K25" s="43">
        <f t="shared" si="15"/>
        <v>52</v>
      </c>
      <c r="L25" s="43">
        <f t="shared" si="16"/>
        <v>19948</v>
      </c>
      <c r="M25" s="43"/>
      <c r="N25" s="43">
        <f t="shared" si="17"/>
        <v>19948</v>
      </c>
      <c r="O25" s="43">
        <f t="shared" si="18"/>
        <v>1400</v>
      </c>
      <c r="P25" s="42">
        <v>12000</v>
      </c>
      <c r="Q25" s="42">
        <v>37.6</v>
      </c>
      <c r="R25" s="42">
        <f t="shared" si="19"/>
        <v>750044.8</v>
      </c>
    </row>
    <row r="26" spans="1:21">
      <c r="A26" s="374" t="s">
        <v>2100</v>
      </c>
      <c r="B26" s="42" t="s">
        <v>1782</v>
      </c>
      <c r="C26" s="42" t="s">
        <v>24</v>
      </c>
      <c r="D26" s="42" t="s">
        <v>16</v>
      </c>
      <c r="E26" s="42" t="s">
        <v>768</v>
      </c>
      <c r="F26" s="42">
        <v>6822</v>
      </c>
      <c r="G26" s="42"/>
      <c r="H26" s="42">
        <v>20000</v>
      </c>
      <c r="I26" s="42">
        <v>400</v>
      </c>
      <c r="J26" s="42">
        <v>0.13</v>
      </c>
      <c r="K26" s="43">
        <f t="shared" si="15"/>
        <v>52</v>
      </c>
      <c r="L26" s="43">
        <f t="shared" si="16"/>
        <v>19948</v>
      </c>
      <c r="M26" s="43"/>
      <c r="N26" s="43">
        <f t="shared" si="17"/>
        <v>19948</v>
      </c>
      <c r="O26" s="43">
        <f t="shared" si="18"/>
        <v>1400</v>
      </c>
      <c r="P26" s="42">
        <v>12000</v>
      </c>
      <c r="Q26" s="42">
        <v>37.6</v>
      </c>
      <c r="R26" s="42">
        <f t="shared" si="19"/>
        <v>750044.8</v>
      </c>
    </row>
    <row r="27" spans="1:21">
      <c r="A27" s="374"/>
      <c r="B27" s="42" t="s">
        <v>1782</v>
      </c>
      <c r="C27" s="42" t="s">
        <v>24</v>
      </c>
      <c r="D27" s="42" t="s">
        <v>16</v>
      </c>
      <c r="E27" s="42" t="s">
        <v>860</v>
      </c>
      <c r="F27" s="42">
        <v>6814</v>
      </c>
      <c r="G27" s="42"/>
      <c r="H27" s="42">
        <v>19990</v>
      </c>
      <c r="I27" s="42">
        <v>400</v>
      </c>
      <c r="J27" s="42">
        <v>0.13</v>
      </c>
      <c r="K27" s="43">
        <f t="shared" si="15"/>
        <v>52</v>
      </c>
      <c r="L27" s="43">
        <f t="shared" si="16"/>
        <v>19938</v>
      </c>
      <c r="M27" s="43"/>
      <c r="N27" s="43">
        <f t="shared" si="17"/>
        <v>19938</v>
      </c>
      <c r="O27" s="43">
        <f t="shared" si="18"/>
        <v>1399.3</v>
      </c>
      <c r="P27" s="42">
        <v>12000</v>
      </c>
      <c r="Q27" s="42">
        <v>37.6</v>
      </c>
      <c r="R27" s="42">
        <f t="shared" si="19"/>
        <v>749668.8</v>
      </c>
    </row>
    <row r="28" spans="1:21">
      <c r="A28" s="1" t="s">
        <v>2103</v>
      </c>
      <c r="B28" s="42" t="s">
        <v>1782</v>
      </c>
      <c r="C28" s="42" t="s">
        <v>24</v>
      </c>
      <c r="D28" s="42" t="s">
        <v>16</v>
      </c>
      <c r="E28" s="42" t="s">
        <v>785</v>
      </c>
      <c r="F28" s="42">
        <v>20960</v>
      </c>
      <c r="G28" s="42"/>
      <c r="H28" s="42">
        <v>20000</v>
      </c>
      <c r="I28" s="42">
        <v>400</v>
      </c>
      <c r="J28" s="42">
        <v>0.13</v>
      </c>
      <c r="K28" s="43">
        <f t="shared" si="15"/>
        <v>52</v>
      </c>
      <c r="L28" s="43">
        <f t="shared" si="16"/>
        <v>19948</v>
      </c>
      <c r="M28" s="43"/>
      <c r="N28" s="43">
        <f t="shared" si="17"/>
        <v>19948</v>
      </c>
      <c r="O28" s="43">
        <f t="shared" si="18"/>
        <v>1400</v>
      </c>
      <c r="P28" s="42">
        <v>12000</v>
      </c>
      <c r="Q28" s="42">
        <v>37.6</v>
      </c>
      <c r="R28" s="42">
        <f t="shared" si="19"/>
        <v>750044.8</v>
      </c>
    </row>
    <row r="29" spans="1:21">
      <c r="A29" s="374" t="s">
        <v>2110</v>
      </c>
      <c r="B29" s="42" t="s">
        <v>1782</v>
      </c>
      <c r="C29" s="42" t="s">
        <v>444</v>
      </c>
      <c r="D29" s="42" t="s">
        <v>16</v>
      </c>
      <c r="E29" s="42" t="s">
        <v>2111</v>
      </c>
      <c r="F29" s="42">
        <v>5507</v>
      </c>
      <c r="G29" s="42"/>
      <c r="H29" s="42">
        <v>7000</v>
      </c>
      <c r="I29" s="42">
        <v>140</v>
      </c>
      <c r="J29" s="42">
        <v>0</v>
      </c>
      <c r="K29" s="43">
        <f t="shared" si="15"/>
        <v>0</v>
      </c>
      <c r="L29" s="43">
        <f t="shared" si="16"/>
        <v>7000</v>
      </c>
      <c r="M29" s="43"/>
      <c r="N29" s="43">
        <f t="shared" si="17"/>
        <v>7000</v>
      </c>
      <c r="O29" s="43">
        <v>0</v>
      </c>
      <c r="P29" s="42">
        <v>7000</v>
      </c>
      <c r="Q29" s="42">
        <v>27</v>
      </c>
      <c r="R29" s="42">
        <f t="shared" si="19"/>
        <v>189000</v>
      </c>
    </row>
    <row r="30" spans="1:21">
      <c r="A30" s="374"/>
      <c r="B30" s="42" t="s">
        <v>1782</v>
      </c>
      <c r="C30" s="42" t="s">
        <v>444</v>
      </c>
      <c r="D30" s="42" t="s">
        <v>16</v>
      </c>
      <c r="E30" s="42" t="s">
        <v>1452</v>
      </c>
      <c r="F30" s="42">
        <v>5506</v>
      </c>
      <c r="G30" s="42"/>
      <c r="H30" s="42">
        <v>6000</v>
      </c>
      <c r="I30" s="42">
        <v>120</v>
      </c>
      <c r="J30" s="42">
        <v>0</v>
      </c>
      <c r="K30" s="43">
        <f t="shared" si="15"/>
        <v>0</v>
      </c>
      <c r="L30" s="43">
        <f t="shared" si="16"/>
        <v>6000</v>
      </c>
      <c r="M30" s="43"/>
      <c r="N30" s="43">
        <f t="shared" si="17"/>
        <v>6000</v>
      </c>
      <c r="O30" s="43">
        <v>0</v>
      </c>
      <c r="P30" s="42">
        <v>7000</v>
      </c>
      <c r="Q30" s="42">
        <v>27</v>
      </c>
      <c r="R30" s="42">
        <f t="shared" si="19"/>
        <v>162000</v>
      </c>
    </row>
    <row r="31" spans="1:21">
      <c r="A31" s="21" t="s">
        <v>2188</v>
      </c>
      <c r="B31" s="42" t="s">
        <v>1782</v>
      </c>
      <c r="C31" s="42" t="s">
        <v>24</v>
      </c>
      <c r="D31" s="42" t="s">
        <v>16</v>
      </c>
      <c r="E31" s="42" t="s">
        <v>894</v>
      </c>
      <c r="F31" s="42">
        <v>23165</v>
      </c>
      <c r="G31" s="42"/>
      <c r="H31" s="42">
        <v>19970</v>
      </c>
      <c r="I31" s="42">
        <v>400</v>
      </c>
      <c r="J31" s="42">
        <v>0.13</v>
      </c>
      <c r="K31" s="43">
        <v>52</v>
      </c>
      <c r="L31" s="43">
        <v>19918</v>
      </c>
      <c r="M31" s="43"/>
      <c r="N31" s="43">
        <v>19918</v>
      </c>
      <c r="O31" s="43">
        <v>1397.8999999999999</v>
      </c>
      <c r="P31" s="42">
        <v>14000</v>
      </c>
      <c r="Q31" s="42">
        <v>37.5</v>
      </c>
      <c r="R31" s="42">
        <v>746925</v>
      </c>
    </row>
    <row r="32" spans="1:21">
      <c r="A32" s="21" t="s">
        <v>2193</v>
      </c>
      <c r="B32" s="42" t="s">
        <v>1782</v>
      </c>
      <c r="C32" s="42" t="s">
        <v>24</v>
      </c>
      <c r="D32" s="42" t="s">
        <v>16</v>
      </c>
      <c r="E32" s="42" t="s">
        <v>915</v>
      </c>
      <c r="F32" s="42">
        <v>23189</v>
      </c>
      <c r="G32" s="42"/>
      <c r="H32" s="42">
        <v>20000</v>
      </c>
      <c r="I32" s="42">
        <v>400</v>
      </c>
      <c r="J32" s="42">
        <v>0.13</v>
      </c>
      <c r="K32" s="43">
        <v>52</v>
      </c>
      <c r="L32" s="43">
        <v>19948</v>
      </c>
      <c r="M32" s="43"/>
      <c r="N32" s="43">
        <v>19948</v>
      </c>
      <c r="O32" s="43">
        <v>1400</v>
      </c>
      <c r="P32" s="42">
        <v>0</v>
      </c>
      <c r="Q32" s="42">
        <v>37.5</v>
      </c>
      <c r="R32" s="42">
        <v>748050</v>
      </c>
    </row>
    <row r="33" spans="1:18">
      <c r="A33" s="21" t="s">
        <v>2197</v>
      </c>
      <c r="B33" s="42" t="s">
        <v>1782</v>
      </c>
      <c r="C33" s="42" t="s">
        <v>24</v>
      </c>
      <c r="D33" s="42" t="s">
        <v>16</v>
      </c>
      <c r="E33" s="42" t="s">
        <v>2184</v>
      </c>
      <c r="F33" s="42">
        <v>24480</v>
      </c>
      <c r="G33" s="42"/>
      <c r="H33" s="42">
        <v>12450</v>
      </c>
      <c r="I33" s="42">
        <v>250</v>
      </c>
      <c r="J33" s="42">
        <v>0.13</v>
      </c>
      <c r="K33" s="43">
        <f t="shared" ref="K33:K44" si="20">I33*J33</f>
        <v>32.5</v>
      </c>
      <c r="L33" s="43">
        <f t="shared" ref="L33:L44" si="21">H33-K33</f>
        <v>12417.5</v>
      </c>
      <c r="M33" s="43"/>
      <c r="N33" s="43">
        <f t="shared" ref="N33:N44" si="22">L33-M33</f>
        <v>12417.5</v>
      </c>
      <c r="O33" s="43">
        <f t="shared" ref="O33:O44" si="23">H33/1000*70</f>
        <v>871.5</v>
      </c>
      <c r="P33" s="42">
        <v>10500</v>
      </c>
      <c r="Q33" s="42">
        <v>37.5</v>
      </c>
      <c r="R33" s="42">
        <f t="shared" ref="R33:R44" si="24">L33*Q33</f>
        <v>465656.25</v>
      </c>
    </row>
    <row r="34" spans="1:18">
      <c r="A34" s="374" t="s">
        <v>2198</v>
      </c>
      <c r="B34" s="42" t="s">
        <v>1782</v>
      </c>
      <c r="C34" s="42" t="s">
        <v>24</v>
      </c>
      <c r="D34" s="42" t="s">
        <v>16</v>
      </c>
      <c r="E34" s="42" t="s">
        <v>2199</v>
      </c>
      <c r="F34" s="42">
        <v>23550</v>
      </c>
      <c r="G34" s="42"/>
      <c r="H34" s="42">
        <v>12500</v>
      </c>
      <c r="I34" s="42">
        <v>250</v>
      </c>
      <c r="J34" s="42">
        <v>0.13</v>
      </c>
      <c r="K34" s="43">
        <f t="shared" si="20"/>
        <v>32.5</v>
      </c>
      <c r="L34" s="43">
        <f t="shared" si="21"/>
        <v>12467.5</v>
      </c>
      <c r="M34" s="43"/>
      <c r="N34" s="43">
        <f t="shared" si="22"/>
        <v>12467.5</v>
      </c>
      <c r="O34" s="43">
        <f t="shared" si="23"/>
        <v>875</v>
      </c>
      <c r="P34" s="42">
        <v>12000</v>
      </c>
      <c r="Q34" s="42">
        <v>37.5</v>
      </c>
      <c r="R34" s="42">
        <f t="shared" si="24"/>
        <v>467531.25</v>
      </c>
    </row>
    <row r="35" spans="1:18">
      <c r="A35" s="374"/>
      <c r="B35" s="42" t="s">
        <v>1782</v>
      </c>
      <c r="C35" s="42" t="s">
        <v>24</v>
      </c>
      <c r="D35" s="42" t="s">
        <v>16</v>
      </c>
      <c r="E35" s="42" t="s">
        <v>2200</v>
      </c>
      <c r="F35" s="42">
        <v>23549</v>
      </c>
      <c r="G35" s="42"/>
      <c r="H35" s="42">
        <v>12500</v>
      </c>
      <c r="I35" s="42">
        <v>250</v>
      </c>
      <c r="J35" s="42">
        <v>0.13</v>
      </c>
      <c r="K35" s="43">
        <f t="shared" si="20"/>
        <v>32.5</v>
      </c>
      <c r="L35" s="43">
        <f t="shared" si="21"/>
        <v>12467.5</v>
      </c>
      <c r="M35" s="43"/>
      <c r="N35" s="43">
        <f t="shared" si="22"/>
        <v>12467.5</v>
      </c>
      <c r="O35" s="43">
        <f t="shared" si="23"/>
        <v>875</v>
      </c>
      <c r="P35" s="42">
        <v>12000</v>
      </c>
      <c r="Q35" s="42">
        <v>37.5</v>
      </c>
      <c r="R35" s="42">
        <f t="shared" si="24"/>
        <v>467531.25</v>
      </c>
    </row>
    <row r="36" spans="1:18">
      <c r="A36" s="374"/>
      <c r="B36" s="42" t="s">
        <v>1782</v>
      </c>
      <c r="C36" s="42" t="s">
        <v>24</v>
      </c>
      <c r="D36" s="42" t="s">
        <v>16</v>
      </c>
      <c r="E36" s="42" t="s">
        <v>2201</v>
      </c>
      <c r="F36" s="42">
        <v>23547</v>
      </c>
      <c r="G36" s="42"/>
      <c r="H36" s="42">
        <v>12500</v>
      </c>
      <c r="I36" s="42">
        <v>250</v>
      </c>
      <c r="J36" s="42">
        <v>0.13</v>
      </c>
      <c r="K36" s="43">
        <f t="shared" si="20"/>
        <v>32.5</v>
      </c>
      <c r="L36" s="43">
        <f t="shared" si="21"/>
        <v>12467.5</v>
      </c>
      <c r="M36" s="43"/>
      <c r="N36" s="43">
        <f t="shared" si="22"/>
        <v>12467.5</v>
      </c>
      <c r="O36" s="43">
        <f t="shared" si="23"/>
        <v>875</v>
      </c>
      <c r="P36" s="42">
        <v>12000</v>
      </c>
      <c r="Q36" s="42">
        <v>37.5</v>
      </c>
      <c r="R36" s="42">
        <f t="shared" si="24"/>
        <v>467531.25</v>
      </c>
    </row>
    <row r="37" spans="1:18">
      <c r="A37" s="21" t="s">
        <v>2206</v>
      </c>
      <c r="B37" s="42" t="s">
        <v>1782</v>
      </c>
      <c r="C37" s="42" t="s">
        <v>24</v>
      </c>
      <c r="D37" s="42" t="s">
        <v>16</v>
      </c>
      <c r="E37" s="42" t="s">
        <v>2207</v>
      </c>
      <c r="F37" s="42">
        <v>24495</v>
      </c>
      <c r="G37" s="42"/>
      <c r="H37" s="42">
        <v>12500</v>
      </c>
      <c r="I37" s="42">
        <v>250</v>
      </c>
      <c r="J37" s="42">
        <v>0.13</v>
      </c>
      <c r="K37" s="43">
        <f t="shared" si="20"/>
        <v>32.5</v>
      </c>
      <c r="L37" s="43">
        <f t="shared" si="21"/>
        <v>12467.5</v>
      </c>
      <c r="M37" s="43"/>
      <c r="N37" s="43">
        <f t="shared" si="22"/>
        <v>12467.5</v>
      </c>
      <c r="O37" s="43">
        <f t="shared" si="23"/>
        <v>875</v>
      </c>
      <c r="P37" s="42">
        <v>10500</v>
      </c>
      <c r="Q37" s="42">
        <v>37.5</v>
      </c>
      <c r="R37" s="42">
        <f t="shared" si="24"/>
        <v>467531.25</v>
      </c>
    </row>
    <row r="38" spans="1:18">
      <c r="A38" s="21" t="s">
        <v>2252</v>
      </c>
      <c r="B38" s="42" t="s">
        <v>2248</v>
      </c>
      <c r="C38" s="42" t="s">
        <v>309</v>
      </c>
      <c r="D38" s="42" t="s">
        <v>16</v>
      </c>
      <c r="E38" s="42" t="s">
        <v>2249</v>
      </c>
      <c r="F38" s="42">
        <v>4497</v>
      </c>
      <c r="G38" s="42"/>
      <c r="H38" s="42">
        <v>15000</v>
      </c>
      <c r="I38" s="42">
        <v>300</v>
      </c>
      <c r="J38" s="42">
        <v>0.13</v>
      </c>
      <c r="K38" s="43">
        <f t="shared" si="20"/>
        <v>39</v>
      </c>
      <c r="L38" s="43">
        <f t="shared" si="21"/>
        <v>14961</v>
      </c>
      <c r="M38" s="43"/>
      <c r="N38" s="43">
        <f t="shared" si="22"/>
        <v>14961</v>
      </c>
      <c r="O38" s="43">
        <f t="shared" si="23"/>
        <v>1050</v>
      </c>
      <c r="P38" s="42">
        <v>10500</v>
      </c>
      <c r="Q38" s="42">
        <v>37.9</v>
      </c>
      <c r="R38" s="42">
        <f t="shared" si="24"/>
        <v>567021.9</v>
      </c>
    </row>
    <row r="39" spans="1:18">
      <c r="A39" s="21" t="s">
        <v>2253</v>
      </c>
      <c r="B39" s="42" t="s">
        <v>2248</v>
      </c>
      <c r="C39" s="42" t="s">
        <v>309</v>
      </c>
      <c r="D39" s="42" t="s">
        <v>16</v>
      </c>
      <c r="E39" s="42" t="s">
        <v>1797</v>
      </c>
      <c r="F39" s="42">
        <v>88287</v>
      </c>
      <c r="G39" s="42"/>
      <c r="H39" s="42">
        <v>15000</v>
      </c>
      <c r="I39" s="42">
        <v>300</v>
      </c>
      <c r="J39" s="42">
        <v>0.13</v>
      </c>
      <c r="K39" s="43">
        <f t="shared" si="20"/>
        <v>39</v>
      </c>
      <c r="L39" s="43">
        <f t="shared" si="21"/>
        <v>14961</v>
      </c>
      <c r="M39" s="43"/>
      <c r="N39" s="43">
        <f t="shared" si="22"/>
        <v>14961</v>
      </c>
      <c r="O39" s="43">
        <f t="shared" si="23"/>
        <v>1050</v>
      </c>
      <c r="P39" s="42">
        <v>10500</v>
      </c>
      <c r="Q39" s="42">
        <v>37.9</v>
      </c>
      <c r="R39" s="42">
        <f t="shared" si="24"/>
        <v>567021.9</v>
      </c>
    </row>
    <row r="40" spans="1:18">
      <c r="A40" s="374" t="s">
        <v>2257</v>
      </c>
      <c r="B40" s="42" t="s">
        <v>2248</v>
      </c>
      <c r="C40" s="42" t="s">
        <v>309</v>
      </c>
      <c r="D40" s="42" t="s">
        <v>16</v>
      </c>
      <c r="E40" s="42" t="s">
        <v>2258</v>
      </c>
      <c r="F40" s="42">
        <v>88219</v>
      </c>
      <c r="G40" s="42"/>
      <c r="H40" s="42">
        <v>15000</v>
      </c>
      <c r="I40" s="42">
        <v>300</v>
      </c>
      <c r="J40" s="42">
        <v>0.13</v>
      </c>
      <c r="K40" s="43">
        <f t="shared" si="20"/>
        <v>39</v>
      </c>
      <c r="L40" s="43">
        <f t="shared" si="21"/>
        <v>14961</v>
      </c>
      <c r="M40" s="43"/>
      <c r="N40" s="43">
        <f t="shared" si="22"/>
        <v>14961</v>
      </c>
      <c r="O40" s="43">
        <f t="shared" si="23"/>
        <v>1050</v>
      </c>
      <c r="P40" s="42">
        <v>14200</v>
      </c>
      <c r="Q40" s="42">
        <v>37.9</v>
      </c>
      <c r="R40" s="42">
        <f t="shared" si="24"/>
        <v>567021.9</v>
      </c>
    </row>
    <row r="41" spans="1:18">
      <c r="A41" s="374"/>
      <c r="B41" s="42" t="s">
        <v>2248</v>
      </c>
      <c r="C41" s="42" t="s">
        <v>309</v>
      </c>
      <c r="D41" s="42" t="s">
        <v>16</v>
      </c>
      <c r="E41" s="42" t="s">
        <v>2259</v>
      </c>
      <c r="F41" s="42">
        <v>88217</v>
      </c>
      <c r="G41" s="42"/>
      <c r="H41" s="42">
        <v>15000</v>
      </c>
      <c r="I41" s="42">
        <v>300</v>
      </c>
      <c r="J41" s="42">
        <v>0.13</v>
      </c>
      <c r="K41" s="43">
        <f t="shared" si="20"/>
        <v>39</v>
      </c>
      <c r="L41" s="43">
        <f t="shared" si="21"/>
        <v>14961</v>
      </c>
      <c r="M41" s="43"/>
      <c r="N41" s="43">
        <f t="shared" si="22"/>
        <v>14961</v>
      </c>
      <c r="O41" s="43">
        <f t="shared" si="23"/>
        <v>1050</v>
      </c>
      <c r="P41" s="42">
        <v>14200</v>
      </c>
      <c r="Q41" s="42">
        <v>37.9</v>
      </c>
      <c r="R41" s="42">
        <f t="shared" si="24"/>
        <v>567021.9</v>
      </c>
    </row>
    <row r="42" spans="1:18">
      <c r="A42" s="374"/>
      <c r="B42" s="42" t="s">
        <v>2248</v>
      </c>
      <c r="C42" s="42" t="s">
        <v>309</v>
      </c>
      <c r="D42" s="42" t="s">
        <v>16</v>
      </c>
      <c r="E42" s="42" t="s">
        <v>2260</v>
      </c>
      <c r="F42" s="42">
        <v>88218</v>
      </c>
      <c r="G42" s="42"/>
      <c r="H42" s="42">
        <v>14990</v>
      </c>
      <c r="I42" s="42">
        <v>300</v>
      </c>
      <c r="J42" s="42">
        <v>0.13</v>
      </c>
      <c r="K42" s="43">
        <f t="shared" si="20"/>
        <v>39</v>
      </c>
      <c r="L42" s="43">
        <f t="shared" si="21"/>
        <v>14951</v>
      </c>
      <c r="M42" s="43"/>
      <c r="N42" s="43">
        <f t="shared" si="22"/>
        <v>14951</v>
      </c>
      <c r="O42" s="43">
        <f t="shared" si="23"/>
        <v>1049.3</v>
      </c>
      <c r="P42" s="42">
        <v>14200</v>
      </c>
      <c r="Q42" s="42">
        <v>37.9</v>
      </c>
      <c r="R42" s="42">
        <f t="shared" si="24"/>
        <v>566642.9</v>
      </c>
    </row>
    <row r="43" spans="1:18">
      <c r="A43" s="21" t="s">
        <v>2262</v>
      </c>
      <c r="B43" s="42" t="s">
        <v>2248</v>
      </c>
      <c r="C43" s="42" t="s">
        <v>309</v>
      </c>
      <c r="D43" s="42" t="s">
        <v>16</v>
      </c>
      <c r="E43" s="42" t="s">
        <v>1308</v>
      </c>
      <c r="F43" s="42">
        <v>88857</v>
      </c>
      <c r="G43" s="42"/>
      <c r="H43" s="42">
        <v>14990</v>
      </c>
      <c r="I43" s="42">
        <v>300</v>
      </c>
      <c r="J43" s="42">
        <v>0.13</v>
      </c>
      <c r="K43" s="43">
        <f t="shared" si="20"/>
        <v>39</v>
      </c>
      <c r="L43" s="43">
        <f t="shared" si="21"/>
        <v>14951</v>
      </c>
      <c r="M43" s="43"/>
      <c r="N43" s="43">
        <f t="shared" si="22"/>
        <v>14951</v>
      </c>
      <c r="O43" s="43">
        <f t="shared" si="23"/>
        <v>1049.3</v>
      </c>
      <c r="P43" s="42"/>
      <c r="Q43" s="42">
        <v>37.9</v>
      </c>
      <c r="R43" s="42">
        <f t="shared" si="24"/>
        <v>566642.9</v>
      </c>
    </row>
    <row r="44" spans="1:18">
      <c r="A44" s="21" t="s">
        <v>2263</v>
      </c>
      <c r="B44" s="42" t="s">
        <v>2248</v>
      </c>
      <c r="C44" s="42" t="s">
        <v>309</v>
      </c>
      <c r="D44" s="42" t="s">
        <v>16</v>
      </c>
      <c r="E44" s="42" t="s">
        <v>2179</v>
      </c>
      <c r="F44" s="42">
        <v>88242</v>
      </c>
      <c r="G44" s="42">
        <v>1458</v>
      </c>
      <c r="H44" s="42">
        <v>12500</v>
      </c>
      <c r="I44" s="42">
        <v>250</v>
      </c>
      <c r="J44" s="42">
        <v>0.13</v>
      </c>
      <c r="K44" s="43">
        <f t="shared" si="20"/>
        <v>32.5</v>
      </c>
      <c r="L44" s="43">
        <f t="shared" si="21"/>
        <v>12467.5</v>
      </c>
      <c r="M44" s="43"/>
      <c r="N44" s="43">
        <f t="shared" si="22"/>
        <v>12467.5</v>
      </c>
      <c r="O44" s="43">
        <f t="shared" si="23"/>
        <v>875</v>
      </c>
      <c r="P44" s="42">
        <v>12500</v>
      </c>
      <c r="Q44" s="42">
        <v>37.9</v>
      </c>
      <c r="R44" s="42">
        <f t="shared" si="24"/>
        <v>472518.25</v>
      </c>
    </row>
    <row r="46" spans="1:18">
      <c r="A46" s="374" t="s">
        <v>2338</v>
      </c>
      <c r="B46" s="42" t="s">
        <v>2248</v>
      </c>
      <c r="C46" s="42" t="s">
        <v>309</v>
      </c>
      <c r="D46" s="42" t="s">
        <v>16</v>
      </c>
      <c r="E46" s="42" t="s">
        <v>2340</v>
      </c>
      <c r="F46" s="42">
        <v>92014</v>
      </c>
      <c r="G46" s="42"/>
      <c r="H46" s="42">
        <v>15000</v>
      </c>
      <c r="I46" s="42">
        <v>300</v>
      </c>
      <c r="J46" s="42">
        <v>0.13</v>
      </c>
      <c r="K46" s="43">
        <f t="shared" ref="K46:K64" si="25">I46*J46</f>
        <v>39</v>
      </c>
      <c r="L46" s="43">
        <f t="shared" ref="L46:L64" si="26">H46-K46</f>
        <v>14961</v>
      </c>
      <c r="M46" s="43"/>
      <c r="N46" s="43">
        <f t="shared" ref="N46:N64" si="27">L46-M46</f>
        <v>14961</v>
      </c>
      <c r="O46" s="43">
        <f t="shared" ref="O46:O64" si="28">H46/1000*70</f>
        <v>1050</v>
      </c>
      <c r="P46" s="42">
        <v>10500</v>
      </c>
      <c r="Q46" s="42">
        <v>36.799999999999997</v>
      </c>
      <c r="R46" s="42">
        <f t="shared" ref="R46:R64" si="29">L46*Q46</f>
        <v>550564.79999999993</v>
      </c>
    </row>
    <row r="47" spans="1:18">
      <c r="A47" s="374"/>
      <c r="B47" s="42" t="s">
        <v>2248</v>
      </c>
      <c r="C47" s="42" t="s">
        <v>309</v>
      </c>
      <c r="D47" s="42" t="s">
        <v>16</v>
      </c>
      <c r="E47" s="42" t="s">
        <v>2341</v>
      </c>
      <c r="F47" s="42">
        <v>92013</v>
      </c>
      <c r="G47" s="42"/>
      <c r="H47" s="42">
        <v>15000</v>
      </c>
      <c r="I47" s="42">
        <v>300</v>
      </c>
      <c r="J47" s="42">
        <v>0.13</v>
      </c>
      <c r="K47" s="43">
        <f t="shared" si="25"/>
        <v>39</v>
      </c>
      <c r="L47" s="43">
        <f t="shared" si="26"/>
        <v>14961</v>
      </c>
      <c r="M47" s="43"/>
      <c r="N47" s="43">
        <f t="shared" si="27"/>
        <v>14961</v>
      </c>
      <c r="O47" s="43">
        <f t="shared" si="28"/>
        <v>1050</v>
      </c>
      <c r="P47" s="42">
        <v>12000</v>
      </c>
      <c r="Q47" s="42">
        <v>36.799999999999997</v>
      </c>
      <c r="R47" s="42">
        <f t="shared" si="29"/>
        <v>550564.79999999993</v>
      </c>
    </row>
    <row r="48" spans="1:18">
      <c r="A48" s="374"/>
      <c r="B48" s="42" t="s">
        <v>2248</v>
      </c>
      <c r="C48" s="42" t="s">
        <v>309</v>
      </c>
      <c r="D48" s="42" t="s">
        <v>16</v>
      </c>
      <c r="E48" s="42" t="s">
        <v>2342</v>
      </c>
      <c r="F48" s="42">
        <v>93012</v>
      </c>
      <c r="G48" s="42"/>
      <c r="H48" s="42">
        <v>14990</v>
      </c>
      <c r="I48" s="42">
        <v>300</v>
      </c>
      <c r="J48" s="42">
        <v>0.13</v>
      </c>
      <c r="K48" s="43">
        <f t="shared" si="25"/>
        <v>39</v>
      </c>
      <c r="L48" s="43">
        <f t="shared" si="26"/>
        <v>14951</v>
      </c>
      <c r="M48" s="43"/>
      <c r="N48" s="43">
        <f t="shared" si="27"/>
        <v>14951</v>
      </c>
      <c r="O48" s="43">
        <f t="shared" si="28"/>
        <v>1049.3</v>
      </c>
      <c r="P48" s="42">
        <v>12000</v>
      </c>
      <c r="Q48" s="42">
        <v>36.799999999999997</v>
      </c>
      <c r="R48" s="42">
        <f t="shared" si="29"/>
        <v>550196.79999999993</v>
      </c>
    </row>
    <row r="49" spans="1:19">
      <c r="A49" s="374"/>
      <c r="B49" s="42" t="s">
        <v>2248</v>
      </c>
      <c r="C49" s="42" t="s">
        <v>309</v>
      </c>
      <c r="D49" s="42" t="s">
        <v>16</v>
      </c>
      <c r="E49" s="42" t="s">
        <v>768</v>
      </c>
      <c r="F49" s="42">
        <v>5615</v>
      </c>
      <c r="G49" s="42"/>
      <c r="H49" s="42">
        <v>20000</v>
      </c>
      <c r="I49" s="42">
        <v>400</v>
      </c>
      <c r="J49" s="42">
        <v>0.13</v>
      </c>
      <c r="K49" s="43">
        <f t="shared" si="25"/>
        <v>52</v>
      </c>
      <c r="L49" s="43">
        <f t="shared" si="26"/>
        <v>19948</v>
      </c>
      <c r="M49" s="43"/>
      <c r="N49" s="43">
        <f t="shared" si="27"/>
        <v>19948</v>
      </c>
      <c r="O49" s="43">
        <f t="shared" si="28"/>
        <v>1400</v>
      </c>
      <c r="P49" s="42">
        <v>14000</v>
      </c>
      <c r="Q49" s="42">
        <v>36.799999999999997</v>
      </c>
      <c r="R49" s="42">
        <f t="shared" si="29"/>
        <v>734086.39999999991</v>
      </c>
    </row>
    <row r="50" spans="1:19">
      <c r="A50" s="374"/>
      <c r="B50" s="42" t="s">
        <v>2248</v>
      </c>
      <c r="C50" s="42" t="s">
        <v>309</v>
      </c>
      <c r="D50" s="42" t="s">
        <v>16</v>
      </c>
      <c r="E50" s="42" t="s">
        <v>2343</v>
      </c>
      <c r="F50" s="42">
        <v>92015</v>
      </c>
      <c r="G50" s="42"/>
      <c r="H50" s="42">
        <v>15000</v>
      </c>
      <c r="I50" s="42">
        <v>300</v>
      </c>
      <c r="J50" s="42">
        <v>0.13</v>
      </c>
      <c r="K50" s="43">
        <f t="shared" si="25"/>
        <v>39</v>
      </c>
      <c r="L50" s="43">
        <f t="shared" si="26"/>
        <v>14961</v>
      </c>
      <c r="M50" s="43"/>
      <c r="N50" s="43">
        <f t="shared" si="27"/>
        <v>14961</v>
      </c>
      <c r="O50" s="43">
        <f t="shared" si="28"/>
        <v>1050</v>
      </c>
      <c r="P50" s="42">
        <v>10500</v>
      </c>
      <c r="Q50" s="42">
        <v>36.799999999999997</v>
      </c>
      <c r="R50" s="42">
        <f t="shared" si="29"/>
        <v>550564.79999999993</v>
      </c>
    </row>
    <row r="51" spans="1:19">
      <c r="A51" s="374"/>
      <c r="B51" s="42" t="s">
        <v>2248</v>
      </c>
      <c r="C51" s="42" t="s">
        <v>309</v>
      </c>
      <c r="D51" s="42" t="s">
        <v>16</v>
      </c>
      <c r="E51" s="42" t="s">
        <v>915</v>
      </c>
      <c r="F51" s="42">
        <v>90084</v>
      </c>
      <c r="G51" s="42"/>
      <c r="H51" s="42">
        <v>20000</v>
      </c>
      <c r="I51" s="42">
        <v>400</v>
      </c>
      <c r="J51" s="42">
        <v>0.13</v>
      </c>
      <c r="K51" s="43">
        <f t="shared" si="25"/>
        <v>52</v>
      </c>
      <c r="L51" s="43">
        <f t="shared" si="26"/>
        <v>19948</v>
      </c>
      <c r="M51" s="43"/>
      <c r="N51" s="43">
        <f t="shared" si="27"/>
        <v>19948</v>
      </c>
      <c r="O51" s="43">
        <f t="shared" si="28"/>
        <v>1400</v>
      </c>
      <c r="P51" s="42">
        <v>14000</v>
      </c>
      <c r="Q51" s="42">
        <v>36.799999999999997</v>
      </c>
      <c r="R51" s="42">
        <f t="shared" si="29"/>
        <v>734086.39999999991</v>
      </c>
    </row>
    <row r="52" spans="1:19">
      <c r="A52" s="374" t="s">
        <v>2372</v>
      </c>
      <c r="B52" s="42" t="s">
        <v>2248</v>
      </c>
      <c r="C52" s="42" t="s">
        <v>309</v>
      </c>
      <c r="D52" s="42" t="s">
        <v>16</v>
      </c>
      <c r="E52" s="42" t="s">
        <v>2373</v>
      </c>
      <c r="F52" s="42">
        <v>20186935</v>
      </c>
      <c r="G52" s="42"/>
      <c r="H52" s="42">
        <v>12500</v>
      </c>
      <c r="I52" s="42">
        <v>250</v>
      </c>
      <c r="J52" s="42">
        <v>0.13</v>
      </c>
      <c r="K52" s="43">
        <f t="shared" si="25"/>
        <v>32.5</v>
      </c>
      <c r="L52" s="43">
        <f t="shared" si="26"/>
        <v>12467.5</v>
      </c>
      <c r="M52" s="43"/>
      <c r="N52" s="43">
        <f t="shared" si="27"/>
        <v>12467.5</v>
      </c>
      <c r="O52" s="43">
        <f t="shared" si="28"/>
        <v>875</v>
      </c>
      <c r="P52" s="42">
        <v>9000</v>
      </c>
      <c r="Q52" s="42">
        <v>36.799999999999997</v>
      </c>
      <c r="R52" s="42">
        <f t="shared" si="29"/>
        <v>458803.99999999994</v>
      </c>
    </row>
    <row r="53" spans="1:19">
      <c r="A53" s="374"/>
      <c r="B53" s="42" t="s">
        <v>2248</v>
      </c>
      <c r="C53" s="42" t="s">
        <v>309</v>
      </c>
      <c r="D53" s="42" t="s">
        <v>16</v>
      </c>
      <c r="E53" s="42" t="s">
        <v>682</v>
      </c>
      <c r="F53" s="42">
        <v>20186936</v>
      </c>
      <c r="G53" s="42"/>
      <c r="H53" s="42">
        <v>12500</v>
      </c>
      <c r="I53" s="42">
        <v>250</v>
      </c>
      <c r="J53" s="42">
        <v>0.13</v>
      </c>
      <c r="K53" s="43">
        <f t="shared" si="25"/>
        <v>32.5</v>
      </c>
      <c r="L53" s="43">
        <f t="shared" si="26"/>
        <v>12467.5</v>
      </c>
      <c r="M53" s="43"/>
      <c r="N53" s="43">
        <f t="shared" si="27"/>
        <v>12467.5</v>
      </c>
      <c r="O53" s="43">
        <f t="shared" si="28"/>
        <v>875</v>
      </c>
      <c r="P53" s="42">
        <v>9000</v>
      </c>
      <c r="Q53" s="42">
        <v>36.799999999999997</v>
      </c>
      <c r="R53" s="42">
        <f t="shared" si="29"/>
        <v>458803.99999999994</v>
      </c>
    </row>
    <row r="54" spans="1:19">
      <c r="A54" s="374"/>
      <c r="B54" s="42" t="s">
        <v>2248</v>
      </c>
      <c r="C54" s="42" t="s">
        <v>309</v>
      </c>
      <c r="D54" s="42" t="s">
        <v>16</v>
      </c>
      <c r="E54" s="42" t="s">
        <v>2374</v>
      </c>
      <c r="F54" s="42">
        <v>20186939</v>
      </c>
      <c r="G54" s="42"/>
      <c r="H54" s="42">
        <v>12500</v>
      </c>
      <c r="I54" s="42">
        <v>250</v>
      </c>
      <c r="J54" s="42">
        <v>0.13</v>
      </c>
      <c r="K54" s="43">
        <f t="shared" si="25"/>
        <v>32.5</v>
      </c>
      <c r="L54" s="43">
        <f t="shared" si="26"/>
        <v>12467.5</v>
      </c>
      <c r="M54" s="43"/>
      <c r="N54" s="43">
        <f t="shared" si="27"/>
        <v>12467.5</v>
      </c>
      <c r="O54" s="43">
        <f t="shared" si="28"/>
        <v>875</v>
      </c>
      <c r="P54" s="42">
        <v>9000</v>
      </c>
      <c r="Q54" s="42">
        <v>36.799999999999997</v>
      </c>
      <c r="R54" s="42">
        <f t="shared" si="29"/>
        <v>458803.99999999994</v>
      </c>
    </row>
    <row r="55" spans="1:19">
      <c r="A55" s="374"/>
      <c r="B55" s="42" t="s">
        <v>2248</v>
      </c>
      <c r="C55" s="42" t="s">
        <v>309</v>
      </c>
      <c r="D55" s="42" t="s">
        <v>16</v>
      </c>
      <c r="E55" s="42" t="s">
        <v>2375</v>
      </c>
      <c r="F55" s="42">
        <v>4991</v>
      </c>
      <c r="G55" s="42"/>
      <c r="H55" s="42">
        <v>17500</v>
      </c>
      <c r="I55" s="42">
        <v>350</v>
      </c>
      <c r="J55" s="42">
        <v>0.13</v>
      </c>
      <c r="K55" s="43">
        <f t="shared" si="25"/>
        <v>45.5</v>
      </c>
      <c r="L55" s="43">
        <f t="shared" si="26"/>
        <v>17454.5</v>
      </c>
      <c r="M55" s="43"/>
      <c r="N55" s="43">
        <f t="shared" si="27"/>
        <v>17454.5</v>
      </c>
      <c r="O55" s="43">
        <f t="shared" si="28"/>
        <v>1225</v>
      </c>
      <c r="P55" s="42">
        <v>12000</v>
      </c>
      <c r="Q55" s="42">
        <v>36.799999999999997</v>
      </c>
      <c r="R55" s="42">
        <f t="shared" si="29"/>
        <v>642325.6</v>
      </c>
    </row>
    <row r="56" spans="1:19">
      <c r="A56" s="374" t="s">
        <v>2376</v>
      </c>
      <c r="B56" s="42" t="s">
        <v>2379</v>
      </c>
      <c r="C56" s="42" t="s">
        <v>24</v>
      </c>
      <c r="D56" s="42" t="s">
        <v>16</v>
      </c>
      <c r="E56" s="42" t="s">
        <v>2380</v>
      </c>
      <c r="F56" s="42">
        <v>21108</v>
      </c>
      <c r="G56" s="42"/>
      <c r="H56" s="42">
        <v>15000</v>
      </c>
      <c r="I56" s="42">
        <v>300</v>
      </c>
      <c r="J56" s="42">
        <v>0.13</v>
      </c>
      <c r="K56" s="43">
        <f t="shared" si="25"/>
        <v>39</v>
      </c>
      <c r="L56" s="43">
        <f t="shared" si="26"/>
        <v>14961</v>
      </c>
      <c r="M56" s="43"/>
      <c r="N56" s="43">
        <f t="shared" si="27"/>
        <v>14961</v>
      </c>
      <c r="O56" s="43">
        <f t="shared" si="28"/>
        <v>1050</v>
      </c>
      <c r="P56" s="42">
        <v>10500</v>
      </c>
      <c r="Q56" s="42">
        <v>36.799999999999997</v>
      </c>
      <c r="R56" s="42">
        <f t="shared" si="29"/>
        <v>550564.79999999993</v>
      </c>
    </row>
    <row r="57" spans="1:19">
      <c r="A57" s="374"/>
      <c r="B57" s="42" t="s">
        <v>2379</v>
      </c>
      <c r="C57" s="42" t="s">
        <v>24</v>
      </c>
      <c r="D57" s="42" t="s">
        <v>16</v>
      </c>
      <c r="E57" s="42" t="s">
        <v>2381</v>
      </c>
      <c r="F57" s="42">
        <v>21868</v>
      </c>
      <c r="G57" s="42"/>
      <c r="H57" s="42">
        <v>15000</v>
      </c>
      <c r="I57" s="42">
        <v>300</v>
      </c>
      <c r="J57" s="42">
        <v>0.13</v>
      </c>
      <c r="K57" s="43">
        <f t="shared" si="25"/>
        <v>39</v>
      </c>
      <c r="L57" s="43">
        <f t="shared" si="26"/>
        <v>14961</v>
      </c>
      <c r="M57" s="43"/>
      <c r="N57" s="43">
        <f t="shared" si="27"/>
        <v>14961</v>
      </c>
      <c r="O57" s="43">
        <f t="shared" si="28"/>
        <v>1050</v>
      </c>
      <c r="P57" s="42">
        <v>10500</v>
      </c>
      <c r="Q57" s="42">
        <v>36.799999999999997</v>
      </c>
      <c r="R57" s="42">
        <f t="shared" si="29"/>
        <v>550564.79999999993</v>
      </c>
    </row>
    <row r="58" spans="1:19">
      <c r="A58" s="374" t="s">
        <v>2382</v>
      </c>
      <c r="B58" s="42" t="s">
        <v>2379</v>
      </c>
      <c r="C58" s="42" t="s">
        <v>24</v>
      </c>
      <c r="D58" s="42" t="s">
        <v>16</v>
      </c>
      <c r="E58" s="42" t="s">
        <v>780</v>
      </c>
      <c r="F58" s="42">
        <v>20186952</v>
      </c>
      <c r="G58" s="42"/>
      <c r="H58" s="42">
        <v>15000</v>
      </c>
      <c r="I58" s="42">
        <v>300</v>
      </c>
      <c r="J58" s="42">
        <v>0.13</v>
      </c>
      <c r="K58" s="43">
        <f t="shared" si="25"/>
        <v>39</v>
      </c>
      <c r="L58" s="43">
        <f t="shared" si="26"/>
        <v>14961</v>
      </c>
      <c r="M58" s="43"/>
      <c r="N58" s="43">
        <f t="shared" si="27"/>
        <v>14961</v>
      </c>
      <c r="O58" s="43">
        <f t="shared" si="28"/>
        <v>1050</v>
      </c>
      <c r="P58" s="42">
        <v>10500</v>
      </c>
      <c r="Q58" s="42">
        <v>36.799999999999997</v>
      </c>
      <c r="R58" s="42">
        <f t="shared" si="29"/>
        <v>550564.79999999993</v>
      </c>
      <c r="S58" s="42"/>
    </row>
    <row r="59" spans="1:19">
      <c r="A59" s="374"/>
      <c r="B59" s="42" t="s">
        <v>2379</v>
      </c>
      <c r="C59" s="42" t="s">
        <v>24</v>
      </c>
      <c r="D59" s="42" t="s">
        <v>16</v>
      </c>
      <c r="E59" s="42" t="s">
        <v>2384</v>
      </c>
      <c r="F59" s="42">
        <v>20186955</v>
      </c>
      <c r="G59" s="42"/>
      <c r="H59" s="42">
        <v>15000</v>
      </c>
      <c r="I59" s="42">
        <v>300</v>
      </c>
      <c r="J59" s="42">
        <v>0.13</v>
      </c>
      <c r="K59" s="43">
        <f t="shared" si="25"/>
        <v>39</v>
      </c>
      <c r="L59" s="43">
        <f t="shared" si="26"/>
        <v>14961</v>
      </c>
      <c r="M59" s="43"/>
      <c r="N59" s="43">
        <f t="shared" si="27"/>
        <v>14961</v>
      </c>
      <c r="O59" s="43">
        <f t="shared" si="28"/>
        <v>1050</v>
      </c>
      <c r="P59" s="42">
        <v>10500</v>
      </c>
      <c r="Q59" s="42">
        <v>36.799999999999997</v>
      </c>
      <c r="R59" s="42">
        <f t="shared" si="29"/>
        <v>550564.79999999993</v>
      </c>
      <c r="S59" s="42"/>
    </row>
    <row r="60" spans="1:19">
      <c r="A60" s="374" t="s">
        <v>2412</v>
      </c>
      <c r="B60" s="42" t="s">
        <v>2379</v>
      </c>
      <c r="C60" s="42" t="s">
        <v>24</v>
      </c>
      <c r="D60" s="42" t="s">
        <v>16</v>
      </c>
      <c r="E60" s="42" t="s">
        <v>2413</v>
      </c>
      <c r="F60" s="42">
        <v>20187192</v>
      </c>
      <c r="G60" s="42"/>
      <c r="H60" s="42">
        <v>15000</v>
      </c>
      <c r="I60" s="42">
        <v>300</v>
      </c>
      <c r="J60" s="42">
        <v>0.13</v>
      </c>
      <c r="K60" s="43">
        <f t="shared" si="25"/>
        <v>39</v>
      </c>
      <c r="L60" s="43">
        <f t="shared" si="26"/>
        <v>14961</v>
      </c>
      <c r="M60" s="43"/>
      <c r="N60" s="43">
        <f t="shared" si="27"/>
        <v>14961</v>
      </c>
      <c r="O60" s="43">
        <f t="shared" si="28"/>
        <v>1050</v>
      </c>
      <c r="P60" s="42">
        <v>10500</v>
      </c>
      <c r="Q60" s="42">
        <v>36.799999999999997</v>
      </c>
      <c r="R60" s="42">
        <f t="shared" si="29"/>
        <v>550564.79999999993</v>
      </c>
    </row>
    <row r="61" spans="1:19">
      <c r="A61" s="374"/>
      <c r="B61" s="42" t="s">
        <v>2379</v>
      </c>
      <c r="C61" s="42" t="s">
        <v>24</v>
      </c>
      <c r="D61" s="42" t="s">
        <v>16</v>
      </c>
      <c r="E61" s="42" t="s">
        <v>766</v>
      </c>
      <c r="F61" s="42">
        <v>20187173</v>
      </c>
      <c r="G61" s="42"/>
      <c r="H61" s="42">
        <v>17500</v>
      </c>
      <c r="I61" s="42">
        <v>350</v>
      </c>
      <c r="J61" s="42">
        <v>0.13</v>
      </c>
      <c r="K61" s="43">
        <f t="shared" si="25"/>
        <v>45.5</v>
      </c>
      <c r="L61" s="43">
        <f t="shared" si="26"/>
        <v>17454.5</v>
      </c>
      <c r="M61" s="43"/>
      <c r="N61" s="43">
        <f t="shared" si="27"/>
        <v>17454.5</v>
      </c>
      <c r="O61" s="43">
        <f t="shared" si="28"/>
        <v>1225</v>
      </c>
      <c r="P61" s="42">
        <v>12000</v>
      </c>
      <c r="Q61" s="42">
        <v>36.799999999999997</v>
      </c>
      <c r="R61" s="42">
        <f t="shared" si="29"/>
        <v>642325.6</v>
      </c>
    </row>
    <row r="62" spans="1:19">
      <c r="A62" s="374" t="s">
        <v>2415</v>
      </c>
      <c r="B62" s="42" t="s">
        <v>2379</v>
      </c>
      <c r="C62" s="42" t="s">
        <v>24</v>
      </c>
      <c r="D62" s="42" t="s">
        <v>16</v>
      </c>
      <c r="E62" s="42" t="s">
        <v>2416</v>
      </c>
      <c r="F62" s="42">
        <v>20187202</v>
      </c>
      <c r="G62" s="42"/>
      <c r="H62" s="42">
        <v>15000</v>
      </c>
      <c r="I62" s="42">
        <v>300</v>
      </c>
      <c r="J62" s="42">
        <v>0.13</v>
      </c>
      <c r="K62" s="43">
        <f t="shared" si="25"/>
        <v>39</v>
      </c>
      <c r="L62" s="43">
        <f t="shared" si="26"/>
        <v>14961</v>
      </c>
      <c r="M62" s="43"/>
      <c r="N62" s="43">
        <f t="shared" si="27"/>
        <v>14961</v>
      </c>
      <c r="O62" s="43">
        <f t="shared" si="28"/>
        <v>1050</v>
      </c>
      <c r="P62" s="42">
        <v>9800</v>
      </c>
      <c r="Q62" s="42">
        <v>36.799999999999997</v>
      </c>
      <c r="R62" s="42">
        <f t="shared" si="29"/>
        <v>550564.79999999993</v>
      </c>
    </row>
    <row r="63" spans="1:19">
      <c r="A63" s="374"/>
      <c r="B63" s="42" t="s">
        <v>2379</v>
      </c>
      <c r="C63" s="42" t="s">
        <v>24</v>
      </c>
      <c r="D63" s="42" t="s">
        <v>16</v>
      </c>
      <c r="E63" s="42" t="s">
        <v>2145</v>
      </c>
      <c r="F63" s="42">
        <v>20186756</v>
      </c>
      <c r="G63" s="42"/>
      <c r="H63" s="42">
        <v>12500</v>
      </c>
      <c r="I63" s="42">
        <v>250</v>
      </c>
      <c r="J63" s="42">
        <v>0.13</v>
      </c>
      <c r="K63" s="43">
        <f t="shared" si="25"/>
        <v>32.5</v>
      </c>
      <c r="L63" s="43">
        <f t="shared" si="26"/>
        <v>12467.5</v>
      </c>
      <c r="M63" s="43"/>
      <c r="N63" s="43">
        <f t="shared" si="27"/>
        <v>12467.5</v>
      </c>
      <c r="O63" s="43">
        <f t="shared" si="28"/>
        <v>875</v>
      </c>
      <c r="P63" s="42">
        <v>9000</v>
      </c>
      <c r="Q63" s="42">
        <v>36.799999999999997</v>
      </c>
      <c r="R63" s="42">
        <f t="shared" si="29"/>
        <v>458803.99999999994</v>
      </c>
    </row>
    <row r="64" spans="1:19">
      <c r="A64" s="374"/>
      <c r="B64" s="42" t="s">
        <v>2379</v>
      </c>
      <c r="C64" s="42" t="s">
        <v>24</v>
      </c>
      <c r="D64" s="42" t="s">
        <v>16</v>
      </c>
      <c r="E64" s="42" t="s">
        <v>2375</v>
      </c>
      <c r="F64" s="42">
        <v>20187190</v>
      </c>
      <c r="G64" s="42"/>
      <c r="H64" s="42">
        <v>17500</v>
      </c>
      <c r="I64" s="42">
        <v>350</v>
      </c>
      <c r="J64" s="42">
        <v>0.13</v>
      </c>
      <c r="K64" s="43">
        <f t="shared" si="25"/>
        <v>45.5</v>
      </c>
      <c r="L64" s="43">
        <f t="shared" si="26"/>
        <v>17454.5</v>
      </c>
      <c r="M64" s="43"/>
      <c r="N64" s="43">
        <f t="shared" si="27"/>
        <v>17454.5</v>
      </c>
      <c r="O64" s="43">
        <f t="shared" si="28"/>
        <v>1225</v>
      </c>
      <c r="P64" s="42">
        <v>12000</v>
      </c>
      <c r="Q64" s="42">
        <v>36.799999999999997</v>
      </c>
      <c r="R64" s="42">
        <f t="shared" si="29"/>
        <v>642325.6</v>
      </c>
    </row>
    <row r="65" spans="1:18">
      <c r="A65" s="374" t="s">
        <v>2421</v>
      </c>
      <c r="B65" s="42" t="s">
        <v>2379</v>
      </c>
      <c r="C65" s="42" t="s">
        <v>24</v>
      </c>
      <c r="D65" s="42" t="s">
        <v>16</v>
      </c>
      <c r="E65" s="42" t="s">
        <v>2422</v>
      </c>
      <c r="F65" s="42">
        <v>20187240</v>
      </c>
      <c r="G65" s="42"/>
      <c r="H65" s="42">
        <v>12500</v>
      </c>
      <c r="I65" s="42">
        <v>250</v>
      </c>
      <c r="J65" s="42">
        <v>0.13</v>
      </c>
      <c r="K65" s="43">
        <f>I65*J65</f>
        <v>32.5</v>
      </c>
      <c r="L65" s="43">
        <f>H65-K65</f>
        <v>12467.5</v>
      </c>
      <c r="M65" s="43"/>
      <c r="N65" s="43">
        <f>L65-M65</f>
        <v>12467.5</v>
      </c>
      <c r="O65" s="43">
        <f>H65/1000*70</f>
        <v>875</v>
      </c>
      <c r="P65" s="42">
        <v>9000</v>
      </c>
      <c r="Q65" s="42">
        <v>36.799999999999997</v>
      </c>
      <c r="R65" s="42">
        <f>L65*Q65</f>
        <v>458803.99999999994</v>
      </c>
    </row>
    <row r="66" spans="1:18">
      <c r="A66" s="374"/>
      <c r="B66" s="42" t="s">
        <v>2379</v>
      </c>
      <c r="C66" s="42" t="s">
        <v>24</v>
      </c>
      <c r="D66" s="42" t="s">
        <v>16</v>
      </c>
      <c r="E66" s="42" t="s">
        <v>2374</v>
      </c>
      <c r="F66" s="42">
        <v>20187234</v>
      </c>
      <c r="G66" s="42"/>
      <c r="H66" s="42">
        <v>12500</v>
      </c>
      <c r="I66" s="42">
        <v>250</v>
      </c>
      <c r="J66" s="42">
        <v>0.13</v>
      </c>
      <c r="K66" s="43">
        <f>I66*J66</f>
        <v>32.5</v>
      </c>
      <c r="L66" s="43">
        <f>H66-K66</f>
        <v>12467.5</v>
      </c>
      <c r="M66" s="43"/>
      <c r="N66" s="43">
        <f>L66-M66</f>
        <v>12467.5</v>
      </c>
      <c r="O66" s="43">
        <f>H66/1000*70</f>
        <v>875</v>
      </c>
      <c r="P66" s="42">
        <v>9000</v>
      </c>
      <c r="Q66" s="42">
        <v>36.799999999999997</v>
      </c>
      <c r="R66" s="42">
        <f>L66*Q66</f>
        <v>458803.99999999994</v>
      </c>
    </row>
    <row r="68" spans="1:18">
      <c r="A68" s="1" t="s">
        <v>2488</v>
      </c>
      <c r="B68" s="92" t="s">
        <v>1782</v>
      </c>
      <c r="C68" s="92" t="s">
        <v>24</v>
      </c>
      <c r="D68" s="42" t="s">
        <v>16</v>
      </c>
      <c r="E68" s="42" t="s">
        <v>825</v>
      </c>
      <c r="F68" s="42">
        <v>20187341</v>
      </c>
      <c r="G68" s="42"/>
      <c r="H68" s="42">
        <v>17500</v>
      </c>
      <c r="I68" s="42">
        <v>350</v>
      </c>
      <c r="J68" s="42">
        <v>0.13</v>
      </c>
      <c r="K68" s="43">
        <f t="shared" ref="K68:K71" si="30">I68*J68</f>
        <v>45.5</v>
      </c>
      <c r="L68" s="43">
        <f t="shared" ref="L68:L71" si="31">H68-K68</f>
        <v>17454.5</v>
      </c>
      <c r="M68" s="43"/>
      <c r="N68" s="43">
        <f t="shared" ref="N68:N71" si="32">L68-M68</f>
        <v>17454.5</v>
      </c>
      <c r="O68" s="43">
        <f t="shared" ref="O68:O71" si="33">H68/1000*70</f>
        <v>1225</v>
      </c>
      <c r="P68" s="42">
        <v>14000</v>
      </c>
      <c r="Q68" s="42">
        <v>38</v>
      </c>
      <c r="R68" s="42">
        <f t="shared" ref="R68:R71" si="34">L68*Q68</f>
        <v>663271</v>
      </c>
    </row>
    <row r="69" spans="1:18">
      <c r="A69" s="374" t="s">
        <v>2489</v>
      </c>
      <c r="B69" s="92" t="s">
        <v>1782</v>
      </c>
      <c r="C69" s="92" t="s">
        <v>24</v>
      </c>
      <c r="D69" s="42" t="s">
        <v>16</v>
      </c>
      <c r="E69" s="42" t="s">
        <v>1785</v>
      </c>
      <c r="F69" s="42">
        <v>20187348</v>
      </c>
      <c r="G69" s="42"/>
      <c r="H69" s="42">
        <v>17500</v>
      </c>
      <c r="I69" s="42">
        <v>350</v>
      </c>
      <c r="J69" s="42">
        <v>0.13</v>
      </c>
      <c r="K69" s="43">
        <f t="shared" si="30"/>
        <v>45.5</v>
      </c>
      <c r="L69" s="43">
        <f t="shared" si="31"/>
        <v>17454.5</v>
      </c>
      <c r="M69" s="43"/>
      <c r="N69" s="43">
        <f t="shared" si="32"/>
        <v>17454.5</v>
      </c>
      <c r="O69" s="43">
        <f t="shared" si="33"/>
        <v>1225</v>
      </c>
      <c r="P69" s="42">
        <v>14000</v>
      </c>
      <c r="Q69" s="42">
        <v>38</v>
      </c>
      <c r="R69" s="42">
        <f t="shared" si="34"/>
        <v>663271</v>
      </c>
    </row>
    <row r="70" spans="1:18">
      <c r="A70" s="374"/>
      <c r="B70" s="92" t="s">
        <v>1782</v>
      </c>
      <c r="C70" s="92" t="s">
        <v>24</v>
      </c>
      <c r="D70" s="42" t="s">
        <v>16</v>
      </c>
      <c r="E70" s="42" t="s">
        <v>772</v>
      </c>
      <c r="F70" s="42">
        <v>20187349</v>
      </c>
      <c r="G70" s="42"/>
      <c r="H70" s="42">
        <v>17490</v>
      </c>
      <c r="I70" s="42">
        <v>350</v>
      </c>
      <c r="J70" s="42">
        <v>0.13</v>
      </c>
      <c r="K70" s="43">
        <f t="shared" si="30"/>
        <v>45.5</v>
      </c>
      <c r="L70" s="43">
        <f t="shared" si="31"/>
        <v>17444.5</v>
      </c>
      <c r="M70" s="43"/>
      <c r="N70" s="43">
        <f t="shared" si="32"/>
        <v>17444.5</v>
      </c>
      <c r="O70" s="43">
        <f t="shared" si="33"/>
        <v>1224.3</v>
      </c>
      <c r="P70" s="42">
        <v>14000</v>
      </c>
      <c r="Q70" s="42">
        <v>38</v>
      </c>
      <c r="R70" s="42">
        <f t="shared" si="34"/>
        <v>662891</v>
      </c>
    </row>
    <row r="71" spans="1:18">
      <c r="A71" s="374"/>
      <c r="B71" s="92" t="s">
        <v>1782</v>
      </c>
      <c r="C71" s="92" t="s">
        <v>24</v>
      </c>
      <c r="D71" s="42" t="s">
        <v>16</v>
      </c>
      <c r="E71" s="42" t="s">
        <v>1950</v>
      </c>
      <c r="F71" s="42">
        <v>20187350</v>
      </c>
      <c r="G71" s="42"/>
      <c r="H71" s="42">
        <v>17500</v>
      </c>
      <c r="I71" s="42">
        <v>350</v>
      </c>
      <c r="J71" s="42">
        <v>0.13</v>
      </c>
      <c r="K71" s="43">
        <f t="shared" si="30"/>
        <v>45.5</v>
      </c>
      <c r="L71" s="43">
        <f t="shared" si="31"/>
        <v>17454.5</v>
      </c>
      <c r="M71" s="43"/>
      <c r="N71" s="43">
        <f t="shared" si="32"/>
        <v>17454.5</v>
      </c>
      <c r="O71" s="43">
        <f t="shared" si="33"/>
        <v>1225</v>
      </c>
      <c r="P71" s="42">
        <v>14000</v>
      </c>
      <c r="Q71" s="42">
        <v>38</v>
      </c>
      <c r="R71" s="42">
        <f t="shared" si="34"/>
        <v>663271</v>
      </c>
    </row>
    <row r="73" spans="1:18">
      <c r="A73" s="1" t="s">
        <v>2519</v>
      </c>
      <c r="B73" s="92" t="s">
        <v>1782</v>
      </c>
      <c r="C73" s="92" t="s">
        <v>24</v>
      </c>
      <c r="D73" s="42" t="s">
        <v>16</v>
      </c>
      <c r="E73" s="42" t="s">
        <v>2520</v>
      </c>
      <c r="F73" s="42">
        <v>20187469</v>
      </c>
      <c r="G73" s="42"/>
      <c r="H73" s="42">
        <v>15000</v>
      </c>
      <c r="I73" s="42">
        <v>300</v>
      </c>
      <c r="J73" s="42">
        <v>0.13</v>
      </c>
      <c r="K73" s="43">
        <f t="shared" ref="K73" si="35">I73*J73</f>
        <v>39</v>
      </c>
      <c r="L73" s="43">
        <f t="shared" ref="L73" si="36">H73-K73</f>
        <v>14961</v>
      </c>
      <c r="M73" s="43"/>
      <c r="N73" s="43">
        <f t="shared" ref="N73" si="37">L73-M73</f>
        <v>14961</v>
      </c>
      <c r="O73" s="43">
        <f t="shared" ref="O73" si="38">H73/1000*70</f>
        <v>1050</v>
      </c>
      <c r="P73" s="42">
        <v>12000</v>
      </c>
      <c r="Q73" s="42">
        <v>38</v>
      </c>
      <c r="R73" s="42">
        <f t="shared" ref="R73" si="39">L73*Q73</f>
        <v>568518</v>
      </c>
    </row>
    <row r="75" spans="1:18">
      <c r="A75" s="1" t="s">
        <v>2530</v>
      </c>
      <c r="B75" s="92" t="s">
        <v>1782</v>
      </c>
      <c r="C75" s="92" t="s">
        <v>24</v>
      </c>
      <c r="D75" s="42" t="s">
        <v>16</v>
      </c>
      <c r="E75" s="42" t="s">
        <v>2531</v>
      </c>
      <c r="F75" s="42">
        <v>20187470</v>
      </c>
      <c r="G75" s="42"/>
      <c r="H75" s="42">
        <v>15000</v>
      </c>
      <c r="I75" s="42">
        <v>300</v>
      </c>
      <c r="J75" s="42">
        <v>0.13</v>
      </c>
      <c r="K75" s="43">
        <f t="shared" ref="K75:K83" si="40">I75*J75</f>
        <v>39</v>
      </c>
      <c r="L75" s="43">
        <f t="shared" ref="L75:L83" si="41">H75-K75</f>
        <v>14961</v>
      </c>
      <c r="M75" s="43"/>
      <c r="N75" s="43">
        <f t="shared" ref="N75:N83" si="42">L75-M75</f>
        <v>14961</v>
      </c>
      <c r="O75" s="43">
        <f t="shared" ref="O75:O83" si="43">H75/1000*70</f>
        <v>1050</v>
      </c>
      <c r="P75" s="42">
        <v>12000</v>
      </c>
      <c r="Q75" s="42">
        <v>38</v>
      </c>
      <c r="R75" s="42">
        <f t="shared" ref="R75:R83" si="44">L75*Q75</f>
        <v>568518</v>
      </c>
    </row>
    <row r="76" spans="1:18">
      <c r="A76" s="374" t="s">
        <v>2536</v>
      </c>
      <c r="B76" s="92" t="s">
        <v>1782</v>
      </c>
      <c r="C76" s="92" t="s">
        <v>24</v>
      </c>
      <c r="D76" s="42" t="s">
        <v>16</v>
      </c>
      <c r="E76" s="42" t="s">
        <v>2381</v>
      </c>
      <c r="F76" s="42">
        <v>25320</v>
      </c>
      <c r="G76" s="42"/>
      <c r="H76" s="42">
        <v>15000</v>
      </c>
      <c r="I76" s="42">
        <v>300</v>
      </c>
      <c r="J76" s="42">
        <v>0.13</v>
      </c>
      <c r="K76" s="43">
        <f t="shared" si="40"/>
        <v>39</v>
      </c>
      <c r="L76" s="43">
        <f t="shared" si="41"/>
        <v>14961</v>
      </c>
      <c r="M76" s="43"/>
      <c r="N76" s="43">
        <f t="shared" si="42"/>
        <v>14961</v>
      </c>
      <c r="O76" s="43">
        <f t="shared" si="43"/>
        <v>1050</v>
      </c>
      <c r="P76" s="42">
        <v>9800</v>
      </c>
      <c r="Q76" s="42">
        <v>38</v>
      </c>
      <c r="R76" s="42">
        <f t="shared" si="44"/>
        <v>568518</v>
      </c>
    </row>
    <row r="77" spans="1:18">
      <c r="A77" s="374"/>
      <c r="B77" s="92" t="s">
        <v>1782</v>
      </c>
      <c r="C77" s="92" t="s">
        <v>24</v>
      </c>
      <c r="D77" s="42" t="s">
        <v>16</v>
      </c>
      <c r="E77" s="42" t="s">
        <v>853</v>
      </c>
      <c r="F77" s="42">
        <v>25328</v>
      </c>
      <c r="G77" s="42"/>
      <c r="H77" s="42">
        <v>20000</v>
      </c>
      <c r="I77" s="42">
        <v>400</v>
      </c>
      <c r="J77" s="42">
        <v>0.13</v>
      </c>
      <c r="K77" s="43">
        <f t="shared" si="40"/>
        <v>52</v>
      </c>
      <c r="L77" s="43">
        <f t="shared" si="41"/>
        <v>19948</v>
      </c>
      <c r="M77" s="43"/>
      <c r="N77" s="43">
        <f t="shared" si="42"/>
        <v>19948</v>
      </c>
      <c r="O77" s="43">
        <f t="shared" si="43"/>
        <v>1400</v>
      </c>
      <c r="P77" s="42">
        <v>13000</v>
      </c>
      <c r="Q77" s="42">
        <v>38</v>
      </c>
      <c r="R77" s="42">
        <f t="shared" si="44"/>
        <v>758024</v>
      </c>
    </row>
    <row r="78" spans="1:18">
      <c r="A78" s="374"/>
      <c r="B78" s="92" t="s">
        <v>1782</v>
      </c>
      <c r="C78" s="92" t="s">
        <v>24</v>
      </c>
      <c r="D78" s="42" t="s">
        <v>16</v>
      </c>
      <c r="E78" s="42" t="s">
        <v>1783</v>
      </c>
      <c r="F78" s="42">
        <v>25326</v>
      </c>
      <c r="G78" s="42"/>
      <c r="H78" s="42">
        <v>15000</v>
      </c>
      <c r="I78" s="42">
        <v>300</v>
      </c>
      <c r="J78" s="42">
        <v>0.13</v>
      </c>
      <c r="K78" s="43">
        <f t="shared" si="40"/>
        <v>39</v>
      </c>
      <c r="L78" s="43">
        <f t="shared" si="41"/>
        <v>14961</v>
      </c>
      <c r="M78" s="43"/>
      <c r="N78" s="43">
        <f t="shared" si="42"/>
        <v>14961</v>
      </c>
      <c r="O78" s="43">
        <f t="shared" si="43"/>
        <v>1050</v>
      </c>
      <c r="P78" s="42">
        <v>0</v>
      </c>
      <c r="Q78" s="42">
        <v>38</v>
      </c>
      <c r="R78" s="42">
        <f t="shared" si="44"/>
        <v>568518</v>
      </c>
    </row>
    <row r="79" spans="1:18">
      <c r="A79" s="374" t="s">
        <v>2544</v>
      </c>
      <c r="B79" s="92" t="s">
        <v>1782</v>
      </c>
      <c r="C79" s="92" t="s">
        <v>24</v>
      </c>
      <c r="D79" s="42" t="s">
        <v>16</v>
      </c>
      <c r="E79" s="42" t="s">
        <v>2545</v>
      </c>
      <c r="F79" s="42">
        <v>20180212</v>
      </c>
      <c r="G79" s="42"/>
      <c r="H79" s="42">
        <v>20000</v>
      </c>
      <c r="I79" s="42">
        <v>400</v>
      </c>
      <c r="J79" s="42">
        <v>0.13</v>
      </c>
      <c r="K79" s="43">
        <f t="shared" si="40"/>
        <v>52</v>
      </c>
      <c r="L79" s="43">
        <f t="shared" si="41"/>
        <v>19948</v>
      </c>
      <c r="M79" s="43"/>
      <c r="N79" s="43">
        <f t="shared" si="42"/>
        <v>19948</v>
      </c>
      <c r="O79" s="43">
        <f t="shared" si="43"/>
        <v>1400</v>
      </c>
      <c r="P79" s="42">
        <v>13000</v>
      </c>
      <c r="Q79" s="42">
        <v>38</v>
      </c>
      <c r="R79" s="42">
        <f t="shared" si="44"/>
        <v>758024</v>
      </c>
    </row>
    <row r="80" spans="1:18">
      <c r="A80" s="374"/>
      <c r="B80" s="92" t="s">
        <v>1782</v>
      </c>
      <c r="C80" s="92" t="s">
        <v>24</v>
      </c>
      <c r="D80" s="42" t="s">
        <v>16</v>
      </c>
      <c r="E80" s="42" t="s">
        <v>1786</v>
      </c>
      <c r="F80" s="42">
        <v>20180213</v>
      </c>
      <c r="G80" s="42"/>
      <c r="H80" s="42">
        <v>15000</v>
      </c>
      <c r="I80" s="42">
        <v>300</v>
      </c>
      <c r="J80" s="42">
        <v>0.13</v>
      </c>
      <c r="K80" s="43">
        <f t="shared" si="40"/>
        <v>39</v>
      </c>
      <c r="L80" s="43">
        <f t="shared" si="41"/>
        <v>14961</v>
      </c>
      <c r="M80" s="43"/>
      <c r="N80" s="43">
        <f t="shared" si="42"/>
        <v>14961</v>
      </c>
      <c r="O80" s="43">
        <f t="shared" si="43"/>
        <v>1050</v>
      </c>
      <c r="P80" s="42">
        <v>9800</v>
      </c>
      <c r="Q80" s="42">
        <v>38</v>
      </c>
      <c r="R80" s="42">
        <f t="shared" si="44"/>
        <v>568518</v>
      </c>
    </row>
    <row r="81" spans="1:18">
      <c r="A81" s="374"/>
      <c r="B81" s="92" t="s">
        <v>1782</v>
      </c>
      <c r="C81" s="92" t="s">
        <v>24</v>
      </c>
      <c r="D81" s="42" t="s">
        <v>16</v>
      </c>
      <c r="E81" s="42" t="s">
        <v>759</v>
      </c>
      <c r="F81" s="42">
        <v>20180216</v>
      </c>
      <c r="G81" s="42"/>
      <c r="H81" s="42">
        <v>20000</v>
      </c>
      <c r="I81" s="42">
        <v>400</v>
      </c>
      <c r="J81" s="42">
        <v>0.13</v>
      </c>
      <c r="K81" s="43">
        <f t="shared" si="40"/>
        <v>52</v>
      </c>
      <c r="L81" s="43">
        <f t="shared" si="41"/>
        <v>19948</v>
      </c>
      <c r="M81" s="43"/>
      <c r="N81" s="43">
        <f t="shared" si="42"/>
        <v>19948</v>
      </c>
      <c r="O81" s="43">
        <f t="shared" si="43"/>
        <v>1400</v>
      </c>
      <c r="P81" s="42">
        <v>13000</v>
      </c>
      <c r="Q81" s="42">
        <v>38</v>
      </c>
      <c r="R81" s="42">
        <f t="shared" si="44"/>
        <v>758024</v>
      </c>
    </row>
    <row r="82" spans="1:18">
      <c r="A82" s="1" t="s">
        <v>2557</v>
      </c>
      <c r="B82" s="42" t="s">
        <v>1782</v>
      </c>
      <c r="C82" s="42" t="s">
        <v>24</v>
      </c>
      <c r="D82" s="42" t="s">
        <v>16</v>
      </c>
      <c r="E82" s="42" t="s">
        <v>2559</v>
      </c>
      <c r="F82" s="42">
        <v>20180181</v>
      </c>
      <c r="G82" s="42"/>
      <c r="H82" s="42">
        <v>18000</v>
      </c>
      <c r="I82" s="42">
        <v>360</v>
      </c>
      <c r="J82" s="42">
        <v>0.13</v>
      </c>
      <c r="K82" s="43">
        <f t="shared" si="40"/>
        <v>46.800000000000004</v>
      </c>
      <c r="L82" s="43">
        <f t="shared" si="41"/>
        <v>17953.2</v>
      </c>
      <c r="M82" s="43"/>
      <c r="N82" s="43">
        <f t="shared" si="42"/>
        <v>17953.2</v>
      </c>
      <c r="O82" s="43">
        <f t="shared" si="43"/>
        <v>1260</v>
      </c>
      <c r="P82" s="42">
        <v>11700</v>
      </c>
      <c r="Q82" s="42">
        <v>38</v>
      </c>
      <c r="R82" s="42">
        <f t="shared" si="44"/>
        <v>682221.6</v>
      </c>
    </row>
    <row r="83" spans="1:18">
      <c r="A83" s="1" t="s">
        <v>2567</v>
      </c>
      <c r="B83" s="42" t="s">
        <v>1782</v>
      </c>
      <c r="C83" s="42" t="s">
        <v>24</v>
      </c>
      <c r="D83" s="42" t="s">
        <v>16</v>
      </c>
      <c r="E83" s="42" t="s">
        <v>2384</v>
      </c>
      <c r="F83" s="42">
        <v>91386</v>
      </c>
      <c r="G83" s="42"/>
      <c r="H83" s="42">
        <v>15000</v>
      </c>
      <c r="I83" s="42">
        <v>300</v>
      </c>
      <c r="J83" s="42">
        <v>0.13</v>
      </c>
      <c r="K83" s="43">
        <f t="shared" si="40"/>
        <v>39</v>
      </c>
      <c r="L83" s="43">
        <f t="shared" si="41"/>
        <v>14961</v>
      </c>
      <c r="M83" s="43"/>
      <c r="N83" s="43">
        <f t="shared" si="42"/>
        <v>14961</v>
      </c>
      <c r="O83" s="43">
        <f t="shared" si="43"/>
        <v>1050</v>
      </c>
      <c r="P83" s="42">
        <v>13000</v>
      </c>
      <c r="Q83" s="42">
        <v>38</v>
      </c>
      <c r="R83" s="42">
        <f t="shared" si="44"/>
        <v>568518</v>
      </c>
    </row>
    <row r="84" spans="1:18">
      <c r="A84" s="53" t="s">
        <v>2569</v>
      </c>
      <c r="B84" s="42" t="s">
        <v>1782</v>
      </c>
      <c r="C84" s="42" t="s">
        <v>24</v>
      </c>
      <c r="D84" s="42" t="s">
        <v>16</v>
      </c>
      <c r="E84" s="42" t="s">
        <v>2570</v>
      </c>
      <c r="F84" s="42">
        <v>91240</v>
      </c>
      <c r="G84" s="42"/>
      <c r="H84" s="42">
        <v>15000</v>
      </c>
      <c r="I84" s="42">
        <v>300</v>
      </c>
      <c r="J84" s="42">
        <v>0.13</v>
      </c>
      <c r="K84" s="43">
        <v>39</v>
      </c>
      <c r="L84" s="43">
        <v>14961</v>
      </c>
      <c r="M84" s="43"/>
      <c r="N84" s="43">
        <v>14961</v>
      </c>
      <c r="O84" s="43">
        <v>1050</v>
      </c>
      <c r="P84" s="42">
        <v>13000</v>
      </c>
      <c r="Q84" s="42">
        <v>38</v>
      </c>
      <c r="R84" s="42">
        <v>568518</v>
      </c>
    </row>
    <row r="85" spans="1:18">
      <c r="A85" s="374" t="s">
        <v>2572</v>
      </c>
      <c r="B85" s="42" t="s">
        <v>1782</v>
      </c>
      <c r="C85" s="42" t="s">
        <v>24</v>
      </c>
      <c r="D85" s="42" t="s">
        <v>16</v>
      </c>
      <c r="E85" s="42" t="s">
        <v>2573</v>
      </c>
      <c r="F85" s="42">
        <v>87809</v>
      </c>
      <c r="G85" s="42"/>
      <c r="H85" s="42">
        <v>12500</v>
      </c>
      <c r="I85" s="42">
        <v>250</v>
      </c>
      <c r="J85" s="42">
        <v>0.13</v>
      </c>
      <c r="K85" s="43">
        <v>32.5</v>
      </c>
      <c r="L85" s="43">
        <v>12467.5</v>
      </c>
      <c r="M85" s="43"/>
      <c r="N85" s="43">
        <v>12467.5</v>
      </c>
      <c r="O85" s="43">
        <v>875</v>
      </c>
      <c r="P85" s="42">
        <v>13000</v>
      </c>
      <c r="Q85" s="42">
        <v>38</v>
      </c>
      <c r="R85" s="42">
        <v>473765</v>
      </c>
    </row>
    <row r="86" spans="1:18">
      <c r="A86" s="374"/>
      <c r="B86" s="42" t="s">
        <v>1782</v>
      </c>
      <c r="C86" s="42" t="s">
        <v>24</v>
      </c>
      <c r="D86" s="42" t="s">
        <v>16</v>
      </c>
      <c r="E86" s="42" t="s">
        <v>2574</v>
      </c>
      <c r="F86" s="42">
        <v>87811</v>
      </c>
      <c r="G86" s="42"/>
      <c r="H86" s="42">
        <v>15000</v>
      </c>
      <c r="I86" s="42">
        <v>300</v>
      </c>
      <c r="J86" s="42">
        <v>0.13</v>
      </c>
      <c r="K86" s="43">
        <v>39</v>
      </c>
      <c r="L86" s="43">
        <v>14961</v>
      </c>
      <c r="M86" s="43"/>
      <c r="N86" s="43">
        <v>14961</v>
      </c>
      <c r="O86" s="43">
        <v>1050</v>
      </c>
      <c r="P86" s="42">
        <v>14000</v>
      </c>
      <c r="Q86" s="42">
        <v>38</v>
      </c>
      <c r="R86" s="42">
        <v>568518</v>
      </c>
    </row>
    <row r="87" spans="1:18">
      <c r="A87" s="150" t="s">
        <v>2578</v>
      </c>
      <c r="B87" s="42" t="s">
        <v>1782</v>
      </c>
      <c r="C87" s="42" t="s">
        <v>24</v>
      </c>
      <c r="D87" s="42" t="s">
        <v>16</v>
      </c>
      <c r="E87" s="42" t="s">
        <v>2579</v>
      </c>
      <c r="F87" s="42">
        <v>20180450</v>
      </c>
      <c r="G87" s="42"/>
      <c r="H87" s="42">
        <v>15000</v>
      </c>
      <c r="I87" s="42">
        <v>300</v>
      </c>
      <c r="J87" s="42">
        <v>0.13</v>
      </c>
      <c r="K87" s="43">
        <f t="shared" ref="K87:K111" si="45">I87*J87</f>
        <v>39</v>
      </c>
      <c r="L87" s="43">
        <f t="shared" ref="L87:L111" si="46">H87-K87</f>
        <v>14961</v>
      </c>
      <c r="M87" s="43"/>
      <c r="N87" s="43">
        <f t="shared" ref="N87:N111" si="47">L87-M87</f>
        <v>14961</v>
      </c>
      <c r="O87" s="43">
        <f t="shared" ref="O87:O111" si="48">H87/1000*70</f>
        <v>1050</v>
      </c>
      <c r="P87" s="42">
        <v>15000</v>
      </c>
      <c r="Q87" s="42">
        <v>38</v>
      </c>
      <c r="R87" s="42">
        <f t="shared" ref="R87:R111" si="49">L87*Q87</f>
        <v>568518</v>
      </c>
    </row>
    <row r="88" spans="1:18">
      <c r="A88" s="150" t="s">
        <v>2581</v>
      </c>
      <c r="B88" s="42" t="s">
        <v>1782</v>
      </c>
      <c r="C88" s="42" t="s">
        <v>24</v>
      </c>
      <c r="D88" s="42" t="s">
        <v>16</v>
      </c>
      <c r="E88" s="42" t="s">
        <v>2375</v>
      </c>
      <c r="F88" s="42">
        <v>20180367</v>
      </c>
      <c r="G88" s="42"/>
      <c r="H88" s="42">
        <v>12500</v>
      </c>
      <c r="I88" s="42">
        <v>250</v>
      </c>
      <c r="J88" s="42">
        <v>0.13</v>
      </c>
      <c r="K88" s="43">
        <f t="shared" si="45"/>
        <v>32.5</v>
      </c>
      <c r="L88" s="43">
        <f t="shared" si="46"/>
        <v>12467.5</v>
      </c>
      <c r="M88" s="43"/>
      <c r="N88" s="43">
        <f t="shared" si="47"/>
        <v>12467.5</v>
      </c>
      <c r="O88" s="43">
        <f t="shared" si="48"/>
        <v>875</v>
      </c>
      <c r="P88" s="42">
        <v>12000</v>
      </c>
      <c r="Q88" s="42">
        <v>38</v>
      </c>
      <c r="R88" s="42">
        <f t="shared" si="49"/>
        <v>473765</v>
      </c>
    </row>
    <row r="89" spans="1:18">
      <c r="A89" s="150" t="s">
        <v>2610</v>
      </c>
      <c r="B89" s="42" t="s">
        <v>1782</v>
      </c>
      <c r="C89" s="42" t="s">
        <v>24</v>
      </c>
      <c r="D89" s="42" t="s">
        <v>16</v>
      </c>
      <c r="E89" s="42" t="s">
        <v>2375</v>
      </c>
      <c r="F89" s="42">
        <v>20185622</v>
      </c>
      <c r="G89" s="42"/>
      <c r="H89" s="42">
        <v>15000</v>
      </c>
      <c r="I89" s="42">
        <v>300</v>
      </c>
      <c r="J89" s="42">
        <v>0.13</v>
      </c>
      <c r="K89" s="43">
        <f t="shared" si="45"/>
        <v>39</v>
      </c>
      <c r="L89" s="43">
        <f t="shared" si="46"/>
        <v>14961</v>
      </c>
      <c r="M89" s="43"/>
      <c r="N89" s="43">
        <f t="shared" si="47"/>
        <v>14961</v>
      </c>
      <c r="O89" s="43">
        <f t="shared" si="48"/>
        <v>1050</v>
      </c>
      <c r="P89" s="42">
        <v>14000</v>
      </c>
      <c r="Q89" s="42">
        <v>37.9</v>
      </c>
      <c r="R89" s="42">
        <f t="shared" si="49"/>
        <v>567021.9</v>
      </c>
    </row>
    <row r="90" spans="1:18">
      <c r="A90" s="150" t="s">
        <v>2618</v>
      </c>
      <c r="B90" s="42" t="s">
        <v>1782</v>
      </c>
      <c r="C90" s="42" t="s">
        <v>24</v>
      </c>
      <c r="D90" s="42" t="s">
        <v>16</v>
      </c>
      <c r="E90" s="42" t="s">
        <v>780</v>
      </c>
      <c r="F90" s="42">
        <v>20185453</v>
      </c>
      <c r="G90" s="42"/>
      <c r="H90" s="42">
        <v>12500</v>
      </c>
      <c r="I90" s="42">
        <v>250</v>
      </c>
      <c r="J90" s="42">
        <v>0.13</v>
      </c>
      <c r="K90" s="43">
        <f t="shared" si="45"/>
        <v>32.5</v>
      </c>
      <c r="L90" s="43">
        <f t="shared" si="46"/>
        <v>12467.5</v>
      </c>
      <c r="M90" s="43"/>
      <c r="N90" s="43">
        <f t="shared" si="47"/>
        <v>12467.5</v>
      </c>
      <c r="O90" s="43">
        <f t="shared" si="48"/>
        <v>875</v>
      </c>
      <c r="P90" s="42">
        <v>12000</v>
      </c>
      <c r="Q90" s="42">
        <v>37.9</v>
      </c>
      <c r="R90" s="42">
        <f t="shared" si="49"/>
        <v>472518.25</v>
      </c>
    </row>
    <row r="91" spans="1:18">
      <c r="A91" s="150" t="s">
        <v>2634</v>
      </c>
      <c r="B91" s="42" t="s">
        <v>1782</v>
      </c>
      <c r="C91" s="42" t="s">
        <v>24</v>
      </c>
      <c r="D91" s="42" t="s">
        <v>16</v>
      </c>
      <c r="E91" s="42" t="s">
        <v>2635</v>
      </c>
      <c r="F91" s="42">
        <v>21537</v>
      </c>
      <c r="G91" s="42"/>
      <c r="H91" s="42">
        <v>12500</v>
      </c>
      <c r="I91" s="42">
        <v>250</v>
      </c>
      <c r="J91" s="42">
        <v>0.13</v>
      </c>
      <c r="K91" s="43">
        <f t="shared" si="45"/>
        <v>32.5</v>
      </c>
      <c r="L91" s="43">
        <f t="shared" si="46"/>
        <v>12467.5</v>
      </c>
      <c r="M91" s="43"/>
      <c r="N91" s="43">
        <f t="shared" si="47"/>
        <v>12467.5</v>
      </c>
      <c r="O91" s="43">
        <f t="shared" si="48"/>
        <v>875</v>
      </c>
      <c r="P91" s="42">
        <v>10000</v>
      </c>
      <c r="Q91" s="42">
        <v>37.9</v>
      </c>
      <c r="R91" s="42">
        <f t="shared" si="49"/>
        <v>472518.25</v>
      </c>
    </row>
    <row r="92" spans="1:18">
      <c r="A92" s="150" t="s">
        <v>2658</v>
      </c>
      <c r="B92" s="42" t="s">
        <v>1782</v>
      </c>
      <c r="C92" s="42" t="s">
        <v>24</v>
      </c>
      <c r="D92" s="42" t="s">
        <v>16</v>
      </c>
      <c r="E92" s="42" t="s">
        <v>2659</v>
      </c>
      <c r="F92" s="42">
        <v>82273</v>
      </c>
      <c r="G92" s="42"/>
      <c r="H92" s="42">
        <v>12500</v>
      </c>
      <c r="I92" s="42">
        <v>250</v>
      </c>
      <c r="J92" s="42">
        <v>0.13</v>
      </c>
      <c r="K92" s="43">
        <f t="shared" si="45"/>
        <v>32.5</v>
      </c>
      <c r="L92" s="43">
        <f t="shared" si="46"/>
        <v>12467.5</v>
      </c>
      <c r="M92" s="43"/>
      <c r="N92" s="43">
        <f t="shared" si="47"/>
        <v>12467.5</v>
      </c>
      <c r="O92" s="43">
        <f t="shared" si="48"/>
        <v>875</v>
      </c>
      <c r="P92" s="42">
        <v>12000</v>
      </c>
      <c r="Q92" s="42">
        <v>37.9</v>
      </c>
      <c r="R92" s="42">
        <f t="shared" si="49"/>
        <v>472518.25</v>
      </c>
    </row>
    <row r="93" spans="1:18">
      <c r="A93" s="150" t="s">
        <v>2663</v>
      </c>
      <c r="B93" s="42" t="s">
        <v>1782</v>
      </c>
      <c r="C93" s="42" t="s">
        <v>24</v>
      </c>
      <c r="D93" s="42" t="s">
        <v>16</v>
      </c>
      <c r="E93" s="42" t="s">
        <v>2664</v>
      </c>
      <c r="F93" s="42">
        <v>82294</v>
      </c>
      <c r="G93" s="42"/>
      <c r="H93" s="42">
        <v>17500</v>
      </c>
      <c r="I93" s="42">
        <v>350</v>
      </c>
      <c r="J93" s="42">
        <v>0.13</v>
      </c>
      <c r="K93" s="43">
        <f t="shared" si="45"/>
        <v>45.5</v>
      </c>
      <c r="L93" s="43">
        <f t="shared" si="46"/>
        <v>17454.5</v>
      </c>
      <c r="M93" s="43"/>
      <c r="N93" s="43">
        <f t="shared" si="47"/>
        <v>17454.5</v>
      </c>
      <c r="O93" s="43">
        <f t="shared" si="48"/>
        <v>1225</v>
      </c>
      <c r="P93" s="42">
        <v>14000</v>
      </c>
      <c r="Q93" s="42">
        <v>37.9</v>
      </c>
      <c r="R93" s="42">
        <f t="shared" si="49"/>
        <v>661525.54999999993</v>
      </c>
    </row>
    <row r="94" spans="1:18">
      <c r="A94" s="374" t="s">
        <v>2668</v>
      </c>
      <c r="B94" s="42" t="s">
        <v>1782</v>
      </c>
      <c r="C94" s="42" t="s">
        <v>24</v>
      </c>
      <c r="D94" s="42" t="s">
        <v>16</v>
      </c>
      <c r="E94" s="42" t="s">
        <v>2559</v>
      </c>
      <c r="F94" s="42">
        <v>92210</v>
      </c>
      <c r="G94" s="42"/>
      <c r="H94" s="42">
        <v>15000</v>
      </c>
      <c r="I94" s="42">
        <v>300</v>
      </c>
      <c r="J94" s="42">
        <v>0.13</v>
      </c>
      <c r="K94" s="43">
        <f t="shared" si="45"/>
        <v>39</v>
      </c>
      <c r="L94" s="43">
        <f t="shared" si="46"/>
        <v>14961</v>
      </c>
      <c r="M94" s="43"/>
      <c r="N94" s="43">
        <f t="shared" si="47"/>
        <v>14961</v>
      </c>
      <c r="O94" s="43">
        <f t="shared" si="48"/>
        <v>1050</v>
      </c>
      <c r="P94" s="42">
        <v>14000</v>
      </c>
      <c r="Q94" s="42">
        <v>37.9</v>
      </c>
      <c r="R94" s="42">
        <f t="shared" si="49"/>
        <v>567021.9</v>
      </c>
    </row>
    <row r="95" spans="1:18">
      <c r="A95" s="374"/>
      <c r="B95" s="42" t="s">
        <v>1782</v>
      </c>
      <c r="C95" s="42" t="s">
        <v>24</v>
      </c>
      <c r="D95" s="42" t="s">
        <v>16</v>
      </c>
      <c r="E95" s="42" t="s">
        <v>2672</v>
      </c>
      <c r="F95" s="42">
        <v>20183351</v>
      </c>
      <c r="G95" s="42"/>
      <c r="H95" s="42">
        <v>14970</v>
      </c>
      <c r="I95" s="42">
        <v>300</v>
      </c>
      <c r="J95" s="42">
        <v>0.13</v>
      </c>
      <c r="K95" s="43">
        <f t="shared" si="45"/>
        <v>39</v>
      </c>
      <c r="L95" s="43">
        <f t="shared" si="46"/>
        <v>14931</v>
      </c>
      <c r="M95" s="43"/>
      <c r="N95" s="43">
        <f t="shared" si="47"/>
        <v>14931</v>
      </c>
      <c r="O95" s="43">
        <f t="shared" si="48"/>
        <v>1047.9000000000001</v>
      </c>
      <c r="P95" s="42">
        <v>15200</v>
      </c>
      <c r="Q95" s="42">
        <v>37.9</v>
      </c>
      <c r="R95" s="42">
        <f t="shared" si="49"/>
        <v>565884.9</v>
      </c>
    </row>
    <row r="96" spans="1:18">
      <c r="A96" s="374"/>
      <c r="B96" s="42" t="s">
        <v>1782</v>
      </c>
      <c r="C96" s="42" t="s">
        <v>24</v>
      </c>
      <c r="D96" s="42" t="s">
        <v>16</v>
      </c>
      <c r="E96" s="42" t="s">
        <v>766</v>
      </c>
      <c r="F96" s="42">
        <v>13444</v>
      </c>
      <c r="G96" s="42"/>
      <c r="H96" s="42">
        <v>17500</v>
      </c>
      <c r="I96" s="42">
        <v>350</v>
      </c>
      <c r="J96" s="42">
        <v>0.13</v>
      </c>
      <c r="K96" s="43">
        <f t="shared" si="45"/>
        <v>45.5</v>
      </c>
      <c r="L96" s="43">
        <f t="shared" si="46"/>
        <v>17454.5</v>
      </c>
      <c r="M96" s="43"/>
      <c r="N96" s="43">
        <f t="shared" si="47"/>
        <v>17454.5</v>
      </c>
      <c r="O96" s="43">
        <f t="shared" si="48"/>
        <v>1225</v>
      </c>
      <c r="P96" s="42">
        <v>13000</v>
      </c>
      <c r="Q96" s="42">
        <v>37.700000000000003</v>
      </c>
      <c r="R96" s="42">
        <f t="shared" si="49"/>
        <v>658034.65</v>
      </c>
    </row>
    <row r="97" spans="1:18">
      <c r="A97" s="374" t="s">
        <v>2674</v>
      </c>
      <c r="B97" s="42" t="s">
        <v>1782</v>
      </c>
      <c r="C97" s="42" t="s">
        <v>24</v>
      </c>
      <c r="D97" s="42" t="s">
        <v>16</v>
      </c>
      <c r="E97" s="42" t="s">
        <v>2179</v>
      </c>
      <c r="F97" s="42">
        <v>20180625</v>
      </c>
      <c r="G97" s="42"/>
      <c r="H97" s="42">
        <v>15000</v>
      </c>
      <c r="I97" s="42">
        <v>300</v>
      </c>
      <c r="J97" s="42">
        <v>0.13</v>
      </c>
      <c r="K97" s="43">
        <f t="shared" si="45"/>
        <v>39</v>
      </c>
      <c r="L97" s="43">
        <f t="shared" si="46"/>
        <v>14961</v>
      </c>
      <c r="M97" s="43"/>
      <c r="N97" s="43">
        <f t="shared" si="47"/>
        <v>14961</v>
      </c>
      <c r="O97" s="43">
        <f t="shared" si="48"/>
        <v>1050</v>
      </c>
      <c r="P97" s="42">
        <v>12000</v>
      </c>
      <c r="Q97" s="42">
        <v>37.700000000000003</v>
      </c>
      <c r="R97" s="42">
        <f t="shared" si="49"/>
        <v>564029.70000000007</v>
      </c>
    </row>
    <row r="98" spans="1:18">
      <c r="A98" s="374"/>
      <c r="B98" s="42" t="s">
        <v>1782</v>
      </c>
      <c r="C98" s="42" t="s">
        <v>24</v>
      </c>
      <c r="D98" s="42" t="s">
        <v>16</v>
      </c>
      <c r="E98" s="42" t="s">
        <v>1574</v>
      </c>
      <c r="F98" s="42">
        <v>20180627</v>
      </c>
      <c r="G98" s="42"/>
      <c r="H98" s="42">
        <v>15000</v>
      </c>
      <c r="I98" s="42">
        <v>300</v>
      </c>
      <c r="J98" s="42">
        <v>0.13</v>
      </c>
      <c r="K98" s="43">
        <f t="shared" si="45"/>
        <v>39</v>
      </c>
      <c r="L98" s="43">
        <f t="shared" si="46"/>
        <v>14961</v>
      </c>
      <c r="M98" s="43"/>
      <c r="N98" s="43">
        <f t="shared" si="47"/>
        <v>14961</v>
      </c>
      <c r="O98" s="43">
        <f t="shared" si="48"/>
        <v>1050</v>
      </c>
      <c r="P98" s="42">
        <v>14200</v>
      </c>
      <c r="Q98" s="42">
        <v>37.700000000000003</v>
      </c>
      <c r="R98" s="42">
        <f t="shared" si="49"/>
        <v>564029.70000000007</v>
      </c>
    </row>
    <row r="99" spans="1:18">
      <c r="A99" s="150" t="s">
        <v>2680</v>
      </c>
      <c r="B99" s="42" t="s">
        <v>1782</v>
      </c>
      <c r="C99" s="42" t="s">
        <v>24</v>
      </c>
      <c r="D99" s="42" t="s">
        <v>16</v>
      </c>
      <c r="E99" s="42" t="s">
        <v>2681</v>
      </c>
      <c r="F99" s="42">
        <v>20185546</v>
      </c>
      <c r="G99" s="42"/>
      <c r="H99" s="42">
        <v>12500</v>
      </c>
      <c r="I99" s="42">
        <v>250</v>
      </c>
      <c r="J99" s="42">
        <v>0.13</v>
      </c>
      <c r="K99" s="43">
        <f t="shared" si="45"/>
        <v>32.5</v>
      </c>
      <c r="L99" s="43">
        <f t="shared" si="46"/>
        <v>12467.5</v>
      </c>
      <c r="M99" s="43"/>
      <c r="N99" s="43">
        <f t="shared" si="47"/>
        <v>12467.5</v>
      </c>
      <c r="O99" s="43">
        <f t="shared" si="48"/>
        <v>875</v>
      </c>
      <c r="P99" s="42">
        <v>12000</v>
      </c>
      <c r="Q99" s="42">
        <v>37.700000000000003</v>
      </c>
      <c r="R99" s="42">
        <f t="shared" si="49"/>
        <v>470024.75000000006</v>
      </c>
    </row>
    <row r="100" spans="1:18">
      <c r="A100" s="374" t="s">
        <v>2685</v>
      </c>
      <c r="B100" s="42" t="s">
        <v>1782</v>
      </c>
      <c r="C100" s="42" t="s">
        <v>24</v>
      </c>
      <c r="D100" s="42" t="s">
        <v>16</v>
      </c>
      <c r="E100" s="42" t="s">
        <v>717</v>
      </c>
      <c r="F100" s="42">
        <v>82117</v>
      </c>
      <c r="G100" s="42"/>
      <c r="H100" s="42">
        <v>15000</v>
      </c>
      <c r="I100" s="42">
        <v>300</v>
      </c>
      <c r="J100" s="42">
        <v>0.13</v>
      </c>
      <c r="K100" s="43">
        <f t="shared" si="45"/>
        <v>39</v>
      </c>
      <c r="L100" s="43">
        <f t="shared" si="46"/>
        <v>14961</v>
      </c>
      <c r="M100" s="43"/>
      <c r="N100" s="43">
        <f t="shared" si="47"/>
        <v>14961</v>
      </c>
      <c r="O100" s="43">
        <f t="shared" si="48"/>
        <v>1050</v>
      </c>
      <c r="P100" s="42">
        <v>12000</v>
      </c>
      <c r="Q100" s="42">
        <v>37.700000000000003</v>
      </c>
      <c r="R100" s="42">
        <f t="shared" si="49"/>
        <v>564029.70000000007</v>
      </c>
    </row>
    <row r="101" spans="1:18">
      <c r="A101" s="374"/>
      <c r="B101" s="42" t="s">
        <v>1782</v>
      </c>
      <c r="C101" s="42" t="s">
        <v>24</v>
      </c>
      <c r="D101" s="42" t="s">
        <v>16</v>
      </c>
      <c r="E101" s="42" t="s">
        <v>2686</v>
      </c>
      <c r="F101" s="42">
        <v>20180047</v>
      </c>
      <c r="G101" s="42"/>
      <c r="H101" s="42">
        <v>15000</v>
      </c>
      <c r="I101" s="42">
        <v>300</v>
      </c>
      <c r="J101" s="42">
        <v>0.13</v>
      </c>
      <c r="K101" s="43">
        <f t="shared" si="45"/>
        <v>39</v>
      </c>
      <c r="L101" s="43">
        <f t="shared" si="46"/>
        <v>14961</v>
      </c>
      <c r="M101" s="43"/>
      <c r="N101" s="43">
        <f t="shared" si="47"/>
        <v>14961</v>
      </c>
      <c r="O101" s="43">
        <f t="shared" si="48"/>
        <v>1050</v>
      </c>
      <c r="P101" s="42">
        <v>14200</v>
      </c>
      <c r="Q101" s="42">
        <v>37.700000000000003</v>
      </c>
      <c r="R101" s="42">
        <f t="shared" si="49"/>
        <v>564029.70000000007</v>
      </c>
    </row>
    <row r="102" spans="1:18">
      <c r="A102" s="1" t="s">
        <v>2687</v>
      </c>
      <c r="B102" s="42" t="s">
        <v>1782</v>
      </c>
      <c r="C102" s="42" t="s">
        <v>24</v>
      </c>
      <c r="D102" s="42" t="s">
        <v>16</v>
      </c>
      <c r="E102" s="42" t="s">
        <v>2520</v>
      </c>
      <c r="F102" s="42">
        <v>91607</v>
      </c>
      <c r="G102" s="42"/>
      <c r="H102" s="42">
        <v>12500</v>
      </c>
      <c r="I102" s="42">
        <v>250</v>
      </c>
      <c r="J102" s="42">
        <v>0.13</v>
      </c>
      <c r="K102" s="43">
        <f t="shared" si="45"/>
        <v>32.5</v>
      </c>
      <c r="L102" s="43">
        <f t="shared" si="46"/>
        <v>12467.5</v>
      </c>
      <c r="M102" s="43"/>
      <c r="N102" s="43">
        <f t="shared" si="47"/>
        <v>12467.5</v>
      </c>
      <c r="O102" s="43">
        <f t="shared" si="48"/>
        <v>875</v>
      </c>
      <c r="P102" s="42">
        <v>12000</v>
      </c>
      <c r="Q102" s="42">
        <v>37.700000000000003</v>
      </c>
      <c r="R102" s="42">
        <f t="shared" si="49"/>
        <v>470024.75000000006</v>
      </c>
    </row>
    <row r="103" spans="1:18">
      <c r="A103" s="374" t="s">
        <v>2704</v>
      </c>
      <c r="B103" s="42" t="s">
        <v>1782</v>
      </c>
      <c r="C103" s="42" t="s">
        <v>24</v>
      </c>
      <c r="D103" s="42" t="s">
        <v>16</v>
      </c>
      <c r="E103" s="42" t="s">
        <v>785</v>
      </c>
      <c r="F103" s="42">
        <v>20183836</v>
      </c>
      <c r="G103" s="42"/>
      <c r="H103" s="42">
        <v>20000</v>
      </c>
      <c r="I103" s="42">
        <v>400</v>
      </c>
      <c r="J103" s="42">
        <v>0.13</v>
      </c>
      <c r="K103" s="43">
        <f t="shared" si="45"/>
        <v>52</v>
      </c>
      <c r="L103" s="43">
        <f t="shared" si="46"/>
        <v>19948</v>
      </c>
      <c r="M103" s="43"/>
      <c r="N103" s="43">
        <f t="shared" si="47"/>
        <v>19948</v>
      </c>
      <c r="O103" s="43">
        <f t="shared" si="48"/>
        <v>1400</v>
      </c>
      <c r="P103" s="42">
        <v>15000</v>
      </c>
      <c r="Q103" s="42">
        <v>38.15</v>
      </c>
      <c r="R103" s="42">
        <f t="shared" si="49"/>
        <v>761016.2</v>
      </c>
    </row>
    <row r="104" spans="1:18">
      <c r="A104" s="374"/>
      <c r="B104" s="42" t="s">
        <v>1782</v>
      </c>
      <c r="C104" s="42" t="s">
        <v>24</v>
      </c>
      <c r="D104" s="42" t="s">
        <v>16</v>
      </c>
      <c r="E104" s="42" t="s">
        <v>894</v>
      </c>
      <c r="F104" s="42">
        <v>25512</v>
      </c>
      <c r="G104" s="42"/>
      <c r="H104" s="42">
        <v>20000</v>
      </c>
      <c r="I104" s="42">
        <v>400</v>
      </c>
      <c r="J104" s="42">
        <v>0.13</v>
      </c>
      <c r="K104" s="43">
        <f t="shared" si="45"/>
        <v>52</v>
      </c>
      <c r="L104" s="43">
        <f t="shared" si="46"/>
        <v>19948</v>
      </c>
      <c r="M104" s="43"/>
      <c r="N104" s="43">
        <f t="shared" si="47"/>
        <v>19948</v>
      </c>
      <c r="O104" s="43">
        <f t="shared" si="48"/>
        <v>1400</v>
      </c>
      <c r="P104" s="42">
        <v>15000</v>
      </c>
      <c r="Q104" s="42">
        <v>38.15</v>
      </c>
      <c r="R104" s="42">
        <f t="shared" si="49"/>
        <v>761016.2</v>
      </c>
    </row>
    <row r="105" spans="1:18">
      <c r="A105" s="1" t="s">
        <v>2709</v>
      </c>
      <c r="B105" s="42" t="s">
        <v>1782</v>
      </c>
      <c r="C105" s="42" t="s">
        <v>24</v>
      </c>
      <c r="D105" s="42" t="s">
        <v>16</v>
      </c>
      <c r="E105" s="42" t="s">
        <v>2707</v>
      </c>
      <c r="F105" s="42">
        <v>26737</v>
      </c>
      <c r="G105" s="42"/>
      <c r="H105" s="42">
        <v>15000</v>
      </c>
      <c r="I105" s="42">
        <v>300</v>
      </c>
      <c r="J105" s="42">
        <v>0.13</v>
      </c>
      <c r="K105" s="43">
        <f t="shared" si="45"/>
        <v>39</v>
      </c>
      <c r="L105" s="43">
        <f t="shared" si="46"/>
        <v>14961</v>
      </c>
      <c r="M105" s="43"/>
      <c r="N105" s="43">
        <f t="shared" si="47"/>
        <v>14961</v>
      </c>
      <c r="O105" s="43">
        <f t="shared" si="48"/>
        <v>1050</v>
      </c>
      <c r="P105" s="42">
        <v>12000</v>
      </c>
      <c r="Q105" s="42">
        <v>38.15</v>
      </c>
      <c r="R105" s="42">
        <f t="shared" si="49"/>
        <v>570762.15</v>
      </c>
    </row>
    <row r="106" spans="1:18">
      <c r="A106" s="1" t="s">
        <v>2710</v>
      </c>
      <c r="B106" s="42" t="s">
        <v>1782</v>
      </c>
      <c r="C106" s="42" t="s">
        <v>24</v>
      </c>
      <c r="D106" s="42" t="s">
        <v>16</v>
      </c>
      <c r="E106" s="42" t="s">
        <v>1786</v>
      </c>
      <c r="F106" s="42">
        <v>82031</v>
      </c>
      <c r="G106" s="42"/>
      <c r="H106" s="42">
        <v>15000</v>
      </c>
      <c r="I106" s="42">
        <v>300</v>
      </c>
      <c r="J106" s="42">
        <v>0.13</v>
      </c>
      <c r="K106" s="43">
        <f t="shared" si="45"/>
        <v>39</v>
      </c>
      <c r="L106" s="43">
        <f t="shared" si="46"/>
        <v>14961</v>
      </c>
      <c r="M106" s="43"/>
      <c r="N106" s="43">
        <f t="shared" si="47"/>
        <v>14961</v>
      </c>
      <c r="O106" s="43">
        <f t="shared" si="48"/>
        <v>1050</v>
      </c>
      <c r="P106" s="42">
        <v>15000</v>
      </c>
      <c r="Q106" s="42">
        <v>38.15</v>
      </c>
      <c r="R106" s="42">
        <f t="shared" si="49"/>
        <v>570762.15</v>
      </c>
    </row>
    <row r="107" spans="1:18">
      <c r="A107" s="1" t="s">
        <v>2715</v>
      </c>
      <c r="B107" s="42" t="s">
        <v>1782</v>
      </c>
      <c r="C107" s="42" t="s">
        <v>24</v>
      </c>
      <c r="D107" s="42" t="s">
        <v>16</v>
      </c>
      <c r="E107" s="47" t="s">
        <v>2716</v>
      </c>
      <c r="F107" s="47">
        <v>20183885</v>
      </c>
      <c r="G107" s="47"/>
      <c r="H107" s="47">
        <v>15000</v>
      </c>
      <c r="I107" s="47">
        <v>300</v>
      </c>
      <c r="J107" s="47">
        <v>0.13</v>
      </c>
      <c r="K107" s="43">
        <f t="shared" si="45"/>
        <v>39</v>
      </c>
      <c r="L107" s="43">
        <f t="shared" si="46"/>
        <v>14961</v>
      </c>
      <c r="M107" s="43"/>
      <c r="N107" s="43">
        <f t="shared" si="47"/>
        <v>14961</v>
      </c>
      <c r="O107" s="43">
        <f t="shared" si="48"/>
        <v>1050</v>
      </c>
      <c r="P107" s="42">
        <v>10000</v>
      </c>
      <c r="Q107" s="42">
        <v>38.15</v>
      </c>
      <c r="R107" s="42">
        <f t="shared" si="49"/>
        <v>570762.15</v>
      </c>
    </row>
    <row r="108" spans="1:18">
      <c r="A108" s="374" t="s">
        <v>2721</v>
      </c>
      <c r="B108" s="42" t="s">
        <v>1782</v>
      </c>
      <c r="C108" s="42" t="s">
        <v>24</v>
      </c>
      <c r="D108" s="42" t="s">
        <v>16</v>
      </c>
      <c r="E108" s="284" t="s">
        <v>2179</v>
      </c>
      <c r="F108" s="284">
        <v>20183897</v>
      </c>
      <c r="G108" s="284"/>
      <c r="H108" s="284">
        <v>15000</v>
      </c>
      <c r="I108" s="284">
        <v>300</v>
      </c>
      <c r="J108" s="284">
        <v>0.13</v>
      </c>
      <c r="K108" s="43">
        <f t="shared" si="45"/>
        <v>39</v>
      </c>
      <c r="L108" s="43">
        <f t="shared" si="46"/>
        <v>14961</v>
      </c>
      <c r="M108" s="43"/>
      <c r="N108" s="43">
        <f t="shared" si="47"/>
        <v>14961</v>
      </c>
      <c r="O108" s="43">
        <f t="shared" si="48"/>
        <v>1050</v>
      </c>
      <c r="P108" s="42">
        <v>13000</v>
      </c>
      <c r="Q108" s="42">
        <v>38.15</v>
      </c>
      <c r="R108" s="42">
        <f t="shared" si="49"/>
        <v>570762.15</v>
      </c>
    </row>
    <row r="109" spans="1:18">
      <c r="A109" s="374"/>
      <c r="B109" s="42" t="s">
        <v>1782</v>
      </c>
      <c r="C109" s="42" t="s">
        <v>24</v>
      </c>
      <c r="D109" s="42" t="s">
        <v>16</v>
      </c>
      <c r="E109" s="284" t="s">
        <v>2722</v>
      </c>
      <c r="F109" s="284">
        <v>81854</v>
      </c>
      <c r="G109" s="284"/>
      <c r="H109" s="284">
        <v>15000</v>
      </c>
      <c r="I109" s="284">
        <v>300</v>
      </c>
      <c r="J109" s="284">
        <v>0.13</v>
      </c>
      <c r="K109" s="43">
        <f t="shared" si="45"/>
        <v>39</v>
      </c>
      <c r="L109" s="43">
        <f t="shared" si="46"/>
        <v>14961</v>
      </c>
      <c r="M109" s="43"/>
      <c r="N109" s="43">
        <f t="shared" si="47"/>
        <v>14961</v>
      </c>
      <c r="O109" s="43">
        <f t="shared" si="48"/>
        <v>1050</v>
      </c>
      <c r="P109" s="42">
        <v>14200</v>
      </c>
      <c r="Q109" s="42">
        <v>38.15</v>
      </c>
      <c r="R109" s="42">
        <f t="shared" si="49"/>
        <v>570762.15</v>
      </c>
    </row>
    <row r="110" spans="1:18">
      <c r="A110" s="21" t="s">
        <v>2734</v>
      </c>
      <c r="B110" s="42" t="s">
        <v>1782</v>
      </c>
      <c r="C110" s="42" t="s">
        <v>24</v>
      </c>
      <c r="D110" s="42" t="s">
        <v>16</v>
      </c>
      <c r="E110" s="42" t="s">
        <v>766</v>
      </c>
      <c r="F110" s="42">
        <v>20181837</v>
      </c>
      <c r="G110" s="42"/>
      <c r="H110" s="42">
        <v>17500</v>
      </c>
      <c r="I110" s="42">
        <v>350</v>
      </c>
      <c r="J110" s="42">
        <v>0.13</v>
      </c>
      <c r="K110" s="43">
        <f t="shared" si="45"/>
        <v>45.5</v>
      </c>
      <c r="L110" s="43">
        <f t="shared" si="46"/>
        <v>17454.5</v>
      </c>
      <c r="M110" s="43"/>
      <c r="N110" s="43">
        <f t="shared" si="47"/>
        <v>17454.5</v>
      </c>
      <c r="O110" s="43">
        <f t="shared" si="48"/>
        <v>1225</v>
      </c>
      <c r="P110" s="42">
        <v>15000</v>
      </c>
      <c r="Q110" s="42">
        <v>38.15</v>
      </c>
      <c r="R110" s="42">
        <f t="shared" si="49"/>
        <v>665889.17499999993</v>
      </c>
    </row>
    <row r="111" spans="1:18">
      <c r="A111" s="21" t="s">
        <v>1092</v>
      </c>
      <c r="B111" s="42" t="s">
        <v>1782</v>
      </c>
      <c r="C111" s="42" t="s">
        <v>24</v>
      </c>
      <c r="D111" s="42" t="s">
        <v>16</v>
      </c>
      <c r="E111" s="42" t="s">
        <v>2570</v>
      </c>
      <c r="F111" s="42">
        <v>81899</v>
      </c>
      <c r="G111" s="42"/>
      <c r="H111" s="42">
        <v>17490</v>
      </c>
      <c r="I111" s="42">
        <v>350</v>
      </c>
      <c r="J111" s="42">
        <v>0.13</v>
      </c>
      <c r="K111" s="43">
        <f t="shared" si="45"/>
        <v>45.5</v>
      </c>
      <c r="L111" s="43">
        <f t="shared" si="46"/>
        <v>17444.5</v>
      </c>
      <c r="M111" s="43"/>
      <c r="N111" s="43">
        <f t="shared" si="47"/>
        <v>17444.5</v>
      </c>
      <c r="O111" s="43">
        <f t="shared" si="48"/>
        <v>1224.3</v>
      </c>
      <c r="P111" s="42">
        <v>14000</v>
      </c>
      <c r="Q111" s="42">
        <v>38.15</v>
      </c>
      <c r="R111" s="42">
        <f t="shared" si="49"/>
        <v>665507.67499999993</v>
      </c>
    </row>
    <row r="112" spans="1:18">
      <c r="A112" s="21" t="s">
        <v>2747</v>
      </c>
      <c r="B112" s="42" t="s">
        <v>1782</v>
      </c>
      <c r="C112" s="42" t="s">
        <v>24</v>
      </c>
      <c r="D112" s="42" t="s">
        <v>16</v>
      </c>
      <c r="E112" s="42" t="s">
        <v>1784</v>
      </c>
      <c r="F112" s="42">
        <v>20181762</v>
      </c>
      <c r="G112" s="42"/>
      <c r="H112" s="42">
        <v>15000</v>
      </c>
      <c r="I112" s="42">
        <v>300</v>
      </c>
      <c r="J112" s="42">
        <v>0.13</v>
      </c>
      <c r="K112" s="43">
        <v>39</v>
      </c>
      <c r="L112" s="43">
        <v>14961</v>
      </c>
      <c r="M112" s="43"/>
      <c r="N112" s="43">
        <v>14961</v>
      </c>
      <c r="O112" s="43">
        <v>1050</v>
      </c>
      <c r="P112" s="42">
        <v>14000</v>
      </c>
      <c r="Q112" s="42">
        <v>38.15</v>
      </c>
      <c r="R112" s="42">
        <v>570762.15</v>
      </c>
    </row>
    <row r="113" spans="1:18">
      <c r="A113" s="21" t="s">
        <v>2748</v>
      </c>
      <c r="B113" s="42" t="s">
        <v>1782</v>
      </c>
      <c r="C113" s="42" t="s">
        <v>24</v>
      </c>
      <c r="D113" s="42" t="s">
        <v>16</v>
      </c>
      <c r="E113" s="42" t="s">
        <v>772</v>
      </c>
      <c r="F113" s="42">
        <v>20181766</v>
      </c>
      <c r="G113" s="42"/>
      <c r="H113" s="42">
        <v>17500</v>
      </c>
      <c r="I113" s="42">
        <v>350</v>
      </c>
      <c r="J113" s="42">
        <v>0.13</v>
      </c>
      <c r="K113" s="43">
        <v>45.5</v>
      </c>
      <c r="L113" s="43">
        <v>17454.5</v>
      </c>
      <c r="M113" s="43"/>
      <c r="N113" s="43">
        <v>17454.5</v>
      </c>
      <c r="O113" s="43">
        <v>1225</v>
      </c>
      <c r="P113" s="42">
        <v>15000</v>
      </c>
      <c r="Q113" s="42">
        <v>38.15</v>
      </c>
      <c r="R113" s="42">
        <v>665889.17499999993</v>
      </c>
    </row>
    <row r="114" spans="1:18">
      <c r="A114" s="21" t="s">
        <v>2751</v>
      </c>
      <c r="B114" s="42" t="s">
        <v>1782</v>
      </c>
      <c r="C114" s="42" t="s">
        <v>24</v>
      </c>
      <c r="D114" s="42" t="s">
        <v>16</v>
      </c>
      <c r="E114" s="42" t="s">
        <v>1402</v>
      </c>
      <c r="F114" s="42">
        <v>82745</v>
      </c>
      <c r="G114" s="42"/>
      <c r="H114" s="42">
        <v>15000</v>
      </c>
      <c r="I114" s="42">
        <v>300</v>
      </c>
      <c r="J114" s="42">
        <v>0.13</v>
      </c>
      <c r="K114" s="43">
        <f t="shared" ref="K114" si="50">I114*J114</f>
        <v>39</v>
      </c>
      <c r="L114" s="43">
        <f t="shared" ref="L114" si="51">H114-K114</f>
        <v>14961</v>
      </c>
      <c r="M114" s="43"/>
      <c r="N114" s="43">
        <f t="shared" ref="N114" si="52">L114-M114</f>
        <v>14961</v>
      </c>
      <c r="O114" s="43">
        <f t="shared" ref="O114" si="53">H114/1000*70</f>
        <v>1050</v>
      </c>
      <c r="P114" s="42">
        <v>14000</v>
      </c>
      <c r="Q114" s="42">
        <v>38.15</v>
      </c>
      <c r="R114" s="42">
        <f t="shared" ref="R114" si="54">L114*Q114</f>
        <v>570762.15</v>
      </c>
    </row>
    <row r="116" spans="1:18">
      <c r="A116" s="21" t="s">
        <v>2883</v>
      </c>
      <c r="B116" s="42" t="s">
        <v>1782</v>
      </c>
      <c r="C116" s="42" t="s">
        <v>24</v>
      </c>
      <c r="D116" s="42" t="s">
        <v>16</v>
      </c>
      <c r="E116" s="42" t="s">
        <v>2707</v>
      </c>
      <c r="F116" s="42">
        <v>20183532</v>
      </c>
      <c r="G116" s="42"/>
      <c r="H116" s="42">
        <v>15000</v>
      </c>
      <c r="I116" s="42">
        <v>300</v>
      </c>
      <c r="J116" s="42">
        <v>0.13</v>
      </c>
      <c r="K116" s="43">
        <f t="shared" ref="K116:K121" si="55">I116*J116</f>
        <v>39</v>
      </c>
      <c r="L116" s="43">
        <f t="shared" ref="L116:L121" si="56">H116-K116</f>
        <v>14961</v>
      </c>
      <c r="M116" s="43"/>
      <c r="N116" s="43">
        <f t="shared" ref="N116:N121" si="57">L116-M116</f>
        <v>14961</v>
      </c>
      <c r="O116" s="43">
        <f t="shared" ref="O116:O121" si="58">H116/1000*70</f>
        <v>1050</v>
      </c>
      <c r="P116" s="42">
        <v>10000</v>
      </c>
      <c r="Q116" s="42">
        <v>43.9</v>
      </c>
      <c r="R116" s="42">
        <f t="shared" ref="R116:R121" si="59">L116*Q116</f>
        <v>656787.9</v>
      </c>
    </row>
    <row r="117" spans="1:18">
      <c r="A117" s="374" t="s">
        <v>2889</v>
      </c>
      <c r="B117" s="42" t="s">
        <v>1782</v>
      </c>
      <c r="C117" s="42" t="s">
        <v>24</v>
      </c>
      <c r="D117" s="42" t="s">
        <v>16</v>
      </c>
      <c r="E117" s="42" t="s">
        <v>2895</v>
      </c>
      <c r="F117" s="42">
        <v>20183455</v>
      </c>
      <c r="G117" s="42"/>
      <c r="H117" s="42">
        <v>17480</v>
      </c>
      <c r="I117" s="42">
        <v>350</v>
      </c>
      <c r="J117" s="42">
        <v>0.13</v>
      </c>
      <c r="K117" s="43">
        <f t="shared" si="55"/>
        <v>45.5</v>
      </c>
      <c r="L117" s="43">
        <f t="shared" si="56"/>
        <v>17434.5</v>
      </c>
      <c r="M117" s="43"/>
      <c r="N117" s="43">
        <f t="shared" si="57"/>
        <v>17434.5</v>
      </c>
      <c r="O117" s="43">
        <f t="shared" si="58"/>
        <v>1223.6000000000001</v>
      </c>
      <c r="P117" s="42">
        <v>21000</v>
      </c>
      <c r="Q117" s="42">
        <v>43.9</v>
      </c>
      <c r="R117" s="42">
        <f t="shared" si="59"/>
        <v>765374.54999999993</v>
      </c>
    </row>
    <row r="118" spans="1:18">
      <c r="A118" s="374"/>
      <c r="B118" s="42" t="s">
        <v>1782</v>
      </c>
      <c r="C118" s="42" t="s">
        <v>24</v>
      </c>
      <c r="D118" s="42" t="s">
        <v>16</v>
      </c>
      <c r="E118" s="42" t="s">
        <v>2095</v>
      </c>
      <c r="F118" s="42">
        <v>21888</v>
      </c>
      <c r="G118" s="42"/>
      <c r="H118" s="42">
        <v>19980</v>
      </c>
      <c r="I118" s="42">
        <v>400</v>
      </c>
      <c r="J118" s="42">
        <v>0.13</v>
      </c>
      <c r="K118" s="43">
        <f t="shared" si="55"/>
        <v>52</v>
      </c>
      <c r="L118" s="43">
        <f t="shared" si="56"/>
        <v>19928</v>
      </c>
      <c r="M118" s="43"/>
      <c r="N118" s="43">
        <f t="shared" si="57"/>
        <v>19928</v>
      </c>
      <c r="O118" s="43">
        <f t="shared" si="58"/>
        <v>1398.6000000000001</v>
      </c>
      <c r="P118" s="42">
        <v>15000</v>
      </c>
      <c r="Q118" s="42">
        <v>43.9</v>
      </c>
      <c r="R118" s="42">
        <f t="shared" si="59"/>
        <v>874839.2</v>
      </c>
    </row>
    <row r="119" spans="1:18">
      <c r="A119" s="21" t="s">
        <v>2901</v>
      </c>
      <c r="B119" s="42" t="s">
        <v>1782</v>
      </c>
      <c r="C119" s="42" t="s">
        <v>24</v>
      </c>
      <c r="D119" s="42" t="s">
        <v>16</v>
      </c>
      <c r="E119" s="42" t="s">
        <v>2179</v>
      </c>
      <c r="F119" s="42">
        <v>20181942</v>
      </c>
      <c r="G119" s="42"/>
      <c r="H119" s="42">
        <v>12440</v>
      </c>
      <c r="I119" s="42">
        <v>250</v>
      </c>
      <c r="J119" s="42">
        <v>0.13</v>
      </c>
      <c r="K119" s="43">
        <f t="shared" si="55"/>
        <v>32.5</v>
      </c>
      <c r="L119" s="43">
        <f t="shared" si="56"/>
        <v>12407.5</v>
      </c>
      <c r="M119" s="43"/>
      <c r="N119" s="43">
        <f t="shared" si="57"/>
        <v>12407.5</v>
      </c>
      <c r="O119" s="43">
        <f t="shared" si="58"/>
        <v>870.8</v>
      </c>
      <c r="P119" s="42">
        <v>8100</v>
      </c>
      <c r="Q119" s="42">
        <v>43.9</v>
      </c>
      <c r="R119" s="42">
        <f t="shared" si="59"/>
        <v>544689.25</v>
      </c>
    </row>
    <row r="120" spans="1:18">
      <c r="A120" s="21" t="s">
        <v>2915</v>
      </c>
      <c r="B120" s="42" t="s">
        <v>1782</v>
      </c>
      <c r="C120" s="42" t="s">
        <v>24</v>
      </c>
      <c r="D120" s="42" t="s">
        <v>16</v>
      </c>
      <c r="E120" s="42" t="s">
        <v>2562</v>
      </c>
      <c r="F120" s="42">
        <v>1919902</v>
      </c>
      <c r="G120" s="42"/>
      <c r="H120" s="42">
        <v>14940</v>
      </c>
      <c r="I120" s="42">
        <v>300</v>
      </c>
      <c r="J120" s="42">
        <v>0.13</v>
      </c>
      <c r="K120" s="43">
        <f t="shared" si="55"/>
        <v>39</v>
      </c>
      <c r="L120" s="43">
        <f t="shared" si="56"/>
        <v>14901</v>
      </c>
      <c r="M120" s="43"/>
      <c r="N120" s="43">
        <f t="shared" si="57"/>
        <v>14901</v>
      </c>
      <c r="O120" s="43">
        <f t="shared" si="58"/>
        <v>1045.8</v>
      </c>
      <c r="P120" s="42">
        <v>10000</v>
      </c>
      <c r="Q120" s="42">
        <v>43.9</v>
      </c>
      <c r="R120" s="42">
        <f t="shared" si="59"/>
        <v>654153.9</v>
      </c>
    </row>
    <row r="121" spans="1:18">
      <c r="A121" s="21" t="s">
        <v>2934</v>
      </c>
      <c r="B121" s="42" t="s">
        <v>1782</v>
      </c>
      <c r="C121" s="42" t="s">
        <v>24</v>
      </c>
      <c r="D121" s="42" t="s">
        <v>16</v>
      </c>
      <c r="E121" s="42" t="s">
        <v>860</v>
      </c>
      <c r="F121" s="42">
        <v>20184981</v>
      </c>
      <c r="G121" s="42"/>
      <c r="H121" s="42">
        <v>20000</v>
      </c>
      <c r="I121" s="42">
        <v>400</v>
      </c>
      <c r="J121" s="42">
        <v>0.13</v>
      </c>
      <c r="K121" s="43">
        <f t="shared" si="55"/>
        <v>52</v>
      </c>
      <c r="L121" s="43">
        <f t="shared" si="56"/>
        <v>19948</v>
      </c>
      <c r="M121" s="43"/>
      <c r="N121" s="43">
        <f t="shared" si="57"/>
        <v>19948</v>
      </c>
      <c r="O121" s="43">
        <f t="shared" si="58"/>
        <v>1400</v>
      </c>
      <c r="P121" s="42">
        <v>15000</v>
      </c>
      <c r="Q121" s="45">
        <v>37.5</v>
      </c>
      <c r="R121" s="42">
        <f t="shared" si="59"/>
        <v>748050</v>
      </c>
    </row>
    <row r="123" spans="1:18">
      <c r="A123" s="374" t="s">
        <v>3492</v>
      </c>
      <c r="B123" s="42" t="s">
        <v>1782</v>
      </c>
      <c r="C123" s="42" t="s">
        <v>24</v>
      </c>
      <c r="D123" s="42" t="s">
        <v>16</v>
      </c>
      <c r="E123" s="47" t="s">
        <v>3493</v>
      </c>
      <c r="F123" s="47">
        <v>1910454</v>
      </c>
      <c r="G123" s="47"/>
      <c r="H123" s="47">
        <v>15000</v>
      </c>
      <c r="I123" s="47">
        <v>300</v>
      </c>
      <c r="J123" s="47">
        <v>0.13</v>
      </c>
      <c r="K123" s="43">
        <f t="shared" ref="K123:K125" si="60">I123*J123</f>
        <v>39</v>
      </c>
      <c r="L123" s="43">
        <f t="shared" ref="L123:L125" si="61">H123-K123</f>
        <v>14961</v>
      </c>
      <c r="M123" s="43"/>
      <c r="N123" s="43">
        <f t="shared" ref="N123:N125" si="62">L123-M123</f>
        <v>14961</v>
      </c>
      <c r="O123" s="43">
        <f t="shared" ref="O123:O125" si="63">H123/1000*70</f>
        <v>1050</v>
      </c>
      <c r="P123" s="42">
        <v>10500</v>
      </c>
      <c r="Q123" s="42">
        <v>36</v>
      </c>
      <c r="R123" s="42">
        <f t="shared" ref="R123:R125" si="64">L123*Q123</f>
        <v>538596</v>
      </c>
    </row>
    <row r="124" spans="1:18">
      <c r="A124" s="374"/>
      <c r="B124" s="42" t="s">
        <v>1782</v>
      </c>
      <c r="C124" s="42" t="s">
        <v>24</v>
      </c>
      <c r="D124" s="42" t="s">
        <v>16</v>
      </c>
      <c r="E124" s="47" t="s">
        <v>3494</v>
      </c>
      <c r="F124" s="47">
        <v>1910453</v>
      </c>
      <c r="G124" s="47"/>
      <c r="H124" s="47">
        <v>15000</v>
      </c>
      <c r="I124" s="47">
        <v>300</v>
      </c>
      <c r="J124" s="47">
        <v>0.13</v>
      </c>
      <c r="K124" s="43">
        <f t="shared" si="60"/>
        <v>39</v>
      </c>
      <c r="L124" s="43">
        <f t="shared" si="61"/>
        <v>14961</v>
      </c>
      <c r="M124" s="43"/>
      <c r="N124" s="43">
        <f t="shared" si="62"/>
        <v>14961</v>
      </c>
      <c r="O124" s="43">
        <f t="shared" si="63"/>
        <v>1050</v>
      </c>
      <c r="P124" s="42">
        <v>10500</v>
      </c>
      <c r="Q124" s="42">
        <v>36</v>
      </c>
      <c r="R124" s="42">
        <f t="shared" si="64"/>
        <v>538596</v>
      </c>
    </row>
    <row r="125" spans="1:18">
      <c r="A125" s="21" t="s">
        <v>3515</v>
      </c>
      <c r="B125" s="42" t="s">
        <v>1782</v>
      </c>
      <c r="C125" s="42" t="s">
        <v>24</v>
      </c>
      <c r="D125" s="42" t="s">
        <v>16</v>
      </c>
      <c r="E125" s="47" t="s">
        <v>2095</v>
      </c>
      <c r="F125" s="47">
        <v>1912223</v>
      </c>
      <c r="G125" s="47"/>
      <c r="H125" s="47">
        <v>19970</v>
      </c>
      <c r="I125" s="47">
        <v>400</v>
      </c>
      <c r="J125" s="47">
        <v>0.13</v>
      </c>
      <c r="K125" s="43">
        <f t="shared" si="60"/>
        <v>52</v>
      </c>
      <c r="L125" s="43">
        <f t="shared" si="61"/>
        <v>19918</v>
      </c>
      <c r="M125" s="43"/>
      <c r="N125" s="43">
        <f t="shared" si="62"/>
        <v>19918</v>
      </c>
      <c r="O125" s="43">
        <f t="shared" si="63"/>
        <v>1397.8999999999999</v>
      </c>
      <c r="P125" s="42">
        <v>15000</v>
      </c>
      <c r="Q125" s="42">
        <v>36</v>
      </c>
      <c r="R125" s="42">
        <f t="shared" si="64"/>
        <v>717048</v>
      </c>
    </row>
    <row r="127" spans="1:18">
      <c r="A127" s="1" t="s">
        <v>3548</v>
      </c>
      <c r="B127" s="42" t="s">
        <v>1782</v>
      </c>
      <c r="C127" s="42" t="s">
        <v>24</v>
      </c>
      <c r="D127" s="42" t="s">
        <v>16</v>
      </c>
      <c r="E127" s="47" t="s">
        <v>3554</v>
      </c>
      <c r="F127" s="47">
        <v>4154</v>
      </c>
      <c r="G127" s="47"/>
      <c r="H127" s="47">
        <v>12680</v>
      </c>
      <c r="I127" s="47">
        <v>250</v>
      </c>
      <c r="J127" s="47">
        <v>0.13</v>
      </c>
      <c r="K127" s="43">
        <f t="shared" ref="K127" si="65">I127*J127</f>
        <v>32.5</v>
      </c>
      <c r="L127" s="43">
        <f t="shared" ref="L127" si="66">H127-K127</f>
        <v>12647.5</v>
      </c>
      <c r="M127" s="43"/>
      <c r="N127" s="43">
        <f t="shared" ref="N127" si="67">L127-M127</f>
        <v>12647.5</v>
      </c>
      <c r="O127" s="43">
        <f t="shared" ref="O127" si="68">H127/1000*70</f>
        <v>887.6</v>
      </c>
      <c r="P127" s="42">
        <v>12000</v>
      </c>
      <c r="Q127" s="42"/>
      <c r="R127" s="42">
        <f t="shared" ref="R127" si="69">L127*Q127</f>
        <v>0</v>
      </c>
    </row>
    <row r="129" spans="1:19">
      <c r="A129" s="1" t="s">
        <v>3568</v>
      </c>
      <c r="B129" s="42" t="s">
        <v>1304</v>
      </c>
      <c r="C129" s="42" t="s">
        <v>24</v>
      </c>
      <c r="D129" s="42" t="s">
        <v>16</v>
      </c>
      <c r="E129" s="47" t="s">
        <v>1185</v>
      </c>
      <c r="F129" s="47">
        <v>4167</v>
      </c>
      <c r="G129" s="47"/>
      <c r="H129" s="47">
        <v>12530</v>
      </c>
      <c r="I129" s="47">
        <v>250</v>
      </c>
      <c r="J129" s="47">
        <v>0.13</v>
      </c>
      <c r="K129" s="43">
        <f t="shared" ref="K129" si="70">I129*J129</f>
        <v>32.5</v>
      </c>
      <c r="L129" s="43">
        <f t="shared" ref="L129" si="71">H129-K129</f>
        <v>12497.5</v>
      </c>
      <c r="M129" s="43"/>
      <c r="N129" s="43">
        <f t="shared" ref="N129" si="72">L129-M129</f>
        <v>12497.5</v>
      </c>
      <c r="O129" s="43">
        <f t="shared" ref="O129" si="73">H129/1000*70</f>
        <v>877.09999999999991</v>
      </c>
      <c r="P129" s="42">
        <v>8000</v>
      </c>
      <c r="Q129" s="42">
        <v>36</v>
      </c>
      <c r="R129" s="42">
        <f t="shared" ref="R129" si="74">L129*Q129</f>
        <v>449910</v>
      </c>
    </row>
    <row r="131" spans="1:19">
      <c r="A131" s="1" t="s">
        <v>3611</v>
      </c>
      <c r="B131" s="42" t="s">
        <v>1782</v>
      </c>
      <c r="C131" s="42" t="s">
        <v>24</v>
      </c>
      <c r="D131" s="42" t="s">
        <v>16</v>
      </c>
      <c r="E131" s="47" t="s">
        <v>2705</v>
      </c>
      <c r="F131" s="47">
        <v>1918311</v>
      </c>
      <c r="G131" s="47"/>
      <c r="H131" s="47">
        <v>15000</v>
      </c>
      <c r="I131" s="47">
        <v>300</v>
      </c>
      <c r="J131" s="47">
        <v>0.13</v>
      </c>
      <c r="K131" s="43">
        <f t="shared" ref="K131:K132" si="75">I131*J131</f>
        <v>39</v>
      </c>
      <c r="L131" s="43">
        <f t="shared" ref="L131:L132" si="76">H131-K131</f>
        <v>14961</v>
      </c>
      <c r="M131" s="43"/>
      <c r="N131" s="43">
        <f t="shared" ref="N131:N132" si="77">L131-M131</f>
        <v>14961</v>
      </c>
      <c r="O131" s="43">
        <f t="shared" ref="O131:O132" si="78">H131/1000*70</f>
        <v>1050</v>
      </c>
      <c r="P131" s="42">
        <v>10000</v>
      </c>
      <c r="Q131" s="42"/>
      <c r="R131" s="42">
        <f t="shared" ref="R131:R132" si="79">L131*Q131</f>
        <v>0</v>
      </c>
      <c r="S131" s="42"/>
    </row>
    <row r="132" spans="1:19">
      <c r="A132" s="21" t="s">
        <v>3646</v>
      </c>
      <c r="B132" s="42" t="s">
        <v>1782</v>
      </c>
      <c r="C132" s="42" t="s">
        <v>24</v>
      </c>
      <c r="D132" s="42" t="s">
        <v>16</v>
      </c>
      <c r="E132" s="47" t="s">
        <v>2716</v>
      </c>
      <c r="F132" s="47">
        <v>1918730</v>
      </c>
      <c r="G132" s="47"/>
      <c r="H132" s="47">
        <v>15000</v>
      </c>
      <c r="I132" s="47">
        <v>300</v>
      </c>
      <c r="J132" s="47">
        <v>0.13</v>
      </c>
      <c r="K132" s="43">
        <f t="shared" si="75"/>
        <v>39</v>
      </c>
      <c r="L132" s="43">
        <f t="shared" si="76"/>
        <v>14961</v>
      </c>
      <c r="M132" s="43"/>
      <c r="N132" s="43">
        <f t="shared" si="77"/>
        <v>14961</v>
      </c>
      <c r="O132" s="43">
        <f t="shared" si="78"/>
        <v>1050</v>
      </c>
      <c r="P132" s="42">
        <v>10000</v>
      </c>
      <c r="Q132" s="42">
        <v>35.200000000000003</v>
      </c>
      <c r="R132" s="42">
        <f t="shared" si="79"/>
        <v>526627.20000000007</v>
      </c>
      <c r="S132" s="42"/>
    </row>
    <row r="134" spans="1:19">
      <c r="A134" s="21" t="s">
        <v>3666</v>
      </c>
      <c r="B134" s="42" t="s">
        <v>1782</v>
      </c>
      <c r="C134" s="42" t="s">
        <v>24</v>
      </c>
      <c r="D134" s="42" t="s">
        <v>16</v>
      </c>
      <c r="E134" s="47" t="s">
        <v>2520</v>
      </c>
      <c r="F134" s="47">
        <v>4238</v>
      </c>
      <c r="G134" s="47"/>
      <c r="H134" s="47">
        <v>16285</v>
      </c>
      <c r="I134" s="47">
        <v>328</v>
      </c>
      <c r="J134" s="47">
        <v>0.13</v>
      </c>
      <c r="K134" s="43">
        <f t="shared" ref="K134" si="80">I134*J134</f>
        <v>42.64</v>
      </c>
      <c r="L134" s="43">
        <f t="shared" ref="L134" si="81">H134-K134</f>
        <v>16242.36</v>
      </c>
      <c r="M134" s="43"/>
      <c r="N134" s="43">
        <f t="shared" ref="N134" si="82">L134-M134</f>
        <v>16242.36</v>
      </c>
      <c r="O134" s="43">
        <f t="shared" ref="O134" si="83">H134/1000*70</f>
        <v>1139.95</v>
      </c>
      <c r="P134" s="42">
        <v>12000</v>
      </c>
      <c r="Q134" s="42"/>
    </row>
    <row r="136" spans="1:19">
      <c r="A136" s="21" t="s">
        <v>3988</v>
      </c>
      <c r="B136" s="347" t="s">
        <v>1304</v>
      </c>
      <c r="C136" s="347" t="s">
        <v>24</v>
      </c>
      <c r="D136" s="42" t="s">
        <v>16</v>
      </c>
      <c r="E136" s="347" t="s">
        <v>2413</v>
      </c>
      <c r="F136" s="347">
        <v>1920447</v>
      </c>
      <c r="G136" s="347"/>
      <c r="H136" s="347">
        <v>15400</v>
      </c>
      <c r="I136" s="347">
        <v>308</v>
      </c>
      <c r="J136" s="347">
        <v>0.13</v>
      </c>
      <c r="K136" s="43">
        <f t="shared" ref="K136" si="84">I136*J136</f>
        <v>40.04</v>
      </c>
      <c r="L136" s="43">
        <f t="shared" ref="L136" si="85">H136-K136</f>
        <v>15359.96</v>
      </c>
      <c r="M136" s="43"/>
      <c r="N136" s="43">
        <f t="shared" ref="N136" si="86">L136-M136</f>
        <v>15359.96</v>
      </c>
      <c r="O136" s="43">
        <f t="shared" ref="O136" si="87">H136/1000*70</f>
        <v>1078</v>
      </c>
      <c r="P136" s="42">
        <v>12000</v>
      </c>
      <c r="Q136" s="42"/>
      <c r="R136" s="42">
        <f t="shared" ref="R136" si="88">L136*Q136</f>
        <v>0</v>
      </c>
    </row>
    <row r="138" spans="1:19">
      <c r="A138" s="374" t="s">
        <v>4009</v>
      </c>
      <c r="B138" s="348" t="s">
        <v>1304</v>
      </c>
      <c r="C138" s="348" t="s">
        <v>24</v>
      </c>
      <c r="D138" s="42" t="s">
        <v>16</v>
      </c>
      <c r="E138" s="348" t="s">
        <v>2570</v>
      </c>
      <c r="F138" s="348">
        <v>20185210</v>
      </c>
      <c r="G138" s="348"/>
      <c r="H138" s="348">
        <v>15460</v>
      </c>
      <c r="I138" s="348">
        <v>300</v>
      </c>
      <c r="J138" s="348">
        <v>0.13</v>
      </c>
      <c r="K138" s="43">
        <f t="shared" ref="K138:K140" si="89">I138*J138</f>
        <v>39</v>
      </c>
      <c r="L138" s="43">
        <f t="shared" ref="L138:L140" si="90">H138-K138</f>
        <v>15421</v>
      </c>
      <c r="M138" s="43"/>
      <c r="N138" s="43">
        <f t="shared" ref="N138:N140" si="91">L138-M138</f>
        <v>15421</v>
      </c>
      <c r="O138" s="43">
        <f t="shared" ref="O138:O140" si="92">H138/1000*70</f>
        <v>1082.2</v>
      </c>
      <c r="P138" s="42">
        <v>13500</v>
      </c>
      <c r="Q138" s="42"/>
      <c r="R138" s="42">
        <f t="shared" ref="R138:R140" si="93">L138*Q138</f>
        <v>0</v>
      </c>
    </row>
    <row r="139" spans="1:19">
      <c r="A139" s="374"/>
      <c r="B139" s="348" t="s">
        <v>1304</v>
      </c>
      <c r="C139" s="348" t="s">
        <v>24</v>
      </c>
      <c r="D139" s="42" t="s">
        <v>16</v>
      </c>
      <c r="E139" s="348" t="s">
        <v>2413</v>
      </c>
      <c r="F139" s="348">
        <v>4301</v>
      </c>
      <c r="G139" s="348"/>
      <c r="H139" s="348">
        <v>15705</v>
      </c>
      <c r="I139" s="348">
        <v>315</v>
      </c>
      <c r="J139" s="348">
        <v>0.13</v>
      </c>
      <c r="K139" s="43">
        <f t="shared" si="89"/>
        <v>40.950000000000003</v>
      </c>
      <c r="L139" s="43">
        <f t="shared" si="90"/>
        <v>15664.05</v>
      </c>
      <c r="M139" s="43"/>
      <c r="N139" s="43">
        <f t="shared" si="91"/>
        <v>15664.05</v>
      </c>
      <c r="O139" s="43">
        <f t="shared" si="92"/>
        <v>1099.3499999999999</v>
      </c>
      <c r="P139" s="42">
        <v>12000</v>
      </c>
      <c r="Q139" s="42"/>
      <c r="R139" s="42">
        <f t="shared" si="93"/>
        <v>0</v>
      </c>
    </row>
    <row r="140" spans="1:19">
      <c r="A140" s="374"/>
      <c r="B140" s="348" t="s">
        <v>1304</v>
      </c>
      <c r="C140" s="348" t="s">
        <v>24</v>
      </c>
      <c r="D140" s="42" t="s">
        <v>16</v>
      </c>
      <c r="E140" s="348" t="s">
        <v>785</v>
      </c>
      <c r="F140" s="348">
        <v>20185209</v>
      </c>
      <c r="G140" s="348"/>
      <c r="H140" s="348">
        <v>20480</v>
      </c>
      <c r="I140" s="348">
        <v>410</v>
      </c>
      <c r="J140" s="348">
        <v>0.13</v>
      </c>
      <c r="K140" s="43">
        <f t="shared" si="89"/>
        <v>53.300000000000004</v>
      </c>
      <c r="L140" s="43">
        <f t="shared" si="90"/>
        <v>20426.7</v>
      </c>
      <c r="M140" s="43"/>
      <c r="N140" s="43">
        <f t="shared" si="91"/>
        <v>20426.7</v>
      </c>
      <c r="O140" s="43">
        <f t="shared" si="92"/>
        <v>1433.6000000000001</v>
      </c>
      <c r="P140" s="42">
        <v>16500</v>
      </c>
      <c r="Q140" s="42"/>
      <c r="R140" s="42">
        <f t="shared" si="93"/>
        <v>0</v>
      </c>
    </row>
    <row r="142" spans="1:19">
      <c r="A142" s="1" t="s">
        <v>4038</v>
      </c>
      <c r="B142" s="357" t="s">
        <v>1304</v>
      </c>
      <c r="C142" s="357" t="s">
        <v>24</v>
      </c>
      <c r="D142" s="42" t="s">
        <v>16</v>
      </c>
      <c r="E142" s="357" t="s">
        <v>2635</v>
      </c>
      <c r="F142" s="357">
        <v>1924451</v>
      </c>
      <c r="G142" s="357"/>
      <c r="H142" s="357">
        <v>15000</v>
      </c>
      <c r="I142" s="357">
        <v>300</v>
      </c>
      <c r="J142" s="357">
        <v>0.13</v>
      </c>
      <c r="K142" s="43">
        <f t="shared" ref="K142:K143" si="94">I142*J142</f>
        <v>39</v>
      </c>
      <c r="L142" s="43">
        <f t="shared" ref="L142:L143" si="95">H142-K142</f>
        <v>14961</v>
      </c>
      <c r="M142" s="43"/>
      <c r="N142" s="43">
        <f t="shared" ref="N142:N143" si="96">L142-M142</f>
        <v>14961</v>
      </c>
      <c r="O142" s="43">
        <f t="shared" ref="O142:O143" si="97">H142/1000*70</f>
        <v>1050</v>
      </c>
      <c r="P142" s="42">
        <v>10000</v>
      </c>
      <c r="Q142" s="42"/>
      <c r="R142" s="42">
        <f t="shared" ref="R142:R143" si="98">L142*Q142</f>
        <v>0</v>
      </c>
    </row>
    <row r="143" spans="1:19">
      <c r="A143" s="1" t="s">
        <v>4045</v>
      </c>
      <c r="B143" s="357" t="s">
        <v>1304</v>
      </c>
      <c r="C143" s="357" t="s">
        <v>24</v>
      </c>
      <c r="D143" s="42" t="s">
        <v>16</v>
      </c>
      <c r="E143" s="357" t="s">
        <v>3554</v>
      </c>
      <c r="F143" s="357">
        <v>1924403</v>
      </c>
      <c r="G143" s="357"/>
      <c r="H143" s="357">
        <v>14980</v>
      </c>
      <c r="I143" s="357">
        <v>300</v>
      </c>
      <c r="J143" s="357">
        <v>0.13</v>
      </c>
      <c r="K143" s="43">
        <f t="shared" si="94"/>
        <v>39</v>
      </c>
      <c r="L143" s="43">
        <f t="shared" si="95"/>
        <v>14941</v>
      </c>
      <c r="M143" s="43"/>
      <c r="N143" s="43">
        <f t="shared" si="96"/>
        <v>14941</v>
      </c>
      <c r="O143" s="43">
        <f t="shared" si="97"/>
        <v>1048.6000000000001</v>
      </c>
      <c r="P143" s="42">
        <v>10000</v>
      </c>
      <c r="Q143" s="42"/>
      <c r="R143" s="42">
        <f t="shared" si="98"/>
        <v>0</v>
      </c>
    </row>
    <row r="145" spans="1:18">
      <c r="A145" s="1" t="s">
        <v>4068</v>
      </c>
      <c r="B145" s="359" t="s">
        <v>1304</v>
      </c>
      <c r="C145" s="359" t="s">
        <v>24</v>
      </c>
      <c r="D145" s="42" t="s">
        <v>16</v>
      </c>
      <c r="E145" s="359" t="s">
        <v>3493</v>
      </c>
      <c r="F145" s="359">
        <v>1924706</v>
      </c>
      <c r="G145" s="359"/>
      <c r="H145" s="359">
        <v>14950</v>
      </c>
      <c r="I145" s="359">
        <v>300</v>
      </c>
      <c r="J145" s="359">
        <v>0.13</v>
      </c>
      <c r="K145" s="43">
        <f t="shared" ref="K145" si="99">I145*J145</f>
        <v>39</v>
      </c>
      <c r="L145" s="43">
        <f t="shared" ref="L145" si="100">H145-K145</f>
        <v>14911</v>
      </c>
      <c r="M145" s="43"/>
      <c r="N145" s="43">
        <f t="shared" ref="N145" si="101">L145-M145</f>
        <v>14911</v>
      </c>
      <c r="O145" s="43">
        <f t="shared" ref="O145" si="102">H145/1000*70</f>
        <v>1046.5</v>
      </c>
      <c r="P145" s="42">
        <v>9000</v>
      </c>
      <c r="Q145" s="42"/>
      <c r="R145" s="42">
        <f t="shared" ref="R145" si="103">L145*Q145</f>
        <v>0</v>
      </c>
    </row>
    <row r="147" spans="1:18">
      <c r="A147" s="374" t="s">
        <v>4076</v>
      </c>
      <c r="B147" s="366" t="s">
        <v>1304</v>
      </c>
      <c r="C147" s="366" t="s">
        <v>24</v>
      </c>
      <c r="D147" s="42" t="s">
        <v>16</v>
      </c>
      <c r="E147" s="366" t="s">
        <v>894</v>
      </c>
      <c r="F147" s="366">
        <v>1924738</v>
      </c>
      <c r="G147" s="366"/>
      <c r="H147" s="366">
        <v>19900</v>
      </c>
      <c r="I147" s="366">
        <v>400</v>
      </c>
      <c r="J147" s="366">
        <v>0.13</v>
      </c>
      <c r="K147" s="366">
        <f>I147*J147</f>
        <v>52</v>
      </c>
      <c r="L147" s="364">
        <f>H147-K147</f>
        <v>19848</v>
      </c>
      <c r="M147" s="364"/>
      <c r="N147" s="364">
        <f>L147-M147</f>
        <v>19848</v>
      </c>
      <c r="O147" s="43">
        <f>H147/1000*70</f>
        <v>1393</v>
      </c>
      <c r="P147" s="366">
        <v>13000</v>
      </c>
      <c r="Q147" s="190">
        <v>36</v>
      </c>
      <c r="R147" s="366">
        <f>L147*Q147</f>
        <v>714528</v>
      </c>
    </row>
    <row r="148" spans="1:18">
      <c r="A148" s="374"/>
      <c r="B148" s="366" t="s">
        <v>1304</v>
      </c>
      <c r="C148" s="366" t="s">
        <v>24</v>
      </c>
      <c r="D148" s="42" t="s">
        <v>16</v>
      </c>
      <c r="E148" s="366" t="s">
        <v>2664</v>
      </c>
      <c r="F148" s="366">
        <v>1924740</v>
      </c>
      <c r="G148" s="366"/>
      <c r="H148" s="366">
        <v>14940</v>
      </c>
      <c r="I148" s="366">
        <v>300</v>
      </c>
      <c r="J148" s="366">
        <v>0.13</v>
      </c>
      <c r="K148" s="366">
        <f>I148*J148</f>
        <v>39</v>
      </c>
      <c r="L148" s="364">
        <f>H148-K148</f>
        <v>14901</v>
      </c>
      <c r="M148" s="364"/>
      <c r="N148" s="364">
        <f>L148-M148</f>
        <v>14901</v>
      </c>
      <c r="O148" s="43">
        <f>H148/1000*70</f>
        <v>1045.8</v>
      </c>
      <c r="P148" s="366">
        <v>10000</v>
      </c>
      <c r="Q148" s="190">
        <v>36</v>
      </c>
      <c r="R148" s="366">
        <f>L148*Q148</f>
        <v>536436</v>
      </c>
    </row>
    <row r="149" spans="1:18">
      <c r="A149" s="53"/>
    </row>
    <row r="150" spans="1:18">
      <c r="A150" s="53"/>
    </row>
    <row r="151" spans="1:18">
      <c r="A151" s="53"/>
    </row>
  </sheetData>
  <mergeCells count="28">
    <mergeCell ref="A29:A30"/>
    <mergeCell ref="A52:A55"/>
    <mergeCell ref="A46:A51"/>
    <mergeCell ref="A40:A42"/>
    <mergeCell ref="A100:A101"/>
    <mergeCell ref="A34:A36"/>
    <mergeCell ref="A69:A71"/>
    <mergeCell ref="A97:A98"/>
    <mergeCell ref="A56:A57"/>
    <mergeCell ref="A58:A59"/>
    <mergeCell ref="A65:A66"/>
    <mergeCell ref="A62:A64"/>
    <mergeCell ref="A60:A61"/>
    <mergeCell ref="A94:A96"/>
    <mergeCell ref="A85:A86"/>
    <mergeCell ref="A76:A78"/>
    <mergeCell ref="A9:A12"/>
    <mergeCell ref="A13:A14"/>
    <mergeCell ref="A17:A19"/>
    <mergeCell ref="A20:A22"/>
    <mergeCell ref="A26:A27"/>
    <mergeCell ref="A147:A148"/>
    <mergeCell ref="A123:A124"/>
    <mergeCell ref="A117:A118"/>
    <mergeCell ref="A108:A109"/>
    <mergeCell ref="A79:A81"/>
    <mergeCell ref="A138:A140"/>
    <mergeCell ref="A103:A104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5:U20"/>
  <sheetViews>
    <sheetView workbookViewId="0">
      <selection activeCell="A8" sqref="A8"/>
    </sheetView>
  </sheetViews>
  <sheetFormatPr defaultRowHeight="14.4"/>
  <cols>
    <col min="1" max="1" width="8.88671875" style="1"/>
    <col min="2" max="2" width="13.88671875" style="1" customWidth="1"/>
    <col min="3" max="3" width="10.77734375" style="1" customWidth="1"/>
    <col min="4" max="4" width="5.5546875" style="1" customWidth="1"/>
    <col min="5" max="5" width="8.88671875" style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3.4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3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676</v>
      </c>
      <c r="M5" s="95" t="s">
        <v>677</v>
      </c>
      <c r="N5" s="3" t="s">
        <v>11</v>
      </c>
      <c r="O5" s="3" t="s">
        <v>36</v>
      </c>
      <c r="P5" s="3" t="s">
        <v>12</v>
      </c>
      <c r="Q5" s="3" t="s">
        <v>256</v>
      </c>
      <c r="R5" s="3" t="s">
        <v>257</v>
      </c>
      <c r="S5" s="3" t="s">
        <v>2</v>
      </c>
      <c r="T5" s="15"/>
    </row>
    <row r="6" spans="1:21">
      <c r="A6" s="69"/>
      <c r="B6" s="136"/>
      <c r="C6" s="136"/>
      <c r="D6" s="136"/>
      <c r="E6" s="136"/>
      <c r="F6" s="136"/>
      <c r="G6" s="136"/>
      <c r="H6" s="136"/>
      <c r="I6" s="136"/>
      <c r="J6" s="136"/>
      <c r="K6" s="136"/>
      <c r="L6" s="61"/>
      <c r="M6" s="61"/>
      <c r="N6" s="136"/>
      <c r="O6" s="62"/>
      <c r="P6" s="62"/>
      <c r="Q6" s="62"/>
      <c r="R6" s="62"/>
      <c r="S6" s="62"/>
      <c r="T6" s="62"/>
      <c r="U6" s="62"/>
    </row>
    <row r="7" spans="1:21">
      <c r="A7" s="53" t="s">
        <v>1080</v>
      </c>
      <c r="B7" s="42" t="s">
        <v>1072</v>
      </c>
      <c r="C7" s="42" t="s">
        <v>24</v>
      </c>
      <c r="D7" s="42" t="s">
        <v>16</v>
      </c>
      <c r="E7" s="42" t="s">
        <v>1073</v>
      </c>
      <c r="F7" s="42">
        <v>164</v>
      </c>
      <c r="G7" s="42"/>
      <c r="H7" s="42">
        <v>15000</v>
      </c>
      <c r="I7" s="42">
        <v>300</v>
      </c>
      <c r="J7" s="42">
        <v>0.13</v>
      </c>
      <c r="K7" s="42">
        <f t="shared" ref="K7" si="0">I7*J7</f>
        <v>39</v>
      </c>
      <c r="L7" s="43">
        <f t="shared" ref="L7" si="1">H7-K7</f>
        <v>14961</v>
      </c>
      <c r="M7" s="43"/>
      <c r="N7" s="43">
        <f t="shared" ref="N7" si="2">L7-M7</f>
        <v>14961</v>
      </c>
      <c r="O7" s="43">
        <f t="shared" ref="O7" si="3">H7/1000*70</f>
        <v>1050</v>
      </c>
      <c r="P7" s="42">
        <v>10500</v>
      </c>
      <c r="Q7" s="42">
        <v>35</v>
      </c>
      <c r="R7" s="42">
        <f t="shared" ref="R7" si="4">L7*Q7</f>
        <v>523635</v>
      </c>
      <c r="S7" s="62"/>
      <c r="T7" s="62"/>
      <c r="U7" s="62"/>
    </row>
    <row r="8" spans="1:21">
      <c r="A8" s="53"/>
      <c r="B8" s="42"/>
      <c r="C8" s="42"/>
      <c r="D8" s="42"/>
      <c r="E8" s="42"/>
      <c r="F8" s="42"/>
      <c r="G8" s="42"/>
      <c r="H8" s="42"/>
      <c r="I8" s="42"/>
      <c r="J8" s="42"/>
      <c r="K8" s="42"/>
      <c r="L8" s="43"/>
      <c r="M8" s="43"/>
      <c r="N8" s="43"/>
      <c r="O8" s="43"/>
      <c r="P8" s="42"/>
      <c r="Q8" s="62"/>
      <c r="R8" s="62"/>
      <c r="S8" s="62"/>
      <c r="T8" s="62"/>
      <c r="U8" s="62"/>
    </row>
    <row r="9" spans="1:21">
      <c r="A9" s="53"/>
      <c r="B9" s="42"/>
      <c r="C9" s="42"/>
      <c r="D9" s="42"/>
      <c r="E9" s="42"/>
      <c r="F9" s="42"/>
      <c r="G9" s="42"/>
      <c r="H9" s="42"/>
      <c r="I9" s="42"/>
      <c r="J9" s="42"/>
      <c r="K9" s="42"/>
      <c r="L9" s="43"/>
      <c r="M9" s="43"/>
      <c r="N9" s="43"/>
      <c r="O9" s="43"/>
      <c r="P9" s="42"/>
      <c r="Q9" s="62"/>
      <c r="R9" s="62"/>
      <c r="S9" s="62"/>
      <c r="T9" s="62"/>
      <c r="U9" s="62"/>
    </row>
    <row r="10" spans="1:21">
      <c r="A10" s="88"/>
      <c r="B10" s="42"/>
      <c r="C10" s="42"/>
      <c r="D10" s="42"/>
      <c r="E10" s="42"/>
      <c r="F10" s="42"/>
      <c r="G10" s="42"/>
      <c r="H10" s="42"/>
      <c r="I10" s="42"/>
      <c r="J10" s="42"/>
      <c r="K10" s="42"/>
      <c r="L10" s="43"/>
      <c r="M10" s="43"/>
      <c r="N10" s="43"/>
      <c r="O10" s="43"/>
      <c r="P10" s="42"/>
      <c r="Q10" s="62"/>
      <c r="R10" s="62"/>
      <c r="S10" s="62"/>
      <c r="T10" s="62"/>
      <c r="U10" s="62"/>
    </row>
    <row r="11" spans="1:21">
      <c r="A11" s="88"/>
      <c r="B11" s="42"/>
      <c r="C11" s="42"/>
      <c r="D11" s="42"/>
      <c r="E11" s="42"/>
      <c r="F11" s="42"/>
      <c r="G11" s="42"/>
      <c r="H11" s="42"/>
      <c r="I11" s="42"/>
      <c r="J11" s="42"/>
      <c r="K11" s="43"/>
      <c r="L11" s="43"/>
      <c r="M11" s="43"/>
      <c r="N11" s="42"/>
      <c r="O11" s="62"/>
      <c r="P11" s="62"/>
      <c r="Q11" s="62"/>
      <c r="R11" s="62"/>
      <c r="S11" s="62"/>
      <c r="T11" s="62"/>
      <c r="U11" s="62"/>
    </row>
    <row r="12" spans="1:21">
      <c r="A12" s="78"/>
      <c r="B12" s="42"/>
      <c r="C12" s="42"/>
      <c r="D12" s="42"/>
      <c r="E12" s="42"/>
      <c r="F12" s="42"/>
      <c r="G12" s="42"/>
      <c r="H12" s="42"/>
      <c r="I12" s="42"/>
      <c r="J12" s="42"/>
      <c r="K12" s="42"/>
      <c r="L12" s="43"/>
      <c r="M12" s="43"/>
      <c r="N12" s="42"/>
      <c r="O12" s="42"/>
      <c r="P12" s="42"/>
      <c r="Q12" s="42"/>
      <c r="R12" s="62"/>
      <c r="S12" s="62"/>
      <c r="T12" s="62"/>
      <c r="U12" s="62"/>
    </row>
    <row r="13" spans="1:21">
      <c r="A13" s="89"/>
      <c r="B13" s="42"/>
      <c r="C13" s="42"/>
      <c r="D13" s="42"/>
      <c r="E13" s="42"/>
      <c r="F13" s="42"/>
      <c r="G13" s="42"/>
      <c r="H13" s="42"/>
      <c r="I13" s="42"/>
      <c r="J13" s="42"/>
      <c r="K13" s="42"/>
      <c r="L13" s="43"/>
      <c r="M13" s="43"/>
      <c r="N13" s="42"/>
      <c r="O13" s="136"/>
      <c r="P13" s="136"/>
      <c r="Q13" s="62"/>
      <c r="R13" s="62"/>
      <c r="S13" s="62"/>
      <c r="T13" s="62"/>
      <c r="U13" s="62"/>
    </row>
    <row r="14" spans="1:21">
      <c r="A14" s="89"/>
      <c r="B14" s="42"/>
      <c r="C14" s="42"/>
      <c r="D14" s="42"/>
      <c r="E14" s="42"/>
      <c r="F14" s="42"/>
      <c r="G14" s="42"/>
      <c r="H14" s="42"/>
      <c r="I14" s="42"/>
      <c r="J14" s="42"/>
      <c r="K14" s="42"/>
      <c r="L14" s="43"/>
      <c r="M14" s="43"/>
      <c r="N14" s="42"/>
      <c r="O14" s="136"/>
      <c r="P14" s="136"/>
      <c r="Q14" s="62"/>
      <c r="R14" s="62"/>
      <c r="S14" s="62"/>
      <c r="T14" s="62"/>
      <c r="U14" s="62"/>
    </row>
    <row r="15" spans="1:21">
      <c r="A15" s="63"/>
      <c r="B15" s="136"/>
      <c r="C15" s="135"/>
      <c r="D15" s="136"/>
      <c r="E15" s="136"/>
      <c r="F15" s="136"/>
      <c r="G15" s="136"/>
      <c r="H15" s="136"/>
      <c r="I15" s="136"/>
      <c r="J15" s="136"/>
      <c r="K15" s="61"/>
      <c r="L15" s="65"/>
      <c r="M15" s="61"/>
      <c r="N15" s="136"/>
      <c r="O15" s="136"/>
      <c r="P15" s="136"/>
      <c r="Q15" s="62"/>
      <c r="R15" s="62"/>
      <c r="S15" s="62"/>
      <c r="T15" s="62"/>
      <c r="U15" s="62"/>
    </row>
    <row r="16" spans="1:21">
      <c r="A16" s="62"/>
      <c r="B16" s="62"/>
      <c r="C16" s="62"/>
      <c r="D16" s="62"/>
      <c r="E16" s="62"/>
      <c r="F16" s="62"/>
      <c r="G16" s="62"/>
      <c r="H16" s="62"/>
      <c r="I16" s="62"/>
      <c r="J16" s="62"/>
      <c r="K16" s="62"/>
      <c r="L16" s="66"/>
      <c r="M16" s="62"/>
      <c r="N16" s="62"/>
      <c r="O16" s="62"/>
      <c r="P16" s="136"/>
      <c r="Q16" s="62"/>
      <c r="R16" s="62"/>
      <c r="S16" s="62"/>
      <c r="T16" s="62"/>
      <c r="U16" s="62"/>
    </row>
    <row r="17" spans="1:21">
      <c r="A17" s="62"/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8"/>
      <c r="M17" s="68"/>
      <c r="N17" s="67"/>
      <c r="O17" s="67"/>
      <c r="P17" s="136"/>
      <c r="Q17" s="62"/>
      <c r="R17" s="62"/>
      <c r="S17" s="62"/>
      <c r="T17" s="62"/>
      <c r="U17" s="62"/>
    </row>
    <row r="18" spans="1:21">
      <c r="A18" s="62"/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8"/>
      <c r="M18" s="68"/>
      <c r="N18" s="67"/>
      <c r="O18" s="67"/>
      <c r="P18" s="67"/>
      <c r="Q18" s="62"/>
      <c r="R18" s="62"/>
      <c r="S18" s="62"/>
      <c r="T18" s="62"/>
      <c r="U18" s="62"/>
    </row>
    <row r="19" spans="1:21">
      <c r="A19" s="62"/>
      <c r="B19" s="67"/>
      <c r="C19" s="67"/>
      <c r="D19" s="67"/>
      <c r="E19" s="67"/>
      <c r="F19" s="67"/>
      <c r="G19" s="67"/>
      <c r="H19" s="67"/>
      <c r="I19" s="67"/>
      <c r="J19" s="67"/>
      <c r="K19" s="68"/>
      <c r="L19" s="68"/>
      <c r="M19" s="68"/>
      <c r="N19" s="67"/>
      <c r="O19" s="67"/>
      <c r="P19" s="67"/>
      <c r="Q19" s="62"/>
      <c r="R19" s="62"/>
      <c r="S19" s="62"/>
      <c r="T19" s="62"/>
      <c r="U19" s="62"/>
    </row>
    <row r="20" spans="1:21">
      <c r="A20" s="21"/>
      <c r="B20" s="67"/>
      <c r="C20" s="67"/>
      <c r="D20" s="67"/>
      <c r="E20" s="67"/>
      <c r="F20" s="67"/>
      <c r="G20" s="67"/>
      <c r="H20" s="67"/>
      <c r="I20" s="67"/>
      <c r="J20" s="67"/>
      <c r="K20" s="67"/>
      <c r="L20" s="68"/>
      <c r="M20" s="68"/>
      <c r="N20" s="67"/>
      <c r="O20" s="67"/>
      <c r="P20" s="67"/>
      <c r="Q20" s="62"/>
      <c r="R20" s="62"/>
      <c r="S20" s="62"/>
      <c r="T20" s="62"/>
      <c r="U20" s="62"/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5:U20"/>
  <sheetViews>
    <sheetView workbookViewId="0">
      <selection activeCell="F11" sqref="F11"/>
    </sheetView>
  </sheetViews>
  <sheetFormatPr defaultRowHeight="14.4"/>
  <cols>
    <col min="1" max="1" width="8.88671875" style="1"/>
    <col min="2" max="2" width="16.44140625" style="1" customWidth="1"/>
    <col min="3" max="3" width="10.77734375" style="1" customWidth="1"/>
    <col min="4" max="4" width="5.5546875" style="1" customWidth="1"/>
    <col min="5" max="5" width="8.88671875" style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3.4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3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676</v>
      </c>
      <c r="M5" s="95" t="s">
        <v>677</v>
      </c>
      <c r="N5" s="3" t="s">
        <v>11</v>
      </c>
      <c r="O5" s="3" t="s">
        <v>36</v>
      </c>
      <c r="P5" s="3" t="s">
        <v>12</v>
      </c>
      <c r="Q5" s="3" t="s">
        <v>256</v>
      </c>
      <c r="R5" s="3" t="s">
        <v>257</v>
      </c>
      <c r="S5" s="3" t="s">
        <v>2</v>
      </c>
      <c r="T5" s="15"/>
    </row>
    <row r="6" spans="1:21">
      <c r="A6" s="69"/>
      <c r="B6" s="138"/>
      <c r="C6" s="138"/>
      <c r="D6" s="138"/>
      <c r="E6" s="138"/>
      <c r="F6" s="138"/>
      <c r="G6" s="138"/>
      <c r="H6" s="138"/>
      <c r="I6" s="138"/>
      <c r="J6" s="138"/>
      <c r="K6" s="138"/>
      <c r="L6" s="61"/>
      <c r="M6" s="61"/>
      <c r="N6" s="138"/>
      <c r="O6" s="62"/>
      <c r="P6" s="62"/>
      <c r="Q6" s="62"/>
      <c r="R6" s="62"/>
      <c r="S6" s="62"/>
      <c r="T6" s="62"/>
      <c r="U6" s="62"/>
    </row>
    <row r="7" spans="1:21">
      <c r="A7" s="374" t="s">
        <v>1102</v>
      </c>
      <c r="B7" s="42" t="s">
        <v>1098</v>
      </c>
      <c r="C7" s="42" t="s">
        <v>24</v>
      </c>
      <c r="D7" s="42" t="s">
        <v>16</v>
      </c>
      <c r="E7" s="42" t="s">
        <v>1099</v>
      </c>
      <c r="F7" s="42">
        <v>3083</v>
      </c>
      <c r="G7" s="42"/>
      <c r="H7" s="42">
        <v>16080</v>
      </c>
      <c r="I7" s="42">
        <v>328</v>
      </c>
      <c r="J7" s="42">
        <v>0.13</v>
      </c>
      <c r="K7" s="42">
        <f t="shared" ref="K7:K8" si="0">I7*J7</f>
        <v>42.64</v>
      </c>
      <c r="L7" s="43">
        <f t="shared" ref="L7:L8" si="1">H7-K7</f>
        <v>16037.36</v>
      </c>
      <c r="M7" s="43"/>
      <c r="N7" s="43">
        <f t="shared" ref="N7:N8" si="2">L7-M7</f>
        <v>16037.36</v>
      </c>
      <c r="O7" s="43">
        <f t="shared" ref="O7:O8" si="3">H7/1000*70</f>
        <v>1125.5999999999999</v>
      </c>
      <c r="P7" s="42">
        <v>7000</v>
      </c>
      <c r="Q7" s="42">
        <v>35.9</v>
      </c>
      <c r="R7" s="42">
        <f t="shared" ref="R7:R8" si="4">L7*Q7</f>
        <v>575741.22400000005</v>
      </c>
      <c r="S7" s="62"/>
      <c r="T7" s="62"/>
      <c r="U7" s="62"/>
    </row>
    <row r="8" spans="1:21">
      <c r="A8" s="374"/>
      <c r="B8" s="42" t="s">
        <v>1098</v>
      </c>
      <c r="C8" s="42" t="s">
        <v>24</v>
      </c>
      <c r="D8" s="42" t="s">
        <v>16</v>
      </c>
      <c r="E8" s="42" t="s">
        <v>1100</v>
      </c>
      <c r="F8" s="42"/>
      <c r="G8" s="42"/>
      <c r="H8" s="42">
        <v>15000</v>
      </c>
      <c r="I8" s="42">
        <v>300</v>
      </c>
      <c r="J8" s="42">
        <v>0.13</v>
      </c>
      <c r="K8" s="42">
        <f t="shared" si="0"/>
        <v>39</v>
      </c>
      <c r="L8" s="43">
        <f t="shared" si="1"/>
        <v>14961</v>
      </c>
      <c r="M8" s="43"/>
      <c r="N8" s="43">
        <f t="shared" si="2"/>
        <v>14961</v>
      </c>
      <c r="O8" s="43">
        <f t="shared" si="3"/>
        <v>1050</v>
      </c>
      <c r="P8" s="42"/>
      <c r="Q8" s="42">
        <v>35.9</v>
      </c>
      <c r="R8" s="42">
        <f t="shared" si="4"/>
        <v>537099.9</v>
      </c>
      <c r="S8" s="62"/>
      <c r="T8" s="62"/>
      <c r="U8" s="62"/>
    </row>
    <row r="9" spans="1:21">
      <c r="A9" s="53"/>
      <c r="B9" s="42"/>
      <c r="C9" s="42"/>
      <c r="D9" s="42"/>
      <c r="E9" s="42"/>
      <c r="F9" s="42"/>
      <c r="G9" s="42"/>
      <c r="H9" s="42"/>
      <c r="I9" s="42"/>
      <c r="J9" s="42"/>
      <c r="K9" s="42"/>
      <c r="L9" s="43"/>
      <c r="M9" s="43"/>
      <c r="N9" s="43"/>
      <c r="O9" s="43"/>
      <c r="P9" s="42"/>
      <c r="Q9" s="62"/>
      <c r="R9" s="62"/>
      <c r="S9" s="62"/>
      <c r="T9" s="62"/>
      <c r="U9" s="62"/>
    </row>
    <row r="10" spans="1:21">
      <c r="A10" s="88"/>
      <c r="B10" s="42"/>
      <c r="C10" s="42"/>
      <c r="D10" s="42"/>
      <c r="E10" s="42"/>
      <c r="F10" s="42"/>
      <c r="G10" s="42"/>
      <c r="H10" s="42"/>
      <c r="I10" s="42"/>
      <c r="J10" s="42"/>
      <c r="K10" s="42"/>
      <c r="L10" s="43"/>
      <c r="M10" s="43"/>
      <c r="N10" s="43"/>
      <c r="O10" s="43"/>
      <c r="P10" s="42"/>
      <c r="Q10" s="62"/>
      <c r="R10" s="62"/>
      <c r="S10" s="62"/>
      <c r="T10" s="62"/>
      <c r="U10" s="62"/>
    </row>
    <row r="11" spans="1:21">
      <c r="A11" s="88"/>
      <c r="B11" s="42"/>
      <c r="C11" s="42"/>
      <c r="D11" s="42"/>
      <c r="E11" s="42"/>
      <c r="F11" s="42"/>
      <c r="G11" s="42"/>
      <c r="H11" s="42"/>
      <c r="I11" s="42"/>
      <c r="J11" s="42"/>
      <c r="K11" s="43"/>
      <c r="L11" s="43"/>
      <c r="M11" s="43"/>
      <c r="N11" s="42"/>
      <c r="O11" s="62"/>
      <c r="P11" s="62"/>
      <c r="Q11" s="62"/>
      <c r="R11" s="62"/>
      <c r="S11" s="62"/>
      <c r="T11" s="62"/>
      <c r="U11" s="62"/>
    </row>
    <row r="12" spans="1:21">
      <c r="A12" s="78"/>
      <c r="B12" s="42"/>
      <c r="C12" s="42"/>
      <c r="D12" s="42"/>
      <c r="E12" s="42"/>
      <c r="F12" s="42"/>
      <c r="G12" s="42"/>
      <c r="H12" s="42"/>
      <c r="I12" s="42"/>
      <c r="J12" s="42"/>
      <c r="K12" s="42"/>
      <c r="L12" s="43"/>
      <c r="M12" s="43"/>
      <c r="N12" s="42"/>
      <c r="O12" s="42"/>
      <c r="P12" s="42"/>
      <c r="Q12" s="42"/>
      <c r="R12" s="62"/>
      <c r="S12" s="62"/>
      <c r="T12" s="62"/>
      <c r="U12" s="62"/>
    </row>
    <row r="13" spans="1:21">
      <c r="A13" s="89"/>
      <c r="B13" s="42"/>
      <c r="C13" s="42"/>
      <c r="D13" s="42"/>
      <c r="E13" s="42"/>
      <c r="F13" s="42"/>
      <c r="G13" s="42"/>
      <c r="H13" s="42"/>
      <c r="I13" s="42"/>
      <c r="J13" s="42"/>
      <c r="K13" s="42"/>
      <c r="L13" s="43"/>
      <c r="M13" s="43"/>
      <c r="N13" s="42"/>
      <c r="O13" s="138"/>
      <c r="P13" s="138"/>
      <c r="Q13" s="62"/>
      <c r="R13" s="62"/>
      <c r="S13" s="62"/>
      <c r="T13" s="62"/>
      <c r="U13" s="62"/>
    </row>
    <row r="14" spans="1:21">
      <c r="A14" s="89"/>
      <c r="B14" s="42"/>
      <c r="C14" s="42"/>
      <c r="D14" s="42"/>
      <c r="E14" s="42"/>
      <c r="F14" s="42"/>
      <c r="G14" s="42"/>
      <c r="H14" s="42"/>
      <c r="I14" s="42"/>
      <c r="J14" s="42"/>
      <c r="K14" s="42"/>
      <c r="L14" s="43"/>
      <c r="M14" s="43"/>
      <c r="N14" s="42"/>
      <c r="O14" s="138"/>
      <c r="P14" s="138"/>
      <c r="Q14" s="62"/>
      <c r="R14" s="62"/>
      <c r="S14" s="62"/>
      <c r="T14" s="62"/>
      <c r="U14" s="62"/>
    </row>
    <row r="15" spans="1:21">
      <c r="A15" s="63"/>
      <c r="B15" s="138"/>
      <c r="C15" s="137"/>
      <c r="D15" s="138"/>
      <c r="E15" s="138"/>
      <c r="F15" s="138"/>
      <c r="G15" s="138"/>
      <c r="H15" s="138"/>
      <c r="I15" s="138"/>
      <c r="J15" s="138"/>
      <c r="K15" s="61"/>
      <c r="L15" s="65"/>
      <c r="M15" s="61"/>
      <c r="N15" s="138"/>
      <c r="O15" s="138"/>
      <c r="P15" s="138"/>
      <c r="Q15" s="62"/>
      <c r="R15" s="62"/>
      <c r="S15" s="62"/>
      <c r="T15" s="62"/>
      <c r="U15" s="62"/>
    </row>
    <row r="16" spans="1:21">
      <c r="A16" s="62"/>
      <c r="B16" s="62"/>
      <c r="C16" s="62"/>
      <c r="D16" s="62"/>
      <c r="E16" s="62"/>
      <c r="F16" s="62"/>
      <c r="G16" s="62"/>
      <c r="H16" s="62"/>
      <c r="I16" s="62"/>
      <c r="J16" s="62"/>
      <c r="K16" s="62"/>
      <c r="L16" s="66"/>
      <c r="M16" s="62"/>
      <c r="N16" s="62"/>
      <c r="O16" s="62"/>
      <c r="P16" s="138"/>
      <c r="Q16" s="62"/>
      <c r="R16" s="62"/>
      <c r="S16" s="62"/>
      <c r="T16" s="62"/>
      <c r="U16" s="62"/>
    </row>
    <row r="17" spans="1:21">
      <c r="A17" s="62"/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8"/>
      <c r="M17" s="68"/>
      <c r="N17" s="67"/>
      <c r="O17" s="67"/>
      <c r="P17" s="138"/>
      <c r="Q17" s="62"/>
      <c r="R17" s="62"/>
      <c r="S17" s="62"/>
      <c r="T17" s="62"/>
      <c r="U17" s="62"/>
    </row>
    <row r="18" spans="1:21">
      <c r="A18" s="62"/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8"/>
      <c r="M18" s="68"/>
      <c r="N18" s="67"/>
      <c r="O18" s="67"/>
      <c r="P18" s="67"/>
      <c r="Q18" s="62"/>
      <c r="R18" s="62"/>
      <c r="S18" s="62"/>
      <c r="T18" s="62"/>
      <c r="U18" s="62"/>
    </row>
    <row r="19" spans="1:21">
      <c r="A19" s="62"/>
      <c r="B19" s="67"/>
      <c r="C19" s="67"/>
      <c r="D19" s="67"/>
      <c r="E19" s="67"/>
      <c r="F19" s="67"/>
      <c r="G19" s="67"/>
      <c r="H19" s="67"/>
      <c r="I19" s="67"/>
      <c r="J19" s="67"/>
      <c r="K19" s="68"/>
      <c r="L19" s="68"/>
      <c r="M19" s="68"/>
      <c r="N19" s="67"/>
      <c r="O19" s="67"/>
      <c r="P19" s="67"/>
      <c r="Q19" s="62"/>
      <c r="R19" s="62"/>
      <c r="S19" s="62"/>
      <c r="T19" s="62"/>
      <c r="U19" s="62"/>
    </row>
    <row r="20" spans="1:21">
      <c r="A20" s="21"/>
      <c r="B20" s="67"/>
      <c r="C20" s="67"/>
      <c r="D20" s="67"/>
      <c r="E20" s="67"/>
      <c r="F20" s="67"/>
      <c r="G20" s="67"/>
      <c r="H20" s="67"/>
      <c r="I20" s="67"/>
      <c r="J20" s="67"/>
      <c r="K20" s="67"/>
      <c r="L20" s="68"/>
      <c r="M20" s="68"/>
      <c r="N20" s="67"/>
      <c r="O20" s="67"/>
      <c r="P20" s="67"/>
      <c r="Q20" s="62"/>
      <c r="R20" s="62"/>
      <c r="S20" s="62"/>
      <c r="T20" s="62"/>
      <c r="U20" s="62"/>
    </row>
  </sheetData>
  <mergeCells count="1">
    <mergeCell ref="A7:A8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5:U20"/>
  <sheetViews>
    <sheetView workbookViewId="0">
      <selection activeCell="B17" sqref="B17"/>
    </sheetView>
  </sheetViews>
  <sheetFormatPr defaultRowHeight="14.4"/>
  <cols>
    <col min="1" max="1" width="8.88671875" style="1"/>
    <col min="2" max="2" width="16.44140625" style="1" customWidth="1"/>
    <col min="3" max="3" width="10.77734375" style="1" customWidth="1"/>
    <col min="4" max="4" width="5.5546875" style="1" customWidth="1"/>
    <col min="5" max="5" width="8.88671875" style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3.4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3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676</v>
      </c>
      <c r="M5" s="95" t="s">
        <v>677</v>
      </c>
      <c r="N5" s="3" t="s">
        <v>11</v>
      </c>
      <c r="O5" s="3" t="s">
        <v>36</v>
      </c>
      <c r="P5" s="3" t="s">
        <v>12</v>
      </c>
      <c r="Q5" s="3" t="s">
        <v>256</v>
      </c>
      <c r="R5" s="3" t="s">
        <v>257</v>
      </c>
      <c r="S5" s="3" t="s">
        <v>2</v>
      </c>
      <c r="T5" s="15"/>
    </row>
    <row r="6" spans="1:21">
      <c r="A6" s="69"/>
      <c r="B6" s="140"/>
      <c r="C6" s="140"/>
      <c r="D6" s="140"/>
      <c r="E6" s="140"/>
      <c r="F6" s="140"/>
      <c r="G6" s="140"/>
      <c r="H6" s="140"/>
      <c r="I6" s="140"/>
      <c r="J6" s="140"/>
      <c r="K6" s="140"/>
      <c r="L6" s="61"/>
      <c r="M6" s="61"/>
      <c r="N6" s="140"/>
      <c r="O6" s="62"/>
      <c r="P6" s="62"/>
      <c r="Q6" s="62"/>
      <c r="R6" s="62"/>
      <c r="S6" s="62"/>
      <c r="T6" s="62"/>
      <c r="U6" s="62"/>
    </row>
    <row r="7" spans="1:21">
      <c r="A7" s="374" t="s">
        <v>1110</v>
      </c>
      <c r="B7" s="42" t="s">
        <v>1111</v>
      </c>
      <c r="C7" s="42" t="s">
        <v>24</v>
      </c>
      <c r="D7" s="42" t="s">
        <v>16</v>
      </c>
      <c r="E7" s="42" t="s">
        <v>1112</v>
      </c>
      <c r="F7" s="42">
        <v>365</v>
      </c>
      <c r="G7" s="42"/>
      <c r="H7" s="42">
        <v>12490</v>
      </c>
      <c r="I7" s="42">
        <v>250</v>
      </c>
      <c r="J7" s="42">
        <v>0.13</v>
      </c>
      <c r="K7" s="42">
        <v>33</v>
      </c>
      <c r="L7" s="43">
        <f t="shared" ref="L7:L10" si="0">H7-K7</f>
        <v>12457</v>
      </c>
      <c r="M7" s="43"/>
      <c r="N7" s="43">
        <f t="shared" ref="N7:N10" si="1">L7-M7</f>
        <v>12457</v>
      </c>
      <c r="O7" s="43">
        <f t="shared" ref="O7:O10" si="2">H7/1000*70</f>
        <v>874.30000000000007</v>
      </c>
      <c r="P7" s="42">
        <v>10500</v>
      </c>
      <c r="Q7" s="42">
        <v>36.5</v>
      </c>
      <c r="R7" s="42">
        <f t="shared" ref="R7:R10" si="3">L7*Q7</f>
        <v>454680.5</v>
      </c>
      <c r="S7" s="62"/>
      <c r="T7" s="62"/>
      <c r="U7" s="62"/>
    </row>
    <row r="8" spans="1:21">
      <c r="A8" s="374"/>
      <c r="B8" s="42" t="s">
        <v>1111</v>
      </c>
      <c r="C8" s="42" t="s">
        <v>24</v>
      </c>
      <c r="D8" s="42" t="s">
        <v>16</v>
      </c>
      <c r="E8" s="42" t="s">
        <v>1113</v>
      </c>
      <c r="F8" s="42">
        <v>366</v>
      </c>
      <c r="G8" s="42"/>
      <c r="H8" s="42">
        <v>12500</v>
      </c>
      <c r="I8" s="42">
        <v>250</v>
      </c>
      <c r="J8" s="42">
        <v>0.13</v>
      </c>
      <c r="K8" s="42">
        <v>33</v>
      </c>
      <c r="L8" s="43">
        <f t="shared" si="0"/>
        <v>12467</v>
      </c>
      <c r="M8" s="43"/>
      <c r="N8" s="43">
        <f t="shared" si="1"/>
        <v>12467</v>
      </c>
      <c r="O8" s="43">
        <f t="shared" si="2"/>
        <v>875</v>
      </c>
      <c r="P8" s="42">
        <v>9500</v>
      </c>
      <c r="Q8" s="42">
        <v>36.5</v>
      </c>
      <c r="R8" s="42">
        <f t="shared" si="3"/>
        <v>455045.5</v>
      </c>
      <c r="S8" s="62"/>
      <c r="T8" s="62"/>
      <c r="U8" s="62"/>
    </row>
    <row r="9" spans="1:21">
      <c r="A9" s="374" t="s">
        <v>1116</v>
      </c>
      <c r="B9" s="42" t="s">
        <v>1111</v>
      </c>
      <c r="C9" s="42" t="s">
        <v>24</v>
      </c>
      <c r="D9" s="42" t="s">
        <v>16</v>
      </c>
      <c r="E9" s="42" t="s">
        <v>1117</v>
      </c>
      <c r="F9" s="42">
        <v>374</v>
      </c>
      <c r="G9" s="42"/>
      <c r="H9" s="42">
        <v>12500</v>
      </c>
      <c r="I9" s="42">
        <v>250</v>
      </c>
      <c r="J9" s="42">
        <v>0.13</v>
      </c>
      <c r="K9" s="42">
        <v>33</v>
      </c>
      <c r="L9" s="43">
        <f t="shared" si="0"/>
        <v>12467</v>
      </c>
      <c r="M9" s="43"/>
      <c r="N9" s="43">
        <f t="shared" si="1"/>
        <v>12467</v>
      </c>
      <c r="O9" s="43">
        <f t="shared" si="2"/>
        <v>875</v>
      </c>
      <c r="P9" s="42">
        <v>9500</v>
      </c>
      <c r="Q9" s="42">
        <v>36.5</v>
      </c>
      <c r="R9" s="42">
        <f t="shared" si="3"/>
        <v>455045.5</v>
      </c>
      <c r="S9" s="62"/>
      <c r="T9" s="62"/>
      <c r="U9" s="62"/>
    </row>
    <row r="10" spans="1:21">
      <c r="A10" s="374"/>
      <c r="B10" s="42" t="s">
        <v>1111</v>
      </c>
      <c r="C10" s="42" t="s">
        <v>24</v>
      </c>
      <c r="D10" s="42" t="s">
        <v>16</v>
      </c>
      <c r="E10" s="42" t="s">
        <v>1118</v>
      </c>
      <c r="F10" s="42">
        <v>375</v>
      </c>
      <c r="G10" s="42"/>
      <c r="H10" s="42">
        <v>12500</v>
      </c>
      <c r="I10" s="42">
        <v>250</v>
      </c>
      <c r="J10" s="42">
        <v>0.13</v>
      </c>
      <c r="K10" s="42">
        <v>33</v>
      </c>
      <c r="L10" s="43">
        <f t="shared" si="0"/>
        <v>12467</v>
      </c>
      <c r="M10" s="43"/>
      <c r="N10" s="43">
        <f t="shared" si="1"/>
        <v>12467</v>
      </c>
      <c r="O10" s="43">
        <f t="shared" si="2"/>
        <v>875</v>
      </c>
      <c r="P10" s="42">
        <v>9500</v>
      </c>
      <c r="Q10" s="42">
        <v>36.5</v>
      </c>
      <c r="R10" s="42">
        <f t="shared" si="3"/>
        <v>455045.5</v>
      </c>
      <c r="S10" s="62"/>
      <c r="T10" s="62"/>
      <c r="U10" s="62"/>
    </row>
    <row r="11" spans="1:21">
      <c r="A11" s="88"/>
      <c r="B11" s="42"/>
      <c r="C11" s="42"/>
      <c r="D11" s="42"/>
      <c r="E11" s="42"/>
      <c r="F11" s="42"/>
      <c r="G11" s="42"/>
      <c r="H11" s="42"/>
      <c r="I11" s="42"/>
      <c r="J11" s="42"/>
      <c r="K11" s="43"/>
      <c r="L11" s="43"/>
      <c r="M11" s="43"/>
      <c r="N11" s="42"/>
      <c r="O11" s="62"/>
      <c r="P11" s="62"/>
      <c r="Q11" s="62"/>
      <c r="R11" s="62"/>
      <c r="S11" s="62"/>
      <c r="T11" s="62"/>
      <c r="U11" s="62"/>
    </row>
    <row r="12" spans="1:21">
      <c r="A12" s="389" t="s">
        <v>2581</v>
      </c>
      <c r="B12" s="42" t="s">
        <v>1111</v>
      </c>
      <c r="C12" s="42" t="s">
        <v>24</v>
      </c>
      <c r="D12" s="42" t="s">
        <v>16</v>
      </c>
      <c r="E12" s="42" t="s">
        <v>2580</v>
      </c>
      <c r="F12" s="42">
        <v>766</v>
      </c>
      <c r="G12" s="42"/>
      <c r="H12" s="42">
        <v>14990</v>
      </c>
      <c r="I12" s="42">
        <v>300</v>
      </c>
      <c r="J12" s="42">
        <v>0.13</v>
      </c>
      <c r="K12" s="43">
        <f t="shared" ref="K12:K14" si="4">I12*J12</f>
        <v>39</v>
      </c>
      <c r="L12" s="43">
        <f t="shared" ref="L12:L14" si="5">H12-K12</f>
        <v>14951</v>
      </c>
      <c r="M12" s="43"/>
      <c r="N12" s="43">
        <f t="shared" ref="N12:N14" si="6">L12-M12</f>
        <v>14951</v>
      </c>
      <c r="O12" s="43">
        <f t="shared" ref="O12:O14" si="7">H12/1000*70</f>
        <v>1049.3</v>
      </c>
      <c r="P12" s="42">
        <v>10500</v>
      </c>
      <c r="Q12" s="42">
        <v>38</v>
      </c>
      <c r="R12" s="42">
        <f t="shared" ref="R12:R14" si="8">L12*Q12</f>
        <v>568138</v>
      </c>
      <c r="S12" s="62"/>
      <c r="T12" s="62"/>
      <c r="U12" s="62"/>
    </row>
    <row r="13" spans="1:21">
      <c r="A13" s="389"/>
      <c r="B13" s="42" t="s">
        <v>1111</v>
      </c>
      <c r="C13" s="42" t="s">
        <v>24</v>
      </c>
      <c r="D13" s="42" t="s">
        <v>16</v>
      </c>
      <c r="E13" s="42" t="s">
        <v>1623</v>
      </c>
      <c r="F13" s="42">
        <v>763</v>
      </c>
      <c r="G13" s="42"/>
      <c r="H13" s="42">
        <v>14990</v>
      </c>
      <c r="I13" s="42">
        <v>300</v>
      </c>
      <c r="J13" s="42">
        <v>0.13</v>
      </c>
      <c r="K13" s="43">
        <f t="shared" si="4"/>
        <v>39</v>
      </c>
      <c r="L13" s="43">
        <f t="shared" si="5"/>
        <v>14951</v>
      </c>
      <c r="M13" s="43"/>
      <c r="N13" s="43">
        <f t="shared" si="6"/>
        <v>14951</v>
      </c>
      <c r="O13" s="43">
        <f t="shared" si="7"/>
        <v>1049.3</v>
      </c>
      <c r="P13" s="42">
        <v>10500</v>
      </c>
      <c r="Q13" s="42">
        <v>38</v>
      </c>
      <c r="R13" s="42">
        <f t="shared" si="8"/>
        <v>568138</v>
      </c>
      <c r="S13" s="62"/>
      <c r="T13" s="62"/>
      <c r="U13" s="62"/>
    </row>
    <row r="14" spans="1:21">
      <c r="A14" s="389"/>
      <c r="B14" s="42" t="s">
        <v>1111</v>
      </c>
      <c r="C14" s="42" t="s">
        <v>24</v>
      </c>
      <c r="D14" s="42" t="s">
        <v>16</v>
      </c>
      <c r="E14" s="42" t="s">
        <v>2582</v>
      </c>
      <c r="F14" s="42">
        <v>764</v>
      </c>
      <c r="G14" s="42"/>
      <c r="H14" s="42">
        <v>15000</v>
      </c>
      <c r="I14" s="42">
        <v>300</v>
      </c>
      <c r="J14" s="42">
        <v>0.13</v>
      </c>
      <c r="K14" s="43">
        <f t="shared" si="4"/>
        <v>39</v>
      </c>
      <c r="L14" s="43">
        <f t="shared" si="5"/>
        <v>14961</v>
      </c>
      <c r="M14" s="43"/>
      <c r="N14" s="43">
        <f t="shared" si="6"/>
        <v>14961</v>
      </c>
      <c r="O14" s="43">
        <f t="shared" si="7"/>
        <v>1050</v>
      </c>
      <c r="P14" s="42">
        <v>10500</v>
      </c>
      <c r="Q14" s="42">
        <v>38</v>
      </c>
      <c r="R14" s="42">
        <f t="shared" si="8"/>
        <v>568518</v>
      </c>
      <c r="S14" s="62"/>
      <c r="T14" s="62"/>
      <c r="U14" s="62"/>
    </row>
    <row r="15" spans="1:21">
      <c r="A15" s="63"/>
      <c r="B15" s="140"/>
      <c r="C15" s="139"/>
      <c r="D15" s="140"/>
      <c r="E15" s="140"/>
      <c r="F15" s="140"/>
      <c r="G15" s="140"/>
      <c r="H15" s="140"/>
      <c r="I15" s="140"/>
      <c r="J15" s="140"/>
      <c r="K15" s="61"/>
      <c r="L15" s="65"/>
      <c r="M15" s="61"/>
      <c r="N15" s="140"/>
      <c r="O15" s="140"/>
      <c r="P15" s="140"/>
      <c r="Q15" s="62"/>
      <c r="R15" s="62"/>
      <c r="S15" s="62"/>
      <c r="T15" s="62"/>
      <c r="U15" s="62"/>
    </row>
    <row r="16" spans="1:21">
      <c r="A16" s="62"/>
      <c r="B16" s="62"/>
      <c r="C16" s="62"/>
      <c r="D16" s="62"/>
      <c r="E16" s="62"/>
      <c r="F16" s="62"/>
      <c r="G16" s="62"/>
      <c r="H16" s="62"/>
      <c r="I16" s="62"/>
      <c r="J16" s="62"/>
      <c r="K16" s="62"/>
      <c r="L16" s="66"/>
      <c r="M16" s="62"/>
      <c r="N16" s="62"/>
      <c r="O16" s="62"/>
      <c r="P16" s="140"/>
      <c r="Q16" s="62"/>
      <c r="R16" s="62"/>
      <c r="S16" s="62"/>
      <c r="T16" s="62"/>
      <c r="U16" s="62"/>
    </row>
    <row r="17" spans="1:21">
      <c r="A17" s="62"/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8"/>
      <c r="M17" s="68"/>
      <c r="N17" s="67"/>
      <c r="O17" s="67"/>
      <c r="P17" s="140"/>
      <c r="Q17" s="62"/>
      <c r="R17" s="62"/>
      <c r="S17" s="62"/>
      <c r="T17" s="62"/>
      <c r="U17" s="62"/>
    </row>
    <row r="18" spans="1:21">
      <c r="A18" s="62"/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8"/>
      <c r="M18" s="68"/>
      <c r="N18" s="67"/>
      <c r="O18" s="67"/>
      <c r="P18" s="67"/>
      <c r="Q18" s="62"/>
      <c r="R18" s="62"/>
      <c r="S18" s="62"/>
      <c r="T18" s="62"/>
      <c r="U18" s="62"/>
    </row>
    <row r="19" spans="1:21">
      <c r="A19" s="62"/>
      <c r="B19" s="67"/>
      <c r="C19" s="67"/>
      <c r="D19" s="67"/>
      <c r="E19" s="67"/>
      <c r="F19" s="67"/>
      <c r="G19" s="67"/>
      <c r="H19" s="67"/>
      <c r="I19" s="67"/>
      <c r="J19" s="67"/>
      <c r="K19" s="68"/>
      <c r="L19" s="68"/>
      <c r="M19" s="68"/>
      <c r="N19" s="67"/>
      <c r="O19" s="67"/>
      <c r="P19" s="67"/>
      <c r="Q19" s="62"/>
      <c r="R19" s="62"/>
      <c r="S19" s="62"/>
      <c r="T19" s="62"/>
      <c r="U19" s="62"/>
    </row>
    <row r="20" spans="1:21">
      <c r="A20" s="21"/>
      <c r="B20" s="67"/>
      <c r="C20" s="67"/>
      <c r="D20" s="67"/>
      <c r="E20" s="67"/>
      <c r="F20" s="67"/>
      <c r="G20" s="67"/>
      <c r="H20" s="67"/>
      <c r="I20" s="67"/>
      <c r="J20" s="67"/>
      <c r="K20" s="67"/>
      <c r="L20" s="68"/>
      <c r="M20" s="68"/>
      <c r="N20" s="67"/>
      <c r="O20" s="67"/>
      <c r="P20" s="67"/>
      <c r="Q20" s="62"/>
      <c r="R20" s="62"/>
      <c r="S20" s="62"/>
      <c r="T20" s="62"/>
      <c r="U20" s="62"/>
    </row>
  </sheetData>
  <mergeCells count="3">
    <mergeCell ref="A7:A8"/>
    <mergeCell ref="A9:A10"/>
    <mergeCell ref="A12:A14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5:U20"/>
  <sheetViews>
    <sheetView workbookViewId="0">
      <selection activeCell="A11" sqref="A11:A12"/>
    </sheetView>
  </sheetViews>
  <sheetFormatPr defaultRowHeight="14.4"/>
  <cols>
    <col min="1" max="1" width="8.88671875" style="1"/>
    <col min="2" max="2" width="16.44140625" style="1" customWidth="1"/>
    <col min="3" max="3" width="10.77734375" style="1" customWidth="1"/>
    <col min="4" max="4" width="5.5546875" style="1" customWidth="1"/>
    <col min="5" max="5" width="8.88671875" style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3.4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3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676</v>
      </c>
      <c r="M5" s="95" t="s">
        <v>677</v>
      </c>
      <c r="N5" s="3" t="s">
        <v>11</v>
      </c>
      <c r="O5" s="3" t="s">
        <v>36</v>
      </c>
      <c r="P5" s="3" t="s">
        <v>12</v>
      </c>
      <c r="Q5" s="3" t="s">
        <v>256</v>
      </c>
      <c r="R5" s="3" t="s">
        <v>257</v>
      </c>
      <c r="S5" s="3" t="s">
        <v>2</v>
      </c>
      <c r="T5" s="15"/>
    </row>
    <row r="6" spans="1:21">
      <c r="A6" s="69"/>
      <c r="B6" s="146"/>
      <c r="C6" s="146"/>
      <c r="D6" s="146"/>
      <c r="E6" s="146"/>
      <c r="F6" s="146"/>
      <c r="G6" s="146"/>
      <c r="H6" s="146"/>
      <c r="I6" s="146"/>
      <c r="J6" s="146"/>
      <c r="K6" s="146"/>
      <c r="L6" s="61"/>
      <c r="M6" s="61"/>
      <c r="N6" s="146"/>
      <c r="O6" s="62"/>
      <c r="P6" s="62"/>
      <c r="Q6" s="62"/>
      <c r="R6" s="62"/>
      <c r="S6" s="62"/>
      <c r="T6" s="62"/>
      <c r="U6" s="62"/>
    </row>
    <row r="7" spans="1:21">
      <c r="A7" s="374" t="s">
        <v>1147</v>
      </c>
      <c r="B7" s="42" t="s">
        <v>1141</v>
      </c>
      <c r="C7" s="42" t="s">
        <v>24</v>
      </c>
      <c r="D7" s="42" t="s">
        <v>16</v>
      </c>
      <c r="E7" s="42" t="s">
        <v>1149</v>
      </c>
      <c r="F7" s="42">
        <v>675</v>
      </c>
      <c r="G7" s="42"/>
      <c r="H7" s="42">
        <v>15000</v>
      </c>
      <c r="I7" s="42">
        <v>300</v>
      </c>
      <c r="J7" s="42">
        <v>0.13</v>
      </c>
      <c r="K7" s="42">
        <f t="shared" ref="K7:K9" si="0">I7*J7</f>
        <v>39</v>
      </c>
      <c r="L7" s="43">
        <f t="shared" ref="L7:L9" si="1">H7-K7</f>
        <v>14961</v>
      </c>
      <c r="M7" s="43"/>
      <c r="N7" s="43">
        <f t="shared" ref="N7:N9" si="2">L7-M7</f>
        <v>14961</v>
      </c>
      <c r="O7" s="43">
        <f t="shared" ref="O7:O9" si="3">H7/1000*70</f>
        <v>1050</v>
      </c>
      <c r="P7" s="42">
        <v>11500</v>
      </c>
      <c r="Q7" s="42"/>
      <c r="R7" s="42">
        <f t="shared" ref="R7:R9" si="4">L7*Q7</f>
        <v>0</v>
      </c>
      <c r="S7" s="62"/>
      <c r="T7" s="62"/>
      <c r="U7" s="62"/>
    </row>
    <row r="8" spans="1:21">
      <c r="A8" s="374"/>
      <c r="B8" s="42" t="s">
        <v>1141</v>
      </c>
      <c r="C8" s="42" t="s">
        <v>24</v>
      </c>
      <c r="D8" s="42" t="s">
        <v>16</v>
      </c>
      <c r="E8" s="42" t="s">
        <v>1054</v>
      </c>
      <c r="F8" s="42">
        <v>682</v>
      </c>
      <c r="G8" s="42"/>
      <c r="H8" s="42">
        <v>15000</v>
      </c>
      <c r="I8" s="42">
        <v>300</v>
      </c>
      <c r="J8" s="42">
        <v>0.13</v>
      </c>
      <c r="K8" s="42">
        <f t="shared" si="0"/>
        <v>39</v>
      </c>
      <c r="L8" s="43">
        <f t="shared" si="1"/>
        <v>14961</v>
      </c>
      <c r="M8" s="43"/>
      <c r="N8" s="43">
        <f t="shared" si="2"/>
        <v>14961</v>
      </c>
      <c r="O8" s="43">
        <f t="shared" si="3"/>
        <v>1050</v>
      </c>
      <c r="P8" s="42">
        <v>10200</v>
      </c>
      <c r="Q8" s="42"/>
      <c r="R8" s="42">
        <f t="shared" si="4"/>
        <v>0</v>
      </c>
      <c r="S8" s="62"/>
      <c r="T8" s="62"/>
      <c r="U8" s="62"/>
    </row>
    <row r="9" spans="1:21">
      <c r="A9" s="53" t="s">
        <v>1157</v>
      </c>
      <c r="B9" s="42" t="s">
        <v>1141</v>
      </c>
      <c r="C9" s="42" t="s">
        <v>24</v>
      </c>
      <c r="D9" s="42" t="s">
        <v>16</v>
      </c>
      <c r="E9" s="42" t="s">
        <v>1158</v>
      </c>
      <c r="F9" s="42">
        <v>694</v>
      </c>
      <c r="G9" s="42"/>
      <c r="H9" s="42">
        <v>15000</v>
      </c>
      <c r="I9" s="42">
        <v>300</v>
      </c>
      <c r="J9" s="42">
        <v>0.13</v>
      </c>
      <c r="K9" s="42">
        <f t="shared" si="0"/>
        <v>39</v>
      </c>
      <c r="L9" s="43">
        <f t="shared" si="1"/>
        <v>14961</v>
      </c>
      <c r="M9" s="43"/>
      <c r="N9" s="43">
        <f t="shared" si="2"/>
        <v>14961</v>
      </c>
      <c r="O9" s="43">
        <f t="shared" si="3"/>
        <v>1050</v>
      </c>
      <c r="P9" s="42">
        <v>13500</v>
      </c>
      <c r="Q9" s="42">
        <v>38</v>
      </c>
      <c r="R9" s="42">
        <f t="shared" si="4"/>
        <v>568518</v>
      </c>
      <c r="S9" s="62"/>
      <c r="T9" s="62"/>
      <c r="U9" s="62"/>
    </row>
    <row r="10" spans="1:21">
      <c r="A10" s="53"/>
      <c r="B10" s="42"/>
      <c r="C10" s="42"/>
      <c r="D10" s="42"/>
      <c r="E10" s="42"/>
      <c r="F10" s="42"/>
      <c r="G10" s="42"/>
      <c r="H10" s="42"/>
      <c r="I10" s="42"/>
      <c r="J10" s="42"/>
      <c r="K10" s="42"/>
      <c r="L10" s="43"/>
      <c r="M10" s="43"/>
      <c r="N10" s="43"/>
      <c r="O10" s="43"/>
      <c r="P10" s="42"/>
      <c r="Q10" s="42"/>
      <c r="R10" s="42"/>
      <c r="S10" s="62"/>
      <c r="T10" s="62"/>
      <c r="U10" s="62"/>
    </row>
    <row r="11" spans="1:21">
      <c r="A11" s="390" t="s">
        <v>1449</v>
      </c>
      <c r="B11" s="42" t="s">
        <v>1172</v>
      </c>
      <c r="C11" s="42" t="s">
        <v>24</v>
      </c>
      <c r="D11" s="42" t="s">
        <v>16</v>
      </c>
      <c r="E11" s="42" t="s">
        <v>1258</v>
      </c>
      <c r="F11" s="42">
        <v>940</v>
      </c>
      <c r="G11" s="42"/>
      <c r="H11" s="42">
        <v>15000</v>
      </c>
      <c r="I11" s="42">
        <v>300</v>
      </c>
      <c r="J11" s="42">
        <v>0.13</v>
      </c>
      <c r="K11" s="42">
        <f t="shared" ref="K11:K12" si="5">I11*J11</f>
        <v>39</v>
      </c>
      <c r="L11" s="43">
        <f t="shared" ref="L11:L12" si="6">H11-K11</f>
        <v>14961</v>
      </c>
      <c r="M11" s="43"/>
      <c r="N11" s="43">
        <f t="shared" ref="N11:N12" si="7">L11-M11</f>
        <v>14961</v>
      </c>
      <c r="O11" s="43">
        <f t="shared" ref="O11:O12" si="8">H11/1000*70</f>
        <v>1050</v>
      </c>
      <c r="P11" s="42">
        <v>0</v>
      </c>
      <c r="Q11" s="42">
        <v>38</v>
      </c>
      <c r="R11" s="42">
        <f t="shared" ref="R11:R12" si="9">L11*Q11</f>
        <v>568518</v>
      </c>
      <c r="S11" s="62"/>
      <c r="T11" s="62"/>
      <c r="U11" s="62"/>
    </row>
    <row r="12" spans="1:21">
      <c r="A12" s="390"/>
      <c r="B12" s="42" t="s">
        <v>1172</v>
      </c>
      <c r="C12" s="42" t="s">
        <v>24</v>
      </c>
      <c r="D12" s="42" t="s">
        <v>16</v>
      </c>
      <c r="E12" s="42" t="s">
        <v>1435</v>
      </c>
      <c r="F12" s="42">
        <v>972</v>
      </c>
      <c r="G12" s="42"/>
      <c r="H12" s="42">
        <v>15000</v>
      </c>
      <c r="I12" s="42">
        <v>300</v>
      </c>
      <c r="J12" s="42">
        <v>0.13</v>
      </c>
      <c r="K12" s="42">
        <f t="shared" si="5"/>
        <v>39</v>
      </c>
      <c r="L12" s="43">
        <f t="shared" si="6"/>
        <v>14961</v>
      </c>
      <c r="M12" s="43"/>
      <c r="N12" s="43">
        <f t="shared" si="7"/>
        <v>14961</v>
      </c>
      <c r="O12" s="43">
        <f t="shared" si="8"/>
        <v>1050</v>
      </c>
      <c r="P12" s="42">
        <v>0</v>
      </c>
      <c r="Q12" s="42">
        <v>38</v>
      </c>
      <c r="R12" s="42">
        <f t="shared" si="9"/>
        <v>568518</v>
      </c>
      <c r="S12" s="62"/>
      <c r="T12" s="62"/>
      <c r="U12" s="62"/>
    </row>
    <row r="13" spans="1:21">
      <c r="A13" s="89"/>
      <c r="B13" s="42"/>
      <c r="C13" s="42"/>
      <c r="D13" s="42"/>
      <c r="E13" s="42"/>
      <c r="F13" s="42"/>
      <c r="G13" s="42"/>
      <c r="H13" s="42"/>
      <c r="I13" s="42"/>
      <c r="J13" s="42"/>
      <c r="K13" s="42"/>
      <c r="L13" s="43"/>
      <c r="M13" s="43"/>
      <c r="N13" s="42"/>
      <c r="O13" s="146"/>
      <c r="P13" s="146"/>
      <c r="Q13" s="62"/>
      <c r="R13" s="62"/>
      <c r="S13" s="62"/>
      <c r="T13" s="62"/>
      <c r="U13" s="62"/>
    </row>
    <row r="14" spans="1:21">
      <c r="A14" s="89"/>
      <c r="B14" s="42"/>
      <c r="C14" s="42"/>
      <c r="D14" s="42"/>
      <c r="E14" s="42"/>
      <c r="F14" s="42"/>
      <c r="G14" s="42"/>
      <c r="H14" s="42"/>
      <c r="I14" s="42"/>
      <c r="J14" s="42"/>
      <c r="K14" s="42"/>
      <c r="L14" s="43"/>
      <c r="M14" s="43"/>
      <c r="N14" s="42"/>
      <c r="O14" s="146"/>
      <c r="P14" s="146"/>
      <c r="Q14" s="62"/>
      <c r="R14" s="62"/>
      <c r="S14" s="62"/>
      <c r="T14" s="62"/>
      <c r="U14" s="62"/>
    </row>
    <row r="15" spans="1:21">
      <c r="A15" s="63"/>
      <c r="B15" s="146"/>
      <c r="C15" s="145"/>
      <c r="D15" s="146"/>
      <c r="E15" s="146"/>
      <c r="F15" s="146"/>
      <c r="G15" s="146"/>
      <c r="H15" s="146"/>
      <c r="I15" s="146"/>
      <c r="J15" s="146"/>
      <c r="K15" s="61"/>
      <c r="L15" s="65"/>
      <c r="M15" s="61"/>
      <c r="N15" s="146"/>
      <c r="O15" s="146"/>
      <c r="P15" s="146"/>
      <c r="Q15" s="62"/>
      <c r="R15" s="62"/>
      <c r="S15" s="62"/>
      <c r="T15" s="62"/>
      <c r="U15" s="62"/>
    </row>
    <row r="16" spans="1:21">
      <c r="A16" s="62"/>
      <c r="B16" s="62"/>
      <c r="C16" s="62"/>
      <c r="D16" s="62"/>
      <c r="E16" s="62"/>
      <c r="F16" s="62"/>
      <c r="G16" s="62"/>
      <c r="H16" s="62"/>
      <c r="I16" s="62"/>
      <c r="J16" s="62"/>
      <c r="K16" s="62"/>
      <c r="L16" s="66"/>
      <c r="M16" s="62"/>
      <c r="N16" s="62"/>
      <c r="O16" s="62"/>
      <c r="P16" s="146"/>
      <c r="Q16" s="62"/>
      <c r="R16" s="62"/>
      <c r="S16" s="62"/>
      <c r="T16" s="62"/>
      <c r="U16" s="62"/>
    </row>
    <row r="17" spans="1:21">
      <c r="A17" s="62"/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8"/>
      <c r="M17" s="68"/>
      <c r="N17" s="67"/>
      <c r="O17" s="67"/>
      <c r="P17" s="146"/>
      <c r="Q17" s="62"/>
      <c r="R17" s="62"/>
      <c r="S17" s="62"/>
      <c r="T17" s="62"/>
      <c r="U17" s="62"/>
    </row>
    <row r="18" spans="1:21">
      <c r="A18" s="62"/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8"/>
      <c r="M18" s="68"/>
      <c r="N18" s="67"/>
      <c r="O18" s="67"/>
      <c r="P18" s="67"/>
      <c r="Q18" s="62"/>
      <c r="R18" s="62"/>
      <c r="S18" s="62"/>
      <c r="T18" s="62"/>
      <c r="U18" s="62"/>
    </row>
    <row r="19" spans="1:21">
      <c r="A19" s="62"/>
      <c r="B19" s="67"/>
      <c r="C19" s="67"/>
      <c r="D19" s="67"/>
      <c r="E19" s="67"/>
      <c r="F19" s="67"/>
      <c r="G19" s="67"/>
      <c r="H19" s="67"/>
      <c r="I19" s="67"/>
      <c r="J19" s="67"/>
      <c r="K19" s="68"/>
      <c r="L19" s="68"/>
      <c r="M19" s="68"/>
      <c r="N19" s="67"/>
      <c r="O19" s="67"/>
      <c r="P19" s="67"/>
      <c r="Q19" s="62"/>
      <c r="R19" s="62"/>
      <c r="S19" s="62"/>
      <c r="T19" s="62"/>
      <c r="U19" s="62"/>
    </row>
    <row r="20" spans="1:21">
      <c r="A20" s="21"/>
      <c r="B20" s="67"/>
      <c r="C20" s="67"/>
      <c r="D20" s="67"/>
      <c r="E20" s="67"/>
      <c r="F20" s="67"/>
      <c r="G20" s="67"/>
      <c r="H20" s="67"/>
      <c r="I20" s="67"/>
      <c r="J20" s="67"/>
      <c r="K20" s="67"/>
      <c r="L20" s="68"/>
      <c r="M20" s="68"/>
      <c r="N20" s="67"/>
      <c r="O20" s="67"/>
      <c r="P20" s="67"/>
      <c r="Q20" s="62"/>
      <c r="R20" s="62"/>
      <c r="S20" s="62"/>
      <c r="T20" s="62"/>
      <c r="U20" s="62"/>
    </row>
  </sheetData>
  <mergeCells count="2">
    <mergeCell ref="A7:A8"/>
    <mergeCell ref="A11:A12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5:U20"/>
  <sheetViews>
    <sheetView workbookViewId="0">
      <selection activeCell="B10" sqref="B10"/>
    </sheetView>
  </sheetViews>
  <sheetFormatPr defaultRowHeight="14.4"/>
  <cols>
    <col min="1" max="1" width="8.88671875" style="1"/>
    <col min="2" max="2" width="16.44140625" style="1" customWidth="1"/>
    <col min="3" max="3" width="10.77734375" style="1" customWidth="1"/>
    <col min="4" max="4" width="5.5546875" style="1" customWidth="1"/>
    <col min="5" max="5" width="8.88671875" style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3.4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3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676</v>
      </c>
      <c r="M5" s="95" t="s">
        <v>677</v>
      </c>
      <c r="N5" s="3" t="s">
        <v>11</v>
      </c>
      <c r="O5" s="3" t="s">
        <v>36</v>
      </c>
      <c r="P5" s="3" t="s">
        <v>12</v>
      </c>
      <c r="Q5" s="3" t="s">
        <v>256</v>
      </c>
      <c r="R5" s="3" t="s">
        <v>257</v>
      </c>
      <c r="S5" s="3" t="s">
        <v>2</v>
      </c>
      <c r="T5" s="15"/>
    </row>
    <row r="6" spans="1:21">
      <c r="A6" s="69"/>
      <c r="B6" s="154"/>
      <c r="C6" s="154"/>
      <c r="D6" s="154"/>
      <c r="E6" s="154"/>
      <c r="F6" s="154"/>
      <c r="G6" s="154"/>
      <c r="H6" s="154"/>
      <c r="I6" s="154"/>
      <c r="J6" s="154"/>
      <c r="K6" s="154"/>
      <c r="L6" s="61"/>
      <c r="M6" s="61"/>
      <c r="N6" s="154"/>
      <c r="O6" s="62"/>
      <c r="P6" s="62"/>
      <c r="Q6" s="62"/>
      <c r="R6" s="62"/>
      <c r="S6" s="62"/>
      <c r="T6" s="62"/>
      <c r="U6" s="62"/>
    </row>
    <row r="7" spans="1:21">
      <c r="A7" s="53" t="s">
        <v>1184</v>
      </c>
      <c r="B7" s="42" t="s">
        <v>1186</v>
      </c>
      <c r="C7" s="42" t="s">
        <v>24</v>
      </c>
      <c r="D7" s="42" t="s">
        <v>16</v>
      </c>
      <c r="E7" s="42" t="s">
        <v>1187</v>
      </c>
      <c r="F7" s="42">
        <v>369</v>
      </c>
      <c r="G7" s="42"/>
      <c r="H7" s="42">
        <v>15000</v>
      </c>
      <c r="I7" s="42">
        <v>300</v>
      </c>
      <c r="J7" s="42">
        <v>0.13</v>
      </c>
      <c r="K7" s="42">
        <f t="shared" ref="K7" si="0">I7*J7</f>
        <v>39</v>
      </c>
      <c r="L7" s="43">
        <f t="shared" ref="L7" si="1">H7-K7</f>
        <v>14961</v>
      </c>
      <c r="M7" s="43"/>
      <c r="N7" s="43">
        <f t="shared" ref="N7" si="2">L7-M7</f>
        <v>14961</v>
      </c>
      <c r="O7" s="43">
        <f t="shared" ref="O7" si="3">H7/1000*70</f>
        <v>1050</v>
      </c>
      <c r="P7" s="42">
        <v>13500</v>
      </c>
      <c r="Q7" s="42"/>
      <c r="R7" s="42"/>
      <c r="S7" s="62"/>
      <c r="T7" s="62"/>
      <c r="U7" s="62"/>
    </row>
    <row r="8" spans="1:21">
      <c r="A8" s="53"/>
      <c r="B8" s="42"/>
      <c r="C8" s="42"/>
      <c r="D8" s="42"/>
      <c r="E8" s="42"/>
      <c r="F8" s="42"/>
      <c r="G8" s="42"/>
      <c r="H8" s="42"/>
      <c r="I8" s="42"/>
      <c r="J8" s="42"/>
      <c r="K8" s="42"/>
      <c r="L8" s="43"/>
      <c r="M8" s="43"/>
      <c r="N8" s="43"/>
      <c r="O8" s="43"/>
      <c r="P8" s="42"/>
      <c r="Q8" s="42"/>
      <c r="R8" s="42"/>
      <c r="S8" s="62"/>
      <c r="T8" s="62"/>
      <c r="U8" s="62"/>
    </row>
    <row r="9" spans="1:21">
      <c r="A9" s="53"/>
      <c r="B9" s="42"/>
      <c r="C9" s="42"/>
      <c r="D9" s="42"/>
      <c r="E9" s="42"/>
      <c r="F9" s="42"/>
      <c r="G9" s="42"/>
      <c r="H9" s="42"/>
      <c r="I9" s="42"/>
      <c r="J9" s="42"/>
      <c r="K9" s="42"/>
      <c r="L9" s="43"/>
      <c r="M9" s="43"/>
      <c r="N9" s="43"/>
      <c r="O9" s="43"/>
      <c r="P9" s="42"/>
      <c r="Q9" s="42"/>
      <c r="R9" s="42"/>
      <c r="S9" s="62"/>
      <c r="T9" s="62"/>
      <c r="U9" s="62"/>
    </row>
    <row r="10" spans="1:21">
      <c r="A10" s="53"/>
      <c r="B10" s="42"/>
      <c r="C10" s="42"/>
      <c r="D10" s="42"/>
      <c r="E10" s="42"/>
      <c r="F10" s="42"/>
      <c r="G10" s="42"/>
      <c r="H10" s="42"/>
      <c r="I10" s="42"/>
      <c r="J10" s="42"/>
      <c r="K10" s="42"/>
      <c r="L10" s="43"/>
      <c r="M10" s="43"/>
      <c r="N10" s="43"/>
      <c r="O10" s="43"/>
      <c r="P10" s="42"/>
      <c r="Q10" s="42"/>
      <c r="R10" s="42"/>
      <c r="S10" s="62"/>
      <c r="T10" s="62"/>
      <c r="U10" s="62"/>
    </row>
    <row r="11" spans="1:21">
      <c r="A11" s="88"/>
      <c r="B11" s="42"/>
      <c r="C11" s="42"/>
      <c r="D11" s="42"/>
      <c r="E11" s="42"/>
      <c r="F11" s="42"/>
      <c r="G11" s="42"/>
      <c r="H11" s="42"/>
      <c r="I11" s="42"/>
      <c r="J11" s="42"/>
      <c r="K11" s="43"/>
      <c r="L11" s="43"/>
      <c r="M11" s="43"/>
      <c r="N11" s="42"/>
      <c r="O11" s="62"/>
      <c r="P11" s="62"/>
      <c r="Q11" s="62"/>
      <c r="R11" s="62"/>
      <c r="S11" s="62"/>
      <c r="T11" s="62"/>
      <c r="U11" s="62"/>
    </row>
    <row r="12" spans="1:21">
      <c r="A12" s="78"/>
      <c r="B12" s="42"/>
      <c r="C12" s="42"/>
      <c r="D12" s="42"/>
      <c r="E12" s="42"/>
      <c r="F12" s="42"/>
      <c r="G12" s="42"/>
      <c r="H12" s="42"/>
      <c r="I12" s="42"/>
      <c r="J12" s="42"/>
      <c r="K12" s="42"/>
      <c r="L12" s="43"/>
      <c r="M12" s="43"/>
      <c r="N12" s="42"/>
      <c r="O12" s="42"/>
      <c r="P12" s="42"/>
      <c r="Q12" s="42"/>
      <c r="R12" s="62"/>
      <c r="S12" s="62"/>
      <c r="T12" s="62"/>
      <c r="U12" s="62"/>
    </row>
    <row r="13" spans="1:21">
      <c r="A13" s="89"/>
      <c r="B13" s="42"/>
      <c r="C13" s="42"/>
      <c r="D13" s="42"/>
      <c r="E13" s="42"/>
      <c r="F13" s="42"/>
      <c r="G13" s="42"/>
      <c r="H13" s="42"/>
      <c r="I13" s="42"/>
      <c r="J13" s="42"/>
      <c r="K13" s="42"/>
      <c r="L13" s="43"/>
      <c r="M13" s="43"/>
      <c r="N13" s="42"/>
      <c r="O13" s="154"/>
      <c r="P13" s="154"/>
      <c r="Q13" s="62"/>
      <c r="R13" s="62"/>
      <c r="S13" s="62"/>
      <c r="T13" s="62"/>
      <c r="U13" s="62"/>
    </row>
    <row r="14" spans="1:21">
      <c r="A14" s="89"/>
      <c r="B14" s="42"/>
      <c r="C14" s="42"/>
      <c r="D14" s="42"/>
      <c r="E14" s="42"/>
      <c r="F14" s="42"/>
      <c r="G14" s="42"/>
      <c r="H14" s="42"/>
      <c r="I14" s="42"/>
      <c r="J14" s="42"/>
      <c r="K14" s="42"/>
      <c r="L14" s="43"/>
      <c r="M14" s="43"/>
      <c r="N14" s="42"/>
      <c r="O14" s="154"/>
      <c r="P14" s="154"/>
      <c r="Q14" s="62"/>
      <c r="R14" s="62"/>
      <c r="S14" s="62"/>
      <c r="T14" s="62"/>
      <c r="U14" s="62"/>
    </row>
    <row r="15" spans="1:21">
      <c r="A15" s="63"/>
      <c r="B15" s="154"/>
      <c r="C15" s="153"/>
      <c r="D15" s="154"/>
      <c r="E15" s="154"/>
      <c r="F15" s="154"/>
      <c r="G15" s="154"/>
      <c r="H15" s="154"/>
      <c r="I15" s="154"/>
      <c r="J15" s="154"/>
      <c r="K15" s="61"/>
      <c r="L15" s="65"/>
      <c r="M15" s="61"/>
      <c r="N15" s="154"/>
      <c r="O15" s="154"/>
      <c r="P15" s="154"/>
      <c r="Q15" s="62"/>
      <c r="R15" s="62"/>
      <c r="S15" s="62"/>
      <c r="T15" s="62"/>
      <c r="U15" s="62"/>
    </row>
    <row r="16" spans="1:21">
      <c r="A16" s="62"/>
      <c r="B16" s="62"/>
      <c r="C16" s="62"/>
      <c r="D16" s="62"/>
      <c r="E16" s="62"/>
      <c r="F16" s="62"/>
      <c r="G16" s="62"/>
      <c r="H16" s="62"/>
      <c r="I16" s="62"/>
      <c r="J16" s="62"/>
      <c r="K16" s="62"/>
      <c r="L16" s="66"/>
      <c r="M16" s="62"/>
      <c r="N16" s="62"/>
      <c r="O16" s="62"/>
      <c r="P16" s="154"/>
      <c r="Q16" s="62"/>
      <c r="R16" s="62"/>
      <c r="S16" s="62"/>
      <c r="T16" s="62"/>
      <c r="U16" s="62"/>
    </row>
    <row r="17" spans="1:21">
      <c r="A17" s="62"/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8"/>
      <c r="M17" s="68"/>
      <c r="N17" s="67"/>
      <c r="O17" s="67"/>
      <c r="P17" s="154"/>
      <c r="Q17" s="62"/>
      <c r="R17" s="62"/>
      <c r="S17" s="62"/>
      <c r="T17" s="62"/>
      <c r="U17" s="62"/>
    </row>
    <row r="18" spans="1:21">
      <c r="A18" s="62"/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8"/>
      <c r="M18" s="68"/>
      <c r="N18" s="67"/>
      <c r="O18" s="67"/>
      <c r="P18" s="67"/>
      <c r="Q18" s="62"/>
      <c r="R18" s="62"/>
      <c r="S18" s="62"/>
      <c r="T18" s="62"/>
      <c r="U18" s="62"/>
    </row>
    <row r="19" spans="1:21">
      <c r="A19" s="62"/>
      <c r="B19" s="67"/>
      <c r="C19" s="67"/>
      <c r="D19" s="67"/>
      <c r="E19" s="67"/>
      <c r="F19" s="67"/>
      <c r="G19" s="67"/>
      <c r="H19" s="67"/>
      <c r="I19" s="67"/>
      <c r="J19" s="67"/>
      <c r="K19" s="68"/>
      <c r="L19" s="68"/>
      <c r="M19" s="68"/>
      <c r="N19" s="67"/>
      <c r="O19" s="67"/>
      <c r="P19" s="67"/>
      <c r="Q19" s="62"/>
      <c r="R19" s="62"/>
      <c r="S19" s="62"/>
      <c r="T19" s="62"/>
      <c r="U19" s="62"/>
    </row>
    <row r="20" spans="1:21">
      <c r="A20" s="21"/>
      <c r="B20" s="67"/>
      <c r="C20" s="67"/>
      <c r="D20" s="67"/>
      <c r="E20" s="67"/>
      <c r="F20" s="67"/>
      <c r="G20" s="67"/>
      <c r="H20" s="67"/>
      <c r="I20" s="67"/>
      <c r="J20" s="67"/>
      <c r="K20" s="67"/>
      <c r="L20" s="68"/>
      <c r="M20" s="68"/>
      <c r="N20" s="67"/>
      <c r="O20" s="67"/>
      <c r="P20" s="67"/>
      <c r="Q20" s="62"/>
      <c r="R20" s="62"/>
      <c r="S20" s="62"/>
      <c r="T20" s="62"/>
      <c r="U20" s="62"/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5:U20"/>
  <sheetViews>
    <sheetView workbookViewId="0">
      <selection activeCell="B15" sqref="B15"/>
    </sheetView>
  </sheetViews>
  <sheetFormatPr defaultRowHeight="14.4"/>
  <cols>
    <col min="1" max="1" width="8.88671875" style="1"/>
    <col min="2" max="2" width="19.44140625" style="1" customWidth="1"/>
    <col min="3" max="3" width="10.77734375" style="1" customWidth="1"/>
    <col min="4" max="4" width="5.5546875" style="1" customWidth="1"/>
    <col min="5" max="5" width="8.88671875" style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3.4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3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676</v>
      </c>
      <c r="M5" s="95" t="s">
        <v>677</v>
      </c>
      <c r="N5" s="3" t="s">
        <v>11</v>
      </c>
      <c r="O5" s="3" t="s">
        <v>36</v>
      </c>
      <c r="P5" s="3" t="s">
        <v>12</v>
      </c>
      <c r="Q5" s="3" t="s">
        <v>256</v>
      </c>
      <c r="R5" s="3" t="s">
        <v>257</v>
      </c>
      <c r="S5" s="3" t="s">
        <v>2</v>
      </c>
      <c r="T5" s="15"/>
    </row>
    <row r="6" spans="1:21">
      <c r="A6" s="69"/>
      <c r="B6" s="157"/>
      <c r="C6" s="157"/>
      <c r="D6" s="157"/>
      <c r="E6" s="157"/>
      <c r="F6" s="157"/>
      <c r="G6" s="157"/>
      <c r="H6" s="157"/>
      <c r="I6" s="157"/>
      <c r="J6" s="157"/>
      <c r="K6" s="157"/>
      <c r="L6" s="61"/>
      <c r="M6" s="61"/>
      <c r="N6" s="157"/>
      <c r="O6" s="62"/>
      <c r="P6" s="62"/>
      <c r="Q6" s="62"/>
      <c r="R6" s="62"/>
      <c r="S6" s="62"/>
      <c r="T6" s="62"/>
      <c r="U6" s="62"/>
    </row>
    <row r="7" spans="1:21">
      <c r="A7" s="53" t="s">
        <v>1260</v>
      </c>
      <c r="B7" s="42" t="s">
        <v>1264</v>
      </c>
      <c r="C7" s="42" t="s">
        <v>24</v>
      </c>
      <c r="D7" s="42" t="s">
        <v>16</v>
      </c>
      <c r="E7" s="42" t="s">
        <v>1265</v>
      </c>
      <c r="F7" s="42" t="s">
        <v>1266</v>
      </c>
      <c r="G7" s="42"/>
      <c r="H7" s="42">
        <f>2980+3000+2000</f>
        <v>7980</v>
      </c>
      <c r="I7" s="42">
        <f>43+43+43</f>
        <v>129</v>
      </c>
      <c r="J7" s="42">
        <v>0.13</v>
      </c>
      <c r="K7" s="42">
        <v>17</v>
      </c>
      <c r="L7" s="43">
        <f t="shared" ref="L7" si="0">H7-K7</f>
        <v>7963</v>
      </c>
      <c r="M7" s="43"/>
      <c r="N7" s="43">
        <f t="shared" ref="N7" si="1">L7-M7</f>
        <v>7963</v>
      </c>
      <c r="O7" s="43">
        <f t="shared" ref="O7" si="2">H7/1000*70</f>
        <v>558.6</v>
      </c>
      <c r="P7" s="42">
        <v>0</v>
      </c>
      <c r="Q7" s="50">
        <f>342250/7963</f>
        <v>42.980032651010923</v>
      </c>
      <c r="R7" s="42">
        <f t="shared" ref="R7" si="3">L7*Q7</f>
        <v>342250</v>
      </c>
      <c r="S7" s="62"/>
      <c r="T7" s="62"/>
      <c r="U7" s="62"/>
    </row>
    <row r="8" spans="1:21">
      <c r="A8" s="53" t="s">
        <v>1267</v>
      </c>
      <c r="B8" s="42" t="s">
        <v>1264</v>
      </c>
      <c r="C8" s="42" t="s">
        <v>24</v>
      </c>
      <c r="D8" s="42" t="s">
        <v>16</v>
      </c>
      <c r="E8" s="42" t="s">
        <v>383</v>
      </c>
      <c r="F8" s="42" t="s">
        <v>1271</v>
      </c>
      <c r="G8" s="42"/>
      <c r="H8" s="42">
        <v>9980</v>
      </c>
      <c r="I8" s="42">
        <v>200</v>
      </c>
      <c r="J8" s="42"/>
      <c r="K8" s="42">
        <v>0</v>
      </c>
      <c r="L8" s="43">
        <v>9980</v>
      </c>
      <c r="M8" s="43"/>
      <c r="N8" s="43">
        <v>9980</v>
      </c>
      <c r="O8" s="43">
        <v>698.6</v>
      </c>
      <c r="P8" s="42">
        <v>2000</v>
      </c>
      <c r="Q8" s="42">
        <v>43</v>
      </c>
      <c r="R8" s="42">
        <v>429140</v>
      </c>
      <c r="S8" s="62"/>
      <c r="T8" s="62"/>
      <c r="U8" s="62"/>
    </row>
    <row r="9" spans="1:21">
      <c r="A9" s="53" t="s">
        <v>1272</v>
      </c>
      <c r="B9" s="42" t="s">
        <v>1264</v>
      </c>
      <c r="C9" s="42" t="s">
        <v>24</v>
      </c>
      <c r="D9" s="42" t="s">
        <v>16</v>
      </c>
      <c r="E9" s="42" t="s">
        <v>1273</v>
      </c>
      <c r="F9" s="42">
        <v>302</v>
      </c>
      <c r="G9" s="42"/>
      <c r="H9" s="42">
        <v>14770</v>
      </c>
      <c r="I9" s="42">
        <v>300</v>
      </c>
      <c r="J9" s="42"/>
      <c r="K9" s="42">
        <v>0</v>
      </c>
      <c r="L9" s="43">
        <v>14770</v>
      </c>
      <c r="M9" s="43"/>
      <c r="N9" s="43">
        <v>14770</v>
      </c>
      <c r="O9" s="43">
        <v>1033.8999999999999</v>
      </c>
      <c r="P9" s="42">
        <v>2000</v>
      </c>
      <c r="Q9" s="42">
        <v>43</v>
      </c>
      <c r="R9" s="42">
        <v>635110</v>
      </c>
      <c r="S9" s="62"/>
      <c r="T9" s="62"/>
      <c r="U9" s="62"/>
    </row>
    <row r="10" spans="1:21">
      <c r="A10" s="53"/>
      <c r="B10" s="42"/>
      <c r="C10" s="42"/>
      <c r="D10" s="42"/>
      <c r="E10" s="42"/>
      <c r="F10" s="42"/>
      <c r="G10" s="42"/>
      <c r="H10" s="42"/>
      <c r="I10" s="42"/>
      <c r="J10" s="42"/>
      <c r="K10" s="42"/>
      <c r="L10" s="43"/>
      <c r="M10" s="43"/>
      <c r="N10" s="43"/>
      <c r="O10" s="43"/>
      <c r="P10" s="42"/>
      <c r="Q10" s="42"/>
      <c r="R10" s="42"/>
      <c r="S10" s="62"/>
      <c r="T10" s="62"/>
      <c r="U10" s="62"/>
    </row>
    <row r="11" spans="1:21">
      <c r="A11" s="390" t="s">
        <v>1488</v>
      </c>
      <c r="B11" s="42" t="s">
        <v>1486</v>
      </c>
      <c r="C11" s="42" t="s">
        <v>24</v>
      </c>
      <c r="D11" s="42" t="s">
        <v>16</v>
      </c>
      <c r="E11" s="42" t="s">
        <v>383</v>
      </c>
      <c r="F11" s="42">
        <v>922</v>
      </c>
      <c r="G11" s="42"/>
      <c r="H11" s="42">
        <v>6970</v>
      </c>
      <c r="I11" s="42">
        <v>140</v>
      </c>
      <c r="J11" s="42"/>
      <c r="K11" s="42">
        <f t="shared" ref="K11:K12" si="4">I11*J11</f>
        <v>0</v>
      </c>
      <c r="L11" s="43">
        <f t="shared" ref="L11:L12" si="5">H11-K11</f>
        <v>6970</v>
      </c>
      <c r="M11" s="43"/>
      <c r="N11" s="43">
        <f t="shared" ref="N11:N12" si="6">L11-M11</f>
        <v>6970</v>
      </c>
      <c r="O11" s="43">
        <f t="shared" ref="O11:O12" si="7">H11/1000*70</f>
        <v>487.9</v>
      </c>
      <c r="P11" s="42">
        <v>0</v>
      </c>
      <c r="Q11" s="42">
        <v>41</v>
      </c>
      <c r="R11" s="42">
        <f t="shared" ref="R11:R12" si="8">L11*Q11</f>
        <v>285770</v>
      </c>
      <c r="S11" s="62"/>
      <c r="T11" s="62"/>
      <c r="U11" s="62"/>
    </row>
    <row r="12" spans="1:21">
      <c r="A12" s="390"/>
      <c r="B12" s="42" t="s">
        <v>1486</v>
      </c>
      <c r="C12" s="42" t="s">
        <v>24</v>
      </c>
      <c r="D12" s="42" t="s">
        <v>16</v>
      </c>
      <c r="E12" s="42" t="s">
        <v>1168</v>
      </c>
      <c r="F12" s="42">
        <v>623</v>
      </c>
      <c r="G12" s="42"/>
      <c r="H12" s="42">
        <v>7980</v>
      </c>
      <c r="I12" s="42">
        <v>160</v>
      </c>
      <c r="J12" s="42"/>
      <c r="K12" s="42">
        <f t="shared" si="4"/>
        <v>0</v>
      </c>
      <c r="L12" s="43">
        <f t="shared" si="5"/>
        <v>7980</v>
      </c>
      <c r="M12" s="43"/>
      <c r="N12" s="43">
        <f t="shared" si="6"/>
        <v>7980</v>
      </c>
      <c r="O12" s="43">
        <f t="shared" si="7"/>
        <v>558.6</v>
      </c>
      <c r="P12" s="42">
        <v>0</v>
      </c>
      <c r="Q12" s="42">
        <v>41</v>
      </c>
      <c r="R12" s="42">
        <f t="shared" si="8"/>
        <v>327180</v>
      </c>
      <c r="S12" s="62"/>
      <c r="T12" s="62"/>
      <c r="U12" s="62"/>
    </row>
    <row r="13" spans="1:21">
      <c r="A13" s="89"/>
      <c r="B13" s="42"/>
      <c r="C13" s="42"/>
      <c r="D13" s="42"/>
      <c r="E13" s="42"/>
      <c r="F13" s="42"/>
      <c r="G13" s="42"/>
      <c r="H13" s="42"/>
      <c r="I13" s="42"/>
      <c r="J13" s="42"/>
      <c r="K13" s="42"/>
      <c r="L13" s="43"/>
      <c r="M13" s="43"/>
      <c r="N13" s="42"/>
      <c r="O13" s="157"/>
      <c r="P13" s="157"/>
      <c r="Q13" s="62"/>
      <c r="R13" s="62"/>
      <c r="S13" s="62"/>
      <c r="T13" s="62"/>
      <c r="U13" s="62"/>
    </row>
    <row r="14" spans="1:21">
      <c r="A14" s="89"/>
      <c r="B14" s="42"/>
      <c r="C14" s="42"/>
      <c r="D14" s="42"/>
      <c r="E14" s="42"/>
      <c r="F14" s="42"/>
      <c r="G14" s="42"/>
      <c r="H14" s="42"/>
      <c r="I14" s="42"/>
      <c r="J14" s="42"/>
      <c r="K14" s="42"/>
      <c r="L14" s="43"/>
      <c r="M14" s="43"/>
      <c r="N14" s="42"/>
      <c r="O14" s="157"/>
      <c r="P14" s="157"/>
      <c r="Q14" s="62"/>
      <c r="R14" s="62"/>
      <c r="S14" s="62"/>
      <c r="T14" s="62"/>
      <c r="U14" s="62"/>
    </row>
    <row r="15" spans="1:21">
      <c r="A15" s="63"/>
      <c r="B15" s="157"/>
      <c r="C15" s="156"/>
      <c r="D15" s="157"/>
      <c r="E15" s="157"/>
      <c r="F15" s="157"/>
      <c r="G15" s="157"/>
      <c r="H15" s="157"/>
      <c r="I15" s="157"/>
      <c r="J15" s="157"/>
      <c r="K15" s="61"/>
      <c r="L15" s="65"/>
      <c r="M15" s="61"/>
      <c r="N15" s="157"/>
      <c r="O15" s="157"/>
      <c r="P15" s="157"/>
      <c r="Q15" s="62"/>
      <c r="R15" s="62"/>
      <c r="S15" s="62"/>
      <c r="T15" s="62"/>
      <c r="U15" s="62"/>
    </row>
    <row r="16" spans="1:21">
      <c r="A16" s="62"/>
      <c r="B16" s="62"/>
      <c r="C16" s="62"/>
      <c r="D16" s="62"/>
      <c r="E16" s="62"/>
      <c r="F16" s="62"/>
      <c r="G16" s="62"/>
      <c r="H16" s="62"/>
      <c r="I16" s="62"/>
      <c r="J16" s="62"/>
      <c r="K16" s="62"/>
      <c r="L16" s="66"/>
      <c r="M16" s="62"/>
      <c r="N16" s="62"/>
      <c r="O16" s="62"/>
      <c r="P16" s="157"/>
      <c r="Q16" s="62"/>
      <c r="R16" s="62"/>
      <c r="S16" s="62"/>
      <c r="T16" s="62"/>
      <c r="U16" s="62"/>
    </row>
    <row r="17" spans="1:21">
      <c r="A17" s="62"/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8"/>
      <c r="M17" s="68"/>
      <c r="N17" s="67"/>
      <c r="O17" s="67"/>
      <c r="P17" s="157"/>
      <c r="Q17" s="62"/>
      <c r="R17" s="62"/>
      <c r="S17" s="62"/>
      <c r="T17" s="62"/>
      <c r="U17" s="62"/>
    </row>
    <row r="18" spans="1:21">
      <c r="A18" s="62"/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8"/>
      <c r="M18" s="68"/>
      <c r="N18" s="67"/>
      <c r="O18" s="67"/>
      <c r="P18" s="67"/>
      <c r="Q18" s="62"/>
      <c r="R18" s="62"/>
      <c r="S18" s="62"/>
      <c r="T18" s="62"/>
      <c r="U18" s="62"/>
    </row>
    <row r="19" spans="1:21">
      <c r="A19" s="62"/>
      <c r="B19" s="67"/>
      <c r="C19" s="67"/>
      <c r="D19" s="67"/>
      <c r="E19" s="67"/>
      <c r="F19" s="67"/>
      <c r="G19" s="67"/>
      <c r="H19" s="67"/>
      <c r="I19" s="67"/>
      <c r="J19" s="67"/>
      <c r="K19" s="68"/>
      <c r="L19" s="68"/>
      <c r="M19" s="68"/>
      <c r="N19" s="67"/>
      <c r="O19" s="67"/>
      <c r="P19" s="67"/>
      <c r="Q19" s="62"/>
      <c r="R19" s="62"/>
      <c r="S19" s="62"/>
      <c r="T19" s="62"/>
      <c r="U19" s="62"/>
    </row>
    <row r="20" spans="1:21">
      <c r="A20" s="21"/>
      <c r="B20" s="67"/>
      <c r="C20" s="67"/>
      <c r="D20" s="67"/>
      <c r="E20" s="67"/>
      <c r="F20" s="67"/>
      <c r="G20" s="67"/>
      <c r="H20" s="67"/>
      <c r="I20" s="67"/>
      <c r="J20" s="67"/>
      <c r="K20" s="67"/>
      <c r="L20" s="68"/>
      <c r="M20" s="68"/>
      <c r="N20" s="67"/>
      <c r="O20" s="67"/>
      <c r="P20" s="67"/>
      <c r="Q20" s="62"/>
      <c r="R20" s="62"/>
      <c r="S20" s="62"/>
      <c r="T20" s="62"/>
      <c r="U20" s="62"/>
    </row>
  </sheetData>
  <mergeCells count="1">
    <mergeCell ref="A11:A12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5:U20"/>
  <sheetViews>
    <sheetView workbookViewId="0">
      <selection activeCell="A16" sqref="A16"/>
    </sheetView>
  </sheetViews>
  <sheetFormatPr defaultRowHeight="14.4"/>
  <cols>
    <col min="1" max="1" width="8.88671875" style="1"/>
    <col min="2" max="2" width="16.44140625" style="1" customWidth="1"/>
    <col min="3" max="3" width="10.77734375" style="1" customWidth="1"/>
    <col min="4" max="4" width="5.5546875" style="1" customWidth="1"/>
    <col min="5" max="5" width="8.88671875" style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3.4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3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676</v>
      </c>
      <c r="M5" s="95" t="s">
        <v>677</v>
      </c>
      <c r="N5" s="3" t="s">
        <v>11</v>
      </c>
      <c r="O5" s="3" t="s">
        <v>36</v>
      </c>
      <c r="P5" s="3" t="s">
        <v>12</v>
      </c>
      <c r="Q5" s="3" t="s">
        <v>256</v>
      </c>
      <c r="R5" s="3" t="s">
        <v>257</v>
      </c>
      <c r="S5" s="3" t="s">
        <v>2</v>
      </c>
      <c r="T5" s="15"/>
    </row>
    <row r="6" spans="1:21">
      <c r="A6" s="69"/>
      <c r="B6" s="165"/>
      <c r="C6" s="165"/>
      <c r="D6" s="165"/>
      <c r="E6" s="165"/>
      <c r="F6" s="165"/>
      <c r="G6" s="165"/>
      <c r="H6" s="165"/>
      <c r="I6" s="165"/>
      <c r="J6" s="165"/>
      <c r="K6" s="165"/>
      <c r="L6" s="61"/>
      <c r="M6" s="61"/>
      <c r="N6" s="165"/>
      <c r="O6" s="62"/>
      <c r="P6" s="62"/>
      <c r="Q6" s="62"/>
      <c r="R6" s="62"/>
      <c r="S6" s="62"/>
      <c r="T6" s="62"/>
      <c r="U6" s="62"/>
    </row>
    <row r="7" spans="1:21">
      <c r="A7" s="53" t="s">
        <v>1391</v>
      </c>
      <c r="B7" s="42" t="s">
        <v>247</v>
      </c>
      <c r="C7" s="42" t="s">
        <v>24</v>
      </c>
      <c r="D7" s="42" t="s">
        <v>16</v>
      </c>
      <c r="E7" s="42" t="s">
        <v>1392</v>
      </c>
      <c r="F7" s="42"/>
      <c r="G7" s="42"/>
      <c r="H7" s="42">
        <v>14540</v>
      </c>
      <c r="I7" s="42">
        <v>300</v>
      </c>
      <c r="J7" s="42">
        <v>0.13</v>
      </c>
      <c r="K7" s="42">
        <f t="shared" ref="K7" si="0">I7*J7</f>
        <v>39</v>
      </c>
      <c r="L7" s="43">
        <f t="shared" ref="L7" si="1">H7-K7</f>
        <v>14501</v>
      </c>
      <c r="M7" s="43"/>
      <c r="N7" s="43">
        <f t="shared" ref="N7" si="2">L7-M7</f>
        <v>14501</v>
      </c>
      <c r="O7" s="43">
        <f t="shared" ref="O7" si="3">H7/1000*70</f>
        <v>1017.8</v>
      </c>
      <c r="P7" s="42">
        <v>7000</v>
      </c>
      <c r="Q7" s="42">
        <v>39</v>
      </c>
      <c r="R7" s="42">
        <f t="shared" ref="R7" si="4">L7*Q7</f>
        <v>565539</v>
      </c>
      <c r="S7" s="62"/>
      <c r="T7" s="62"/>
      <c r="U7" s="62"/>
    </row>
    <row r="8" spans="1:21">
      <c r="A8" s="53"/>
      <c r="B8" s="42"/>
      <c r="C8" s="42"/>
      <c r="D8" s="42"/>
      <c r="E8" s="42"/>
      <c r="F8" s="42"/>
      <c r="G8" s="42"/>
      <c r="H8" s="42"/>
      <c r="I8" s="42"/>
      <c r="J8" s="42"/>
      <c r="K8" s="42"/>
      <c r="L8" s="43"/>
      <c r="M8" s="43"/>
      <c r="N8" s="43"/>
      <c r="O8" s="43"/>
      <c r="P8" s="42"/>
      <c r="Q8" s="42"/>
      <c r="R8" s="42"/>
      <c r="S8" s="62"/>
      <c r="T8" s="62"/>
      <c r="U8" s="62"/>
    </row>
    <row r="9" spans="1:21">
      <c r="A9" s="53"/>
      <c r="B9" s="42"/>
      <c r="C9" s="42"/>
      <c r="D9" s="42"/>
      <c r="E9" s="42"/>
      <c r="F9" s="42"/>
      <c r="G9" s="42"/>
      <c r="H9" s="42"/>
      <c r="I9" s="42"/>
      <c r="J9" s="42"/>
      <c r="K9" s="42"/>
      <c r="L9" s="43"/>
      <c r="M9" s="43"/>
      <c r="N9" s="43"/>
      <c r="O9" s="43"/>
      <c r="P9" s="42"/>
      <c r="Q9" s="42"/>
      <c r="R9" s="42"/>
      <c r="S9" s="62"/>
      <c r="T9" s="62"/>
      <c r="U9" s="62"/>
    </row>
    <row r="10" spans="1:21">
      <c r="A10" s="374" t="s">
        <v>3213</v>
      </c>
      <c r="B10" s="42" t="s">
        <v>3214</v>
      </c>
      <c r="C10" s="42" t="s">
        <v>24</v>
      </c>
      <c r="D10" s="42" t="s">
        <v>16</v>
      </c>
      <c r="E10" s="42" t="s">
        <v>2464</v>
      </c>
      <c r="F10" s="42">
        <v>64</v>
      </c>
      <c r="G10" s="42"/>
      <c r="H10" s="42">
        <v>15000</v>
      </c>
      <c r="I10" s="42">
        <v>300</v>
      </c>
      <c r="J10" s="42">
        <v>0.13</v>
      </c>
      <c r="K10" s="43">
        <f t="shared" ref="K10:K11" si="5">I10*J10</f>
        <v>39</v>
      </c>
      <c r="L10" s="43">
        <f t="shared" ref="L10:L11" si="6">H10-K10</f>
        <v>14961</v>
      </c>
      <c r="M10" s="43"/>
      <c r="N10" s="43">
        <f t="shared" ref="N10:N11" si="7">L10-M10</f>
        <v>14961</v>
      </c>
      <c r="O10" s="43">
        <f t="shared" ref="O10:O11" si="8">H10/1000*70</f>
        <v>1050</v>
      </c>
      <c r="P10" s="42">
        <v>9400</v>
      </c>
      <c r="Q10" s="42">
        <v>33.28</v>
      </c>
      <c r="R10" s="42">
        <f t="shared" ref="R10:R11" si="9">L10*Q10</f>
        <v>497902.08000000002</v>
      </c>
      <c r="S10" s="62"/>
      <c r="T10" s="62"/>
      <c r="U10" s="62"/>
    </row>
    <row r="11" spans="1:21">
      <c r="A11" s="374"/>
      <c r="B11" s="42" t="s">
        <v>3214</v>
      </c>
      <c r="C11" s="42" t="s">
        <v>24</v>
      </c>
      <c r="D11" s="42" t="s">
        <v>16</v>
      </c>
      <c r="E11" s="42" t="s">
        <v>3215</v>
      </c>
      <c r="F11" s="42">
        <v>63</v>
      </c>
      <c r="G11" s="42"/>
      <c r="H11" s="42">
        <v>14960</v>
      </c>
      <c r="I11" s="42">
        <v>300</v>
      </c>
      <c r="J11" s="42">
        <v>0.13</v>
      </c>
      <c r="K11" s="43">
        <f t="shared" si="5"/>
        <v>39</v>
      </c>
      <c r="L11" s="43">
        <f t="shared" si="6"/>
        <v>14921</v>
      </c>
      <c r="M11" s="43"/>
      <c r="N11" s="43">
        <f t="shared" si="7"/>
        <v>14921</v>
      </c>
      <c r="O11" s="43">
        <f t="shared" si="8"/>
        <v>1047.2</v>
      </c>
      <c r="P11" s="42">
        <v>9400</v>
      </c>
      <c r="Q11" s="42">
        <v>33.28</v>
      </c>
      <c r="R11" s="42">
        <f t="shared" si="9"/>
        <v>496570.88</v>
      </c>
      <c r="S11" s="62"/>
      <c r="T11" s="62"/>
      <c r="U11" s="62"/>
    </row>
    <row r="12" spans="1:21">
      <c r="A12" s="78"/>
      <c r="B12" s="42"/>
      <c r="C12" s="42"/>
      <c r="D12" s="42"/>
      <c r="E12" s="42"/>
      <c r="F12" s="42"/>
      <c r="G12" s="42"/>
      <c r="H12" s="42"/>
      <c r="I12" s="42"/>
      <c r="J12" s="42"/>
      <c r="K12" s="42"/>
      <c r="L12" s="43"/>
      <c r="M12" s="43"/>
      <c r="N12" s="42"/>
      <c r="O12" s="42"/>
      <c r="P12" s="42"/>
      <c r="Q12" s="42"/>
      <c r="R12" s="62"/>
      <c r="S12" s="62"/>
      <c r="T12" s="62"/>
      <c r="U12" s="62"/>
    </row>
    <row r="13" spans="1:21">
      <c r="A13" s="89" t="s">
        <v>3381</v>
      </c>
      <c r="B13" s="42" t="s">
        <v>14</v>
      </c>
      <c r="C13" s="42" t="s">
        <v>24</v>
      </c>
      <c r="D13" s="42" t="s">
        <v>16</v>
      </c>
      <c r="E13" s="47" t="s">
        <v>3382</v>
      </c>
      <c r="F13" s="47">
        <v>271</v>
      </c>
      <c r="G13" s="47"/>
      <c r="H13" s="47">
        <v>15000</v>
      </c>
      <c r="I13" s="47">
        <v>300</v>
      </c>
      <c r="J13" s="47">
        <v>0.13</v>
      </c>
      <c r="K13" s="43">
        <f t="shared" ref="K13" si="10">I13*J13</f>
        <v>39</v>
      </c>
      <c r="L13" s="43">
        <f t="shared" ref="L13" si="11">H13-K13</f>
        <v>14961</v>
      </c>
      <c r="M13" s="43"/>
      <c r="N13" s="43">
        <f t="shared" ref="N13" si="12">L13-M13</f>
        <v>14961</v>
      </c>
      <c r="O13" s="43">
        <f t="shared" ref="O13" si="13">H13/1000*70</f>
        <v>1050</v>
      </c>
      <c r="P13" s="42">
        <v>9800</v>
      </c>
      <c r="Q13" s="42"/>
      <c r="R13" s="42">
        <f t="shared" ref="R13" si="14">L13*Q13</f>
        <v>0</v>
      </c>
      <c r="S13" s="62"/>
      <c r="T13" s="62"/>
      <c r="U13" s="62"/>
    </row>
    <row r="14" spans="1:21">
      <c r="A14" s="89"/>
      <c r="B14" s="42"/>
      <c r="C14" s="42"/>
      <c r="D14" s="42"/>
      <c r="E14" s="42"/>
      <c r="F14" s="42"/>
      <c r="G14" s="42"/>
      <c r="H14" s="42"/>
      <c r="I14" s="42"/>
      <c r="J14" s="42"/>
      <c r="K14" s="42"/>
      <c r="L14" s="43"/>
      <c r="M14" s="43"/>
      <c r="N14" s="42"/>
      <c r="O14" s="165"/>
      <c r="P14" s="165"/>
      <c r="Q14" s="62"/>
      <c r="R14" s="62"/>
      <c r="S14" s="62"/>
      <c r="T14" s="62"/>
      <c r="U14" s="62"/>
    </row>
    <row r="15" spans="1:21">
      <c r="A15" s="63" t="s">
        <v>3386</v>
      </c>
      <c r="B15" s="42" t="s">
        <v>14</v>
      </c>
      <c r="C15" s="42" t="s">
        <v>24</v>
      </c>
      <c r="D15" s="42" t="s">
        <v>16</v>
      </c>
      <c r="E15" s="47" t="s">
        <v>2564</v>
      </c>
      <c r="F15" s="47">
        <v>274</v>
      </c>
      <c r="G15" s="47"/>
      <c r="H15" s="47">
        <v>14980</v>
      </c>
      <c r="I15" s="47">
        <v>300</v>
      </c>
      <c r="J15" s="47">
        <v>0.13</v>
      </c>
      <c r="K15" s="43">
        <f t="shared" ref="K15" si="15">I15*J15</f>
        <v>39</v>
      </c>
      <c r="L15" s="43">
        <f t="shared" ref="L15" si="16">H15-K15</f>
        <v>14941</v>
      </c>
      <c r="M15" s="43"/>
      <c r="N15" s="43">
        <f t="shared" ref="N15" si="17">L15-M15</f>
        <v>14941</v>
      </c>
      <c r="O15" s="43">
        <f t="shared" ref="O15" si="18">H15/1000*70</f>
        <v>1048.6000000000001</v>
      </c>
      <c r="P15" s="42">
        <v>9800</v>
      </c>
      <c r="Q15" s="42"/>
      <c r="R15" s="42">
        <f t="shared" ref="R15" si="19">L15*Q15</f>
        <v>0</v>
      </c>
      <c r="S15" s="42"/>
      <c r="T15" s="62"/>
      <c r="U15" s="62"/>
    </row>
    <row r="16" spans="1:21">
      <c r="A16" s="62"/>
      <c r="B16" s="62"/>
      <c r="C16" s="62"/>
      <c r="D16" s="62"/>
      <c r="E16" s="62"/>
      <c r="F16" s="62"/>
      <c r="G16" s="62"/>
      <c r="H16" s="62"/>
      <c r="I16" s="62"/>
      <c r="J16" s="62"/>
      <c r="K16" s="62"/>
      <c r="L16" s="66"/>
      <c r="M16" s="62"/>
      <c r="N16" s="62"/>
      <c r="O16" s="62"/>
      <c r="P16" s="165"/>
      <c r="Q16" s="62"/>
      <c r="R16" s="62"/>
      <c r="S16" s="62"/>
      <c r="T16" s="62"/>
      <c r="U16" s="62"/>
    </row>
    <row r="17" spans="1:21">
      <c r="A17" s="62"/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8"/>
      <c r="M17" s="68"/>
      <c r="N17" s="67"/>
      <c r="O17" s="67"/>
      <c r="P17" s="165"/>
      <c r="Q17" s="62"/>
      <c r="R17" s="62"/>
      <c r="S17" s="62"/>
      <c r="T17" s="62"/>
      <c r="U17" s="62"/>
    </row>
    <row r="18" spans="1:21">
      <c r="A18" s="62"/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8"/>
      <c r="M18" s="68"/>
      <c r="N18" s="67"/>
      <c r="O18" s="67"/>
      <c r="P18" s="67"/>
      <c r="Q18" s="62"/>
      <c r="R18" s="62"/>
      <c r="S18" s="62"/>
      <c r="T18" s="62"/>
      <c r="U18" s="62"/>
    </row>
    <row r="19" spans="1:21">
      <c r="A19" s="62"/>
      <c r="B19" s="67"/>
      <c r="C19" s="67"/>
      <c r="D19" s="67"/>
      <c r="E19" s="67"/>
      <c r="F19" s="67"/>
      <c r="G19" s="67"/>
      <c r="H19" s="67"/>
      <c r="I19" s="67"/>
      <c r="J19" s="67"/>
      <c r="K19" s="68"/>
      <c r="L19" s="68"/>
      <c r="M19" s="68"/>
      <c r="N19" s="67"/>
      <c r="O19" s="67"/>
      <c r="P19" s="67"/>
      <c r="Q19" s="62"/>
      <c r="R19" s="62"/>
      <c r="S19" s="62"/>
      <c r="T19" s="62"/>
      <c r="U19" s="62"/>
    </row>
    <row r="20" spans="1:21">
      <c r="A20" s="21"/>
      <c r="B20" s="67"/>
      <c r="C20" s="67"/>
      <c r="D20" s="67"/>
      <c r="E20" s="67"/>
      <c r="F20" s="67"/>
      <c r="G20" s="67"/>
      <c r="H20" s="67"/>
      <c r="I20" s="67"/>
      <c r="J20" s="67"/>
      <c r="K20" s="67"/>
      <c r="L20" s="68"/>
      <c r="M20" s="68"/>
      <c r="N20" s="67"/>
      <c r="O20" s="67"/>
      <c r="P20" s="67"/>
      <c r="Q20" s="62"/>
      <c r="R20" s="62"/>
      <c r="S20" s="62"/>
      <c r="T20" s="62"/>
      <c r="U20" s="62"/>
    </row>
  </sheetData>
  <mergeCells count="1">
    <mergeCell ref="A10:A11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5:U39"/>
  <sheetViews>
    <sheetView topLeftCell="A22" workbookViewId="0">
      <selection activeCell="A40" sqref="A40"/>
    </sheetView>
  </sheetViews>
  <sheetFormatPr defaultRowHeight="14.4"/>
  <cols>
    <col min="1" max="1" width="8.88671875" style="1"/>
    <col min="2" max="2" width="16.44140625" style="1" customWidth="1"/>
    <col min="3" max="3" width="10.77734375" style="1" customWidth="1"/>
    <col min="4" max="4" width="5.5546875" style="1" customWidth="1"/>
    <col min="5" max="5" width="8.88671875" style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3.4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3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676</v>
      </c>
      <c r="M5" s="95" t="s">
        <v>677</v>
      </c>
      <c r="N5" s="3" t="s">
        <v>11</v>
      </c>
      <c r="O5" s="3" t="s">
        <v>36</v>
      </c>
      <c r="P5" s="3" t="s">
        <v>12</v>
      </c>
      <c r="Q5" s="3" t="s">
        <v>256</v>
      </c>
      <c r="R5" s="3" t="s">
        <v>257</v>
      </c>
      <c r="S5" s="3" t="s">
        <v>2</v>
      </c>
      <c r="T5" s="15"/>
    </row>
    <row r="6" spans="1:21">
      <c r="A6" s="69"/>
      <c r="B6" s="165"/>
      <c r="C6" s="165"/>
      <c r="D6" s="165"/>
      <c r="E6" s="165"/>
      <c r="F6" s="165"/>
      <c r="G6" s="165"/>
      <c r="H6" s="165"/>
      <c r="I6" s="165"/>
      <c r="J6" s="165"/>
      <c r="K6" s="165"/>
      <c r="L6" s="61"/>
      <c r="M6" s="61"/>
      <c r="N6" s="165"/>
      <c r="O6" s="62"/>
      <c r="P6" s="62"/>
      <c r="Q6" s="62"/>
      <c r="R6" s="62"/>
      <c r="S6" s="62"/>
      <c r="T6" s="62"/>
      <c r="U6" s="62"/>
    </row>
    <row r="7" spans="1:21">
      <c r="A7" s="374" t="s">
        <v>1394</v>
      </c>
      <c r="B7" s="42" t="s">
        <v>1397</v>
      </c>
      <c r="C7" s="42" t="s">
        <v>24</v>
      </c>
      <c r="D7" s="42" t="s">
        <v>16</v>
      </c>
      <c r="E7" s="42" t="s">
        <v>1398</v>
      </c>
      <c r="F7" s="42">
        <v>0</v>
      </c>
      <c r="G7" s="42"/>
      <c r="H7" s="42">
        <v>17950</v>
      </c>
      <c r="I7" s="42">
        <v>360</v>
      </c>
      <c r="J7" s="42">
        <v>0.13</v>
      </c>
      <c r="K7" s="42">
        <v>47</v>
      </c>
      <c r="L7" s="43">
        <v>17903</v>
      </c>
      <c r="M7" s="43"/>
      <c r="N7" s="43">
        <v>17903</v>
      </c>
      <c r="O7" s="43">
        <v>1256.5</v>
      </c>
      <c r="P7" s="42">
        <v>11500</v>
      </c>
      <c r="Q7" s="42">
        <v>39.25</v>
      </c>
      <c r="R7" s="42">
        <v>702692.75</v>
      </c>
      <c r="S7" s="62"/>
      <c r="T7" s="62"/>
      <c r="U7" s="62"/>
    </row>
    <row r="8" spans="1:21">
      <c r="A8" s="374"/>
      <c r="B8" s="42" t="s">
        <v>1397</v>
      </c>
      <c r="C8" s="42" t="s">
        <v>24</v>
      </c>
      <c r="D8" s="42" t="s">
        <v>16</v>
      </c>
      <c r="E8" s="42" t="s">
        <v>1280</v>
      </c>
      <c r="F8" s="42">
        <v>0</v>
      </c>
      <c r="G8" s="42"/>
      <c r="H8" s="42">
        <v>17900</v>
      </c>
      <c r="I8" s="42">
        <v>360</v>
      </c>
      <c r="J8" s="42">
        <v>0.13</v>
      </c>
      <c r="K8" s="42">
        <v>47</v>
      </c>
      <c r="L8" s="43">
        <v>17853</v>
      </c>
      <c r="M8" s="43"/>
      <c r="N8" s="43">
        <v>17853</v>
      </c>
      <c r="O8" s="43">
        <v>1253</v>
      </c>
      <c r="P8" s="42">
        <v>10300</v>
      </c>
      <c r="Q8" s="42">
        <v>39.25</v>
      </c>
      <c r="R8" s="42">
        <v>700730.25</v>
      </c>
      <c r="S8" s="62"/>
      <c r="T8" s="62"/>
      <c r="U8" s="62"/>
    </row>
    <row r="9" spans="1:21">
      <c r="A9" s="53" t="s">
        <v>1482</v>
      </c>
      <c r="B9" s="42" t="s">
        <v>1483</v>
      </c>
      <c r="C9" s="42" t="s">
        <v>24</v>
      </c>
      <c r="D9" s="42" t="s">
        <v>16</v>
      </c>
      <c r="E9" s="42" t="s">
        <v>1484</v>
      </c>
      <c r="F9" s="42">
        <v>1682</v>
      </c>
      <c r="G9" s="42"/>
      <c r="H9" s="42">
        <v>12480</v>
      </c>
      <c r="I9" s="42">
        <v>248</v>
      </c>
      <c r="J9" s="42">
        <v>0.13</v>
      </c>
      <c r="K9" s="42">
        <f t="shared" ref="K9:K10" si="0">I9*J9</f>
        <v>32.24</v>
      </c>
      <c r="L9" s="43">
        <f t="shared" ref="L9:L10" si="1">H9-K9</f>
        <v>12447.76</v>
      </c>
      <c r="M9" s="43"/>
      <c r="N9" s="43">
        <f t="shared" ref="N9:N10" si="2">L9-M9</f>
        <v>12447.76</v>
      </c>
      <c r="O9" s="43">
        <f t="shared" ref="O9:O10" si="3">H9/1000*70</f>
        <v>873.6</v>
      </c>
      <c r="P9" s="42">
        <v>13500</v>
      </c>
      <c r="Q9" s="42"/>
      <c r="R9" s="42">
        <f t="shared" ref="R9:R10" si="4">L9*Q9</f>
        <v>0</v>
      </c>
      <c r="S9" s="62"/>
      <c r="T9" s="62"/>
      <c r="U9" s="62"/>
    </row>
    <row r="10" spans="1:21">
      <c r="A10" s="53" t="s">
        <v>1490</v>
      </c>
      <c r="B10" s="42" t="s">
        <v>1483</v>
      </c>
      <c r="C10" s="42" t="s">
        <v>24</v>
      </c>
      <c r="D10" s="42" t="s">
        <v>16</v>
      </c>
      <c r="E10" s="42" t="s">
        <v>1492</v>
      </c>
      <c r="F10" s="42">
        <v>1694</v>
      </c>
      <c r="G10" s="42"/>
      <c r="H10" s="42">
        <v>15000</v>
      </c>
      <c r="I10" s="42">
        <v>300</v>
      </c>
      <c r="J10" s="42">
        <v>0.13</v>
      </c>
      <c r="K10" s="42">
        <f t="shared" si="0"/>
        <v>39</v>
      </c>
      <c r="L10" s="43">
        <f t="shared" si="1"/>
        <v>14961</v>
      </c>
      <c r="M10" s="43"/>
      <c r="N10" s="43">
        <f t="shared" si="2"/>
        <v>14961</v>
      </c>
      <c r="O10" s="43">
        <f t="shared" si="3"/>
        <v>1050</v>
      </c>
      <c r="P10" s="42">
        <v>33000</v>
      </c>
      <c r="Q10" s="42">
        <v>19.75</v>
      </c>
      <c r="R10" s="42">
        <f t="shared" si="4"/>
        <v>295479.75</v>
      </c>
      <c r="S10" s="62"/>
      <c r="T10" s="62"/>
      <c r="U10" s="62"/>
    </row>
    <row r="11" spans="1:21">
      <c r="A11" s="88"/>
      <c r="B11" s="42"/>
      <c r="C11" s="42"/>
      <c r="D11" s="42"/>
      <c r="E11" s="42"/>
      <c r="F11" s="42"/>
      <c r="G11" s="42"/>
      <c r="H11" s="42"/>
      <c r="I11" s="42"/>
      <c r="J11" s="42"/>
      <c r="K11" s="43"/>
      <c r="L11" s="43"/>
      <c r="M11" s="43"/>
      <c r="N11" s="42"/>
      <c r="O11" s="62"/>
      <c r="P11" s="62"/>
      <c r="Q11" s="62"/>
      <c r="R11" s="62"/>
      <c r="S11" s="62"/>
      <c r="T11" s="62"/>
      <c r="U11" s="62"/>
    </row>
    <row r="12" spans="1:21">
      <c r="A12" s="78" t="s">
        <v>1584</v>
      </c>
      <c r="B12" s="42" t="s">
        <v>1483</v>
      </c>
      <c r="C12" s="42" t="s">
        <v>24</v>
      </c>
      <c r="D12" s="42" t="s">
        <v>16</v>
      </c>
      <c r="E12" s="42" t="s">
        <v>1586</v>
      </c>
      <c r="F12" s="42">
        <v>1074</v>
      </c>
      <c r="G12" s="42"/>
      <c r="H12" s="42">
        <v>12480</v>
      </c>
      <c r="I12" s="42">
        <v>250</v>
      </c>
      <c r="J12" s="42">
        <v>0.13</v>
      </c>
      <c r="K12" s="42">
        <v>33</v>
      </c>
      <c r="L12" s="43">
        <f t="shared" ref="L12:L27" si="5">H12-K12</f>
        <v>12447</v>
      </c>
      <c r="M12" s="43"/>
      <c r="N12" s="43">
        <f t="shared" ref="N12:N27" si="6">L12-M12</f>
        <v>12447</v>
      </c>
      <c r="O12" s="43">
        <f t="shared" ref="O12:O15" si="7">H12/1000*70</f>
        <v>873.6</v>
      </c>
      <c r="P12" s="42">
        <v>0</v>
      </c>
      <c r="Q12" s="42">
        <v>41.5</v>
      </c>
      <c r="R12" s="42">
        <f t="shared" ref="R12:R27" si="8">L12*Q12</f>
        <v>516550.5</v>
      </c>
      <c r="S12" s="62"/>
      <c r="T12" s="62"/>
      <c r="U12" s="62"/>
    </row>
    <row r="13" spans="1:21">
      <c r="A13" s="389" t="s">
        <v>1625</v>
      </c>
      <c r="B13" s="42" t="s">
        <v>1483</v>
      </c>
      <c r="C13" s="42" t="s">
        <v>24</v>
      </c>
      <c r="D13" s="42" t="s">
        <v>16</v>
      </c>
      <c r="E13" s="42" t="s">
        <v>1626</v>
      </c>
      <c r="F13" s="42">
        <v>1514</v>
      </c>
      <c r="G13" s="42"/>
      <c r="H13" s="42">
        <v>15000</v>
      </c>
      <c r="I13" s="42">
        <v>300</v>
      </c>
      <c r="J13" s="42">
        <v>0.13</v>
      </c>
      <c r="K13" s="42">
        <f t="shared" ref="K13:K22" si="9">I13*J13</f>
        <v>39</v>
      </c>
      <c r="L13" s="43">
        <f t="shared" si="5"/>
        <v>14961</v>
      </c>
      <c r="M13" s="43"/>
      <c r="N13" s="43">
        <f t="shared" si="6"/>
        <v>14961</v>
      </c>
      <c r="O13" s="43">
        <f t="shared" si="7"/>
        <v>1050</v>
      </c>
      <c r="P13" s="42">
        <v>11700</v>
      </c>
      <c r="Q13" s="42">
        <v>41.5</v>
      </c>
      <c r="R13" s="42">
        <f t="shared" si="8"/>
        <v>620881.5</v>
      </c>
      <c r="S13" s="62"/>
      <c r="T13" s="62"/>
      <c r="U13" s="62"/>
    </row>
    <row r="14" spans="1:21">
      <c r="A14" s="389"/>
      <c r="B14" s="42" t="s">
        <v>1483</v>
      </c>
      <c r="C14" s="42" t="s">
        <v>24</v>
      </c>
      <c r="D14" s="42" t="s">
        <v>16</v>
      </c>
      <c r="E14" s="42" t="s">
        <v>1574</v>
      </c>
      <c r="F14" s="42">
        <v>1048</v>
      </c>
      <c r="G14" s="42"/>
      <c r="H14" s="42">
        <v>15000</v>
      </c>
      <c r="I14" s="42">
        <v>300</v>
      </c>
      <c r="J14" s="42">
        <v>0.13</v>
      </c>
      <c r="K14" s="42">
        <f t="shared" si="9"/>
        <v>39</v>
      </c>
      <c r="L14" s="43">
        <f t="shared" si="5"/>
        <v>14961</v>
      </c>
      <c r="M14" s="43"/>
      <c r="N14" s="43">
        <f t="shared" si="6"/>
        <v>14961</v>
      </c>
      <c r="O14" s="43">
        <f t="shared" si="7"/>
        <v>1050</v>
      </c>
      <c r="P14" s="42">
        <v>11700</v>
      </c>
      <c r="Q14" s="42">
        <v>41.5</v>
      </c>
      <c r="R14" s="42">
        <f t="shared" si="8"/>
        <v>620881.5</v>
      </c>
      <c r="S14" s="62"/>
      <c r="T14" s="62"/>
      <c r="U14" s="62"/>
    </row>
    <row r="15" spans="1:21">
      <c r="A15" s="63" t="s">
        <v>1633</v>
      </c>
      <c r="B15" s="42" t="s">
        <v>1483</v>
      </c>
      <c r="C15" s="42" t="s">
        <v>24</v>
      </c>
      <c r="D15" s="42" t="s">
        <v>16</v>
      </c>
      <c r="E15" s="42" t="s">
        <v>1635</v>
      </c>
      <c r="F15" s="42">
        <v>1519</v>
      </c>
      <c r="G15" s="42"/>
      <c r="H15" s="42">
        <v>15000</v>
      </c>
      <c r="I15" s="42">
        <v>300</v>
      </c>
      <c r="J15" s="42">
        <v>0.13</v>
      </c>
      <c r="K15" s="42">
        <f t="shared" si="9"/>
        <v>39</v>
      </c>
      <c r="L15" s="43">
        <f t="shared" si="5"/>
        <v>14961</v>
      </c>
      <c r="M15" s="43"/>
      <c r="N15" s="43">
        <f t="shared" si="6"/>
        <v>14961</v>
      </c>
      <c r="O15" s="43">
        <f t="shared" si="7"/>
        <v>1050</v>
      </c>
      <c r="P15" s="42">
        <v>11700</v>
      </c>
      <c r="Q15" s="42">
        <v>41.5</v>
      </c>
      <c r="R15" s="42">
        <f t="shared" si="8"/>
        <v>620881.5</v>
      </c>
      <c r="S15" s="62"/>
      <c r="T15" s="62"/>
      <c r="U15" s="62"/>
    </row>
    <row r="16" spans="1:21">
      <c r="A16" s="374" t="s">
        <v>1654</v>
      </c>
      <c r="B16" s="42" t="s">
        <v>1483</v>
      </c>
      <c r="C16" s="42" t="s">
        <v>24</v>
      </c>
      <c r="D16" s="42" t="s">
        <v>16</v>
      </c>
      <c r="E16" s="42" t="s">
        <v>1656</v>
      </c>
      <c r="F16" s="42">
        <v>1520</v>
      </c>
      <c r="G16" s="42"/>
      <c r="H16" s="42">
        <v>15000</v>
      </c>
      <c r="I16" s="42">
        <v>300</v>
      </c>
      <c r="J16" s="42"/>
      <c r="K16" s="42">
        <f t="shared" si="9"/>
        <v>0</v>
      </c>
      <c r="L16" s="43">
        <f t="shared" si="5"/>
        <v>15000</v>
      </c>
      <c r="M16" s="43"/>
      <c r="N16" s="43">
        <f t="shared" si="6"/>
        <v>15000</v>
      </c>
      <c r="O16" s="43">
        <v>0</v>
      </c>
      <c r="P16" s="193">
        <v>11500</v>
      </c>
      <c r="Q16" s="193">
        <v>41.75</v>
      </c>
      <c r="R16" s="42">
        <f t="shared" si="8"/>
        <v>626250</v>
      </c>
      <c r="S16" s="42" t="s">
        <v>1655</v>
      </c>
      <c r="T16" s="62"/>
      <c r="U16" s="62"/>
    </row>
    <row r="17" spans="1:21">
      <c r="A17" s="374"/>
      <c r="B17" s="42" t="s">
        <v>1483</v>
      </c>
      <c r="C17" s="42" t="s">
        <v>24</v>
      </c>
      <c r="D17" s="42" t="s">
        <v>16</v>
      </c>
      <c r="E17" s="42" t="s">
        <v>1657</v>
      </c>
      <c r="F17" s="42">
        <v>1518</v>
      </c>
      <c r="G17" s="42"/>
      <c r="H17" s="42">
        <v>15000</v>
      </c>
      <c r="I17" s="42">
        <v>300</v>
      </c>
      <c r="J17" s="42"/>
      <c r="K17" s="42">
        <f t="shared" si="9"/>
        <v>0</v>
      </c>
      <c r="L17" s="43">
        <f t="shared" si="5"/>
        <v>15000</v>
      </c>
      <c r="M17" s="43"/>
      <c r="N17" s="43">
        <f t="shared" si="6"/>
        <v>15000</v>
      </c>
      <c r="O17" s="43">
        <v>0</v>
      </c>
      <c r="P17" s="193">
        <v>11500</v>
      </c>
      <c r="Q17" s="193">
        <v>41.75</v>
      </c>
      <c r="R17" s="42">
        <f t="shared" si="8"/>
        <v>626250</v>
      </c>
      <c r="S17" s="48"/>
      <c r="T17" s="62"/>
      <c r="U17" s="62"/>
    </row>
    <row r="18" spans="1:21">
      <c r="A18" s="374"/>
      <c r="B18" s="42" t="s">
        <v>1483</v>
      </c>
      <c r="C18" s="42" t="s">
        <v>24</v>
      </c>
      <c r="D18" s="42" t="s">
        <v>16</v>
      </c>
      <c r="E18" s="42" t="s">
        <v>1658</v>
      </c>
      <c r="F18" s="42">
        <v>1521</v>
      </c>
      <c r="G18" s="42"/>
      <c r="H18" s="42">
        <v>15000</v>
      </c>
      <c r="I18" s="42">
        <v>300</v>
      </c>
      <c r="J18" s="42"/>
      <c r="K18" s="42">
        <f t="shared" si="9"/>
        <v>0</v>
      </c>
      <c r="L18" s="43">
        <f t="shared" si="5"/>
        <v>15000</v>
      </c>
      <c r="M18" s="43"/>
      <c r="N18" s="43">
        <f t="shared" si="6"/>
        <v>15000</v>
      </c>
      <c r="O18" s="43">
        <v>0</v>
      </c>
      <c r="P18" s="193">
        <v>11500</v>
      </c>
      <c r="Q18" s="193">
        <v>41.75</v>
      </c>
      <c r="R18" s="42">
        <f t="shared" si="8"/>
        <v>626250</v>
      </c>
      <c r="S18" s="48"/>
      <c r="T18" s="62"/>
      <c r="U18" s="62"/>
    </row>
    <row r="19" spans="1:21">
      <c r="A19" s="374" t="s">
        <v>1664</v>
      </c>
      <c r="B19" s="42" t="s">
        <v>1397</v>
      </c>
      <c r="C19" s="42" t="s">
        <v>24</v>
      </c>
      <c r="D19" s="42" t="s">
        <v>16</v>
      </c>
      <c r="E19" s="42" t="s">
        <v>1670</v>
      </c>
      <c r="F19" s="42">
        <v>1442</v>
      </c>
      <c r="G19" s="42"/>
      <c r="H19" s="42">
        <v>14970</v>
      </c>
      <c r="I19" s="42">
        <v>300</v>
      </c>
      <c r="J19" s="42"/>
      <c r="K19" s="42">
        <f t="shared" si="9"/>
        <v>0</v>
      </c>
      <c r="L19" s="43">
        <f t="shared" si="5"/>
        <v>14970</v>
      </c>
      <c r="M19" s="43"/>
      <c r="N19" s="43">
        <f t="shared" si="6"/>
        <v>14970</v>
      </c>
      <c r="O19" s="43">
        <v>0</v>
      </c>
      <c r="P19" s="194">
        <v>6500</v>
      </c>
      <c r="Q19" s="194">
        <v>41.75</v>
      </c>
      <c r="R19" s="42">
        <f t="shared" si="8"/>
        <v>624997.5</v>
      </c>
      <c r="S19" s="62"/>
      <c r="T19" s="62"/>
      <c r="U19" s="62"/>
    </row>
    <row r="20" spans="1:21">
      <c r="A20" s="374"/>
      <c r="B20" s="42" t="s">
        <v>1397</v>
      </c>
      <c r="C20" s="42" t="s">
        <v>24</v>
      </c>
      <c r="D20" s="42" t="s">
        <v>16</v>
      </c>
      <c r="E20" s="42" t="s">
        <v>1671</v>
      </c>
      <c r="F20" s="42">
        <v>1522</v>
      </c>
      <c r="G20" s="42"/>
      <c r="H20" s="42">
        <v>15000</v>
      </c>
      <c r="I20" s="42">
        <v>300</v>
      </c>
      <c r="J20" s="42"/>
      <c r="K20" s="42">
        <f t="shared" si="9"/>
        <v>0</v>
      </c>
      <c r="L20" s="43">
        <f t="shared" si="5"/>
        <v>15000</v>
      </c>
      <c r="M20" s="43"/>
      <c r="N20" s="43">
        <f t="shared" si="6"/>
        <v>15000</v>
      </c>
      <c r="O20" s="43">
        <v>0</v>
      </c>
      <c r="P20" s="194">
        <v>11500</v>
      </c>
      <c r="Q20" s="194">
        <v>41.75</v>
      </c>
      <c r="R20" s="42">
        <f t="shared" si="8"/>
        <v>626250</v>
      </c>
      <c r="S20" s="62"/>
      <c r="T20" s="62"/>
      <c r="U20" s="62"/>
    </row>
    <row r="21" spans="1:21">
      <c r="A21" s="374" t="s">
        <v>1681</v>
      </c>
      <c r="B21" s="42" t="s">
        <v>1397</v>
      </c>
      <c r="C21" s="42" t="s">
        <v>24</v>
      </c>
      <c r="D21" s="42" t="s">
        <v>16</v>
      </c>
      <c r="E21" s="42" t="s">
        <v>1685</v>
      </c>
      <c r="F21" s="42">
        <v>1525</v>
      </c>
      <c r="G21" s="42"/>
      <c r="H21" s="42">
        <v>14990</v>
      </c>
      <c r="I21" s="42">
        <v>300</v>
      </c>
      <c r="J21" s="42">
        <v>0.13</v>
      </c>
      <c r="K21" s="42">
        <f t="shared" si="9"/>
        <v>39</v>
      </c>
      <c r="L21" s="43">
        <f t="shared" si="5"/>
        <v>14951</v>
      </c>
      <c r="M21" s="43"/>
      <c r="N21" s="43">
        <f t="shared" si="6"/>
        <v>14951</v>
      </c>
      <c r="O21" s="43">
        <f t="shared" ref="O21:O27" si="10">H21/1000*70</f>
        <v>1049.3</v>
      </c>
      <c r="P21" s="199">
        <v>10500</v>
      </c>
      <c r="Q21" s="199">
        <v>41.75</v>
      </c>
      <c r="R21" s="42">
        <f t="shared" si="8"/>
        <v>624204.25</v>
      </c>
    </row>
    <row r="22" spans="1:21">
      <c r="A22" s="374"/>
      <c r="B22" s="42" t="s">
        <v>1397</v>
      </c>
      <c r="C22" s="42" t="s">
        <v>24</v>
      </c>
      <c r="D22" s="42" t="s">
        <v>16</v>
      </c>
      <c r="E22" s="42" t="s">
        <v>1686</v>
      </c>
      <c r="F22" s="42">
        <v>1526</v>
      </c>
      <c r="G22" s="42"/>
      <c r="H22" s="42">
        <v>14990</v>
      </c>
      <c r="I22" s="42">
        <v>300</v>
      </c>
      <c r="J22" s="42">
        <v>0.13</v>
      </c>
      <c r="K22" s="42">
        <f t="shared" si="9"/>
        <v>39</v>
      </c>
      <c r="L22" s="43">
        <f t="shared" si="5"/>
        <v>14951</v>
      </c>
      <c r="M22" s="43"/>
      <c r="N22" s="43">
        <f t="shared" si="6"/>
        <v>14951</v>
      </c>
      <c r="O22" s="43">
        <f t="shared" si="10"/>
        <v>1049.3</v>
      </c>
      <c r="P22" s="199">
        <v>10500</v>
      </c>
      <c r="Q22" s="199">
        <v>41.75</v>
      </c>
      <c r="R22" s="42">
        <f t="shared" si="8"/>
        <v>624204.25</v>
      </c>
    </row>
    <row r="23" spans="1:21">
      <c r="A23" s="374" t="s">
        <v>1938</v>
      </c>
      <c r="B23" s="42" t="s">
        <v>1397</v>
      </c>
      <c r="C23" s="42" t="s">
        <v>24</v>
      </c>
      <c r="D23" s="42" t="s">
        <v>16</v>
      </c>
      <c r="E23" s="42" t="s">
        <v>1235</v>
      </c>
      <c r="F23" s="42">
        <v>1545</v>
      </c>
      <c r="G23" s="42"/>
      <c r="H23" s="42">
        <v>12490</v>
      </c>
      <c r="I23" s="42">
        <v>250</v>
      </c>
      <c r="J23" s="42">
        <v>0.13</v>
      </c>
      <c r="K23" s="42">
        <v>33</v>
      </c>
      <c r="L23" s="43">
        <f t="shared" si="5"/>
        <v>12457</v>
      </c>
      <c r="M23" s="43"/>
      <c r="N23" s="43">
        <f t="shared" si="6"/>
        <v>12457</v>
      </c>
      <c r="O23" s="43">
        <f t="shared" si="10"/>
        <v>874.30000000000007</v>
      </c>
      <c r="P23" s="42">
        <v>9200</v>
      </c>
      <c r="Q23" s="42">
        <v>37.799999999999997</v>
      </c>
      <c r="R23" s="42">
        <f t="shared" si="8"/>
        <v>470874.6</v>
      </c>
    </row>
    <row r="24" spans="1:21">
      <c r="A24" s="374"/>
      <c r="B24" s="42" t="s">
        <v>1397</v>
      </c>
      <c r="C24" s="42" t="s">
        <v>24</v>
      </c>
      <c r="D24" s="42" t="s">
        <v>16</v>
      </c>
      <c r="E24" s="42" t="s">
        <v>1821</v>
      </c>
      <c r="F24" s="42">
        <v>1544</v>
      </c>
      <c r="G24" s="42"/>
      <c r="H24" s="42">
        <v>12480</v>
      </c>
      <c r="I24" s="42">
        <v>250</v>
      </c>
      <c r="J24" s="42">
        <v>0.13</v>
      </c>
      <c r="K24" s="42">
        <v>33</v>
      </c>
      <c r="L24" s="43">
        <f t="shared" si="5"/>
        <v>12447</v>
      </c>
      <c r="M24" s="43"/>
      <c r="N24" s="43">
        <f t="shared" si="6"/>
        <v>12447</v>
      </c>
      <c r="O24" s="43">
        <f t="shared" si="10"/>
        <v>873.6</v>
      </c>
      <c r="P24" s="42">
        <v>9200</v>
      </c>
      <c r="Q24" s="42">
        <v>37.799999999999997</v>
      </c>
      <c r="R24" s="42">
        <f t="shared" si="8"/>
        <v>470496.6</v>
      </c>
    </row>
    <row r="25" spans="1:21">
      <c r="A25" s="1" t="s">
        <v>1999</v>
      </c>
      <c r="B25" s="42" t="s">
        <v>1397</v>
      </c>
      <c r="C25" s="42" t="s">
        <v>24</v>
      </c>
      <c r="D25" s="42" t="s">
        <v>16</v>
      </c>
      <c r="E25" s="42" t="s">
        <v>1821</v>
      </c>
      <c r="F25" s="42">
        <v>2656</v>
      </c>
      <c r="G25" s="42"/>
      <c r="H25" s="42">
        <v>12500</v>
      </c>
      <c r="I25" s="42">
        <v>250</v>
      </c>
      <c r="J25" s="42">
        <v>0.13</v>
      </c>
      <c r="K25" s="42">
        <v>33</v>
      </c>
      <c r="L25" s="43">
        <f t="shared" si="5"/>
        <v>12467</v>
      </c>
      <c r="M25" s="43"/>
      <c r="N25" s="43">
        <f t="shared" si="6"/>
        <v>12467</v>
      </c>
      <c r="O25" s="43">
        <f t="shared" si="10"/>
        <v>875</v>
      </c>
      <c r="P25" s="42">
        <v>9100</v>
      </c>
      <c r="Q25" s="42">
        <v>37.6</v>
      </c>
      <c r="R25" s="42">
        <f t="shared" si="8"/>
        <v>468759.2</v>
      </c>
    </row>
    <row r="26" spans="1:21">
      <c r="A26" s="374" t="s">
        <v>2008</v>
      </c>
      <c r="B26" s="42" t="s">
        <v>1397</v>
      </c>
      <c r="C26" s="42" t="s">
        <v>24</v>
      </c>
      <c r="D26" s="241" t="s">
        <v>16</v>
      </c>
      <c r="E26" s="241" t="s">
        <v>2009</v>
      </c>
      <c r="F26" s="241">
        <v>2658</v>
      </c>
      <c r="G26" s="241"/>
      <c r="H26" s="241">
        <v>15000</v>
      </c>
      <c r="I26" s="241">
        <v>300</v>
      </c>
      <c r="J26" s="241">
        <v>0.13</v>
      </c>
      <c r="K26" s="5">
        <f t="shared" ref="K26:K27" si="11">I26*J26</f>
        <v>39</v>
      </c>
      <c r="L26" s="19">
        <f t="shared" si="5"/>
        <v>14961</v>
      </c>
      <c r="M26" s="19"/>
      <c r="N26" s="43">
        <f t="shared" si="6"/>
        <v>14961</v>
      </c>
      <c r="O26" s="5">
        <f t="shared" si="10"/>
        <v>1050</v>
      </c>
      <c r="P26" s="241">
        <v>10000</v>
      </c>
      <c r="Q26" s="241">
        <v>37.6</v>
      </c>
      <c r="R26" s="241">
        <f t="shared" si="8"/>
        <v>562533.6</v>
      </c>
    </row>
    <row r="27" spans="1:21">
      <c r="A27" s="374"/>
      <c r="B27" s="42" t="s">
        <v>1397</v>
      </c>
      <c r="C27" s="42" t="s">
        <v>24</v>
      </c>
      <c r="D27" s="241" t="s">
        <v>16</v>
      </c>
      <c r="E27" s="241" t="s">
        <v>2010</v>
      </c>
      <c r="F27" s="241">
        <v>2657</v>
      </c>
      <c r="G27" s="241"/>
      <c r="H27" s="241">
        <v>15000</v>
      </c>
      <c r="I27" s="241">
        <v>300</v>
      </c>
      <c r="J27" s="241">
        <v>0.13</v>
      </c>
      <c r="K27" s="5">
        <f t="shared" si="11"/>
        <v>39</v>
      </c>
      <c r="L27" s="19">
        <f t="shared" si="5"/>
        <v>14961</v>
      </c>
      <c r="M27" s="19"/>
      <c r="N27" s="43">
        <f t="shared" si="6"/>
        <v>14961</v>
      </c>
      <c r="O27" s="5">
        <f t="shared" si="10"/>
        <v>1050</v>
      </c>
      <c r="P27" s="241">
        <v>10000</v>
      </c>
      <c r="Q27" s="241">
        <v>37.6</v>
      </c>
      <c r="R27" s="241">
        <f t="shared" si="8"/>
        <v>562533.6</v>
      </c>
    </row>
    <row r="29" spans="1:21">
      <c r="A29" s="1" t="s">
        <v>2069</v>
      </c>
      <c r="B29" s="42" t="s">
        <v>1483</v>
      </c>
      <c r="C29" s="42" t="s">
        <v>24</v>
      </c>
      <c r="D29" s="42" t="s">
        <v>16</v>
      </c>
      <c r="E29" s="42" t="s">
        <v>2070</v>
      </c>
      <c r="F29" s="42">
        <v>2667</v>
      </c>
      <c r="G29" s="42"/>
      <c r="H29" s="42">
        <v>12500</v>
      </c>
      <c r="I29" s="42">
        <v>250</v>
      </c>
      <c r="J29" s="42">
        <v>0.13</v>
      </c>
      <c r="K29" s="43">
        <f t="shared" ref="K29:K31" si="12">I29*J29</f>
        <v>32.5</v>
      </c>
      <c r="L29" s="43">
        <f t="shared" ref="L29:L31" si="13">H29-K29</f>
        <v>12467.5</v>
      </c>
      <c r="M29" s="43"/>
      <c r="N29" s="43">
        <f t="shared" ref="N29:N31" si="14">L29-M29</f>
        <v>12467.5</v>
      </c>
      <c r="O29" s="43">
        <f t="shared" ref="O29:O31" si="15">H29/1000*70</f>
        <v>875</v>
      </c>
      <c r="P29" s="42">
        <v>8900</v>
      </c>
      <c r="Q29" s="42">
        <v>37.75</v>
      </c>
      <c r="R29" s="42">
        <f t="shared" ref="R29:R31" si="16">L29*Q29</f>
        <v>470648.125</v>
      </c>
    </row>
    <row r="30" spans="1:21">
      <c r="A30" s="1" t="s">
        <v>2174</v>
      </c>
      <c r="B30" s="42" t="s">
        <v>2175</v>
      </c>
      <c r="C30" s="42" t="s">
        <v>24</v>
      </c>
      <c r="D30" s="42" t="s">
        <v>16</v>
      </c>
      <c r="E30" s="42" t="s">
        <v>2177</v>
      </c>
      <c r="F30" s="42">
        <v>2689</v>
      </c>
      <c r="G30" s="42"/>
      <c r="H30" s="42">
        <v>12480</v>
      </c>
      <c r="I30" s="42">
        <v>250</v>
      </c>
      <c r="J30" s="42">
        <v>0.13</v>
      </c>
      <c r="K30" s="43">
        <f t="shared" si="12"/>
        <v>32.5</v>
      </c>
      <c r="L30" s="43">
        <f t="shared" si="13"/>
        <v>12447.5</v>
      </c>
      <c r="M30" s="43"/>
      <c r="N30" s="43">
        <f t="shared" si="14"/>
        <v>12447.5</v>
      </c>
      <c r="O30" s="43">
        <f t="shared" si="15"/>
        <v>873.6</v>
      </c>
      <c r="P30" s="42">
        <v>9700</v>
      </c>
      <c r="Q30" s="42">
        <v>37.75</v>
      </c>
      <c r="R30" s="42">
        <f t="shared" si="16"/>
        <v>469893.125</v>
      </c>
    </row>
    <row r="31" spans="1:21">
      <c r="A31" s="21" t="s">
        <v>2178</v>
      </c>
      <c r="B31" s="42" t="s">
        <v>2175</v>
      </c>
      <c r="C31" s="42" t="s">
        <v>24</v>
      </c>
      <c r="D31" s="42" t="s">
        <v>16</v>
      </c>
      <c r="E31" s="42" t="s">
        <v>2179</v>
      </c>
      <c r="F31" s="42">
        <v>2691</v>
      </c>
      <c r="G31" s="42"/>
      <c r="H31" s="42">
        <v>12500</v>
      </c>
      <c r="I31" s="42">
        <v>250</v>
      </c>
      <c r="J31" s="42">
        <v>0.13</v>
      </c>
      <c r="K31" s="43">
        <f t="shared" si="12"/>
        <v>32.5</v>
      </c>
      <c r="L31" s="43">
        <f t="shared" si="13"/>
        <v>12467.5</v>
      </c>
      <c r="M31" s="43"/>
      <c r="N31" s="43">
        <f t="shared" si="14"/>
        <v>12467.5</v>
      </c>
      <c r="O31" s="43">
        <f t="shared" si="15"/>
        <v>875</v>
      </c>
      <c r="P31" s="42">
        <v>9700</v>
      </c>
      <c r="Q31" s="42">
        <v>37.75</v>
      </c>
      <c r="R31" s="42">
        <f t="shared" si="16"/>
        <v>470648.125</v>
      </c>
    </row>
    <row r="33" spans="1:18">
      <c r="A33" s="21" t="s">
        <v>2462</v>
      </c>
      <c r="B33" s="42" t="s">
        <v>1397</v>
      </c>
      <c r="C33" s="42" t="s">
        <v>24</v>
      </c>
      <c r="D33" s="42" t="s">
        <v>16</v>
      </c>
      <c r="E33" s="42" t="s">
        <v>2464</v>
      </c>
      <c r="F33" s="42">
        <v>1865</v>
      </c>
      <c r="G33" s="42"/>
      <c r="H33" s="42">
        <v>15000</v>
      </c>
      <c r="I33" s="42">
        <v>300</v>
      </c>
      <c r="J33" s="42">
        <v>0.13</v>
      </c>
      <c r="K33" s="43">
        <f t="shared" ref="K33" si="17">I33*J33</f>
        <v>39</v>
      </c>
      <c r="L33" s="43">
        <f t="shared" ref="L33" si="18">H33-K33</f>
        <v>14961</v>
      </c>
      <c r="M33" s="43"/>
      <c r="N33" s="43">
        <f t="shared" ref="N33" si="19">L33-M33</f>
        <v>14961</v>
      </c>
      <c r="O33" s="43">
        <f t="shared" ref="O33" si="20">H33/1000*70</f>
        <v>1050</v>
      </c>
      <c r="P33" s="42">
        <v>12500</v>
      </c>
      <c r="Q33" s="42"/>
      <c r="R33" s="42">
        <f t="shared" ref="R33" si="21">L33*Q33</f>
        <v>0</v>
      </c>
    </row>
    <row r="35" spans="1:18">
      <c r="A35" s="21" t="s">
        <v>2855</v>
      </c>
      <c r="B35" s="42" t="s">
        <v>1483</v>
      </c>
      <c r="C35" s="42" t="s">
        <v>24</v>
      </c>
      <c r="D35" s="42" t="s">
        <v>16</v>
      </c>
      <c r="E35" s="42" t="s">
        <v>2856</v>
      </c>
      <c r="F35" s="42">
        <v>2285</v>
      </c>
      <c r="G35" s="42"/>
      <c r="H35" s="42">
        <v>15000</v>
      </c>
      <c r="I35" s="42">
        <v>300</v>
      </c>
      <c r="J35" s="42">
        <v>0.13</v>
      </c>
      <c r="K35" s="43">
        <f t="shared" ref="K35" si="22">I35*J35</f>
        <v>39</v>
      </c>
      <c r="L35" s="43">
        <f t="shared" ref="L35" si="23">H35-K35</f>
        <v>14961</v>
      </c>
      <c r="M35" s="43"/>
      <c r="N35" s="43">
        <f t="shared" ref="N35" si="24">L35-M35</f>
        <v>14961</v>
      </c>
      <c r="O35" s="43">
        <f t="shared" ref="O35" si="25">H35/1000*70</f>
        <v>1050</v>
      </c>
      <c r="P35" s="42">
        <v>25700</v>
      </c>
      <c r="Q35" s="42">
        <v>44</v>
      </c>
      <c r="R35" s="42">
        <f t="shared" ref="R35" si="26">L35*Q35</f>
        <v>658284</v>
      </c>
    </row>
    <row r="37" spans="1:18">
      <c r="A37" s="374" t="s">
        <v>4076</v>
      </c>
      <c r="B37" s="366" t="s">
        <v>1304</v>
      </c>
      <c r="C37" s="366" t="s">
        <v>24</v>
      </c>
      <c r="D37" s="42" t="s">
        <v>16</v>
      </c>
      <c r="E37" s="366" t="s">
        <v>4081</v>
      </c>
      <c r="F37" s="366">
        <v>2875</v>
      </c>
      <c r="G37" s="366"/>
      <c r="H37" s="366">
        <v>14970</v>
      </c>
      <c r="I37" s="366">
        <v>300</v>
      </c>
      <c r="J37" s="366">
        <v>0.13</v>
      </c>
      <c r="K37" s="366">
        <f>I37*J37</f>
        <v>39</v>
      </c>
      <c r="L37" s="364">
        <f>H37-K37</f>
        <v>14931</v>
      </c>
      <c r="M37" s="364"/>
      <c r="N37" s="364">
        <f>L37-M37</f>
        <v>14931</v>
      </c>
      <c r="O37" s="43">
        <f>H37/1000*70</f>
        <v>1047.9000000000001</v>
      </c>
      <c r="P37" s="366">
        <v>10500</v>
      </c>
      <c r="Q37" s="190">
        <v>36</v>
      </c>
      <c r="R37" s="366">
        <f>L37*Q37</f>
        <v>537516</v>
      </c>
    </row>
    <row r="38" spans="1:18">
      <c r="A38" s="374"/>
      <c r="B38" s="366" t="s">
        <v>1304</v>
      </c>
      <c r="C38" s="366" t="s">
        <v>24</v>
      </c>
      <c r="D38" s="42" t="s">
        <v>16</v>
      </c>
      <c r="E38" s="366" t="s">
        <v>2205</v>
      </c>
      <c r="F38" s="366">
        <v>2873</v>
      </c>
      <c r="G38" s="366"/>
      <c r="H38" s="366">
        <v>14970</v>
      </c>
      <c r="I38" s="366">
        <v>300</v>
      </c>
      <c r="J38" s="366">
        <v>0.13</v>
      </c>
      <c r="K38" s="366">
        <f>I38*J38</f>
        <v>39</v>
      </c>
      <c r="L38" s="364">
        <f>H38-K38</f>
        <v>14931</v>
      </c>
      <c r="M38" s="364"/>
      <c r="N38" s="364">
        <f>L38-M38</f>
        <v>14931</v>
      </c>
      <c r="O38" s="43">
        <f>H38/1000*70</f>
        <v>1047.9000000000001</v>
      </c>
      <c r="P38" s="366">
        <v>10500</v>
      </c>
      <c r="Q38" s="190">
        <v>36</v>
      </c>
      <c r="R38" s="366">
        <f>L38*Q38</f>
        <v>537516</v>
      </c>
    </row>
    <row r="39" spans="1:18">
      <c r="A39" s="374"/>
      <c r="B39" s="366" t="s">
        <v>1304</v>
      </c>
      <c r="C39" s="366" t="s">
        <v>24</v>
      </c>
      <c r="D39" s="42" t="s">
        <v>16</v>
      </c>
      <c r="E39" s="366" t="s">
        <v>2777</v>
      </c>
      <c r="F39" s="366">
        <v>2874</v>
      </c>
      <c r="G39" s="366"/>
      <c r="H39" s="366">
        <v>15000</v>
      </c>
      <c r="I39" s="366">
        <v>300</v>
      </c>
      <c r="J39" s="366">
        <v>0.13</v>
      </c>
      <c r="K39" s="366">
        <f>I39*J39</f>
        <v>39</v>
      </c>
      <c r="L39" s="364">
        <f>H39-K39</f>
        <v>14961</v>
      </c>
      <c r="M39" s="364"/>
      <c r="N39" s="364">
        <f>L39-M39</f>
        <v>14961</v>
      </c>
      <c r="O39" s="43">
        <f>H39/1000*70</f>
        <v>1050</v>
      </c>
      <c r="P39" s="366">
        <v>10500</v>
      </c>
      <c r="Q39" s="190">
        <v>36</v>
      </c>
      <c r="R39" s="366">
        <f>L39*Q39</f>
        <v>538596</v>
      </c>
    </row>
  </sheetData>
  <mergeCells count="8">
    <mergeCell ref="A37:A39"/>
    <mergeCell ref="A26:A27"/>
    <mergeCell ref="A23:A24"/>
    <mergeCell ref="A7:A8"/>
    <mergeCell ref="A13:A14"/>
    <mergeCell ref="A16:A18"/>
    <mergeCell ref="A19:A20"/>
    <mergeCell ref="A21:A22"/>
  </mergeCells>
  <pageMargins left="0.7" right="0.7" top="0.75" bottom="0.75" header="0.3" footer="0.3"/>
  <pageSetup paperSize="9" orientation="portrait" verticalDpi="0" r:id="rId1"/>
</worksheet>
</file>

<file path=xl/worksheets/sheet77.xml><?xml version="1.0" encoding="utf-8"?>
<worksheet xmlns="http://schemas.openxmlformats.org/spreadsheetml/2006/main" xmlns:r="http://schemas.openxmlformats.org/officeDocument/2006/relationships">
  <dimension ref="A5:U14"/>
  <sheetViews>
    <sheetView workbookViewId="0">
      <selection activeCell="B22" sqref="B22"/>
    </sheetView>
  </sheetViews>
  <sheetFormatPr defaultRowHeight="14.4"/>
  <cols>
    <col min="1" max="1" width="8.88671875" style="1"/>
    <col min="2" max="2" width="16.44140625" style="1" customWidth="1"/>
    <col min="3" max="3" width="10.77734375" style="1" customWidth="1"/>
    <col min="4" max="4" width="5.5546875" style="1" customWidth="1"/>
    <col min="5" max="5" width="8.88671875" style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3.4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3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676</v>
      </c>
      <c r="M5" s="95" t="s">
        <v>677</v>
      </c>
      <c r="N5" s="3" t="s">
        <v>11</v>
      </c>
      <c r="O5" s="3" t="s">
        <v>36</v>
      </c>
      <c r="P5" s="3" t="s">
        <v>12</v>
      </c>
      <c r="Q5" s="3" t="s">
        <v>256</v>
      </c>
      <c r="R5" s="3" t="s">
        <v>257</v>
      </c>
      <c r="S5" s="3" t="s">
        <v>2</v>
      </c>
      <c r="T5" s="15"/>
    </row>
    <row r="6" spans="1:21">
      <c r="A6" s="69"/>
      <c r="B6" s="184"/>
      <c r="C6" s="184"/>
      <c r="D6" s="184"/>
      <c r="E6" s="184"/>
      <c r="F6" s="184"/>
      <c r="G6" s="184"/>
      <c r="H6" s="184"/>
      <c r="I6" s="184"/>
      <c r="J6" s="184"/>
      <c r="K6" s="184"/>
      <c r="L6" s="61"/>
      <c r="M6" s="61"/>
      <c r="N6" s="184"/>
      <c r="O6" s="62"/>
      <c r="P6" s="62"/>
      <c r="Q6" s="62"/>
      <c r="R6" s="62"/>
      <c r="S6" s="62"/>
      <c r="T6" s="62"/>
      <c r="U6" s="62"/>
    </row>
    <row r="7" spans="1:21">
      <c r="A7" s="89"/>
      <c r="B7" s="42"/>
      <c r="C7" s="42"/>
      <c r="D7" s="42"/>
      <c r="E7" s="42"/>
      <c r="F7" s="42"/>
      <c r="G7" s="42"/>
      <c r="H7" s="42"/>
      <c r="I7" s="42"/>
      <c r="J7" s="42"/>
      <c r="K7" s="42"/>
      <c r="L7" s="43"/>
      <c r="M7" s="43"/>
      <c r="N7" s="42"/>
      <c r="O7" s="184"/>
      <c r="P7" s="184"/>
      <c r="Q7" s="62"/>
      <c r="R7" s="62"/>
      <c r="S7" s="62"/>
      <c r="T7" s="62"/>
      <c r="U7" s="62"/>
    </row>
    <row r="8" spans="1:21">
      <c r="A8" s="89" t="s">
        <v>1615</v>
      </c>
      <c r="B8" s="42" t="s">
        <v>1624</v>
      </c>
      <c r="C8" s="42" t="s">
        <v>24</v>
      </c>
      <c r="D8" s="42" t="s">
        <v>16</v>
      </c>
      <c r="E8" s="42" t="s">
        <v>1168</v>
      </c>
      <c r="F8" s="42">
        <v>0</v>
      </c>
      <c r="G8" s="42"/>
      <c r="H8" s="42">
        <v>4960</v>
      </c>
      <c r="I8" s="42">
        <v>100</v>
      </c>
      <c r="J8" s="42"/>
      <c r="K8" s="42">
        <f t="shared" ref="K8" si="0">I8*J8</f>
        <v>0</v>
      </c>
      <c r="L8" s="43">
        <f t="shared" ref="L8" si="1">H8-K8</f>
        <v>4960</v>
      </c>
      <c r="M8" s="43"/>
      <c r="N8" s="43">
        <f t="shared" ref="N8" si="2">L8-M8</f>
        <v>4960</v>
      </c>
      <c r="O8" s="43">
        <f t="shared" ref="O8" si="3">H8/1000*70</f>
        <v>347.2</v>
      </c>
      <c r="P8" s="42">
        <v>0</v>
      </c>
      <c r="Q8" s="42">
        <v>41</v>
      </c>
      <c r="R8" s="42">
        <f t="shared" ref="R8" si="4">L8*Q8</f>
        <v>203360</v>
      </c>
      <c r="S8" s="62"/>
      <c r="T8" s="62"/>
      <c r="U8" s="62"/>
    </row>
    <row r="9" spans="1:21">
      <c r="A9" s="63"/>
      <c r="B9" s="184"/>
      <c r="C9" s="183"/>
      <c r="D9" s="184"/>
      <c r="E9" s="184"/>
      <c r="F9" s="184"/>
      <c r="G9" s="184"/>
      <c r="H9" s="184"/>
      <c r="I9" s="184"/>
      <c r="J9" s="184"/>
      <c r="K9" s="61"/>
      <c r="L9" s="65"/>
      <c r="M9" s="61"/>
      <c r="N9" s="184"/>
      <c r="O9" s="184"/>
      <c r="P9" s="184"/>
      <c r="Q9" s="62"/>
      <c r="R9" s="62"/>
      <c r="S9" s="62"/>
      <c r="T9" s="62"/>
      <c r="U9" s="62"/>
    </row>
    <row r="10" spans="1:21">
      <c r="A10" s="62"/>
      <c r="B10" s="62"/>
      <c r="C10" s="62"/>
      <c r="D10" s="62"/>
      <c r="E10" s="62"/>
      <c r="F10" s="62"/>
      <c r="G10" s="62"/>
      <c r="H10" s="62"/>
      <c r="I10" s="62"/>
      <c r="J10" s="62"/>
      <c r="K10" s="62"/>
      <c r="L10" s="66"/>
      <c r="M10" s="62"/>
      <c r="N10" s="62"/>
      <c r="O10" s="62"/>
      <c r="P10" s="184"/>
      <c r="Q10" s="62"/>
      <c r="R10" s="62"/>
      <c r="S10" s="62"/>
      <c r="T10" s="62"/>
      <c r="U10" s="62"/>
    </row>
    <row r="11" spans="1:21">
      <c r="A11" s="62"/>
      <c r="B11" s="67"/>
      <c r="C11" s="67"/>
      <c r="D11" s="67"/>
      <c r="E11" s="67"/>
      <c r="F11" s="67"/>
      <c r="G11" s="67"/>
      <c r="H11" s="67"/>
      <c r="I11" s="67"/>
      <c r="J11" s="67"/>
      <c r="K11" s="67"/>
      <c r="L11" s="68"/>
      <c r="M11" s="68"/>
      <c r="N11" s="67"/>
      <c r="O11" s="67"/>
      <c r="P11" s="184"/>
      <c r="Q11" s="62"/>
      <c r="R11" s="62"/>
      <c r="S11" s="62"/>
      <c r="T11" s="62"/>
      <c r="U11" s="62"/>
    </row>
    <row r="12" spans="1:21">
      <c r="A12" s="62"/>
      <c r="B12" s="67"/>
      <c r="C12" s="67"/>
      <c r="D12" s="67"/>
      <c r="E12" s="67"/>
      <c r="F12" s="67"/>
      <c r="G12" s="67"/>
      <c r="H12" s="67"/>
      <c r="I12" s="67"/>
      <c r="J12" s="67"/>
      <c r="K12" s="67"/>
      <c r="L12" s="68"/>
      <c r="M12" s="68"/>
      <c r="N12" s="67"/>
      <c r="O12" s="67"/>
      <c r="P12" s="67"/>
      <c r="Q12" s="62"/>
      <c r="R12" s="62"/>
      <c r="S12" s="62"/>
      <c r="T12" s="62"/>
      <c r="U12" s="62"/>
    </row>
    <row r="13" spans="1:21">
      <c r="A13" s="62"/>
      <c r="B13" s="67"/>
      <c r="C13" s="67"/>
      <c r="D13" s="67"/>
      <c r="E13" s="67"/>
      <c r="F13" s="67"/>
      <c r="G13" s="67"/>
      <c r="H13" s="67"/>
      <c r="I13" s="67"/>
      <c r="J13" s="67"/>
      <c r="K13" s="68"/>
      <c r="L13" s="68"/>
      <c r="M13" s="68"/>
      <c r="N13" s="67"/>
      <c r="O13" s="67"/>
      <c r="P13" s="67"/>
      <c r="Q13" s="62"/>
      <c r="R13" s="62"/>
      <c r="S13" s="62"/>
      <c r="T13" s="62"/>
      <c r="U13" s="62"/>
    </row>
    <row r="14" spans="1:21">
      <c r="A14" s="21"/>
      <c r="B14" s="67"/>
      <c r="C14" s="67"/>
      <c r="D14" s="67"/>
      <c r="E14" s="67"/>
      <c r="F14" s="67"/>
      <c r="G14" s="67"/>
      <c r="H14" s="67"/>
      <c r="I14" s="67"/>
      <c r="J14" s="67"/>
      <c r="K14" s="67"/>
      <c r="L14" s="68"/>
      <c r="M14" s="68"/>
      <c r="N14" s="67"/>
      <c r="O14" s="67"/>
      <c r="P14" s="67"/>
      <c r="Q14" s="62"/>
      <c r="R14" s="62"/>
      <c r="S14" s="62"/>
      <c r="T14" s="62"/>
      <c r="U14" s="62"/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5:U14"/>
  <sheetViews>
    <sheetView workbookViewId="0">
      <selection activeCell="B10" sqref="B10"/>
    </sheetView>
  </sheetViews>
  <sheetFormatPr defaultRowHeight="14.4"/>
  <cols>
    <col min="1" max="1" width="8.88671875" style="1"/>
    <col min="2" max="2" width="16.44140625" style="1" customWidth="1"/>
    <col min="3" max="3" width="10.77734375" style="1" customWidth="1"/>
    <col min="4" max="4" width="5.5546875" style="1" customWidth="1"/>
    <col min="5" max="5" width="8.88671875" style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3.4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3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676</v>
      </c>
      <c r="M5" s="95" t="s">
        <v>677</v>
      </c>
      <c r="N5" s="3" t="s">
        <v>11</v>
      </c>
      <c r="O5" s="3" t="s">
        <v>36</v>
      </c>
      <c r="P5" s="3" t="s">
        <v>12</v>
      </c>
      <c r="Q5" s="3" t="s">
        <v>256</v>
      </c>
      <c r="R5" s="3" t="s">
        <v>257</v>
      </c>
      <c r="S5" s="3" t="s">
        <v>2</v>
      </c>
      <c r="T5" s="15"/>
    </row>
    <row r="6" spans="1:21">
      <c r="A6" s="69"/>
      <c r="B6" s="196"/>
      <c r="C6" s="196"/>
      <c r="D6" s="196"/>
      <c r="E6" s="196"/>
      <c r="F6" s="196"/>
      <c r="G6" s="196"/>
      <c r="H6" s="196"/>
      <c r="I6" s="196"/>
      <c r="J6" s="196"/>
      <c r="K6" s="196"/>
      <c r="L6" s="61"/>
      <c r="M6" s="61"/>
      <c r="N6" s="196"/>
      <c r="O6" s="62"/>
      <c r="P6" s="62"/>
      <c r="Q6" s="62"/>
      <c r="R6" s="62"/>
      <c r="S6" s="62"/>
      <c r="T6" s="62"/>
      <c r="U6" s="62"/>
    </row>
    <row r="7" spans="1:21">
      <c r="A7" s="89"/>
      <c r="B7" s="42"/>
      <c r="C7" s="42"/>
      <c r="D7" s="42"/>
      <c r="E7" s="42"/>
      <c r="F7" s="42"/>
      <c r="G7" s="42"/>
      <c r="H7" s="42"/>
      <c r="I7" s="42"/>
      <c r="J7" s="42"/>
      <c r="K7" s="42"/>
      <c r="L7" s="43"/>
      <c r="M7" s="43"/>
      <c r="N7" s="42"/>
      <c r="O7" s="196"/>
      <c r="P7" s="196"/>
      <c r="Q7" s="62"/>
      <c r="R7" s="62"/>
      <c r="S7" s="62"/>
      <c r="T7" s="62"/>
      <c r="U7" s="62"/>
    </row>
    <row r="8" spans="1:21">
      <c r="A8" s="89" t="s">
        <v>1672</v>
      </c>
      <c r="B8" s="42" t="s">
        <v>1676</v>
      </c>
      <c r="C8" s="42" t="s">
        <v>24</v>
      </c>
      <c r="D8" s="42" t="s">
        <v>16</v>
      </c>
      <c r="E8" s="42" t="s">
        <v>1677</v>
      </c>
      <c r="F8" s="42">
        <v>130</v>
      </c>
      <c r="G8" s="42"/>
      <c r="H8" s="42">
        <v>12500</v>
      </c>
      <c r="I8" s="42">
        <v>250</v>
      </c>
      <c r="J8" s="42">
        <v>0.13</v>
      </c>
      <c r="K8" s="42">
        <v>33</v>
      </c>
      <c r="L8" s="43">
        <f t="shared" ref="L8" si="0">H8-K8</f>
        <v>12467</v>
      </c>
      <c r="M8" s="43"/>
      <c r="N8" s="43">
        <f t="shared" ref="N8" si="1">L8-M8</f>
        <v>12467</v>
      </c>
      <c r="O8" s="43">
        <f t="shared" ref="O8" si="2">H8/1000*70</f>
        <v>875</v>
      </c>
      <c r="P8" s="197">
        <v>10500</v>
      </c>
      <c r="Q8" s="197"/>
      <c r="R8" s="42">
        <f t="shared" ref="R8" si="3">L8*Q8</f>
        <v>0</v>
      </c>
      <c r="S8" s="62"/>
      <c r="T8" s="62"/>
      <c r="U8" s="62"/>
    </row>
    <row r="9" spans="1:21">
      <c r="A9" s="63"/>
      <c r="B9" s="196"/>
      <c r="C9" s="195"/>
      <c r="D9" s="196"/>
      <c r="E9" s="196"/>
      <c r="F9" s="196"/>
      <c r="G9" s="196"/>
      <c r="H9" s="196"/>
      <c r="I9" s="196"/>
      <c r="J9" s="196"/>
      <c r="K9" s="61"/>
      <c r="L9" s="65"/>
      <c r="M9" s="61"/>
      <c r="N9" s="196"/>
      <c r="O9" s="196"/>
      <c r="P9" s="196"/>
      <c r="Q9" s="62"/>
      <c r="R9" s="62"/>
      <c r="S9" s="62"/>
      <c r="T9" s="62"/>
      <c r="U9" s="62"/>
    </row>
    <row r="10" spans="1:21">
      <c r="A10" s="62"/>
      <c r="B10" s="62"/>
      <c r="C10" s="62"/>
      <c r="D10" s="62"/>
      <c r="E10" s="62"/>
      <c r="F10" s="62"/>
      <c r="G10" s="62"/>
      <c r="H10" s="62"/>
      <c r="I10" s="62"/>
      <c r="J10" s="62"/>
      <c r="K10" s="62"/>
      <c r="L10" s="66"/>
      <c r="M10" s="62"/>
      <c r="N10" s="62"/>
      <c r="O10" s="62"/>
      <c r="P10" s="196"/>
      <c r="Q10" s="62"/>
      <c r="R10" s="62"/>
      <c r="S10" s="62"/>
      <c r="T10" s="62"/>
      <c r="U10" s="62"/>
    </row>
    <row r="11" spans="1:21">
      <c r="A11" s="62"/>
      <c r="B11" s="67"/>
      <c r="C11" s="67"/>
      <c r="D11" s="67"/>
      <c r="E11" s="67"/>
      <c r="F11" s="67"/>
      <c r="G11" s="67"/>
      <c r="H11" s="67"/>
      <c r="I11" s="67"/>
      <c r="J11" s="67"/>
      <c r="K11" s="67"/>
      <c r="L11" s="68"/>
      <c r="M11" s="68"/>
      <c r="N11" s="67"/>
      <c r="O11" s="67"/>
      <c r="P11" s="196"/>
      <c r="Q11" s="62"/>
      <c r="R11" s="62"/>
      <c r="S11" s="62"/>
      <c r="T11" s="62"/>
      <c r="U11" s="62"/>
    </row>
    <row r="12" spans="1:21">
      <c r="A12" s="62"/>
      <c r="B12" s="67"/>
      <c r="C12" s="67"/>
      <c r="D12" s="67"/>
      <c r="E12" s="67"/>
      <c r="F12" s="67"/>
      <c r="G12" s="67"/>
      <c r="H12" s="67"/>
      <c r="I12" s="67"/>
      <c r="J12" s="67"/>
      <c r="K12" s="67"/>
      <c r="L12" s="68"/>
      <c r="M12" s="68"/>
      <c r="N12" s="67"/>
      <c r="O12" s="67"/>
      <c r="P12" s="67"/>
      <c r="Q12" s="62"/>
      <c r="R12" s="62"/>
      <c r="S12" s="62"/>
      <c r="T12" s="62"/>
      <c r="U12" s="62"/>
    </row>
    <row r="13" spans="1:21">
      <c r="A13" s="62"/>
      <c r="B13" s="67"/>
      <c r="C13" s="67"/>
      <c r="D13" s="67"/>
      <c r="E13" s="67"/>
      <c r="F13" s="67"/>
      <c r="G13" s="67"/>
      <c r="H13" s="67"/>
      <c r="I13" s="67"/>
      <c r="J13" s="67"/>
      <c r="K13" s="68"/>
      <c r="L13" s="68"/>
      <c r="M13" s="68"/>
      <c r="N13" s="67"/>
      <c r="O13" s="67"/>
      <c r="P13" s="67"/>
      <c r="Q13" s="62"/>
      <c r="R13" s="62"/>
      <c r="S13" s="62"/>
      <c r="T13" s="62"/>
      <c r="U13" s="62"/>
    </row>
    <row r="14" spans="1:21">
      <c r="A14" s="21"/>
      <c r="B14" s="67"/>
      <c r="C14" s="67"/>
      <c r="D14" s="67"/>
      <c r="E14" s="67"/>
      <c r="F14" s="67"/>
      <c r="G14" s="67"/>
      <c r="H14" s="67"/>
      <c r="I14" s="67"/>
      <c r="J14" s="67"/>
      <c r="K14" s="67"/>
      <c r="L14" s="68"/>
      <c r="M14" s="68"/>
      <c r="N14" s="67"/>
      <c r="O14" s="67"/>
      <c r="P14" s="67"/>
      <c r="Q14" s="62"/>
      <c r="R14" s="62"/>
      <c r="S14" s="62"/>
      <c r="T14" s="62"/>
      <c r="U14" s="62"/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5:U14"/>
  <sheetViews>
    <sheetView workbookViewId="0">
      <selection activeCell="B16" sqref="B16"/>
    </sheetView>
  </sheetViews>
  <sheetFormatPr defaultRowHeight="14.4"/>
  <cols>
    <col min="1" max="1" width="8.88671875" style="1"/>
    <col min="2" max="2" width="16.44140625" style="1" customWidth="1"/>
    <col min="3" max="3" width="10.77734375" style="1" customWidth="1"/>
    <col min="4" max="4" width="5.5546875" style="1" customWidth="1"/>
    <col min="5" max="5" width="8.88671875" style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3.4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3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676</v>
      </c>
      <c r="M5" s="95" t="s">
        <v>677</v>
      </c>
      <c r="N5" s="3" t="s">
        <v>11</v>
      </c>
      <c r="O5" s="3" t="s">
        <v>36</v>
      </c>
      <c r="P5" s="3" t="s">
        <v>12</v>
      </c>
      <c r="Q5" s="3" t="s">
        <v>256</v>
      </c>
      <c r="R5" s="3" t="s">
        <v>257</v>
      </c>
      <c r="S5" s="3" t="s">
        <v>2</v>
      </c>
      <c r="T5" s="15"/>
    </row>
    <row r="6" spans="1:21">
      <c r="A6" s="69"/>
      <c r="B6" s="223"/>
      <c r="C6" s="223"/>
      <c r="D6" s="223"/>
      <c r="E6" s="223"/>
      <c r="F6" s="223"/>
      <c r="G6" s="223"/>
      <c r="H6" s="223"/>
      <c r="I6" s="223"/>
      <c r="J6" s="223"/>
      <c r="K6" s="223"/>
      <c r="L6" s="61"/>
      <c r="M6" s="61"/>
      <c r="N6" s="223"/>
      <c r="O6" s="62"/>
      <c r="P6" s="62"/>
      <c r="Q6" s="62"/>
      <c r="R6" s="62"/>
      <c r="S6" s="62"/>
      <c r="T6" s="62"/>
      <c r="U6" s="62"/>
    </row>
    <row r="7" spans="1:21">
      <c r="A7" s="89"/>
      <c r="B7" s="42"/>
      <c r="C7" s="42"/>
      <c r="D7" s="42"/>
      <c r="E7" s="42"/>
      <c r="F7" s="42"/>
      <c r="G7" s="42"/>
      <c r="H7" s="42"/>
      <c r="I7" s="42"/>
      <c r="J7" s="42"/>
      <c r="K7" s="42"/>
      <c r="L7" s="43"/>
      <c r="M7" s="43"/>
      <c r="N7" s="42"/>
      <c r="O7" s="223"/>
      <c r="P7" s="223"/>
      <c r="Q7" s="62"/>
      <c r="R7" s="62"/>
      <c r="S7" s="62"/>
      <c r="T7" s="62"/>
      <c r="U7" s="62"/>
    </row>
    <row r="8" spans="1:21">
      <c r="A8" s="389" t="s">
        <v>1817</v>
      </c>
      <c r="B8" s="42" t="s">
        <v>1819</v>
      </c>
      <c r="C8" s="42" t="s">
        <v>24</v>
      </c>
      <c r="D8" s="42" t="s">
        <v>16</v>
      </c>
      <c r="E8" s="42" t="s">
        <v>1820</v>
      </c>
      <c r="F8" s="42">
        <v>97</v>
      </c>
      <c r="G8" s="42"/>
      <c r="H8" s="42">
        <v>15000</v>
      </c>
      <c r="I8" s="42">
        <v>300</v>
      </c>
      <c r="J8" s="42">
        <v>0.13</v>
      </c>
      <c r="K8" s="42">
        <f t="shared" ref="K8:K13" si="0">I8*J8</f>
        <v>39</v>
      </c>
      <c r="L8" s="43">
        <f t="shared" ref="L8:L13" si="1">H8-K8</f>
        <v>14961</v>
      </c>
      <c r="M8" s="43">
        <f>L8*3.5%</f>
        <v>523.6350000000001</v>
      </c>
      <c r="N8" s="43">
        <f t="shared" ref="N8:N13" si="2">L8-M8</f>
        <v>14437.365</v>
      </c>
      <c r="O8" s="43">
        <f t="shared" ref="O8:O13" si="3">H8/1000*70</f>
        <v>1050</v>
      </c>
      <c r="P8" s="224">
        <v>10000</v>
      </c>
      <c r="Q8" s="224">
        <v>37.700000000000003</v>
      </c>
      <c r="R8" s="42">
        <f t="shared" ref="R8:R13" si="4">L8*Q8</f>
        <v>564029.70000000007</v>
      </c>
      <c r="S8" s="62"/>
      <c r="T8" s="62"/>
      <c r="U8" s="62"/>
    </row>
    <row r="9" spans="1:21">
      <c r="A9" s="389"/>
      <c r="B9" s="42" t="s">
        <v>1819</v>
      </c>
      <c r="C9" s="42" t="s">
        <v>24</v>
      </c>
      <c r="D9" s="42" t="s">
        <v>16</v>
      </c>
      <c r="E9" s="42" t="s">
        <v>1821</v>
      </c>
      <c r="F9" s="42">
        <v>96</v>
      </c>
      <c r="G9" s="42"/>
      <c r="H9" s="42">
        <v>14980</v>
      </c>
      <c r="I9" s="42">
        <v>300</v>
      </c>
      <c r="J9" s="42">
        <v>0.13</v>
      </c>
      <c r="K9" s="42">
        <f t="shared" si="0"/>
        <v>39</v>
      </c>
      <c r="L9" s="43">
        <f t="shared" si="1"/>
        <v>14941</v>
      </c>
      <c r="M9" s="43">
        <f t="shared" ref="M9:M13" si="5">L9*3.5%</f>
        <v>522.93500000000006</v>
      </c>
      <c r="N9" s="43">
        <f t="shared" si="2"/>
        <v>14418.065000000001</v>
      </c>
      <c r="O9" s="43">
        <f t="shared" si="3"/>
        <v>1048.6000000000001</v>
      </c>
      <c r="P9" s="224">
        <v>10000</v>
      </c>
      <c r="Q9" s="224">
        <v>37.700000000000003</v>
      </c>
      <c r="R9" s="42">
        <f t="shared" si="4"/>
        <v>563275.70000000007</v>
      </c>
      <c r="S9" s="62"/>
      <c r="T9" s="62"/>
      <c r="U9" s="62"/>
    </row>
    <row r="10" spans="1:21">
      <c r="A10" s="389"/>
      <c r="B10" s="42" t="s">
        <v>1819</v>
      </c>
      <c r="C10" s="42" t="s">
        <v>24</v>
      </c>
      <c r="D10" s="42" t="s">
        <v>16</v>
      </c>
      <c r="E10" s="42" t="s">
        <v>1822</v>
      </c>
      <c r="F10" s="42">
        <v>98</v>
      </c>
      <c r="G10" s="42"/>
      <c r="H10" s="42">
        <v>14990</v>
      </c>
      <c r="I10" s="42">
        <v>300</v>
      </c>
      <c r="J10" s="42">
        <v>0.13</v>
      </c>
      <c r="K10" s="42">
        <f t="shared" si="0"/>
        <v>39</v>
      </c>
      <c r="L10" s="43">
        <f t="shared" si="1"/>
        <v>14951</v>
      </c>
      <c r="M10" s="43">
        <f t="shared" si="5"/>
        <v>523.28500000000008</v>
      </c>
      <c r="N10" s="43">
        <f t="shared" si="2"/>
        <v>14427.715</v>
      </c>
      <c r="O10" s="43">
        <f t="shared" si="3"/>
        <v>1049.3</v>
      </c>
      <c r="P10" s="224">
        <v>10000</v>
      </c>
      <c r="Q10" s="224">
        <v>37.700000000000003</v>
      </c>
      <c r="R10" s="42">
        <f t="shared" si="4"/>
        <v>563652.70000000007</v>
      </c>
      <c r="S10" s="62"/>
      <c r="T10" s="62"/>
      <c r="U10" s="62"/>
    </row>
    <row r="11" spans="1:21">
      <c r="A11" s="389"/>
      <c r="B11" s="42" t="s">
        <v>1819</v>
      </c>
      <c r="C11" s="42" t="s">
        <v>24</v>
      </c>
      <c r="D11" s="42" t="s">
        <v>16</v>
      </c>
      <c r="E11" s="42" t="s">
        <v>1250</v>
      </c>
      <c r="F11" s="42">
        <v>95</v>
      </c>
      <c r="G11" s="42"/>
      <c r="H11" s="42">
        <v>15000</v>
      </c>
      <c r="I11" s="42">
        <v>300</v>
      </c>
      <c r="J11" s="42">
        <v>0.13</v>
      </c>
      <c r="K11" s="42">
        <f t="shared" si="0"/>
        <v>39</v>
      </c>
      <c r="L11" s="43">
        <f t="shared" si="1"/>
        <v>14961</v>
      </c>
      <c r="M11" s="43">
        <f t="shared" si="5"/>
        <v>523.6350000000001</v>
      </c>
      <c r="N11" s="43">
        <f t="shared" si="2"/>
        <v>14437.365</v>
      </c>
      <c r="O11" s="43">
        <f t="shared" si="3"/>
        <v>1050</v>
      </c>
      <c r="P11" s="224">
        <v>10000</v>
      </c>
      <c r="Q11" s="224">
        <v>37.700000000000003</v>
      </c>
      <c r="R11" s="42">
        <f t="shared" si="4"/>
        <v>564029.70000000007</v>
      </c>
      <c r="S11" s="62"/>
      <c r="T11" s="62"/>
      <c r="U11" s="62"/>
    </row>
    <row r="12" spans="1:21">
      <c r="A12" s="389"/>
      <c r="B12" s="42" t="s">
        <v>1819</v>
      </c>
      <c r="C12" s="42" t="s">
        <v>24</v>
      </c>
      <c r="D12" s="42" t="s">
        <v>16</v>
      </c>
      <c r="E12" s="42" t="s">
        <v>1823</v>
      </c>
      <c r="F12" s="42">
        <v>94</v>
      </c>
      <c r="G12" s="42"/>
      <c r="H12" s="42">
        <v>15000</v>
      </c>
      <c r="I12" s="42">
        <v>300</v>
      </c>
      <c r="J12" s="42">
        <v>0.13</v>
      </c>
      <c r="K12" s="42">
        <f t="shared" si="0"/>
        <v>39</v>
      </c>
      <c r="L12" s="43">
        <f t="shared" si="1"/>
        <v>14961</v>
      </c>
      <c r="M12" s="43">
        <f t="shared" si="5"/>
        <v>523.6350000000001</v>
      </c>
      <c r="N12" s="43">
        <f t="shared" si="2"/>
        <v>14437.365</v>
      </c>
      <c r="O12" s="43">
        <f t="shared" si="3"/>
        <v>1050</v>
      </c>
      <c r="P12" s="224">
        <v>10000</v>
      </c>
      <c r="Q12" s="224">
        <v>37.700000000000003</v>
      </c>
      <c r="R12" s="42">
        <f t="shared" si="4"/>
        <v>564029.70000000007</v>
      </c>
      <c r="S12" s="62"/>
      <c r="T12" s="62"/>
      <c r="U12" s="62"/>
    </row>
    <row r="13" spans="1:21">
      <c r="A13" s="389"/>
      <c r="B13" s="42" t="s">
        <v>1819</v>
      </c>
      <c r="C13" s="42" t="s">
        <v>24</v>
      </c>
      <c r="D13" s="42" t="s">
        <v>16</v>
      </c>
      <c r="E13" s="42" t="s">
        <v>1824</v>
      </c>
      <c r="F13" s="42">
        <v>93</v>
      </c>
      <c r="G13" s="42"/>
      <c r="H13" s="42">
        <v>14990</v>
      </c>
      <c r="I13" s="42">
        <v>300</v>
      </c>
      <c r="J13" s="42">
        <v>0.13</v>
      </c>
      <c r="K13" s="42">
        <f t="shared" si="0"/>
        <v>39</v>
      </c>
      <c r="L13" s="43">
        <f t="shared" si="1"/>
        <v>14951</v>
      </c>
      <c r="M13" s="43">
        <f t="shared" si="5"/>
        <v>523.28500000000008</v>
      </c>
      <c r="N13" s="43">
        <f t="shared" si="2"/>
        <v>14427.715</v>
      </c>
      <c r="O13" s="43">
        <f t="shared" si="3"/>
        <v>1049.3</v>
      </c>
      <c r="P13" s="224">
        <v>10000</v>
      </c>
      <c r="Q13" s="224">
        <v>37.700000000000003</v>
      </c>
      <c r="R13" s="42">
        <f t="shared" si="4"/>
        <v>563652.70000000007</v>
      </c>
      <c r="S13" s="62"/>
      <c r="T13" s="62"/>
      <c r="U13" s="62"/>
    </row>
    <row r="14" spans="1:21">
      <c r="A14" s="21"/>
      <c r="B14" s="67"/>
      <c r="C14" s="67"/>
      <c r="D14" s="67"/>
      <c r="E14" s="67"/>
      <c r="F14" s="67"/>
      <c r="G14" s="67"/>
      <c r="H14" s="67"/>
      <c r="I14" s="67"/>
      <c r="J14" s="67"/>
      <c r="K14" s="67"/>
      <c r="L14" s="68"/>
      <c r="M14" s="68"/>
      <c r="N14" s="67"/>
      <c r="O14" s="67"/>
      <c r="P14" s="67"/>
      <c r="Q14" s="62"/>
      <c r="R14" s="62"/>
      <c r="S14" s="62"/>
      <c r="T14" s="62"/>
      <c r="U14" s="62"/>
    </row>
  </sheetData>
  <mergeCells count="1">
    <mergeCell ref="A8:A13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5:U19"/>
  <sheetViews>
    <sheetView workbookViewId="0">
      <selection activeCell="B21" sqref="B21"/>
    </sheetView>
  </sheetViews>
  <sheetFormatPr defaultRowHeight="14.4"/>
  <cols>
    <col min="1" max="1" width="8.88671875" style="1"/>
    <col min="2" max="2" width="16.44140625" style="1" customWidth="1"/>
    <col min="3" max="3" width="10.77734375" style="1" customWidth="1"/>
    <col min="4" max="4" width="5.5546875" style="1" customWidth="1"/>
    <col min="5" max="5" width="8.88671875" style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3.4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3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676</v>
      </c>
      <c r="M5" s="95" t="s">
        <v>677</v>
      </c>
      <c r="N5" s="3" t="s">
        <v>11</v>
      </c>
      <c r="O5" s="3" t="s">
        <v>36</v>
      </c>
      <c r="P5" s="3" t="s">
        <v>12</v>
      </c>
      <c r="Q5" s="3" t="s">
        <v>256</v>
      </c>
      <c r="R5" s="3" t="s">
        <v>257</v>
      </c>
      <c r="S5" s="3" t="s">
        <v>2</v>
      </c>
      <c r="T5" s="15"/>
    </row>
    <row r="6" spans="1:21">
      <c r="A6" s="69"/>
      <c r="B6" s="242"/>
      <c r="C6" s="242"/>
      <c r="D6" s="242"/>
      <c r="E6" s="242"/>
      <c r="F6" s="242"/>
      <c r="G6" s="242"/>
      <c r="H6" s="242"/>
      <c r="I6" s="242"/>
      <c r="J6" s="242"/>
      <c r="K6" s="242"/>
      <c r="L6" s="61"/>
      <c r="M6" s="61"/>
      <c r="N6" s="242"/>
      <c r="O6" s="62"/>
      <c r="P6" s="62"/>
      <c r="Q6" s="62"/>
      <c r="R6" s="62"/>
      <c r="S6" s="62"/>
      <c r="T6" s="62"/>
      <c r="U6" s="62"/>
    </row>
    <row r="7" spans="1:21">
      <c r="A7" s="389" t="s">
        <v>2013</v>
      </c>
      <c r="B7" s="243" t="s">
        <v>2014</v>
      </c>
      <c r="C7" s="42" t="s">
        <v>24</v>
      </c>
      <c r="D7" s="243" t="s">
        <v>16</v>
      </c>
      <c r="E7" s="243" t="s">
        <v>2015</v>
      </c>
      <c r="F7" s="243">
        <v>200</v>
      </c>
      <c r="G7" s="243"/>
      <c r="H7" s="243">
        <v>15000</v>
      </c>
      <c r="I7" s="243">
        <v>250</v>
      </c>
      <c r="J7" s="243">
        <v>0.13</v>
      </c>
      <c r="K7" s="5">
        <f t="shared" ref="K7:K13" si="0">I7*J7</f>
        <v>32.5</v>
      </c>
      <c r="L7" s="19">
        <f t="shared" ref="L7:L13" si="1">H7-K7</f>
        <v>14967.5</v>
      </c>
      <c r="M7" s="19"/>
      <c r="N7" s="43">
        <f t="shared" ref="N7:N13" si="2">L7-M7</f>
        <v>14967.5</v>
      </c>
      <c r="O7" s="5">
        <f t="shared" ref="O7:O13" si="3">H7/1000*70</f>
        <v>1050</v>
      </c>
      <c r="P7" s="243">
        <v>9500</v>
      </c>
      <c r="Q7" s="243">
        <v>37.4</v>
      </c>
      <c r="R7" s="243">
        <f t="shared" ref="R7:R13" si="4">L7*Q7</f>
        <v>559784.5</v>
      </c>
      <c r="S7" s="62"/>
      <c r="T7" s="62"/>
      <c r="U7" s="62"/>
    </row>
    <row r="8" spans="1:21">
      <c r="A8" s="389"/>
      <c r="B8" s="243" t="s">
        <v>2014</v>
      </c>
      <c r="C8" s="42" t="s">
        <v>24</v>
      </c>
      <c r="D8" s="243" t="s">
        <v>16</v>
      </c>
      <c r="E8" s="243" t="s">
        <v>2016</v>
      </c>
      <c r="F8" s="243">
        <v>198</v>
      </c>
      <c r="G8" s="243"/>
      <c r="H8" s="243">
        <v>14970</v>
      </c>
      <c r="I8" s="243">
        <v>250</v>
      </c>
      <c r="J8" s="243">
        <v>0.13</v>
      </c>
      <c r="K8" s="5">
        <f t="shared" si="0"/>
        <v>32.5</v>
      </c>
      <c r="L8" s="19">
        <f t="shared" si="1"/>
        <v>14937.5</v>
      </c>
      <c r="M8" s="19"/>
      <c r="N8" s="43">
        <f t="shared" si="2"/>
        <v>14937.5</v>
      </c>
      <c r="O8" s="5">
        <f t="shared" si="3"/>
        <v>1047.9000000000001</v>
      </c>
      <c r="P8" s="243">
        <v>9500</v>
      </c>
      <c r="Q8" s="243">
        <v>37.4</v>
      </c>
      <c r="R8" s="243">
        <f t="shared" si="4"/>
        <v>558662.5</v>
      </c>
      <c r="S8" s="62"/>
      <c r="T8" s="62"/>
      <c r="U8" s="62"/>
    </row>
    <row r="9" spans="1:21">
      <c r="A9" s="389"/>
      <c r="B9" s="243" t="s">
        <v>2014</v>
      </c>
      <c r="C9" s="42" t="s">
        <v>24</v>
      </c>
      <c r="D9" s="243" t="s">
        <v>16</v>
      </c>
      <c r="E9" s="243" t="s">
        <v>2017</v>
      </c>
      <c r="F9" s="243">
        <v>199</v>
      </c>
      <c r="G9" s="243"/>
      <c r="H9" s="243">
        <v>15000</v>
      </c>
      <c r="I9" s="243">
        <v>250</v>
      </c>
      <c r="J9" s="243">
        <v>0.13</v>
      </c>
      <c r="K9" s="5">
        <f t="shared" si="0"/>
        <v>32.5</v>
      </c>
      <c r="L9" s="19">
        <f t="shared" si="1"/>
        <v>14967.5</v>
      </c>
      <c r="M9" s="19"/>
      <c r="N9" s="43">
        <f t="shared" si="2"/>
        <v>14967.5</v>
      </c>
      <c r="O9" s="5">
        <f t="shared" si="3"/>
        <v>1050</v>
      </c>
      <c r="P9" s="243">
        <v>9500</v>
      </c>
      <c r="Q9" s="243">
        <v>37.4</v>
      </c>
      <c r="R9" s="243">
        <f t="shared" si="4"/>
        <v>559784.5</v>
      </c>
      <c r="S9" s="62"/>
      <c r="T9" s="62"/>
      <c r="U9" s="62"/>
    </row>
    <row r="10" spans="1:21">
      <c r="A10" s="389" t="s">
        <v>2022</v>
      </c>
      <c r="B10" s="244" t="s">
        <v>2021</v>
      </c>
      <c r="C10" s="42" t="s">
        <v>24</v>
      </c>
      <c r="D10" s="244" t="s">
        <v>16</v>
      </c>
      <c r="E10" s="244" t="s">
        <v>59</v>
      </c>
      <c r="F10" s="244">
        <v>203</v>
      </c>
      <c r="G10" s="244"/>
      <c r="H10" s="244">
        <v>14990</v>
      </c>
      <c r="I10" s="244">
        <v>300</v>
      </c>
      <c r="J10" s="244">
        <v>0.13</v>
      </c>
      <c r="K10" s="5">
        <f t="shared" si="0"/>
        <v>39</v>
      </c>
      <c r="L10" s="19">
        <f t="shared" si="1"/>
        <v>14951</v>
      </c>
      <c r="M10" s="19"/>
      <c r="N10" s="43">
        <f t="shared" si="2"/>
        <v>14951</v>
      </c>
      <c r="O10" s="5">
        <f t="shared" si="3"/>
        <v>1049.3</v>
      </c>
      <c r="P10" s="244">
        <v>9500</v>
      </c>
      <c r="Q10" s="244">
        <v>37.4</v>
      </c>
      <c r="R10" s="244">
        <f t="shared" si="4"/>
        <v>559167.4</v>
      </c>
      <c r="S10" s="62"/>
      <c r="T10" s="62"/>
      <c r="U10" s="62"/>
    </row>
    <row r="11" spans="1:21">
      <c r="A11" s="389"/>
      <c r="B11" s="244" t="s">
        <v>2021</v>
      </c>
      <c r="C11" s="42" t="s">
        <v>24</v>
      </c>
      <c r="D11" s="244" t="s">
        <v>16</v>
      </c>
      <c r="E11" s="244" t="s">
        <v>2023</v>
      </c>
      <c r="F11" s="244">
        <v>209</v>
      </c>
      <c r="G11" s="244"/>
      <c r="H11" s="244">
        <v>14970</v>
      </c>
      <c r="I11" s="244">
        <v>300</v>
      </c>
      <c r="J11" s="244">
        <v>0.13</v>
      </c>
      <c r="K11" s="5">
        <f t="shared" si="0"/>
        <v>39</v>
      </c>
      <c r="L11" s="19">
        <f t="shared" si="1"/>
        <v>14931</v>
      </c>
      <c r="M11" s="19"/>
      <c r="N11" s="43">
        <f t="shared" si="2"/>
        <v>14931</v>
      </c>
      <c r="O11" s="5">
        <f t="shared" si="3"/>
        <v>1047.9000000000001</v>
      </c>
      <c r="P11" s="244">
        <v>9500</v>
      </c>
      <c r="Q11" s="244">
        <v>37.4</v>
      </c>
      <c r="R11" s="244">
        <f t="shared" si="4"/>
        <v>558419.4</v>
      </c>
      <c r="S11" s="62"/>
      <c r="T11" s="62"/>
      <c r="U11" s="62"/>
    </row>
    <row r="12" spans="1:21">
      <c r="A12" s="389"/>
      <c r="B12" s="244" t="s">
        <v>2021</v>
      </c>
      <c r="C12" s="42" t="s">
        <v>24</v>
      </c>
      <c r="D12" s="244" t="s">
        <v>16</v>
      </c>
      <c r="E12" s="244" t="s">
        <v>2024</v>
      </c>
      <c r="F12" s="244">
        <v>208</v>
      </c>
      <c r="G12" s="244"/>
      <c r="H12" s="244">
        <v>15000</v>
      </c>
      <c r="I12" s="244">
        <v>300</v>
      </c>
      <c r="J12" s="244">
        <v>0.13</v>
      </c>
      <c r="K12" s="5">
        <f t="shared" si="0"/>
        <v>39</v>
      </c>
      <c r="L12" s="19">
        <f t="shared" si="1"/>
        <v>14961</v>
      </c>
      <c r="M12" s="19"/>
      <c r="N12" s="43">
        <f t="shared" si="2"/>
        <v>14961</v>
      </c>
      <c r="O12" s="5">
        <f t="shared" si="3"/>
        <v>1050</v>
      </c>
      <c r="P12" s="244">
        <v>9500</v>
      </c>
      <c r="Q12" s="244">
        <v>37.4</v>
      </c>
      <c r="R12" s="244">
        <f t="shared" si="4"/>
        <v>559541.4</v>
      </c>
      <c r="S12" s="62"/>
      <c r="T12" s="62"/>
      <c r="U12" s="62"/>
    </row>
    <row r="13" spans="1:21">
      <c r="A13" s="389"/>
      <c r="B13" s="244" t="s">
        <v>2021</v>
      </c>
      <c r="C13" s="42" t="s">
        <v>24</v>
      </c>
      <c r="D13" s="244" t="s">
        <v>16</v>
      </c>
      <c r="E13" s="244" t="s">
        <v>2025</v>
      </c>
      <c r="F13" s="244">
        <v>210</v>
      </c>
      <c r="G13" s="244"/>
      <c r="H13" s="244">
        <v>15000</v>
      </c>
      <c r="I13" s="244">
        <v>300</v>
      </c>
      <c r="J13" s="244">
        <v>0.13</v>
      </c>
      <c r="K13" s="5">
        <f t="shared" si="0"/>
        <v>39</v>
      </c>
      <c r="L13" s="19">
        <f t="shared" si="1"/>
        <v>14961</v>
      </c>
      <c r="M13" s="19"/>
      <c r="N13" s="43">
        <f t="shared" si="2"/>
        <v>14961</v>
      </c>
      <c r="O13" s="5">
        <f t="shared" si="3"/>
        <v>1050</v>
      </c>
      <c r="P13" s="244">
        <v>9500</v>
      </c>
      <c r="Q13" s="244">
        <v>37.4</v>
      </c>
      <c r="R13" s="244">
        <f t="shared" si="4"/>
        <v>559541.4</v>
      </c>
      <c r="S13" s="62"/>
      <c r="T13" s="62"/>
      <c r="U13" s="62"/>
    </row>
    <row r="14" spans="1:21">
      <c r="A14" s="21"/>
      <c r="B14" s="67"/>
      <c r="C14" s="67"/>
      <c r="D14" s="67"/>
      <c r="E14" s="67"/>
      <c r="F14" s="67"/>
      <c r="G14" s="67"/>
      <c r="H14" s="67"/>
      <c r="I14" s="67"/>
      <c r="J14" s="67"/>
      <c r="K14" s="67"/>
      <c r="L14" s="68"/>
      <c r="M14" s="68"/>
      <c r="N14" s="67"/>
      <c r="O14" s="67"/>
      <c r="P14" s="67"/>
      <c r="Q14" s="62"/>
      <c r="R14" s="62"/>
      <c r="S14" s="62"/>
      <c r="T14" s="62"/>
      <c r="U14" s="62"/>
    </row>
    <row r="15" spans="1:21">
      <c r="A15" s="1" t="s">
        <v>2087</v>
      </c>
      <c r="B15" s="42" t="s">
        <v>2089</v>
      </c>
      <c r="C15" s="42" t="s">
        <v>24</v>
      </c>
      <c r="D15" s="42" t="s">
        <v>16</v>
      </c>
      <c r="E15" s="42" t="s">
        <v>2090</v>
      </c>
      <c r="F15" s="42">
        <v>315</v>
      </c>
      <c r="G15" s="42"/>
      <c r="H15" s="42">
        <v>17000</v>
      </c>
      <c r="I15" s="42">
        <v>340</v>
      </c>
      <c r="J15" s="42">
        <v>0.13</v>
      </c>
      <c r="K15" s="43">
        <f t="shared" ref="K15:K19" si="5">I15*J15</f>
        <v>44.2</v>
      </c>
      <c r="L15" s="43">
        <f t="shared" ref="L15:L19" si="6">H15-K15</f>
        <v>16955.8</v>
      </c>
      <c r="M15" s="43"/>
      <c r="N15" s="43">
        <f t="shared" ref="N15:N19" si="7">L15-M15</f>
        <v>16955.8</v>
      </c>
      <c r="O15" s="43">
        <f t="shared" ref="O15:O19" si="8">H15/1000*70</f>
        <v>1190</v>
      </c>
      <c r="P15" s="42">
        <v>11500</v>
      </c>
      <c r="Q15" s="42">
        <v>37.5</v>
      </c>
      <c r="R15" s="42">
        <f t="shared" ref="R15:R19" si="9">L15*Q15</f>
        <v>635842.5</v>
      </c>
      <c r="S15" s="48" t="s">
        <v>2092</v>
      </c>
    </row>
    <row r="16" spans="1:21">
      <c r="A16" s="1" t="s">
        <v>2106</v>
      </c>
      <c r="B16" s="42" t="s">
        <v>2089</v>
      </c>
      <c r="C16" s="42" t="s">
        <v>24</v>
      </c>
      <c r="D16" s="42" t="s">
        <v>16</v>
      </c>
      <c r="E16" s="42" t="s">
        <v>661</v>
      </c>
      <c r="F16" s="42">
        <v>342</v>
      </c>
      <c r="G16" s="42"/>
      <c r="H16" s="42">
        <v>16990</v>
      </c>
      <c r="I16" s="42">
        <v>340</v>
      </c>
      <c r="J16" s="42">
        <v>0.13</v>
      </c>
      <c r="K16" s="43">
        <f t="shared" si="5"/>
        <v>44.2</v>
      </c>
      <c r="L16" s="43">
        <f t="shared" si="6"/>
        <v>16945.8</v>
      </c>
      <c r="M16" s="43"/>
      <c r="N16" s="43">
        <f t="shared" si="7"/>
        <v>16945.8</v>
      </c>
      <c r="O16" s="43">
        <f t="shared" si="8"/>
        <v>1189.3</v>
      </c>
      <c r="P16" s="42">
        <v>12000</v>
      </c>
      <c r="Q16" s="42">
        <v>37.5</v>
      </c>
      <c r="R16" s="42">
        <f t="shared" si="9"/>
        <v>635467.5</v>
      </c>
    </row>
    <row r="17" spans="1:18">
      <c r="A17" s="1" t="s">
        <v>2121</v>
      </c>
      <c r="B17" s="42" t="s">
        <v>2089</v>
      </c>
      <c r="C17" s="42" t="s">
        <v>24</v>
      </c>
      <c r="D17" s="42" t="s">
        <v>16</v>
      </c>
      <c r="E17" s="42" t="s">
        <v>661</v>
      </c>
      <c r="F17" s="42">
        <v>345</v>
      </c>
      <c r="G17" s="42"/>
      <c r="H17" s="42">
        <v>17000</v>
      </c>
      <c r="I17" s="42">
        <v>340</v>
      </c>
      <c r="J17" s="42">
        <v>0.13</v>
      </c>
      <c r="K17" s="43">
        <f t="shared" si="5"/>
        <v>44.2</v>
      </c>
      <c r="L17" s="43">
        <f t="shared" si="6"/>
        <v>16955.8</v>
      </c>
      <c r="M17" s="43"/>
      <c r="N17" s="43">
        <f t="shared" si="7"/>
        <v>16955.8</v>
      </c>
      <c r="O17" s="43">
        <f t="shared" si="8"/>
        <v>1190</v>
      </c>
      <c r="P17" s="42">
        <v>12500</v>
      </c>
      <c r="Q17" s="42">
        <v>37.5</v>
      </c>
      <c r="R17" s="42">
        <f t="shared" si="9"/>
        <v>635842.5</v>
      </c>
    </row>
    <row r="18" spans="1:18">
      <c r="A18" s="374" t="s">
        <v>2183</v>
      </c>
      <c r="B18" s="42" t="s">
        <v>2182</v>
      </c>
      <c r="C18" s="42" t="s">
        <v>24</v>
      </c>
      <c r="D18" s="42" t="s">
        <v>16</v>
      </c>
      <c r="E18" s="42" t="s">
        <v>2185</v>
      </c>
      <c r="F18" s="42">
        <v>272</v>
      </c>
      <c r="G18" s="42"/>
      <c r="H18" s="42">
        <v>17000</v>
      </c>
      <c r="I18" s="42">
        <v>340</v>
      </c>
      <c r="J18" s="42">
        <v>0.13</v>
      </c>
      <c r="K18" s="43">
        <f t="shared" si="5"/>
        <v>44.2</v>
      </c>
      <c r="L18" s="43">
        <f t="shared" si="6"/>
        <v>16955.8</v>
      </c>
      <c r="M18" s="43"/>
      <c r="N18" s="43">
        <f t="shared" si="7"/>
        <v>16955.8</v>
      </c>
      <c r="O18" s="43">
        <f t="shared" si="8"/>
        <v>1190</v>
      </c>
      <c r="P18" s="42">
        <v>12500</v>
      </c>
      <c r="Q18" s="42">
        <v>37.5</v>
      </c>
      <c r="R18" s="42">
        <f t="shared" si="9"/>
        <v>635842.5</v>
      </c>
    </row>
    <row r="19" spans="1:18">
      <c r="A19" s="374"/>
      <c r="B19" s="42" t="s">
        <v>2182</v>
      </c>
      <c r="C19" s="42" t="s">
        <v>24</v>
      </c>
      <c r="D19" s="42" t="s">
        <v>16</v>
      </c>
      <c r="E19" s="42" t="s">
        <v>2186</v>
      </c>
      <c r="F19" s="42">
        <v>275</v>
      </c>
      <c r="G19" s="42"/>
      <c r="H19" s="42">
        <v>17000</v>
      </c>
      <c r="I19" s="42">
        <v>340</v>
      </c>
      <c r="J19" s="42">
        <v>0.13</v>
      </c>
      <c r="K19" s="43">
        <f t="shared" si="5"/>
        <v>44.2</v>
      </c>
      <c r="L19" s="43">
        <f t="shared" si="6"/>
        <v>16955.8</v>
      </c>
      <c r="M19" s="43"/>
      <c r="N19" s="43">
        <f t="shared" si="7"/>
        <v>16955.8</v>
      </c>
      <c r="O19" s="43">
        <f t="shared" si="8"/>
        <v>1190</v>
      </c>
      <c r="P19" s="42">
        <v>12500</v>
      </c>
      <c r="Q19" s="42">
        <v>37.5</v>
      </c>
      <c r="R19" s="42">
        <f t="shared" si="9"/>
        <v>635842.5</v>
      </c>
    </row>
  </sheetData>
  <mergeCells count="3">
    <mergeCell ref="A7:A9"/>
    <mergeCell ref="A10:A13"/>
    <mergeCell ref="A18:A19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5:U11"/>
  <sheetViews>
    <sheetView workbookViewId="0">
      <selection activeCell="A12" sqref="A12"/>
    </sheetView>
  </sheetViews>
  <sheetFormatPr defaultRowHeight="14.4"/>
  <cols>
    <col min="1" max="1" width="8.88671875" style="1"/>
    <col min="2" max="2" width="16.44140625" style="1" customWidth="1"/>
    <col min="3" max="3" width="10.77734375" style="1" customWidth="1"/>
    <col min="4" max="4" width="5.5546875" style="1" customWidth="1"/>
    <col min="5" max="5" width="8.88671875" style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3.4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3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676</v>
      </c>
      <c r="M5" s="95" t="s">
        <v>677</v>
      </c>
      <c r="N5" s="3" t="s">
        <v>11</v>
      </c>
      <c r="O5" s="3" t="s">
        <v>36</v>
      </c>
      <c r="P5" s="3" t="s">
        <v>12</v>
      </c>
      <c r="Q5" s="3" t="s">
        <v>256</v>
      </c>
      <c r="R5" s="3" t="s">
        <v>257</v>
      </c>
      <c r="S5" s="3" t="s">
        <v>2</v>
      </c>
      <c r="T5" s="15"/>
    </row>
    <row r="6" spans="1:21">
      <c r="A6" s="69"/>
      <c r="B6" s="256"/>
      <c r="C6" s="256"/>
      <c r="D6" s="256"/>
      <c r="E6" s="256"/>
      <c r="F6" s="256"/>
      <c r="G6" s="256"/>
      <c r="H6" s="256"/>
      <c r="I6" s="256"/>
      <c r="J6" s="256"/>
      <c r="K6" s="256"/>
      <c r="L6" s="61"/>
      <c r="M6" s="61"/>
      <c r="N6" s="256"/>
      <c r="O6" s="62"/>
      <c r="P6" s="62"/>
      <c r="Q6" s="62"/>
      <c r="R6" s="62"/>
      <c r="S6" s="62"/>
      <c r="T6" s="62"/>
      <c r="U6" s="62"/>
    </row>
    <row r="9" spans="1:21">
      <c r="A9" s="1" t="s">
        <v>2253</v>
      </c>
      <c r="B9" s="42" t="s">
        <v>2254</v>
      </c>
      <c r="C9" s="42" t="s">
        <v>309</v>
      </c>
      <c r="D9" s="42" t="s">
        <v>16</v>
      </c>
      <c r="E9" s="42" t="s">
        <v>2255</v>
      </c>
      <c r="F9" s="42">
        <v>2398</v>
      </c>
      <c r="G9" s="42"/>
      <c r="H9" s="42">
        <v>15000</v>
      </c>
      <c r="I9" s="42">
        <v>300</v>
      </c>
      <c r="J9" s="42">
        <v>0.13</v>
      </c>
      <c r="K9" s="43">
        <f t="shared" ref="K9" si="0">I9*J9</f>
        <v>39</v>
      </c>
      <c r="L9" s="43">
        <f t="shared" ref="L9" si="1">H9-K9</f>
        <v>14961</v>
      </c>
      <c r="M9" s="43"/>
      <c r="N9" s="43">
        <f t="shared" ref="N9" si="2">L9-M9</f>
        <v>14961</v>
      </c>
      <c r="O9" s="43">
        <f t="shared" ref="O9" si="3">H9/1000*70</f>
        <v>1050</v>
      </c>
      <c r="P9" s="42">
        <v>15000</v>
      </c>
      <c r="Q9" s="42">
        <v>38</v>
      </c>
      <c r="R9" s="42">
        <f t="shared" ref="R9" si="4">L9*Q9</f>
        <v>568518</v>
      </c>
    </row>
    <row r="11" spans="1:21">
      <c r="A11" s="1" t="s">
        <v>3807</v>
      </c>
      <c r="B11" s="42" t="s">
        <v>2254</v>
      </c>
      <c r="C11" s="42" t="s">
        <v>24</v>
      </c>
      <c r="D11" s="42" t="s">
        <v>16</v>
      </c>
      <c r="E11" s="47" t="s">
        <v>2505</v>
      </c>
      <c r="F11" s="47">
        <v>160</v>
      </c>
      <c r="G11" s="47"/>
      <c r="H11" s="47">
        <v>14980</v>
      </c>
      <c r="I11" s="47">
        <v>300</v>
      </c>
      <c r="J11" s="47">
        <v>0.13</v>
      </c>
      <c r="K11" s="43">
        <f t="shared" ref="K11" si="5">I11*J11</f>
        <v>39</v>
      </c>
      <c r="L11" s="43">
        <f t="shared" ref="L11" si="6">H11-K11</f>
        <v>14941</v>
      </c>
      <c r="M11" s="43"/>
      <c r="N11" s="43">
        <f t="shared" ref="N11" si="7">L11-M11</f>
        <v>14941</v>
      </c>
      <c r="O11" s="43">
        <f t="shared" ref="O11" si="8">H11/1000*70</f>
        <v>1048.6000000000001</v>
      </c>
      <c r="P11" s="42">
        <v>14500</v>
      </c>
      <c r="Q11" s="42"/>
      <c r="R11" s="42">
        <f t="shared" ref="R11" si="9">L11*Q11</f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5:U12"/>
  <sheetViews>
    <sheetView workbookViewId="0">
      <selection activeCell="B12" sqref="B12:R12"/>
    </sheetView>
  </sheetViews>
  <sheetFormatPr defaultRowHeight="14.4"/>
  <cols>
    <col min="1" max="1" width="8.88671875" style="1"/>
    <col min="2" max="2" width="16.44140625" style="1" customWidth="1"/>
    <col min="3" max="3" width="10.77734375" style="1" customWidth="1"/>
    <col min="4" max="4" width="5.5546875" style="1" customWidth="1"/>
    <col min="5" max="5" width="8.88671875" style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3.4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3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676</v>
      </c>
      <c r="M5" s="95" t="s">
        <v>677</v>
      </c>
      <c r="N5" s="3" t="s">
        <v>11</v>
      </c>
      <c r="O5" s="3" t="s">
        <v>36</v>
      </c>
      <c r="P5" s="3" t="s">
        <v>12</v>
      </c>
      <c r="Q5" s="3" t="s">
        <v>256</v>
      </c>
      <c r="R5" s="3" t="s">
        <v>257</v>
      </c>
      <c r="S5" s="3" t="s">
        <v>2</v>
      </c>
      <c r="T5" s="15"/>
    </row>
    <row r="6" spans="1:21">
      <c r="A6" s="69"/>
      <c r="B6" s="275"/>
      <c r="C6" s="275"/>
      <c r="D6" s="275"/>
      <c r="E6" s="275"/>
      <c r="F6" s="275"/>
      <c r="G6" s="275"/>
      <c r="H6" s="275"/>
      <c r="I6" s="275"/>
      <c r="J6" s="275"/>
      <c r="K6" s="275"/>
      <c r="L6" s="61"/>
      <c r="M6" s="61"/>
      <c r="N6" s="275"/>
      <c r="O6" s="62"/>
      <c r="P6" s="62"/>
      <c r="Q6" s="62"/>
      <c r="R6" s="62"/>
      <c r="S6" s="62"/>
      <c r="T6" s="62"/>
      <c r="U6" s="62"/>
    </row>
    <row r="10" spans="1:21">
      <c r="A10" s="1" t="s">
        <v>2605</v>
      </c>
      <c r="B10" s="42" t="s">
        <v>2577</v>
      </c>
      <c r="C10" s="42" t="s">
        <v>24</v>
      </c>
      <c r="D10" s="42" t="s">
        <v>16</v>
      </c>
      <c r="E10" s="42" t="s">
        <v>2606</v>
      </c>
      <c r="F10" s="42">
        <v>25357</v>
      </c>
      <c r="G10" s="42"/>
      <c r="H10" s="42">
        <v>12980</v>
      </c>
      <c r="I10" s="42">
        <v>260</v>
      </c>
      <c r="J10" s="42">
        <v>0.13</v>
      </c>
      <c r="K10" s="43">
        <f t="shared" ref="K10" si="0">I10*J10</f>
        <v>33.800000000000004</v>
      </c>
      <c r="L10" s="43">
        <f t="shared" ref="L10" si="1">H10-K10</f>
        <v>12946.2</v>
      </c>
      <c r="M10" s="43"/>
      <c r="N10" s="43">
        <f t="shared" ref="N10" si="2">L10-M10</f>
        <v>12946.2</v>
      </c>
      <c r="O10" s="43">
        <f t="shared" ref="O10" si="3">H10/1000*70</f>
        <v>908.6</v>
      </c>
      <c r="P10" s="42">
        <v>0</v>
      </c>
      <c r="Q10" s="42">
        <v>38</v>
      </c>
      <c r="R10" s="42">
        <f t="shared" ref="R10" si="4">L10*Q10</f>
        <v>491955.60000000003</v>
      </c>
    </row>
    <row r="12" spans="1:21">
      <c r="B12" s="42" t="s">
        <v>1565</v>
      </c>
      <c r="C12" s="42" t="s">
        <v>24</v>
      </c>
      <c r="D12" s="42" t="s">
        <v>16</v>
      </c>
      <c r="E12" s="42" t="s">
        <v>2890</v>
      </c>
      <c r="F12" s="42">
        <v>672</v>
      </c>
      <c r="G12" s="42"/>
      <c r="H12" s="42">
        <v>6890</v>
      </c>
      <c r="I12" s="42">
        <v>134</v>
      </c>
      <c r="J12" s="42">
        <v>0.13</v>
      </c>
      <c r="K12" s="43">
        <f t="shared" ref="K12" si="5">I12*J12</f>
        <v>17.420000000000002</v>
      </c>
      <c r="L12" s="43">
        <f t="shared" ref="L12" si="6">H12-K12</f>
        <v>6872.58</v>
      </c>
      <c r="M12" s="43"/>
      <c r="N12" s="43">
        <f t="shared" ref="N12" si="7">L12-M12</f>
        <v>6872.58</v>
      </c>
      <c r="O12" s="43">
        <f t="shared" ref="O12" si="8">H12/1000*70</f>
        <v>482.29999999999995</v>
      </c>
      <c r="P12" s="42">
        <v>0</v>
      </c>
      <c r="Q12" s="42">
        <v>42.25</v>
      </c>
      <c r="R12" s="42">
        <f t="shared" ref="R12" si="9">L12*Q12</f>
        <v>290366.505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5:U13"/>
  <sheetViews>
    <sheetView workbookViewId="0">
      <selection activeCell="Q21" sqref="Q21"/>
    </sheetView>
  </sheetViews>
  <sheetFormatPr defaultRowHeight="14.4"/>
  <cols>
    <col min="1" max="1" width="8.88671875" style="1"/>
    <col min="2" max="2" width="16.44140625" style="1" customWidth="1"/>
    <col min="3" max="3" width="10.77734375" style="1" customWidth="1"/>
    <col min="4" max="4" width="5.5546875" style="1" customWidth="1"/>
    <col min="5" max="5" width="8.88671875" style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3.4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3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676</v>
      </c>
      <c r="M5" s="95" t="s">
        <v>677</v>
      </c>
      <c r="N5" s="3" t="s">
        <v>11</v>
      </c>
      <c r="O5" s="3" t="s">
        <v>36</v>
      </c>
      <c r="P5" s="3" t="s">
        <v>12</v>
      </c>
      <c r="Q5" s="3" t="s">
        <v>256</v>
      </c>
      <c r="R5" s="3" t="s">
        <v>257</v>
      </c>
      <c r="S5" s="3" t="s">
        <v>2</v>
      </c>
      <c r="T5" s="15"/>
    </row>
    <row r="6" spans="1:21">
      <c r="A6" s="69"/>
      <c r="B6" s="300"/>
      <c r="C6" s="300"/>
      <c r="D6" s="300"/>
      <c r="E6" s="300"/>
      <c r="F6" s="300"/>
      <c r="G6" s="300"/>
      <c r="H6" s="300"/>
      <c r="I6" s="300"/>
      <c r="J6" s="300"/>
      <c r="K6" s="300"/>
      <c r="L6" s="61"/>
      <c r="M6" s="61"/>
      <c r="N6" s="300"/>
      <c r="O6" s="62"/>
      <c r="P6" s="62"/>
      <c r="Q6" s="62"/>
      <c r="R6" s="62"/>
      <c r="S6" s="62"/>
      <c r="T6" s="62"/>
      <c r="U6" s="62"/>
    </row>
    <row r="11" spans="1:21">
      <c r="A11" s="1" t="s">
        <v>2889</v>
      </c>
      <c r="B11" s="42" t="s">
        <v>1565</v>
      </c>
      <c r="C11" s="42" t="s">
        <v>24</v>
      </c>
      <c r="D11" s="42" t="s">
        <v>16</v>
      </c>
      <c r="E11" s="42" t="s">
        <v>2890</v>
      </c>
      <c r="F11" s="42">
        <v>672</v>
      </c>
      <c r="G11" s="42"/>
      <c r="H11" s="42">
        <v>6890</v>
      </c>
      <c r="I11" s="42">
        <v>134</v>
      </c>
      <c r="J11" s="42">
        <v>0.13</v>
      </c>
      <c r="K11" s="43">
        <f t="shared" ref="K11" si="0">I11*J11</f>
        <v>17.420000000000002</v>
      </c>
      <c r="L11" s="43">
        <f t="shared" ref="L11" si="1">H11-K11</f>
        <v>6872.58</v>
      </c>
      <c r="M11" s="43"/>
      <c r="N11" s="43">
        <f t="shared" ref="N11" si="2">L11-M11</f>
        <v>6872.58</v>
      </c>
      <c r="O11" s="43">
        <f t="shared" ref="O11" si="3">H11/1000*70</f>
        <v>482.29999999999995</v>
      </c>
      <c r="P11" s="42">
        <v>0</v>
      </c>
      <c r="Q11" s="42">
        <v>42.25</v>
      </c>
      <c r="R11" s="42">
        <f t="shared" ref="R11" si="4">L11*Q11</f>
        <v>290366.505</v>
      </c>
    </row>
    <row r="13" spans="1:21">
      <c r="B13" s="42" t="s">
        <v>2999</v>
      </c>
      <c r="C13" s="42" t="s">
        <v>24</v>
      </c>
      <c r="D13" s="42" t="s">
        <v>16</v>
      </c>
      <c r="E13" s="42" t="s">
        <v>2957</v>
      </c>
      <c r="F13" s="42">
        <v>2203</v>
      </c>
      <c r="G13" s="42"/>
      <c r="H13" s="42">
        <v>9960</v>
      </c>
      <c r="I13" s="42">
        <v>200</v>
      </c>
      <c r="J13" s="42"/>
      <c r="K13" s="43">
        <f t="shared" ref="K13" si="5">I13*J13</f>
        <v>0</v>
      </c>
      <c r="L13" s="43">
        <f t="shared" ref="L13" si="6">H13-K13</f>
        <v>9960</v>
      </c>
      <c r="M13" s="43"/>
      <c r="N13" s="43">
        <f t="shared" ref="N13" si="7">L13-M13</f>
        <v>9960</v>
      </c>
      <c r="O13" s="43">
        <v>0</v>
      </c>
      <c r="P13" s="42">
        <v>0</v>
      </c>
      <c r="Q13" s="42">
        <v>37.5</v>
      </c>
      <c r="R13" s="42">
        <f t="shared" ref="R13" si="8">L13*Q13</f>
        <v>373500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5:U16"/>
  <sheetViews>
    <sheetView workbookViewId="0">
      <selection activeCell="B16" sqref="B16:S16"/>
    </sheetView>
  </sheetViews>
  <sheetFormatPr defaultRowHeight="14.4"/>
  <cols>
    <col min="1" max="1" width="8.88671875" style="1"/>
    <col min="2" max="2" width="16.44140625" style="1" customWidth="1"/>
    <col min="3" max="3" width="10.77734375" style="1" customWidth="1"/>
    <col min="4" max="4" width="5.5546875" style="1" customWidth="1"/>
    <col min="5" max="5" width="8.88671875" style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3.4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3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676</v>
      </c>
      <c r="M5" s="95" t="s">
        <v>677</v>
      </c>
      <c r="N5" s="3" t="s">
        <v>11</v>
      </c>
      <c r="O5" s="3" t="s">
        <v>36</v>
      </c>
      <c r="P5" s="3" t="s">
        <v>12</v>
      </c>
      <c r="Q5" s="3" t="s">
        <v>256</v>
      </c>
      <c r="R5" s="3" t="s">
        <v>257</v>
      </c>
      <c r="S5" s="3" t="s">
        <v>2</v>
      </c>
      <c r="T5" s="15"/>
    </row>
    <row r="6" spans="1:21">
      <c r="A6" s="69"/>
      <c r="B6" s="301"/>
      <c r="C6" s="301"/>
      <c r="D6" s="301"/>
      <c r="E6" s="301"/>
      <c r="F6" s="301"/>
      <c r="G6" s="301"/>
      <c r="H6" s="301"/>
      <c r="I6" s="301"/>
      <c r="J6" s="301"/>
      <c r="K6" s="301"/>
      <c r="L6" s="61"/>
      <c r="M6" s="61"/>
      <c r="N6" s="301"/>
      <c r="O6" s="62"/>
      <c r="P6" s="62"/>
      <c r="Q6" s="62"/>
      <c r="R6" s="62"/>
      <c r="S6" s="62"/>
      <c r="T6" s="62"/>
      <c r="U6" s="62"/>
    </row>
    <row r="12" spans="1:21">
      <c r="A12" s="1" t="s">
        <v>3033</v>
      </c>
      <c r="B12" s="42" t="s">
        <v>2999</v>
      </c>
      <c r="C12" s="42" t="s">
        <v>24</v>
      </c>
      <c r="D12" s="42" t="s">
        <v>16</v>
      </c>
      <c r="E12" s="42" t="s">
        <v>2957</v>
      </c>
      <c r="F12" s="42">
        <v>2203</v>
      </c>
      <c r="G12" s="42"/>
      <c r="H12" s="42">
        <v>9960</v>
      </c>
      <c r="I12" s="42">
        <v>200</v>
      </c>
      <c r="J12" s="42"/>
      <c r="K12" s="43">
        <f t="shared" ref="K12" si="0">I12*J12</f>
        <v>0</v>
      </c>
      <c r="L12" s="43">
        <f t="shared" ref="L12" si="1">H12-K12</f>
        <v>9960</v>
      </c>
      <c r="M12" s="43"/>
      <c r="N12" s="43">
        <f t="shared" ref="N12" si="2">L12-M12</f>
        <v>9960</v>
      </c>
      <c r="O12" s="43">
        <v>0</v>
      </c>
      <c r="P12" s="42">
        <v>0</v>
      </c>
      <c r="Q12" s="42">
        <v>37.5</v>
      </c>
      <c r="R12" s="42">
        <f t="shared" ref="R12" si="3">L12*Q12</f>
        <v>373500</v>
      </c>
    </row>
    <row r="14" spans="1:21">
      <c r="A14" s="1" t="s">
        <v>3374</v>
      </c>
      <c r="B14" s="42" t="s">
        <v>3378</v>
      </c>
      <c r="C14" s="42" t="s">
        <v>24</v>
      </c>
      <c r="D14" s="42" t="s">
        <v>16</v>
      </c>
      <c r="E14" s="47" t="s">
        <v>2955</v>
      </c>
      <c r="F14" s="47">
        <v>15</v>
      </c>
      <c r="G14" s="47"/>
      <c r="H14" s="47">
        <v>9990</v>
      </c>
      <c r="I14" s="47">
        <v>200</v>
      </c>
      <c r="J14" s="47"/>
      <c r="K14" s="43">
        <f t="shared" ref="K14" si="4">I14*J14</f>
        <v>0</v>
      </c>
      <c r="L14" s="43">
        <f t="shared" ref="L14" si="5">H14-K14</f>
        <v>9990</v>
      </c>
      <c r="M14" s="43"/>
      <c r="N14" s="43">
        <f t="shared" ref="N14" si="6">L14-M14</f>
        <v>9990</v>
      </c>
      <c r="O14" s="43">
        <v>0</v>
      </c>
      <c r="P14" s="42">
        <v>0</v>
      </c>
      <c r="Q14" s="42">
        <v>35.5</v>
      </c>
      <c r="R14" s="42">
        <f t="shared" ref="R14" si="7">L14*Q14</f>
        <v>354645</v>
      </c>
    </row>
    <row r="16" spans="1:21">
      <c r="B16" s="329" t="s">
        <v>3929</v>
      </c>
      <c r="C16" s="329" t="s">
        <v>24</v>
      </c>
      <c r="D16" s="42" t="s">
        <v>16</v>
      </c>
      <c r="E16" s="329" t="s">
        <v>2111</v>
      </c>
      <c r="F16" s="329">
        <v>2114</v>
      </c>
      <c r="G16" s="329"/>
      <c r="H16" s="329">
        <v>4970</v>
      </c>
      <c r="I16" s="329">
        <v>100</v>
      </c>
      <c r="J16" s="329"/>
      <c r="K16" s="43">
        <f t="shared" ref="K16" si="8">I16*J16</f>
        <v>0</v>
      </c>
      <c r="L16" s="43">
        <f t="shared" ref="L16" si="9">H16-K16</f>
        <v>4970</v>
      </c>
      <c r="M16" s="43"/>
      <c r="N16" s="43">
        <f t="shared" ref="N16" si="10">L16-M16</f>
        <v>4970</v>
      </c>
      <c r="O16" s="43">
        <v>0</v>
      </c>
      <c r="P16" s="42">
        <v>3000</v>
      </c>
      <c r="Q16" s="42">
        <v>36.32</v>
      </c>
      <c r="R16" s="42">
        <f t="shared" ref="R16" si="11">L16*Q16</f>
        <v>180510.4</v>
      </c>
      <c r="S16" s="85"/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5:U15"/>
  <sheetViews>
    <sheetView workbookViewId="0">
      <selection activeCell="B17" sqref="B17:R20"/>
    </sheetView>
  </sheetViews>
  <sheetFormatPr defaultRowHeight="14.4"/>
  <cols>
    <col min="1" max="1" width="8.88671875" style="1"/>
    <col min="2" max="2" width="16.44140625" style="1" customWidth="1"/>
    <col min="3" max="3" width="10.77734375" style="1" customWidth="1"/>
    <col min="4" max="4" width="5.5546875" style="1" customWidth="1"/>
    <col min="5" max="5" width="8.88671875" style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3.4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3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676</v>
      </c>
      <c r="M5" s="95" t="s">
        <v>677</v>
      </c>
      <c r="N5" s="3" t="s">
        <v>11</v>
      </c>
      <c r="O5" s="3" t="s">
        <v>36</v>
      </c>
      <c r="P5" s="3" t="s">
        <v>12</v>
      </c>
      <c r="Q5" s="3" t="s">
        <v>256</v>
      </c>
      <c r="R5" s="3" t="s">
        <v>257</v>
      </c>
      <c r="S5" s="3" t="s">
        <v>2</v>
      </c>
      <c r="T5" s="15"/>
    </row>
    <row r="6" spans="1:21">
      <c r="A6" s="69"/>
      <c r="B6" s="301"/>
      <c r="C6" s="301"/>
      <c r="D6" s="301"/>
      <c r="E6" s="301"/>
      <c r="F6" s="301"/>
      <c r="G6" s="301"/>
      <c r="H6" s="301"/>
      <c r="I6" s="301"/>
      <c r="J6" s="301"/>
      <c r="K6" s="301"/>
      <c r="L6" s="61"/>
      <c r="M6" s="61"/>
      <c r="N6" s="301"/>
      <c r="O6" s="62"/>
      <c r="P6" s="62"/>
      <c r="Q6" s="62"/>
      <c r="R6" s="62"/>
      <c r="S6" s="62"/>
      <c r="T6" s="62"/>
      <c r="U6" s="62"/>
    </row>
    <row r="13" spans="1:21">
      <c r="A13" s="1" t="s">
        <v>3926</v>
      </c>
      <c r="B13" s="329" t="s">
        <v>3929</v>
      </c>
      <c r="C13" s="329" t="s">
        <v>24</v>
      </c>
      <c r="D13" s="42" t="s">
        <v>16</v>
      </c>
      <c r="E13" s="329" t="s">
        <v>2111</v>
      </c>
      <c r="F13" s="329">
        <v>2114</v>
      </c>
      <c r="G13" s="329"/>
      <c r="H13" s="329">
        <v>4970</v>
      </c>
      <c r="I13" s="329">
        <v>100</v>
      </c>
      <c r="J13" s="329"/>
      <c r="K13" s="43">
        <f t="shared" ref="K13" si="0">I13*J13</f>
        <v>0</v>
      </c>
      <c r="L13" s="43">
        <f t="shared" ref="L13" si="1">H13-K13</f>
        <v>4970</v>
      </c>
      <c r="M13" s="43"/>
      <c r="N13" s="43">
        <f t="shared" ref="N13" si="2">L13-M13</f>
        <v>4970</v>
      </c>
      <c r="O13" s="43">
        <v>0</v>
      </c>
      <c r="P13" s="42">
        <v>3000</v>
      </c>
      <c r="Q13" s="42">
        <v>36.32</v>
      </c>
      <c r="R13" s="42">
        <f t="shared" ref="R13" si="3">L13*Q13</f>
        <v>180510.4</v>
      </c>
      <c r="S13" s="85"/>
    </row>
    <row r="15" spans="1:21">
      <c r="A15" s="1" t="s">
        <v>3945</v>
      </c>
      <c r="B15" s="334" t="s">
        <v>3929</v>
      </c>
      <c r="C15" s="334" t="s">
        <v>24</v>
      </c>
      <c r="D15" s="42" t="s">
        <v>16</v>
      </c>
      <c r="E15" s="334" t="s">
        <v>666</v>
      </c>
      <c r="F15" s="334">
        <v>2115</v>
      </c>
      <c r="G15" s="334"/>
      <c r="H15" s="334">
        <v>9990</v>
      </c>
      <c r="I15" s="334">
        <v>200</v>
      </c>
      <c r="J15" s="334">
        <v>0</v>
      </c>
      <c r="K15" s="43">
        <f t="shared" ref="K15" si="4">I15*J15</f>
        <v>0</v>
      </c>
      <c r="L15" s="43">
        <f t="shared" ref="L15" si="5">H15-K15</f>
        <v>9990</v>
      </c>
      <c r="M15" s="43"/>
      <c r="N15" s="43">
        <f t="shared" ref="N15" si="6">L15-M15</f>
        <v>9990</v>
      </c>
      <c r="O15" s="43">
        <f t="shared" ref="O15" si="7">H15/1000*70</f>
        <v>699.30000000000007</v>
      </c>
      <c r="P15" s="42">
        <v>6000</v>
      </c>
      <c r="Q15" s="42">
        <v>36.130000000000003</v>
      </c>
      <c r="R15" s="42">
        <f t="shared" ref="R15" si="8">L15*Q15</f>
        <v>360938.7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5:U17"/>
  <sheetViews>
    <sheetView workbookViewId="0">
      <selection activeCell="A18" sqref="A18"/>
    </sheetView>
  </sheetViews>
  <sheetFormatPr defaultRowHeight="14.4"/>
  <cols>
    <col min="1" max="1" width="8.88671875" style="1"/>
    <col min="2" max="2" width="16.44140625" style="1" customWidth="1"/>
    <col min="3" max="3" width="10.77734375" style="1" customWidth="1"/>
    <col min="4" max="4" width="5.5546875" style="1" customWidth="1"/>
    <col min="5" max="5" width="8.88671875" style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3.4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3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676</v>
      </c>
      <c r="M5" s="95" t="s">
        <v>677</v>
      </c>
      <c r="N5" s="3" t="s">
        <v>11</v>
      </c>
      <c r="O5" s="3" t="s">
        <v>36</v>
      </c>
      <c r="P5" s="3" t="s">
        <v>12</v>
      </c>
      <c r="Q5" s="3" t="s">
        <v>256</v>
      </c>
      <c r="R5" s="3" t="s">
        <v>257</v>
      </c>
      <c r="S5" s="3" t="s">
        <v>2</v>
      </c>
      <c r="T5" s="15"/>
    </row>
    <row r="6" spans="1:21">
      <c r="A6" s="69"/>
      <c r="B6" s="301"/>
      <c r="C6" s="301"/>
      <c r="D6" s="301"/>
      <c r="E6" s="301"/>
      <c r="F6" s="301"/>
      <c r="G6" s="301"/>
      <c r="H6" s="301"/>
      <c r="I6" s="301"/>
      <c r="J6" s="301"/>
      <c r="K6" s="301"/>
      <c r="L6" s="61"/>
      <c r="M6" s="61"/>
      <c r="N6" s="301"/>
      <c r="O6" s="62"/>
      <c r="P6" s="62"/>
      <c r="Q6" s="62"/>
      <c r="R6" s="62"/>
      <c r="S6" s="62"/>
      <c r="T6" s="62"/>
      <c r="U6" s="62"/>
    </row>
    <row r="14" spans="1:21">
      <c r="A14" s="374" t="s">
        <v>4045</v>
      </c>
      <c r="B14" s="357" t="s">
        <v>4035</v>
      </c>
      <c r="C14" s="357" t="s">
        <v>4057</v>
      </c>
      <c r="D14" s="42" t="s">
        <v>16</v>
      </c>
      <c r="E14" s="357" t="s">
        <v>4044</v>
      </c>
      <c r="F14" s="357">
        <v>1120</v>
      </c>
      <c r="G14" s="357"/>
      <c r="H14" s="357">
        <v>15000</v>
      </c>
      <c r="I14" s="357">
        <v>300</v>
      </c>
      <c r="J14" s="357">
        <v>0.13</v>
      </c>
      <c r="K14" s="43">
        <f t="shared" ref="K14:K17" si="0">I14*J14</f>
        <v>39</v>
      </c>
      <c r="L14" s="43">
        <f t="shared" ref="L14:L17" si="1">H14-K14</f>
        <v>14961</v>
      </c>
      <c r="M14" s="43"/>
      <c r="N14" s="43">
        <f t="shared" ref="N14:N17" si="2">L14-M14</f>
        <v>14961</v>
      </c>
      <c r="O14" s="43">
        <f t="shared" ref="O14:O17" si="3">H14/1000*70</f>
        <v>1050</v>
      </c>
      <c r="P14" s="42">
        <v>10500</v>
      </c>
      <c r="Q14" s="42"/>
      <c r="R14" s="42">
        <f t="shared" ref="R14:R17" si="4">L14*Q14</f>
        <v>0</v>
      </c>
    </row>
    <row r="15" spans="1:21">
      <c r="A15" s="374"/>
      <c r="B15" s="357" t="s">
        <v>4035</v>
      </c>
      <c r="C15" s="357" t="s">
        <v>4057</v>
      </c>
      <c r="D15" s="42" t="s">
        <v>16</v>
      </c>
      <c r="E15" s="357" t="s">
        <v>4058</v>
      </c>
      <c r="F15" s="357">
        <v>1121</v>
      </c>
      <c r="G15" s="357"/>
      <c r="H15" s="357">
        <v>15000</v>
      </c>
      <c r="I15" s="357">
        <v>300</v>
      </c>
      <c r="J15" s="357">
        <v>0.13</v>
      </c>
      <c r="K15" s="43">
        <f t="shared" si="0"/>
        <v>39</v>
      </c>
      <c r="L15" s="43">
        <f t="shared" si="1"/>
        <v>14961</v>
      </c>
      <c r="M15" s="43"/>
      <c r="N15" s="43">
        <f t="shared" si="2"/>
        <v>14961</v>
      </c>
      <c r="O15" s="43">
        <f t="shared" si="3"/>
        <v>1050</v>
      </c>
      <c r="P15" s="42">
        <v>10500</v>
      </c>
      <c r="Q15" s="42"/>
      <c r="R15" s="42">
        <f t="shared" si="4"/>
        <v>0</v>
      </c>
    </row>
    <row r="16" spans="1:21">
      <c r="A16" s="374"/>
      <c r="B16" s="357" t="s">
        <v>4035</v>
      </c>
      <c r="C16" s="357" t="s">
        <v>4057</v>
      </c>
      <c r="D16" s="42" t="s">
        <v>16</v>
      </c>
      <c r="E16" s="357" t="s">
        <v>4059</v>
      </c>
      <c r="F16" s="357">
        <v>1123</v>
      </c>
      <c r="G16" s="357"/>
      <c r="H16" s="357">
        <v>14970</v>
      </c>
      <c r="I16" s="357">
        <v>300</v>
      </c>
      <c r="J16" s="357">
        <v>0.13</v>
      </c>
      <c r="K16" s="43">
        <f t="shared" si="0"/>
        <v>39</v>
      </c>
      <c r="L16" s="43">
        <f t="shared" si="1"/>
        <v>14931</v>
      </c>
      <c r="M16" s="43"/>
      <c r="N16" s="43">
        <f t="shared" si="2"/>
        <v>14931</v>
      </c>
      <c r="O16" s="43">
        <f t="shared" si="3"/>
        <v>1047.9000000000001</v>
      </c>
      <c r="P16" s="42">
        <v>10500</v>
      </c>
      <c r="Q16" s="42"/>
      <c r="R16" s="42">
        <f t="shared" si="4"/>
        <v>0</v>
      </c>
    </row>
    <row r="17" spans="1:18">
      <c r="A17" s="374"/>
      <c r="B17" s="357" t="s">
        <v>4035</v>
      </c>
      <c r="C17" s="357" t="s">
        <v>4057</v>
      </c>
      <c r="D17" s="42" t="s">
        <v>16</v>
      </c>
      <c r="E17" s="357" t="s">
        <v>4060</v>
      </c>
      <c r="F17" s="357">
        <v>1122</v>
      </c>
      <c r="G17" s="357"/>
      <c r="H17" s="357">
        <v>15000</v>
      </c>
      <c r="I17" s="357">
        <v>300</v>
      </c>
      <c r="J17" s="357">
        <v>0.13</v>
      </c>
      <c r="K17" s="43">
        <f t="shared" si="0"/>
        <v>39</v>
      </c>
      <c r="L17" s="43">
        <f t="shared" si="1"/>
        <v>14961</v>
      </c>
      <c r="M17" s="43"/>
      <c r="N17" s="43">
        <f t="shared" si="2"/>
        <v>14961</v>
      </c>
      <c r="O17" s="43">
        <f t="shared" si="3"/>
        <v>1050</v>
      </c>
      <c r="P17" s="42">
        <v>10500</v>
      </c>
      <c r="Q17" s="42"/>
      <c r="R17" s="42">
        <f t="shared" si="4"/>
        <v>0</v>
      </c>
    </row>
  </sheetData>
  <mergeCells count="1">
    <mergeCell ref="A14:A17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5:U23"/>
  <sheetViews>
    <sheetView topLeftCell="A7" workbookViewId="0">
      <selection activeCell="R28" sqref="R28"/>
    </sheetView>
  </sheetViews>
  <sheetFormatPr defaultRowHeight="14.4"/>
  <cols>
    <col min="1" max="1" width="8.88671875" style="1"/>
    <col min="2" max="2" width="13.88671875" style="1" customWidth="1"/>
    <col min="3" max="3" width="8.88671875" style="1"/>
    <col min="4" max="4" width="5.5546875" style="1" customWidth="1"/>
    <col min="5" max="5" width="9.7773437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258</v>
      </c>
    </row>
    <row r="6" spans="1:21">
      <c r="A6" s="7" t="s">
        <v>76</v>
      </c>
      <c r="B6" s="2" t="s">
        <v>90</v>
      </c>
      <c r="C6" s="2" t="s">
        <v>91</v>
      </c>
      <c r="D6" s="2" t="s">
        <v>16</v>
      </c>
      <c r="E6" s="2" t="s">
        <v>92</v>
      </c>
      <c r="F6" s="2">
        <v>28955</v>
      </c>
      <c r="G6" s="2"/>
      <c r="H6" s="2">
        <v>15540</v>
      </c>
      <c r="I6" s="2">
        <v>341</v>
      </c>
      <c r="J6" s="2">
        <v>0.13</v>
      </c>
      <c r="K6" s="2">
        <f t="shared" ref="K6:K18" si="0">I6*J6</f>
        <v>44.33</v>
      </c>
      <c r="L6" s="5">
        <f t="shared" ref="L6:L18" si="1">H6-K6</f>
        <v>15495.67</v>
      </c>
      <c r="M6" s="5">
        <f t="shared" ref="M6:M18" si="2">H6/1000*70</f>
        <v>1087.8</v>
      </c>
      <c r="N6" s="2">
        <v>29000</v>
      </c>
      <c r="Q6" s="1" t="s">
        <v>74</v>
      </c>
      <c r="R6" s="1">
        <v>128</v>
      </c>
      <c r="S6" s="1">
        <v>100000</v>
      </c>
      <c r="T6" s="1" t="s">
        <v>81</v>
      </c>
      <c r="U6" s="17">
        <v>16</v>
      </c>
    </row>
    <row r="7" spans="1:21">
      <c r="A7" s="8" t="s">
        <v>99</v>
      </c>
      <c r="B7" s="2" t="s">
        <v>90</v>
      </c>
      <c r="C7" s="2" t="s">
        <v>91</v>
      </c>
      <c r="D7" s="2" t="s">
        <v>16</v>
      </c>
      <c r="E7" s="2" t="s">
        <v>106</v>
      </c>
      <c r="F7" s="2">
        <v>0</v>
      </c>
      <c r="G7" s="2"/>
      <c r="H7" s="2">
        <v>15205</v>
      </c>
      <c r="I7" s="2">
        <v>282</v>
      </c>
      <c r="J7" s="2">
        <v>0.13</v>
      </c>
      <c r="K7" s="2">
        <f t="shared" si="0"/>
        <v>36.660000000000004</v>
      </c>
      <c r="L7" s="5">
        <f t="shared" si="1"/>
        <v>15168.34</v>
      </c>
      <c r="M7" s="5">
        <f t="shared" si="2"/>
        <v>1064.3499999999999</v>
      </c>
      <c r="N7" s="2"/>
    </row>
    <row r="8" spans="1:21">
      <c r="A8" s="8" t="s">
        <v>112</v>
      </c>
      <c r="B8" s="2" t="s">
        <v>90</v>
      </c>
      <c r="C8" s="2" t="s">
        <v>91</v>
      </c>
      <c r="D8" s="2" t="s">
        <v>16</v>
      </c>
      <c r="E8" s="2" t="s">
        <v>113</v>
      </c>
      <c r="F8" s="2">
        <v>0</v>
      </c>
      <c r="G8" s="2"/>
      <c r="H8" s="2">
        <v>15660</v>
      </c>
      <c r="I8" s="2">
        <v>295</v>
      </c>
      <c r="J8" s="2">
        <v>0.13</v>
      </c>
      <c r="K8" s="2">
        <f t="shared" si="0"/>
        <v>38.35</v>
      </c>
      <c r="L8" s="5">
        <f t="shared" si="1"/>
        <v>15621.65</v>
      </c>
      <c r="M8" s="5">
        <f t="shared" si="2"/>
        <v>1096.2</v>
      </c>
      <c r="N8" s="2">
        <v>0</v>
      </c>
    </row>
    <row r="9" spans="1:21">
      <c r="A9" s="9" t="s">
        <v>81</v>
      </c>
      <c r="B9" s="2" t="s">
        <v>90</v>
      </c>
      <c r="C9" s="2" t="s">
        <v>91</v>
      </c>
      <c r="D9" s="2" t="s">
        <v>16</v>
      </c>
      <c r="E9" s="2" t="s">
        <v>120</v>
      </c>
      <c r="F9" s="2">
        <v>0</v>
      </c>
      <c r="G9" s="2"/>
      <c r="H9" s="2">
        <v>16390</v>
      </c>
      <c r="I9" s="2">
        <v>308</v>
      </c>
      <c r="J9" s="2">
        <v>0.13</v>
      </c>
      <c r="K9" s="2">
        <f t="shared" si="0"/>
        <v>40.04</v>
      </c>
      <c r="L9" s="5">
        <f t="shared" si="1"/>
        <v>16349.96</v>
      </c>
      <c r="M9" s="5">
        <f t="shared" si="2"/>
        <v>1147.3</v>
      </c>
      <c r="N9" s="2">
        <v>30200</v>
      </c>
    </row>
    <row r="10" spans="1:21">
      <c r="A10" s="376" t="s">
        <v>129</v>
      </c>
      <c r="B10" s="2" t="s">
        <v>90</v>
      </c>
      <c r="C10" s="2" t="s">
        <v>91</v>
      </c>
      <c r="D10" s="2" t="s">
        <v>16</v>
      </c>
      <c r="E10" s="2" t="s">
        <v>130</v>
      </c>
      <c r="F10" s="2">
        <v>0</v>
      </c>
      <c r="G10" s="2"/>
      <c r="H10" s="2">
        <v>15715</v>
      </c>
      <c r="I10" s="2">
        <v>296</v>
      </c>
      <c r="J10" s="2">
        <v>0.13</v>
      </c>
      <c r="K10" s="5">
        <f t="shared" si="0"/>
        <v>38.480000000000004</v>
      </c>
      <c r="L10" s="5">
        <f t="shared" si="1"/>
        <v>15676.52</v>
      </c>
      <c r="M10" s="5">
        <f t="shared" si="2"/>
        <v>1100.05</v>
      </c>
      <c r="N10" s="2">
        <v>30000</v>
      </c>
    </row>
    <row r="11" spans="1:21">
      <c r="A11" s="376"/>
      <c r="B11" s="2" t="s">
        <v>90</v>
      </c>
      <c r="C11" s="2" t="s">
        <v>91</v>
      </c>
      <c r="D11" s="2" t="s">
        <v>16</v>
      </c>
      <c r="E11" s="2" t="s">
        <v>131</v>
      </c>
      <c r="F11" s="2">
        <v>0</v>
      </c>
      <c r="G11" s="2"/>
      <c r="H11" s="2">
        <v>16385</v>
      </c>
      <c r="I11" s="5">
        <f>H11/53</f>
        <v>309.15094339622641</v>
      </c>
      <c r="J11" s="2">
        <v>0.13</v>
      </c>
      <c r="K11" s="5">
        <f t="shared" si="0"/>
        <v>40.189622641509438</v>
      </c>
      <c r="L11" s="5">
        <f t="shared" si="1"/>
        <v>16344.81037735849</v>
      </c>
      <c r="M11" s="5">
        <f t="shared" si="2"/>
        <v>1146.95</v>
      </c>
      <c r="N11" s="2">
        <v>34000</v>
      </c>
    </row>
    <row r="12" spans="1:21">
      <c r="A12" s="376"/>
      <c r="B12" s="2" t="s">
        <v>90</v>
      </c>
      <c r="C12" s="2" t="s">
        <v>91</v>
      </c>
      <c r="D12" s="2" t="s">
        <v>16</v>
      </c>
      <c r="E12" s="2" t="s">
        <v>132</v>
      </c>
      <c r="F12" s="2">
        <v>0</v>
      </c>
      <c r="G12" s="2"/>
      <c r="H12" s="2">
        <v>15845</v>
      </c>
      <c r="I12" s="5">
        <f>H12/53</f>
        <v>298.96226415094338</v>
      </c>
      <c r="J12" s="2">
        <v>0.13</v>
      </c>
      <c r="K12" s="5">
        <f t="shared" si="0"/>
        <v>38.865094339622644</v>
      </c>
      <c r="L12" s="5">
        <f t="shared" si="1"/>
        <v>15806.134905660378</v>
      </c>
      <c r="M12" s="5">
        <f t="shared" si="2"/>
        <v>1109.1500000000001</v>
      </c>
      <c r="N12" s="2">
        <v>30000</v>
      </c>
    </row>
    <row r="13" spans="1:21">
      <c r="A13" s="376"/>
      <c r="B13" s="2" t="s">
        <v>90</v>
      </c>
      <c r="C13" s="2" t="s">
        <v>91</v>
      </c>
      <c r="D13" s="2" t="s">
        <v>16</v>
      </c>
      <c r="E13" s="2" t="s">
        <v>133</v>
      </c>
      <c r="F13" s="2">
        <v>0</v>
      </c>
      <c r="G13" s="2"/>
      <c r="H13" s="2">
        <v>16080</v>
      </c>
      <c r="I13" s="5">
        <f>H13/53</f>
        <v>303.39622641509436</v>
      </c>
      <c r="J13" s="2">
        <v>0.13</v>
      </c>
      <c r="K13" s="5">
        <f t="shared" si="0"/>
        <v>39.441509433962267</v>
      </c>
      <c r="L13" s="5">
        <f t="shared" si="1"/>
        <v>16040.558490566038</v>
      </c>
      <c r="M13" s="5">
        <f t="shared" si="2"/>
        <v>1125.5999999999999</v>
      </c>
      <c r="N13" s="2">
        <v>30000</v>
      </c>
      <c r="Q13" s="1" t="s">
        <v>151</v>
      </c>
      <c r="R13" s="1">
        <v>134</v>
      </c>
      <c r="S13" s="1">
        <v>150000</v>
      </c>
      <c r="T13" s="1" t="s">
        <v>86</v>
      </c>
      <c r="U13" s="17">
        <v>16</v>
      </c>
    </row>
    <row r="14" spans="1:21">
      <c r="A14" s="30" t="s">
        <v>151</v>
      </c>
      <c r="B14" s="2" t="s">
        <v>90</v>
      </c>
      <c r="C14" s="2" t="s">
        <v>91</v>
      </c>
      <c r="D14" s="2" t="s">
        <v>16</v>
      </c>
      <c r="E14" s="2" t="s">
        <v>164</v>
      </c>
      <c r="F14" s="2"/>
      <c r="G14" s="2"/>
      <c r="H14" s="2">
        <v>15520</v>
      </c>
      <c r="I14" s="2">
        <v>290</v>
      </c>
      <c r="J14" s="2">
        <v>0.13</v>
      </c>
      <c r="K14" s="5">
        <f t="shared" si="0"/>
        <v>37.700000000000003</v>
      </c>
      <c r="L14" s="19">
        <f t="shared" si="1"/>
        <v>15482.3</v>
      </c>
      <c r="M14" s="5">
        <f t="shared" si="2"/>
        <v>1086.3999999999999</v>
      </c>
      <c r="N14" s="2">
        <v>30000</v>
      </c>
    </row>
    <row r="15" spans="1:21">
      <c r="A15" s="375" t="s">
        <v>250</v>
      </c>
      <c r="B15" s="2" t="s">
        <v>90</v>
      </c>
      <c r="C15" s="2" t="s">
        <v>91</v>
      </c>
      <c r="D15" s="2" t="s">
        <v>16</v>
      </c>
      <c r="E15" s="2" t="s">
        <v>113</v>
      </c>
      <c r="F15" s="2">
        <v>7</v>
      </c>
      <c r="G15" s="2"/>
      <c r="H15" s="2">
        <v>15870</v>
      </c>
      <c r="I15" s="2">
        <v>300</v>
      </c>
      <c r="J15" s="2">
        <v>0.13</v>
      </c>
      <c r="K15" s="5">
        <f t="shared" si="0"/>
        <v>39</v>
      </c>
      <c r="L15" s="19">
        <f t="shared" si="1"/>
        <v>15831</v>
      </c>
      <c r="M15" s="5">
        <f t="shared" si="2"/>
        <v>1110.8999999999999</v>
      </c>
      <c r="N15" s="29">
        <v>30000</v>
      </c>
    </row>
    <row r="16" spans="1:21">
      <c r="A16" s="375"/>
      <c r="B16" s="2" t="s">
        <v>90</v>
      </c>
      <c r="C16" s="2" t="s">
        <v>91</v>
      </c>
      <c r="D16" s="2" t="s">
        <v>16</v>
      </c>
      <c r="E16" s="2" t="s">
        <v>255</v>
      </c>
      <c r="F16" s="2">
        <v>8</v>
      </c>
      <c r="G16" s="2"/>
      <c r="H16" s="2">
        <v>15695</v>
      </c>
      <c r="I16" s="2">
        <v>296</v>
      </c>
      <c r="J16" s="2">
        <v>0.13</v>
      </c>
      <c r="K16" s="5">
        <f t="shared" si="0"/>
        <v>38.480000000000004</v>
      </c>
      <c r="L16" s="19">
        <f t="shared" si="1"/>
        <v>15656.52</v>
      </c>
      <c r="M16" s="5">
        <f t="shared" si="2"/>
        <v>1098.6500000000001</v>
      </c>
      <c r="N16" s="29">
        <v>30000</v>
      </c>
    </row>
    <row r="17" spans="1:17">
      <c r="A17" s="386" t="s">
        <v>267</v>
      </c>
      <c r="B17" s="2" t="s">
        <v>90</v>
      </c>
      <c r="C17" s="2" t="s">
        <v>91</v>
      </c>
      <c r="D17" s="2" t="s">
        <v>16</v>
      </c>
      <c r="E17" s="2" t="s">
        <v>113</v>
      </c>
      <c r="F17" s="2">
        <v>9</v>
      </c>
      <c r="G17" s="2"/>
      <c r="H17" s="2">
        <v>14930</v>
      </c>
      <c r="I17" s="2">
        <v>282</v>
      </c>
      <c r="J17" s="2">
        <v>0.13</v>
      </c>
      <c r="K17" s="5">
        <f t="shared" si="0"/>
        <v>36.660000000000004</v>
      </c>
      <c r="L17" s="19">
        <f t="shared" si="1"/>
        <v>14893.34</v>
      </c>
      <c r="M17" s="5">
        <f t="shared" si="2"/>
        <v>1045.0999999999999</v>
      </c>
      <c r="N17" s="2">
        <v>30000</v>
      </c>
      <c r="O17" s="2">
        <v>16</v>
      </c>
      <c r="P17" s="2">
        <f t="shared" ref="P17:P18" si="3">L17*O17</f>
        <v>238293.44</v>
      </c>
    </row>
    <row r="18" spans="1:17">
      <c r="A18" s="374"/>
      <c r="B18" s="2" t="s">
        <v>90</v>
      </c>
      <c r="C18" s="2" t="s">
        <v>91</v>
      </c>
      <c r="D18" s="2" t="s">
        <v>16</v>
      </c>
      <c r="E18" s="2" t="s">
        <v>106</v>
      </c>
      <c r="F18" s="2">
        <v>10</v>
      </c>
      <c r="G18" s="2"/>
      <c r="H18" s="2">
        <v>14885</v>
      </c>
      <c r="I18" s="2">
        <v>280</v>
      </c>
      <c r="J18" s="2">
        <v>0.13</v>
      </c>
      <c r="K18" s="5">
        <f t="shared" si="0"/>
        <v>36.4</v>
      </c>
      <c r="L18" s="19">
        <f t="shared" si="1"/>
        <v>14848.6</v>
      </c>
      <c r="M18" s="5">
        <f t="shared" si="2"/>
        <v>1041.95</v>
      </c>
      <c r="N18" s="2">
        <v>30000</v>
      </c>
      <c r="O18" s="2">
        <v>16</v>
      </c>
      <c r="P18" s="2">
        <f t="shared" si="3"/>
        <v>237577.60000000001</v>
      </c>
    </row>
    <row r="20" spans="1:17">
      <c r="L20" s="16">
        <f>SUM(L6:L19)</f>
        <v>203215.4037735849</v>
      </c>
    </row>
    <row r="23" spans="1:17">
      <c r="A23" s="1" t="s">
        <v>389</v>
      </c>
      <c r="B23" s="42" t="s">
        <v>390</v>
      </c>
      <c r="C23" s="42" t="s">
        <v>91</v>
      </c>
      <c r="D23" s="42" t="s">
        <v>16</v>
      </c>
      <c r="E23" s="42" t="s">
        <v>113</v>
      </c>
      <c r="F23" s="42">
        <v>0</v>
      </c>
      <c r="G23" s="42"/>
      <c r="H23" s="42">
        <v>16060</v>
      </c>
      <c r="I23" s="42">
        <v>303</v>
      </c>
      <c r="J23" s="42">
        <v>0.13</v>
      </c>
      <c r="K23" s="42">
        <f t="shared" ref="K23" si="4">I23*J23</f>
        <v>39.39</v>
      </c>
      <c r="L23" s="43">
        <f t="shared" ref="L23" si="5">H23-K23</f>
        <v>16020.61</v>
      </c>
      <c r="M23" s="43">
        <f t="shared" ref="M23" si="6">H23/1000*70</f>
        <v>1124.1999999999998</v>
      </c>
      <c r="N23" s="42">
        <v>30000</v>
      </c>
      <c r="O23" s="42"/>
      <c r="P23" s="42">
        <f t="shared" ref="P23" si="7">L23*O23</f>
        <v>0</v>
      </c>
      <c r="Q23" s="42"/>
    </row>
  </sheetData>
  <mergeCells count="3">
    <mergeCell ref="A10:A13"/>
    <mergeCell ref="A15:A16"/>
    <mergeCell ref="A17:A18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5:U26"/>
  <sheetViews>
    <sheetView workbookViewId="0">
      <selection activeCell="A20" sqref="A20"/>
    </sheetView>
  </sheetViews>
  <sheetFormatPr defaultRowHeight="14.4"/>
  <cols>
    <col min="1" max="1" width="8.88671875" style="1"/>
    <col min="2" max="2" width="17.21875" style="1" customWidth="1"/>
    <col min="3" max="3" width="8.88671875" style="1"/>
    <col min="4" max="4" width="5.5546875" style="1" customWidth="1"/>
    <col min="5" max="5" width="9.7773437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0.399999999999999">
      <c r="A5" s="58" t="s">
        <v>3</v>
      </c>
      <c r="B5" s="58" t="s">
        <v>4</v>
      </c>
      <c r="C5" s="58" t="s">
        <v>5</v>
      </c>
      <c r="D5" s="58" t="s">
        <v>6</v>
      </c>
      <c r="E5" s="58" t="s">
        <v>37</v>
      </c>
      <c r="F5" s="59" t="s">
        <v>7</v>
      </c>
      <c r="G5" s="58" t="s">
        <v>8</v>
      </c>
      <c r="H5" s="58" t="s">
        <v>9</v>
      </c>
      <c r="I5" s="58" t="s">
        <v>10</v>
      </c>
      <c r="J5" s="59" t="s">
        <v>18</v>
      </c>
      <c r="K5" s="59" t="s">
        <v>17</v>
      </c>
      <c r="L5" s="58" t="s">
        <v>11</v>
      </c>
      <c r="M5" s="59" t="s">
        <v>36</v>
      </c>
      <c r="N5" s="58" t="s">
        <v>12</v>
      </c>
      <c r="O5" s="58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258</v>
      </c>
    </row>
    <row r="6" spans="1:21">
      <c r="A6" s="79" t="s">
        <v>428</v>
      </c>
      <c r="B6" s="42" t="s">
        <v>429</v>
      </c>
      <c r="C6" s="42" t="s">
        <v>91</v>
      </c>
      <c r="D6" s="42" t="s">
        <v>16</v>
      </c>
      <c r="E6" s="42" t="s">
        <v>430</v>
      </c>
      <c r="F6" s="42">
        <v>477</v>
      </c>
      <c r="G6" s="42"/>
      <c r="H6" s="42">
        <v>15350</v>
      </c>
      <c r="I6" s="42">
        <v>284</v>
      </c>
      <c r="J6" s="42">
        <v>0</v>
      </c>
      <c r="K6" s="42">
        <f t="shared" ref="K6" si="0">I6*J6</f>
        <v>0</v>
      </c>
      <c r="L6" s="43">
        <f t="shared" ref="L6" si="1">H6-K6</f>
        <v>15350</v>
      </c>
      <c r="M6" s="43">
        <f t="shared" ref="M6" si="2">H6/1000*70</f>
        <v>1074.5</v>
      </c>
      <c r="N6" s="42">
        <v>15500</v>
      </c>
      <c r="O6" s="42"/>
      <c r="P6" s="42">
        <f t="shared" ref="P6" si="3">L6*O6</f>
        <v>0</v>
      </c>
      <c r="Q6" s="42"/>
      <c r="R6" s="80"/>
      <c r="S6" s="80"/>
      <c r="T6" s="80"/>
      <c r="U6" s="81"/>
    </row>
    <row r="7" spans="1:21">
      <c r="A7" s="69"/>
      <c r="B7" s="60"/>
      <c r="C7" s="60"/>
      <c r="D7" s="60"/>
      <c r="E7" s="60"/>
      <c r="F7" s="60"/>
      <c r="G7" s="60"/>
      <c r="H7" s="60"/>
      <c r="I7" s="60"/>
      <c r="J7" s="60"/>
      <c r="K7" s="60"/>
      <c r="L7" s="61"/>
      <c r="M7" s="61"/>
      <c r="N7" s="60"/>
      <c r="O7" s="62"/>
      <c r="P7" s="62"/>
      <c r="Q7" s="62"/>
      <c r="R7" s="62"/>
      <c r="S7" s="62"/>
      <c r="T7" s="62"/>
      <c r="U7" s="62"/>
    </row>
    <row r="8" spans="1:21">
      <c r="A8" s="69" t="s">
        <v>431</v>
      </c>
      <c r="B8" s="42" t="s">
        <v>429</v>
      </c>
      <c r="C8" s="42" t="s">
        <v>91</v>
      </c>
      <c r="D8" s="42" t="s">
        <v>16</v>
      </c>
      <c r="E8" s="42" t="s">
        <v>433</v>
      </c>
      <c r="F8" s="42">
        <v>476</v>
      </c>
      <c r="G8" s="42"/>
      <c r="H8" s="42">
        <v>15380</v>
      </c>
      <c r="I8" s="42">
        <v>285</v>
      </c>
      <c r="J8" s="42"/>
      <c r="K8" s="42">
        <f t="shared" ref="K8:K15" si="4">I8*J8</f>
        <v>0</v>
      </c>
      <c r="L8" s="43">
        <f t="shared" ref="L8:L15" si="5">H8-K8</f>
        <v>15380</v>
      </c>
      <c r="M8" s="43">
        <f t="shared" ref="M8:M13" si="6">H8/1000*70</f>
        <v>1076.6000000000001</v>
      </c>
      <c r="N8" s="42">
        <v>17000</v>
      </c>
      <c r="O8" s="42"/>
      <c r="P8" s="42"/>
      <c r="Q8" s="62"/>
      <c r="R8" s="62"/>
      <c r="S8" s="62"/>
      <c r="T8" s="62"/>
      <c r="U8" s="62"/>
    </row>
    <row r="9" spans="1:21">
      <c r="A9" s="69" t="s">
        <v>448</v>
      </c>
      <c r="B9" s="42" t="s">
        <v>429</v>
      </c>
      <c r="C9" s="42" t="s">
        <v>91</v>
      </c>
      <c r="D9" s="42" t="s">
        <v>16</v>
      </c>
      <c r="E9" s="42" t="s">
        <v>451</v>
      </c>
      <c r="F9" s="42">
        <v>186</v>
      </c>
      <c r="G9" s="42"/>
      <c r="H9" s="42">
        <v>15980</v>
      </c>
      <c r="I9" s="42">
        <v>302</v>
      </c>
      <c r="J9" s="42"/>
      <c r="K9" s="42">
        <f t="shared" si="4"/>
        <v>0</v>
      </c>
      <c r="L9" s="43">
        <f t="shared" si="5"/>
        <v>15980</v>
      </c>
      <c r="M9" s="43">
        <f t="shared" si="6"/>
        <v>1118.6000000000001</v>
      </c>
      <c r="N9" s="42">
        <v>19000</v>
      </c>
      <c r="O9" s="62"/>
      <c r="P9" s="62" t="s">
        <v>519</v>
      </c>
      <c r="Q9" s="62" t="s">
        <v>446</v>
      </c>
      <c r="R9" s="62">
        <v>172</v>
      </c>
      <c r="S9" s="62">
        <v>40000</v>
      </c>
      <c r="T9" s="62" t="s">
        <v>518</v>
      </c>
      <c r="U9" s="62">
        <v>20.75</v>
      </c>
    </row>
    <row r="10" spans="1:21">
      <c r="A10" s="69" t="s">
        <v>452</v>
      </c>
      <c r="B10" s="42" t="s">
        <v>531</v>
      </c>
      <c r="C10" s="42" t="s">
        <v>91</v>
      </c>
      <c r="D10" s="42" t="s">
        <v>16</v>
      </c>
      <c r="E10" s="42" t="s">
        <v>454</v>
      </c>
      <c r="F10" s="42">
        <v>459</v>
      </c>
      <c r="G10" s="42"/>
      <c r="H10" s="42">
        <v>14870</v>
      </c>
      <c r="I10" s="42">
        <v>280</v>
      </c>
      <c r="J10" s="42"/>
      <c r="K10" s="42">
        <f t="shared" si="4"/>
        <v>0</v>
      </c>
      <c r="L10" s="43">
        <f t="shared" si="5"/>
        <v>14870</v>
      </c>
      <c r="M10" s="43">
        <f t="shared" si="6"/>
        <v>1040.8999999999999</v>
      </c>
      <c r="N10" s="42">
        <v>15500</v>
      </c>
      <c r="O10" s="42"/>
      <c r="P10" s="62" t="s">
        <v>456</v>
      </c>
      <c r="Q10" s="62"/>
      <c r="R10" s="62"/>
      <c r="S10" s="62"/>
      <c r="T10" s="62"/>
      <c r="U10" s="62"/>
    </row>
    <row r="11" spans="1:21">
      <c r="A11" s="69" t="s">
        <v>457</v>
      </c>
      <c r="B11" s="42" t="s">
        <v>429</v>
      </c>
      <c r="C11" s="42" t="s">
        <v>91</v>
      </c>
      <c r="D11" s="42" t="s">
        <v>16</v>
      </c>
      <c r="E11" s="42" t="s">
        <v>458</v>
      </c>
      <c r="F11" s="42">
        <v>187</v>
      </c>
      <c r="G11" s="42"/>
      <c r="H11" s="42">
        <v>16120</v>
      </c>
      <c r="I11" s="42">
        <v>304</v>
      </c>
      <c r="J11" s="42">
        <v>0.13</v>
      </c>
      <c r="K11" s="42">
        <f t="shared" si="4"/>
        <v>39.520000000000003</v>
      </c>
      <c r="L11" s="43">
        <f t="shared" si="5"/>
        <v>16080.48</v>
      </c>
      <c r="M11" s="43">
        <f t="shared" si="6"/>
        <v>1128.4000000000001</v>
      </c>
      <c r="N11" s="42">
        <v>19000</v>
      </c>
      <c r="O11" s="42"/>
      <c r="P11" s="62"/>
      <c r="Q11" s="62"/>
      <c r="R11" s="62"/>
      <c r="S11" s="62"/>
      <c r="T11" s="62"/>
      <c r="U11" s="62"/>
    </row>
    <row r="12" spans="1:21">
      <c r="A12" s="69" t="s">
        <v>483</v>
      </c>
      <c r="B12" s="42" t="s">
        <v>429</v>
      </c>
      <c r="C12" s="42" t="s">
        <v>91</v>
      </c>
      <c r="D12" s="42" t="s">
        <v>16</v>
      </c>
      <c r="E12" s="42" t="s">
        <v>485</v>
      </c>
      <c r="F12" s="42">
        <v>190</v>
      </c>
      <c r="G12" s="42"/>
      <c r="H12" s="42">
        <v>15410</v>
      </c>
      <c r="I12" s="42">
        <v>290</v>
      </c>
      <c r="J12" s="42"/>
      <c r="K12" s="43">
        <f t="shared" si="4"/>
        <v>0</v>
      </c>
      <c r="L12" s="43">
        <f t="shared" si="5"/>
        <v>15410</v>
      </c>
      <c r="M12" s="43">
        <f t="shared" si="6"/>
        <v>1078.7</v>
      </c>
      <c r="N12" s="42">
        <v>16800</v>
      </c>
      <c r="O12" s="42"/>
      <c r="P12" s="62"/>
      <c r="Q12" s="62"/>
      <c r="R12" s="62"/>
      <c r="S12" s="62"/>
      <c r="T12" s="62"/>
      <c r="U12" s="62"/>
    </row>
    <row r="13" spans="1:21">
      <c r="A13" s="69" t="s">
        <v>491</v>
      </c>
      <c r="B13" s="42" t="s">
        <v>429</v>
      </c>
      <c r="C13" s="42" t="s">
        <v>91</v>
      </c>
      <c r="D13" s="42" t="s">
        <v>16</v>
      </c>
      <c r="E13" s="42" t="s">
        <v>515</v>
      </c>
      <c r="F13" s="42">
        <v>191</v>
      </c>
      <c r="G13" s="42"/>
      <c r="H13" s="42">
        <v>15040</v>
      </c>
      <c r="I13" s="42">
        <v>284</v>
      </c>
      <c r="J13" s="42"/>
      <c r="K13" s="43">
        <f t="shared" si="4"/>
        <v>0</v>
      </c>
      <c r="L13" s="43">
        <f t="shared" si="5"/>
        <v>15040</v>
      </c>
      <c r="M13" s="43">
        <f t="shared" si="6"/>
        <v>1052.8</v>
      </c>
      <c r="N13" s="42">
        <v>17300</v>
      </c>
      <c r="O13" s="42"/>
      <c r="P13" s="42">
        <f t="shared" ref="P13" si="7">L13*O13</f>
        <v>0</v>
      </c>
      <c r="Q13" s="62"/>
      <c r="R13" s="62"/>
      <c r="S13" s="62"/>
      <c r="T13" s="62"/>
      <c r="U13" s="77"/>
    </row>
    <row r="14" spans="1:21">
      <c r="A14" s="69"/>
      <c r="B14" s="42"/>
      <c r="C14" s="42"/>
      <c r="D14" s="42"/>
      <c r="E14" s="42"/>
      <c r="F14" s="42"/>
      <c r="G14" s="42"/>
      <c r="H14" s="42"/>
      <c r="I14" s="42"/>
      <c r="J14" s="42"/>
      <c r="K14" s="43"/>
      <c r="L14" s="43"/>
      <c r="M14" s="43"/>
      <c r="N14" s="42"/>
      <c r="O14" s="42"/>
      <c r="P14" s="42"/>
      <c r="Q14" s="62"/>
      <c r="R14" s="62"/>
      <c r="S14" s="62"/>
      <c r="T14" s="62"/>
      <c r="U14" s="77"/>
    </row>
    <row r="15" spans="1:21">
      <c r="A15" s="78" t="s">
        <v>3292</v>
      </c>
      <c r="B15" s="42" t="s">
        <v>3289</v>
      </c>
      <c r="C15" s="42" t="s">
        <v>91</v>
      </c>
      <c r="D15" s="42" t="s">
        <v>16</v>
      </c>
      <c r="E15" s="47" t="s">
        <v>3300</v>
      </c>
      <c r="F15" s="47">
        <v>1561</v>
      </c>
      <c r="G15" s="47"/>
      <c r="H15" s="47">
        <v>15030</v>
      </c>
      <c r="I15" s="47">
        <v>280</v>
      </c>
      <c r="J15" s="47">
        <v>0.13</v>
      </c>
      <c r="K15" s="43">
        <f t="shared" si="4"/>
        <v>36.4</v>
      </c>
      <c r="L15" s="43">
        <f t="shared" si="5"/>
        <v>14993.6</v>
      </c>
      <c r="M15" s="43"/>
      <c r="N15" s="43">
        <f t="shared" ref="N15" si="8">L15-M15</f>
        <v>14993.6</v>
      </c>
      <c r="O15" s="43">
        <f t="shared" ref="O15" si="9">H15/1000*70</f>
        <v>1052.0999999999999</v>
      </c>
      <c r="P15" s="42">
        <v>12700</v>
      </c>
      <c r="Q15" s="42">
        <v>16.899999999999999</v>
      </c>
      <c r="R15" s="42">
        <f t="shared" ref="R15" si="10">L15*Q15</f>
        <v>253391.84</v>
      </c>
      <c r="S15" s="62"/>
      <c r="T15" s="62"/>
      <c r="U15" s="62"/>
    </row>
    <row r="16" spans="1:21">
      <c r="A16" s="63"/>
      <c r="B16" s="60"/>
      <c r="C16" s="60"/>
      <c r="D16" s="60"/>
      <c r="E16" s="60"/>
      <c r="F16" s="60"/>
      <c r="G16" s="60"/>
      <c r="H16" s="60"/>
      <c r="I16" s="60"/>
      <c r="J16" s="60"/>
      <c r="K16" s="61"/>
      <c r="L16" s="65"/>
      <c r="M16" s="61"/>
      <c r="N16" s="76"/>
      <c r="O16" s="62"/>
      <c r="P16" s="62"/>
      <c r="Q16" s="62"/>
      <c r="R16" s="62"/>
      <c r="S16" s="62"/>
      <c r="T16" s="62"/>
      <c r="U16" s="62"/>
    </row>
    <row r="17" spans="1:21">
      <c r="A17" s="78" t="s">
        <v>3404</v>
      </c>
      <c r="B17" s="42" t="s">
        <v>3378</v>
      </c>
      <c r="C17" s="42" t="s">
        <v>91</v>
      </c>
      <c r="D17" s="42" t="s">
        <v>16</v>
      </c>
      <c r="E17" s="47" t="s">
        <v>3405</v>
      </c>
      <c r="F17" s="47">
        <v>21</v>
      </c>
      <c r="G17" s="47"/>
      <c r="H17" s="47">
        <v>10100</v>
      </c>
      <c r="I17" s="47">
        <v>200</v>
      </c>
      <c r="J17" s="47"/>
      <c r="K17" s="43">
        <f t="shared" ref="K17" si="11">I17*J17</f>
        <v>0</v>
      </c>
      <c r="L17" s="43">
        <f t="shared" ref="L17" si="12">H17-K17</f>
        <v>10100</v>
      </c>
      <c r="M17" s="43"/>
      <c r="N17" s="43">
        <f t="shared" ref="N17" si="13">L17-M17</f>
        <v>10100</v>
      </c>
      <c r="O17" s="43">
        <v>0</v>
      </c>
      <c r="P17" s="42">
        <v>0</v>
      </c>
      <c r="Q17" s="42">
        <v>18</v>
      </c>
      <c r="R17" s="42">
        <f t="shared" ref="R17" si="14">L17*Q17</f>
        <v>181800</v>
      </c>
      <c r="S17" s="62"/>
      <c r="T17" s="62"/>
      <c r="U17" s="62"/>
    </row>
    <row r="18" spans="1:21">
      <c r="A18" s="63"/>
      <c r="B18" s="60"/>
      <c r="C18" s="60"/>
      <c r="D18" s="60"/>
      <c r="E18" s="60"/>
      <c r="F18" s="60"/>
      <c r="G18" s="60"/>
      <c r="H18" s="60"/>
      <c r="I18" s="60"/>
      <c r="J18" s="60"/>
      <c r="K18" s="61"/>
      <c r="L18" s="65"/>
      <c r="M18" s="61"/>
      <c r="N18" s="60"/>
      <c r="O18" s="60"/>
      <c r="P18" s="60"/>
      <c r="Q18" s="62"/>
      <c r="R18" s="62"/>
      <c r="S18" s="62"/>
      <c r="T18" s="62"/>
      <c r="U18" s="62"/>
    </row>
    <row r="19" spans="1:21">
      <c r="A19" s="63" t="s">
        <v>3590</v>
      </c>
      <c r="B19" s="42" t="s">
        <v>2999</v>
      </c>
      <c r="C19" s="42" t="s">
        <v>91</v>
      </c>
      <c r="D19" s="42" t="s">
        <v>16</v>
      </c>
      <c r="E19" s="47" t="s">
        <v>2740</v>
      </c>
      <c r="F19" s="47">
        <v>43</v>
      </c>
      <c r="G19" s="47"/>
      <c r="H19" s="47">
        <v>5930</v>
      </c>
      <c r="I19" s="47">
        <v>120</v>
      </c>
      <c r="J19" s="47"/>
      <c r="K19" s="43">
        <f t="shared" ref="K19" si="15">I19*J19</f>
        <v>0</v>
      </c>
      <c r="L19" s="43">
        <f t="shared" ref="L19" si="16">H19-K19</f>
        <v>5930</v>
      </c>
      <c r="M19" s="43"/>
      <c r="N19" s="43">
        <f t="shared" ref="N19" si="17">L19-M19</f>
        <v>5930</v>
      </c>
      <c r="O19" s="43">
        <v>0</v>
      </c>
      <c r="P19" s="42">
        <v>0</v>
      </c>
      <c r="Q19" s="42">
        <v>20</v>
      </c>
      <c r="R19" s="42">
        <f t="shared" ref="R19" si="18">L19*Q19</f>
        <v>118600</v>
      </c>
      <c r="S19" s="62"/>
      <c r="T19" s="62"/>
      <c r="U19" s="62"/>
    </row>
    <row r="20" spans="1:21">
      <c r="A20" s="62"/>
      <c r="B20" s="62"/>
      <c r="C20" s="62"/>
      <c r="D20" s="62"/>
      <c r="E20" s="62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</row>
    <row r="21" spans="1:21">
      <c r="A21" s="62"/>
      <c r="B21" s="62"/>
      <c r="C21" s="62"/>
      <c r="D21" s="62"/>
      <c r="E21" s="62"/>
      <c r="F21" s="62"/>
      <c r="G21" s="62"/>
      <c r="H21" s="62"/>
      <c r="I21" s="62"/>
      <c r="J21" s="62"/>
      <c r="K21" s="62"/>
      <c r="L21" s="66"/>
      <c r="M21" s="62"/>
      <c r="N21" s="62"/>
      <c r="O21" s="62"/>
      <c r="P21" s="62"/>
      <c r="Q21" s="62"/>
      <c r="R21" s="62"/>
      <c r="S21" s="62"/>
      <c r="T21" s="62"/>
      <c r="U21" s="62"/>
    </row>
    <row r="22" spans="1:21">
      <c r="A22" s="62"/>
      <c r="B22" s="62"/>
      <c r="C22" s="62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</row>
    <row r="23" spans="1:21">
      <c r="A23" s="62"/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</row>
    <row r="24" spans="1:21">
      <c r="A24" s="62"/>
      <c r="B24" s="67"/>
      <c r="C24" s="67"/>
      <c r="D24" s="67"/>
      <c r="E24" s="67"/>
      <c r="F24" s="67"/>
      <c r="G24" s="67"/>
      <c r="H24" s="67"/>
      <c r="I24" s="67"/>
      <c r="J24" s="67"/>
      <c r="K24" s="67"/>
      <c r="L24" s="68"/>
      <c r="M24" s="68"/>
      <c r="N24" s="67"/>
      <c r="O24" s="67"/>
      <c r="P24" s="67"/>
      <c r="Q24" s="67"/>
      <c r="R24" s="62"/>
      <c r="S24" s="62"/>
      <c r="T24" s="62"/>
      <c r="U24" s="62"/>
    </row>
    <row r="25" spans="1:21">
      <c r="A25" s="62"/>
      <c r="B25" s="62"/>
      <c r="C25" s="62"/>
      <c r="D25" s="62"/>
      <c r="E25" s="62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</row>
    <row r="26" spans="1:21">
      <c r="A26" s="62"/>
      <c r="B26" s="62"/>
      <c r="C26" s="62"/>
      <c r="D26" s="62"/>
      <c r="E26" s="62"/>
      <c r="F26" s="62"/>
      <c r="G26" s="62"/>
      <c r="H26" s="62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5:U21"/>
  <sheetViews>
    <sheetView workbookViewId="0">
      <selection activeCell="B13" sqref="B13"/>
    </sheetView>
  </sheetViews>
  <sheetFormatPr defaultRowHeight="14.4"/>
  <cols>
    <col min="1" max="1" width="8.88671875" style="1"/>
    <col min="2" max="2" width="17.21875" style="1" customWidth="1"/>
    <col min="3" max="3" width="8.88671875" style="1"/>
    <col min="4" max="4" width="5.5546875" style="1" customWidth="1"/>
    <col min="5" max="5" width="9.7773437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0.399999999999999">
      <c r="A5" s="58" t="s">
        <v>3</v>
      </c>
      <c r="B5" s="58" t="s">
        <v>4</v>
      </c>
      <c r="C5" s="58" t="s">
        <v>5</v>
      </c>
      <c r="D5" s="58" t="s">
        <v>6</v>
      </c>
      <c r="E5" s="58" t="s">
        <v>37</v>
      </c>
      <c r="F5" s="59" t="s">
        <v>7</v>
      </c>
      <c r="G5" s="58" t="s">
        <v>8</v>
      </c>
      <c r="H5" s="58" t="s">
        <v>9</v>
      </c>
      <c r="I5" s="58" t="s">
        <v>10</v>
      </c>
      <c r="J5" s="59" t="s">
        <v>18</v>
      </c>
      <c r="K5" s="59" t="s">
        <v>17</v>
      </c>
      <c r="L5" s="58" t="s">
        <v>11</v>
      </c>
      <c r="M5" s="59" t="s">
        <v>36</v>
      </c>
      <c r="N5" s="58" t="s">
        <v>12</v>
      </c>
      <c r="O5" s="58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258</v>
      </c>
    </row>
    <row r="6" spans="1:21">
      <c r="A6" s="69" t="s">
        <v>452</v>
      </c>
      <c r="B6" s="42" t="s">
        <v>531</v>
      </c>
      <c r="C6" s="42" t="s">
        <v>91</v>
      </c>
      <c r="D6" s="42" t="s">
        <v>16</v>
      </c>
      <c r="E6" s="42" t="s">
        <v>454</v>
      </c>
      <c r="F6" s="42">
        <v>459</v>
      </c>
      <c r="G6" s="42"/>
      <c r="H6" s="42">
        <v>14870</v>
      </c>
      <c r="I6" s="42">
        <v>280</v>
      </c>
      <c r="J6" s="42"/>
      <c r="K6" s="42">
        <f t="shared" ref="K6" si="0">I6*J6</f>
        <v>0</v>
      </c>
      <c r="L6" s="43">
        <f t="shared" ref="L6" si="1">H6-K6</f>
        <v>14870</v>
      </c>
      <c r="M6" s="43">
        <f t="shared" ref="M6" si="2">H6/1000*70</f>
        <v>1040.8999999999999</v>
      </c>
      <c r="N6" s="42">
        <v>15500</v>
      </c>
      <c r="O6" s="42"/>
      <c r="P6" s="62" t="s">
        <v>456</v>
      </c>
      <c r="Q6" s="62"/>
      <c r="R6" s="62"/>
      <c r="S6" s="62"/>
      <c r="T6" s="62"/>
      <c r="U6" s="62"/>
    </row>
    <row r="7" spans="1:21">
      <c r="A7" s="69"/>
      <c r="B7" s="42"/>
      <c r="C7" s="42"/>
      <c r="D7" s="42"/>
      <c r="E7" s="42"/>
      <c r="F7" s="42"/>
      <c r="G7" s="42"/>
      <c r="H7" s="42"/>
      <c r="I7" s="42"/>
      <c r="J7" s="42"/>
      <c r="K7" s="42"/>
      <c r="L7" s="43"/>
      <c r="M7" s="43"/>
      <c r="N7" s="42"/>
      <c r="O7" s="42"/>
      <c r="P7" s="62"/>
      <c r="Q7" s="62"/>
      <c r="R7" s="62"/>
      <c r="S7" s="62"/>
      <c r="T7" s="62"/>
      <c r="U7" s="62"/>
    </row>
    <row r="8" spans="1:21">
      <c r="A8" s="69"/>
      <c r="B8" s="42"/>
      <c r="C8" s="42"/>
      <c r="D8" s="42"/>
      <c r="E8" s="42"/>
      <c r="F8" s="42"/>
      <c r="G8" s="42"/>
      <c r="H8" s="42"/>
      <c r="I8" s="42"/>
      <c r="J8" s="42"/>
      <c r="K8" s="43"/>
      <c r="L8" s="43"/>
      <c r="M8" s="43"/>
      <c r="N8" s="42"/>
      <c r="O8" s="42"/>
      <c r="P8" s="62"/>
      <c r="Q8" s="62"/>
      <c r="R8" s="62"/>
      <c r="S8" s="62"/>
      <c r="T8" s="62"/>
      <c r="U8" s="62"/>
    </row>
    <row r="9" spans="1:21">
      <c r="A9" s="69"/>
      <c r="B9" s="42"/>
      <c r="C9" s="42"/>
      <c r="D9" s="42"/>
      <c r="E9" s="42"/>
      <c r="F9" s="42"/>
      <c r="G9" s="42"/>
      <c r="H9" s="42"/>
      <c r="I9" s="42"/>
      <c r="J9" s="42"/>
      <c r="K9" s="43"/>
      <c r="L9" s="43"/>
      <c r="M9" s="43"/>
      <c r="N9" s="42"/>
      <c r="O9" s="42"/>
      <c r="P9" s="42"/>
      <c r="Q9" s="62"/>
      <c r="R9" s="62"/>
      <c r="S9" s="62"/>
      <c r="T9" s="62"/>
      <c r="U9" s="77"/>
    </row>
    <row r="10" spans="1:21">
      <c r="A10" s="78"/>
      <c r="B10" s="60"/>
      <c r="C10" s="60"/>
      <c r="D10" s="60"/>
      <c r="E10" s="60"/>
      <c r="F10" s="60"/>
      <c r="G10" s="60"/>
      <c r="H10" s="60"/>
      <c r="I10" s="60"/>
      <c r="J10" s="60"/>
      <c r="K10" s="61"/>
      <c r="L10" s="65"/>
      <c r="M10" s="61"/>
      <c r="N10" s="60"/>
      <c r="O10" s="62"/>
      <c r="P10" s="62"/>
      <c r="Q10" s="62"/>
      <c r="R10" s="62"/>
      <c r="S10" s="62"/>
      <c r="T10" s="62"/>
      <c r="U10" s="62"/>
    </row>
    <row r="11" spans="1:21">
      <c r="A11" s="380"/>
      <c r="B11" s="60"/>
      <c r="C11" s="60"/>
      <c r="D11" s="60"/>
      <c r="E11" s="60"/>
      <c r="F11" s="60"/>
      <c r="G11" s="60"/>
      <c r="H11" s="60"/>
      <c r="I11" s="60"/>
      <c r="J11" s="60"/>
      <c r="K11" s="61"/>
      <c r="L11" s="65"/>
      <c r="M11" s="61"/>
      <c r="N11" s="111"/>
      <c r="O11" s="62"/>
      <c r="P11" s="62"/>
      <c r="Q11" s="62"/>
      <c r="R11" s="62"/>
      <c r="S11" s="62"/>
      <c r="T11" s="62"/>
      <c r="U11" s="62"/>
    </row>
    <row r="12" spans="1:21">
      <c r="A12" s="380"/>
      <c r="B12" s="60"/>
      <c r="C12" s="60"/>
      <c r="D12" s="60"/>
      <c r="E12" s="60"/>
      <c r="F12" s="60"/>
      <c r="G12" s="60"/>
      <c r="H12" s="60"/>
      <c r="I12" s="60"/>
      <c r="J12" s="60"/>
      <c r="K12" s="61"/>
      <c r="L12" s="65"/>
      <c r="M12" s="61"/>
      <c r="N12" s="111"/>
      <c r="O12" s="62"/>
      <c r="P12" s="62"/>
      <c r="Q12" s="62"/>
      <c r="R12" s="62"/>
      <c r="S12" s="62"/>
      <c r="T12" s="62"/>
      <c r="U12" s="62"/>
    </row>
    <row r="13" spans="1:21">
      <c r="A13" s="380"/>
      <c r="B13" s="60"/>
      <c r="C13" s="60"/>
      <c r="D13" s="60"/>
      <c r="E13" s="60"/>
      <c r="F13" s="60"/>
      <c r="G13" s="60"/>
      <c r="H13" s="60"/>
      <c r="I13" s="60"/>
      <c r="J13" s="60"/>
      <c r="K13" s="61"/>
      <c r="L13" s="65"/>
      <c r="M13" s="61"/>
      <c r="N13" s="60"/>
      <c r="O13" s="60"/>
      <c r="P13" s="60"/>
      <c r="Q13" s="62"/>
      <c r="R13" s="62"/>
      <c r="S13" s="62"/>
      <c r="T13" s="62"/>
      <c r="U13" s="62"/>
    </row>
    <row r="14" spans="1:21">
      <c r="A14" s="380"/>
      <c r="B14" s="60"/>
      <c r="C14" s="60"/>
      <c r="D14" s="60"/>
      <c r="E14" s="60"/>
      <c r="F14" s="60"/>
      <c r="G14" s="60"/>
      <c r="H14" s="60"/>
      <c r="I14" s="60"/>
      <c r="J14" s="60"/>
      <c r="K14" s="61"/>
      <c r="L14" s="65"/>
      <c r="M14" s="61"/>
      <c r="N14" s="60"/>
      <c r="O14" s="60"/>
      <c r="P14" s="60"/>
      <c r="Q14" s="62"/>
      <c r="R14" s="62"/>
      <c r="S14" s="62"/>
      <c r="T14" s="62"/>
      <c r="U14" s="62"/>
    </row>
    <row r="15" spans="1:21">
      <c r="A15" s="62"/>
      <c r="B15" s="62"/>
      <c r="C15" s="62"/>
      <c r="D15" s="62"/>
      <c r="E15" s="62"/>
      <c r="F15" s="62"/>
      <c r="G15" s="62"/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</row>
    <row r="16" spans="1:21">
      <c r="A16" s="62"/>
      <c r="B16" s="62"/>
      <c r="C16" s="62"/>
      <c r="D16" s="62"/>
      <c r="E16" s="62"/>
      <c r="F16" s="62"/>
      <c r="G16" s="62"/>
      <c r="H16" s="62"/>
      <c r="I16" s="62"/>
      <c r="J16" s="62"/>
      <c r="K16" s="62"/>
      <c r="L16" s="66"/>
      <c r="M16" s="62"/>
      <c r="N16" s="62"/>
      <c r="O16" s="62"/>
      <c r="P16" s="62"/>
      <c r="Q16" s="62"/>
      <c r="R16" s="62"/>
      <c r="S16" s="62"/>
      <c r="T16" s="62"/>
      <c r="U16" s="62"/>
    </row>
    <row r="17" spans="1:21">
      <c r="A17" s="62"/>
      <c r="B17" s="62"/>
      <c r="C17" s="62"/>
      <c r="D17" s="62"/>
      <c r="E17" s="62"/>
      <c r="F17" s="62"/>
      <c r="G17" s="62"/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</row>
    <row r="18" spans="1:21">
      <c r="A18" s="62"/>
      <c r="B18" s="62"/>
      <c r="C18" s="62"/>
      <c r="D18" s="62"/>
      <c r="E18" s="62"/>
      <c r="F18" s="62"/>
      <c r="G18" s="62"/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</row>
    <row r="19" spans="1:21">
      <c r="A19" s="62"/>
      <c r="B19" s="67"/>
      <c r="C19" s="67"/>
      <c r="D19" s="67"/>
      <c r="E19" s="67"/>
      <c r="F19" s="67"/>
      <c r="G19" s="67"/>
      <c r="H19" s="67"/>
      <c r="I19" s="67"/>
      <c r="J19" s="67"/>
      <c r="K19" s="67"/>
      <c r="L19" s="68"/>
      <c r="M19" s="68"/>
      <c r="N19" s="67"/>
      <c r="O19" s="67"/>
      <c r="P19" s="67"/>
      <c r="Q19" s="67"/>
      <c r="R19" s="62"/>
      <c r="S19" s="62"/>
      <c r="T19" s="62"/>
      <c r="U19" s="62"/>
    </row>
    <row r="20" spans="1:21">
      <c r="A20" s="62"/>
      <c r="B20" s="62"/>
      <c r="C20" s="62"/>
      <c r="D20" s="62"/>
      <c r="E20" s="62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</row>
    <row r="21" spans="1:21">
      <c r="A21" s="62"/>
      <c r="B21" s="62"/>
      <c r="C21" s="62"/>
      <c r="D21" s="62"/>
      <c r="E21" s="62"/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</row>
  </sheetData>
  <mergeCells count="2">
    <mergeCell ref="A11:A12"/>
    <mergeCell ref="A13:A14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5:U56"/>
  <sheetViews>
    <sheetView topLeftCell="A37" workbookViewId="0">
      <selection activeCell="A57" sqref="A57"/>
    </sheetView>
  </sheetViews>
  <sheetFormatPr defaultRowHeight="14.4"/>
  <cols>
    <col min="1" max="1" width="8.88671875" style="1"/>
    <col min="2" max="2" width="17.21875" style="1" customWidth="1"/>
    <col min="3" max="3" width="8.88671875" style="1"/>
    <col min="4" max="4" width="5.5546875" style="1" customWidth="1"/>
    <col min="5" max="5" width="9.7773437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0.399999999999999">
      <c r="A5" s="58" t="s">
        <v>3</v>
      </c>
      <c r="B5" s="58" t="s">
        <v>4</v>
      </c>
      <c r="C5" s="58" t="s">
        <v>5</v>
      </c>
      <c r="D5" s="58" t="s">
        <v>6</v>
      </c>
      <c r="E5" s="58" t="s">
        <v>37</v>
      </c>
      <c r="F5" s="59" t="s">
        <v>7</v>
      </c>
      <c r="G5" s="58" t="s">
        <v>8</v>
      </c>
      <c r="H5" s="58" t="s">
        <v>9</v>
      </c>
      <c r="I5" s="58" t="s">
        <v>10</v>
      </c>
      <c r="J5" s="59" t="s">
        <v>18</v>
      </c>
      <c r="K5" s="59" t="s">
        <v>17</v>
      </c>
      <c r="L5" s="58" t="s">
        <v>11</v>
      </c>
      <c r="M5" s="59" t="s">
        <v>36</v>
      </c>
      <c r="N5" s="58" t="s">
        <v>12</v>
      </c>
      <c r="O5" s="58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258</v>
      </c>
    </row>
    <row r="6" spans="1:21">
      <c r="A6" s="79"/>
      <c r="B6" s="42"/>
      <c r="C6" s="42"/>
      <c r="D6" s="42"/>
      <c r="E6" s="42"/>
      <c r="F6" s="42"/>
      <c r="G6" s="42"/>
      <c r="H6" s="42"/>
      <c r="I6" s="42"/>
      <c r="J6" s="42"/>
      <c r="K6" s="42"/>
      <c r="L6" s="43"/>
      <c r="M6" s="43"/>
      <c r="N6" s="42"/>
      <c r="O6" s="42"/>
      <c r="P6" s="42"/>
      <c r="Q6" s="42"/>
      <c r="R6" s="80"/>
      <c r="S6" s="80"/>
      <c r="T6" s="80"/>
      <c r="U6" s="81"/>
    </row>
    <row r="7" spans="1:21">
      <c r="A7" s="69"/>
      <c r="B7" s="60"/>
      <c r="C7" s="60"/>
      <c r="D7" s="60"/>
      <c r="E7" s="60"/>
      <c r="F7" s="60"/>
      <c r="G7" s="60"/>
      <c r="H7" s="60"/>
      <c r="I7" s="60"/>
      <c r="J7" s="60"/>
      <c r="K7" s="60"/>
      <c r="L7" s="61"/>
      <c r="M7" s="61"/>
      <c r="N7" s="60"/>
      <c r="O7" s="62"/>
      <c r="P7" s="62"/>
      <c r="Q7" s="62"/>
      <c r="R7" s="62"/>
      <c r="S7" s="62"/>
      <c r="T7" s="62"/>
      <c r="U7" s="62"/>
    </row>
    <row r="8" spans="1:21">
      <c r="A8" s="390" t="s">
        <v>521</v>
      </c>
      <c r="B8" s="42" t="s">
        <v>464</v>
      </c>
      <c r="C8" s="42" t="s">
        <v>91</v>
      </c>
      <c r="D8" s="42" t="s">
        <v>16</v>
      </c>
      <c r="E8" s="42" t="s">
        <v>528</v>
      </c>
      <c r="F8" s="42">
        <v>4936</v>
      </c>
      <c r="G8" s="42"/>
      <c r="H8" s="42">
        <v>14470</v>
      </c>
      <c r="I8" s="42">
        <v>273</v>
      </c>
      <c r="J8" s="42">
        <v>0.13</v>
      </c>
      <c r="K8" s="43">
        <f t="shared" ref="K8:K16" si="0">I8*J8</f>
        <v>35.49</v>
      </c>
      <c r="L8" s="43">
        <f t="shared" ref="L8:L16" si="1">H8-K8</f>
        <v>14434.51</v>
      </c>
      <c r="M8" s="43">
        <f t="shared" ref="M8:M16" si="2">H8/1000*70</f>
        <v>1012.9000000000001</v>
      </c>
      <c r="N8" s="42">
        <v>0</v>
      </c>
      <c r="O8" s="42"/>
      <c r="P8" s="42">
        <f t="shared" ref="P8:P10" si="3">L8*O8</f>
        <v>0</v>
      </c>
      <c r="Q8" s="62"/>
      <c r="R8" s="62"/>
      <c r="S8" s="62"/>
      <c r="T8" s="62"/>
      <c r="U8" s="62"/>
    </row>
    <row r="9" spans="1:21">
      <c r="A9" s="390"/>
      <c r="B9" s="42" t="s">
        <v>464</v>
      </c>
      <c r="C9" s="42" t="s">
        <v>91</v>
      </c>
      <c r="D9" s="42" t="s">
        <v>16</v>
      </c>
      <c r="E9" s="42" t="s">
        <v>529</v>
      </c>
      <c r="F9" s="42">
        <v>4934</v>
      </c>
      <c r="G9" s="42"/>
      <c r="H9" s="42">
        <v>15160</v>
      </c>
      <c r="I9" s="42">
        <v>286</v>
      </c>
      <c r="J9" s="42">
        <v>0.13</v>
      </c>
      <c r="K9" s="43">
        <f t="shared" si="0"/>
        <v>37.18</v>
      </c>
      <c r="L9" s="43">
        <f t="shared" si="1"/>
        <v>15122.82</v>
      </c>
      <c r="M9" s="43">
        <f t="shared" si="2"/>
        <v>1061.2</v>
      </c>
      <c r="N9" s="42">
        <v>0</v>
      </c>
      <c r="O9" s="42"/>
      <c r="P9" s="42">
        <f t="shared" si="3"/>
        <v>0</v>
      </c>
      <c r="Q9" s="62"/>
      <c r="R9" s="62"/>
      <c r="S9" s="62"/>
      <c r="T9" s="62"/>
      <c r="U9" s="62">
        <v>20.75</v>
      </c>
    </row>
    <row r="10" spans="1:21">
      <c r="A10" s="390"/>
      <c r="B10" s="42" t="s">
        <v>464</v>
      </c>
      <c r="C10" s="42" t="s">
        <v>91</v>
      </c>
      <c r="D10" s="42" t="s">
        <v>16</v>
      </c>
      <c r="E10" s="42" t="s">
        <v>530</v>
      </c>
      <c r="F10" s="42">
        <v>4207</v>
      </c>
      <c r="G10" s="42"/>
      <c r="H10" s="42">
        <v>14600</v>
      </c>
      <c r="I10" s="42">
        <v>320</v>
      </c>
      <c r="J10" s="42">
        <v>0.13</v>
      </c>
      <c r="K10" s="43">
        <f t="shared" si="0"/>
        <v>41.6</v>
      </c>
      <c r="L10" s="43">
        <f t="shared" si="1"/>
        <v>14558.4</v>
      </c>
      <c r="M10" s="43">
        <f t="shared" si="2"/>
        <v>1022</v>
      </c>
      <c r="N10" s="42">
        <v>0</v>
      </c>
      <c r="O10" s="42"/>
      <c r="P10" s="42">
        <f t="shared" si="3"/>
        <v>0</v>
      </c>
      <c r="Q10" s="62"/>
      <c r="R10" s="62"/>
      <c r="S10" s="62"/>
      <c r="T10" s="62"/>
      <c r="U10" s="62"/>
    </row>
    <row r="11" spans="1:21">
      <c r="A11" s="390" t="s">
        <v>532</v>
      </c>
      <c r="B11" s="42" t="s">
        <v>464</v>
      </c>
      <c r="C11" s="42" t="s">
        <v>91</v>
      </c>
      <c r="D11" s="42" t="s">
        <v>16</v>
      </c>
      <c r="E11" s="42" t="s">
        <v>536</v>
      </c>
      <c r="F11" s="42">
        <v>4935</v>
      </c>
      <c r="G11" s="42"/>
      <c r="H11" s="42">
        <v>14540</v>
      </c>
      <c r="I11" s="42">
        <v>274</v>
      </c>
      <c r="J11" s="42">
        <v>0.13</v>
      </c>
      <c r="K11" s="43">
        <f t="shared" si="0"/>
        <v>35.620000000000005</v>
      </c>
      <c r="L11" s="43">
        <f t="shared" si="1"/>
        <v>14504.38</v>
      </c>
      <c r="M11" s="43">
        <f t="shared" si="2"/>
        <v>1017.8</v>
      </c>
      <c r="N11" s="42">
        <v>0</v>
      </c>
      <c r="O11" s="42"/>
      <c r="P11" s="62"/>
      <c r="Q11" s="62"/>
      <c r="R11" s="62"/>
      <c r="S11" s="62"/>
      <c r="T11" s="62"/>
      <c r="U11" s="62"/>
    </row>
    <row r="12" spans="1:21">
      <c r="A12" s="390"/>
      <c r="B12" s="42" t="s">
        <v>464</v>
      </c>
      <c r="C12" s="42" t="s">
        <v>91</v>
      </c>
      <c r="D12" s="42" t="s">
        <v>16</v>
      </c>
      <c r="E12" s="42" t="s">
        <v>537</v>
      </c>
      <c r="F12" s="42">
        <v>4931</v>
      </c>
      <c r="G12" s="42"/>
      <c r="H12" s="42">
        <v>15270</v>
      </c>
      <c r="I12" s="42">
        <v>288</v>
      </c>
      <c r="J12" s="42">
        <v>0.13</v>
      </c>
      <c r="K12" s="43">
        <f t="shared" si="0"/>
        <v>37.44</v>
      </c>
      <c r="L12" s="43">
        <f t="shared" si="1"/>
        <v>15232.56</v>
      </c>
      <c r="M12" s="43">
        <f t="shared" si="2"/>
        <v>1068.8999999999999</v>
      </c>
      <c r="N12" s="42">
        <v>0</v>
      </c>
      <c r="O12" s="42"/>
      <c r="P12" s="62"/>
      <c r="Q12" s="62"/>
      <c r="R12" s="62"/>
      <c r="S12" s="62"/>
      <c r="T12" s="62"/>
      <c r="U12" s="62"/>
    </row>
    <row r="13" spans="1:21">
      <c r="A13" s="390"/>
      <c r="B13" s="42" t="s">
        <v>464</v>
      </c>
      <c r="C13" s="42" t="s">
        <v>91</v>
      </c>
      <c r="D13" s="42" t="s">
        <v>16</v>
      </c>
      <c r="E13" s="42" t="s">
        <v>538</v>
      </c>
      <c r="F13" s="42">
        <v>4932</v>
      </c>
      <c r="G13" s="42"/>
      <c r="H13" s="42">
        <v>15730</v>
      </c>
      <c r="I13" s="42">
        <v>296</v>
      </c>
      <c r="J13" s="42">
        <v>0.13</v>
      </c>
      <c r="K13" s="43">
        <f t="shared" si="0"/>
        <v>38.480000000000004</v>
      </c>
      <c r="L13" s="43">
        <f t="shared" si="1"/>
        <v>15691.52</v>
      </c>
      <c r="M13" s="43">
        <f t="shared" si="2"/>
        <v>1101.1000000000001</v>
      </c>
      <c r="N13" s="42">
        <v>0</v>
      </c>
      <c r="O13" s="42"/>
      <c r="P13" s="42"/>
      <c r="Q13" s="62"/>
      <c r="R13" s="62"/>
      <c r="S13" s="62"/>
      <c r="T13" s="62"/>
      <c r="U13" s="77"/>
    </row>
    <row r="14" spans="1:21">
      <c r="A14" s="389" t="s">
        <v>542</v>
      </c>
      <c r="B14" s="42" t="s">
        <v>464</v>
      </c>
      <c r="C14" s="42" t="s">
        <v>91</v>
      </c>
      <c r="D14" s="42" t="s">
        <v>16</v>
      </c>
      <c r="E14" s="45" t="s">
        <v>537</v>
      </c>
      <c r="F14" s="42">
        <v>4216</v>
      </c>
      <c r="G14" s="42"/>
      <c r="H14" s="42">
        <v>16095</v>
      </c>
      <c r="I14" s="42">
        <v>325</v>
      </c>
      <c r="J14" s="42">
        <v>0.13</v>
      </c>
      <c r="K14" s="43">
        <f t="shared" si="0"/>
        <v>42.25</v>
      </c>
      <c r="L14" s="43">
        <f t="shared" si="1"/>
        <v>16052.75</v>
      </c>
      <c r="M14" s="43">
        <f t="shared" si="2"/>
        <v>1126.6499999999999</v>
      </c>
      <c r="N14" s="42">
        <v>0</v>
      </c>
      <c r="O14" s="62"/>
      <c r="P14" s="62"/>
      <c r="Q14" s="62"/>
      <c r="R14" s="62"/>
      <c r="S14" s="62"/>
      <c r="T14" s="62"/>
      <c r="U14" s="62"/>
    </row>
    <row r="15" spans="1:21">
      <c r="A15" s="389"/>
      <c r="B15" s="42" t="s">
        <v>464</v>
      </c>
      <c r="C15" s="42" t="s">
        <v>91</v>
      </c>
      <c r="D15" s="42" t="s">
        <v>16</v>
      </c>
      <c r="E15" s="45" t="s">
        <v>543</v>
      </c>
      <c r="F15" s="47">
        <v>4213</v>
      </c>
      <c r="G15" s="46"/>
      <c r="H15" s="47">
        <v>16180</v>
      </c>
      <c r="I15" s="47">
        <v>330</v>
      </c>
      <c r="J15" s="47">
        <v>0.13</v>
      </c>
      <c r="K15" s="43">
        <f t="shared" si="0"/>
        <v>42.9</v>
      </c>
      <c r="L15" s="43">
        <f t="shared" si="1"/>
        <v>16137.1</v>
      </c>
      <c r="M15" s="43">
        <f t="shared" si="2"/>
        <v>1132.5999999999999</v>
      </c>
      <c r="N15" s="47">
        <v>0</v>
      </c>
      <c r="O15" s="62"/>
      <c r="P15" s="62"/>
      <c r="Q15" s="62"/>
      <c r="R15" s="62"/>
      <c r="S15" s="62"/>
      <c r="T15" s="62"/>
      <c r="U15" s="62"/>
    </row>
    <row r="16" spans="1:21">
      <c r="A16" s="389"/>
      <c r="B16" s="42" t="s">
        <v>464</v>
      </c>
      <c r="C16" s="42" t="s">
        <v>91</v>
      </c>
      <c r="D16" s="42" t="s">
        <v>16</v>
      </c>
      <c r="E16" s="42" t="s">
        <v>544</v>
      </c>
      <c r="F16" s="47">
        <v>4212</v>
      </c>
      <c r="G16" s="47"/>
      <c r="H16" s="47">
        <v>15340</v>
      </c>
      <c r="I16" s="47">
        <v>330</v>
      </c>
      <c r="J16" s="47">
        <v>0.13</v>
      </c>
      <c r="K16" s="43">
        <f t="shared" si="0"/>
        <v>42.9</v>
      </c>
      <c r="L16" s="43">
        <f t="shared" si="1"/>
        <v>15297.1</v>
      </c>
      <c r="M16" s="43">
        <f t="shared" si="2"/>
        <v>1073.8</v>
      </c>
      <c r="N16" s="47">
        <v>0</v>
      </c>
      <c r="O16" s="62"/>
      <c r="P16" s="62"/>
      <c r="Q16" s="62"/>
      <c r="R16" s="62"/>
      <c r="S16" s="62"/>
      <c r="T16" s="62"/>
      <c r="U16" s="62"/>
    </row>
    <row r="17" spans="1:21">
      <c r="A17" s="63"/>
      <c r="B17" s="60"/>
      <c r="C17" s="60"/>
      <c r="D17" s="60"/>
      <c r="E17" s="60"/>
      <c r="F17" s="60"/>
      <c r="G17" s="60"/>
      <c r="H17" s="60"/>
      <c r="I17" s="60"/>
      <c r="J17" s="60"/>
      <c r="K17" s="61"/>
      <c r="L17" s="65"/>
      <c r="M17" s="61"/>
      <c r="N17" s="60"/>
      <c r="O17" s="60"/>
      <c r="P17" s="60"/>
      <c r="Q17" s="62"/>
      <c r="R17" s="62"/>
      <c r="S17" s="62"/>
      <c r="T17" s="62"/>
      <c r="U17" s="62"/>
    </row>
    <row r="18" spans="1:21">
      <c r="A18" s="63" t="s">
        <v>606</v>
      </c>
      <c r="B18" s="42" t="s">
        <v>464</v>
      </c>
      <c r="C18" s="42" t="s">
        <v>91</v>
      </c>
      <c r="D18" s="42" t="s">
        <v>16</v>
      </c>
      <c r="E18" s="42" t="s">
        <v>537</v>
      </c>
      <c r="F18" s="42">
        <v>4317</v>
      </c>
      <c r="G18" s="42"/>
      <c r="H18" s="42">
        <v>15785</v>
      </c>
      <c r="I18" s="42">
        <v>297</v>
      </c>
      <c r="J18" s="42">
        <v>0.13</v>
      </c>
      <c r="K18" s="42">
        <f t="shared" ref="K18:K20" si="4">I18*J18</f>
        <v>38.61</v>
      </c>
      <c r="L18" s="43">
        <f t="shared" ref="L18:L20" si="5">H18-K18</f>
        <v>15746.39</v>
      </c>
      <c r="M18" s="43">
        <f t="shared" ref="M18:M20" si="6">H18/1000*70</f>
        <v>1104.95</v>
      </c>
      <c r="N18" s="42">
        <v>0</v>
      </c>
      <c r="O18" s="42"/>
      <c r="P18" s="60"/>
      <c r="Q18" s="62"/>
      <c r="R18" s="62"/>
      <c r="S18" s="62"/>
      <c r="T18" s="62"/>
      <c r="U18" s="62"/>
    </row>
    <row r="19" spans="1:21">
      <c r="A19" s="374" t="s">
        <v>609</v>
      </c>
      <c r="B19" s="42" t="s">
        <v>464</v>
      </c>
      <c r="C19" s="42" t="s">
        <v>91</v>
      </c>
      <c r="D19" s="42" t="s">
        <v>16</v>
      </c>
      <c r="E19" s="42" t="s">
        <v>610</v>
      </c>
      <c r="F19" s="42">
        <v>4323</v>
      </c>
      <c r="G19" s="42"/>
      <c r="H19" s="42">
        <v>16755</v>
      </c>
      <c r="I19" s="42">
        <v>320</v>
      </c>
      <c r="J19" s="42">
        <v>0.13</v>
      </c>
      <c r="K19" s="42">
        <f t="shared" si="4"/>
        <v>41.6</v>
      </c>
      <c r="L19" s="43">
        <f t="shared" si="5"/>
        <v>16713.400000000001</v>
      </c>
      <c r="M19" s="43">
        <f t="shared" si="6"/>
        <v>1172.8499999999999</v>
      </c>
      <c r="N19" s="42">
        <v>0</v>
      </c>
      <c r="O19" s="62"/>
      <c r="P19" s="62"/>
      <c r="Q19" s="62"/>
      <c r="R19" s="62"/>
      <c r="S19" s="62"/>
      <c r="T19" s="62"/>
      <c r="U19" s="62"/>
    </row>
    <row r="20" spans="1:21">
      <c r="A20" s="374"/>
      <c r="B20" s="42" t="s">
        <v>464</v>
      </c>
      <c r="C20" s="42" t="s">
        <v>91</v>
      </c>
      <c r="D20" s="42" t="s">
        <v>16</v>
      </c>
      <c r="E20" s="42" t="s">
        <v>611</v>
      </c>
      <c r="F20" s="42">
        <v>3287</v>
      </c>
      <c r="G20" s="42"/>
      <c r="H20" s="42">
        <v>15190</v>
      </c>
      <c r="I20" s="42">
        <v>300</v>
      </c>
      <c r="J20" s="42">
        <v>0.13</v>
      </c>
      <c r="K20" s="42">
        <f t="shared" si="4"/>
        <v>39</v>
      </c>
      <c r="L20" s="43">
        <f t="shared" si="5"/>
        <v>15151</v>
      </c>
      <c r="M20" s="43">
        <f t="shared" si="6"/>
        <v>1063.3</v>
      </c>
      <c r="N20" s="42">
        <v>0</v>
      </c>
      <c r="O20" s="62"/>
      <c r="P20" s="62"/>
      <c r="Q20" s="62"/>
      <c r="R20" s="62"/>
      <c r="S20" s="62"/>
      <c r="T20" s="62"/>
      <c r="U20" s="62"/>
    </row>
    <row r="21" spans="1:21">
      <c r="A21" s="62"/>
      <c r="B21" s="62"/>
      <c r="C21" s="62"/>
      <c r="D21" s="62"/>
      <c r="E21" s="62"/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</row>
    <row r="22" spans="1:21">
      <c r="A22" s="374" t="s">
        <v>1449</v>
      </c>
      <c r="B22" s="42" t="s">
        <v>464</v>
      </c>
      <c r="C22" s="42" t="s">
        <v>91</v>
      </c>
      <c r="D22" s="42" t="s">
        <v>16</v>
      </c>
      <c r="E22" s="42" t="s">
        <v>1453</v>
      </c>
      <c r="F22" s="42">
        <v>8693</v>
      </c>
      <c r="G22" s="42"/>
      <c r="H22" s="42">
        <v>13230</v>
      </c>
      <c r="I22" s="42">
        <v>250</v>
      </c>
      <c r="J22" s="42">
        <v>0.13</v>
      </c>
      <c r="K22" s="42">
        <v>33</v>
      </c>
      <c r="L22" s="43">
        <f t="shared" ref="L22:L23" si="7">H22-K22</f>
        <v>13197</v>
      </c>
      <c r="M22" s="43"/>
      <c r="N22" s="43">
        <f t="shared" ref="N22:N23" si="8">L22-M22</f>
        <v>13197</v>
      </c>
      <c r="O22" s="43">
        <f t="shared" ref="O22:O23" si="9">H22/1000*70</f>
        <v>926.1</v>
      </c>
      <c r="P22" s="42">
        <v>0</v>
      </c>
      <c r="Q22" s="42">
        <v>16</v>
      </c>
      <c r="R22" s="42">
        <f t="shared" ref="R22:R23" si="10">L22*Q22</f>
        <v>211152</v>
      </c>
      <c r="S22" s="62"/>
      <c r="T22" s="62"/>
      <c r="U22" s="62"/>
    </row>
    <row r="23" spans="1:21">
      <c r="A23" s="374"/>
      <c r="B23" s="42" t="s">
        <v>464</v>
      </c>
      <c r="C23" s="42" t="s">
        <v>91</v>
      </c>
      <c r="D23" s="42" t="s">
        <v>16</v>
      </c>
      <c r="E23" s="42" t="s">
        <v>1454</v>
      </c>
      <c r="F23" s="42">
        <v>8694</v>
      </c>
      <c r="G23" s="42"/>
      <c r="H23" s="42">
        <v>13090</v>
      </c>
      <c r="I23" s="42">
        <v>250</v>
      </c>
      <c r="J23" s="42">
        <v>0.13</v>
      </c>
      <c r="K23" s="42">
        <v>33</v>
      </c>
      <c r="L23" s="43">
        <f t="shared" si="7"/>
        <v>13057</v>
      </c>
      <c r="M23" s="43"/>
      <c r="N23" s="43">
        <f t="shared" si="8"/>
        <v>13057</v>
      </c>
      <c r="O23" s="43">
        <f t="shared" si="9"/>
        <v>916.3</v>
      </c>
      <c r="P23" s="42">
        <v>0</v>
      </c>
      <c r="Q23" s="42">
        <v>16</v>
      </c>
      <c r="R23" s="42">
        <f t="shared" si="10"/>
        <v>208912</v>
      </c>
      <c r="S23" s="62"/>
      <c r="T23" s="62"/>
      <c r="U23" s="62"/>
    </row>
    <row r="24" spans="1:21">
      <c r="A24" s="62"/>
      <c r="B24" s="62"/>
      <c r="C24" s="62"/>
      <c r="D24" s="62"/>
      <c r="E24" s="6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</row>
    <row r="25" spans="1:21">
      <c r="A25" s="62" t="s">
        <v>1318</v>
      </c>
      <c r="B25" s="42" t="s">
        <v>464</v>
      </c>
      <c r="C25" s="42" t="s">
        <v>91</v>
      </c>
      <c r="D25" s="42" t="s">
        <v>16</v>
      </c>
      <c r="E25" s="42" t="s">
        <v>1485</v>
      </c>
      <c r="F25" s="42">
        <v>4093</v>
      </c>
      <c r="G25" s="42"/>
      <c r="H25" s="42">
        <v>15000</v>
      </c>
      <c r="I25" s="42">
        <v>270</v>
      </c>
      <c r="J25" s="42">
        <f>0.13</f>
        <v>0.13</v>
      </c>
      <c r="K25" s="42">
        <f t="shared" ref="K25" si="11">I25*J25</f>
        <v>35.1</v>
      </c>
      <c r="L25" s="43">
        <f t="shared" ref="L25" si="12">H25-K25</f>
        <v>14964.9</v>
      </c>
      <c r="M25" s="43"/>
      <c r="N25" s="43">
        <f t="shared" ref="N25" si="13">L25-M25</f>
        <v>14964.9</v>
      </c>
      <c r="O25" s="43">
        <f t="shared" ref="O25" si="14">H25/1000*70</f>
        <v>1050</v>
      </c>
      <c r="P25" s="42">
        <v>0</v>
      </c>
      <c r="Q25" s="42">
        <v>16</v>
      </c>
      <c r="R25" s="42">
        <f t="shared" ref="R25" si="15">L25*Q25</f>
        <v>239438.4</v>
      </c>
      <c r="S25" s="62"/>
      <c r="T25" s="62"/>
      <c r="U25" s="62"/>
    </row>
    <row r="27" spans="1:21">
      <c r="A27" s="374" t="s">
        <v>1867</v>
      </c>
      <c r="B27" s="42" t="s">
        <v>464</v>
      </c>
      <c r="C27" s="48" t="s">
        <v>91</v>
      </c>
      <c r="D27" s="42" t="s">
        <v>16</v>
      </c>
      <c r="E27" s="42" t="s">
        <v>1868</v>
      </c>
      <c r="F27" s="42">
        <v>9452</v>
      </c>
      <c r="G27" s="42"/>
      <c r="H27" s="42">
        <v>13210</v>
      </c>
      <c r="I27" s="42">
        <v>250</v>
      </c>
      <c r="J27" s="42">
        <v>0.13</v>
      </c>
      <c r="K27" s="42">
        <v>33</v>
      </c>
      <c r="L27" s="43">
        <f t="shared" ref="L27:L28" si="16">H27-K27</f>
        <v>13177</v>
      </c>
      <c r="M27" s="43"/>
      <c r="N27" s="43">
        <f t="shared" ref="N27:N28" si="17">L27-M27</f>
        <v>13177</v>
      </c>
      <c r="O27" s="43">
        <f t="shared" ref="O27:O28" si="18">H27/1000*70</f>
        <v>924.7</v>
      </c>
      <c r="P27" s="42">
        <v>0</v>
      </c>
      <c r="Q27" s="42">
        <v>12.2</v>
      </c>
      <c r="R27" s="42">
        <f t="shared" ref="R27:R28" si="19">L27*Q27</f>
        <v>160759.4</v>
      </c>
    </row>
    <row r="28" spans="1:21">
      <c r="A28" s="374"/>
      <c r="B28" s="42" t="s">
        <v>464</v>
      </c>
      <c r="C28" s="48" t="s">
        <v>91</v>
      </c>
      <c r="D28" s="42" t="s">
        <v>16</v>
      </c>
      <c r="E28" s="42" t="s">
        <v>1454</v>
      </c>
      <c r="F28" s="42">
        <v>9453</v>
      </c>
      <c r="G28" s="42"/>
      <c r="H28" s="42">
        <v>13380</v>
      </c>
      <c r="I28" s="42">
        <v>250</v>
      </c>
      <c r="J28" s="42">
        <v>0.13</v>
      </c>
      <c r="K28" s="42">
        <v>33</v>
      </c>
      <c r="L28" s="43">
        <f t="shared" si="16"/>
        <v>13347</v>
      </c>
      <c r="M28" s="43"/>
      <c r="N28" s="43">
        <f t="shared" si="17"/>
        <v>13347</v>
      </c>
      <c r="O28" s="43">
        <f t="shared" si="18"/>
        <v>936.6</v>
      </c>
      <c r="P28" s="42">
        <v>0</v>
      </c>
      <c r="Q28" s="42">
        <v>12.2</v>
      </c>
      <c r="R28" s="42">
        <f t="shared" si="19"/>
        <v>162833.4</v>
      </c>
    </row>
    <row r="30" spans="1:21">
      <c r="A30" s="374" t="s">
        <v>1945</v>
      </c>
      <c r="B30" s="42" t="s">
        <v>464</v>
      </c>
      <c r="C30" s="42" t="s">
        <v>91</v>
      </c>
      <c r="D30" s="42" t="s">
        <v>16</v>
      </c>
      <c r="E30" s="42" t="s">
        <v>1006</v>
      </c>
      <c r="F30" s="42">
        <v>7306</v>
      </c>
      <c r="G30" s="42"/>
      <c r="H30" s="42">
        <v>15990</v>
      </c>
      <c r="I30" s="42">
        <v>300</v>
      </c>
      <c r="J30" s="42">
        <v>0.13</v>
      </c>
      <c r="K30" s="43">
        <f t="shared" ref="K30:K31" si="20">I30*J30</f>
        <v>39</v>
      </c>
      <c r="L30" s="43">
        <f t="shared" ref="L30:L31" si="21">H30-K30</f>
        <v>15951</v>
      </c>
      <c r="M30" s="43"/>
      <c r="N30" s="43">
        <f t="shared" ref="N30:N31" si="22">L30-M30</f>
        <v>15951</v>
      </c>
      <c r="O30" s="43">
        <f t="shared" ref="O30:O31" si="23">H30/1000*70</f>
        <v>1119.3</v>
      </c>
      <c r="P30" s="42">
        <v>0</v>
      </c>
      <c r="Q30" s="42">
        <v>12.2</v>
      </c>
      <c r="R30" s="42">
        <f t="shared" ref="R30:R31" si="24">L30*Q30</f>
        <v>194602.19999999998</v>
      </c>
    </row>
    <row r="31" spans="1:21">
      <c r="A31" s="374"/>
      <c r="B31" s="42" t="s">
        <v>464</v>
      </c>
      <c r="C31" s="42" t="s">
        <v>91</v>
      </c>
      <c r="D31" s="42" t="s">
        <v>16</v>
      </c>
      <c r="E31" s="42" t="s">
        <v>1949</v>
      </c>
      <c r="F31" s="42">
        <v>7305</v>
      </c>
      <c r="G31" s="42"/>
      <c r="H31" s="42">
        <v>16990</v>
      </c>
      <c r="I31" s="42">
        <v>320</v>
      </c>
      <c r="J31" s="42">
        <v>0.13</v>
      </c>
      <c r="K31" s="43">
        <f t="shared" si="20"/>
        <v>41.6</v>
      </c>
      <c r="L31" s="43">
        <f t="shared" si="21"/>
        <v>16948.400000000001</v>
      </c>
      <c r="M31" s="43"/>
      <c r="N31" s="43">
        <f t="shared" si="22"/>
        <v>16948.400000000001</v>
      </c>
      <c r="O31" s="43">
        <f t="shared" si="23"/>
        <v>1189.3</v>
      </c>
      <c r="P31" s="42">
        <v>0</v>
      </c>
      <c r="Q31" s="42">
        <v>12.2</v>
      </c>
      <c r="R31" s="42">
        <f t="shared" si="24"/>
        <v>206770.48</v>
      </c>
    </row>
    <row r="33" spans="1:18">
      <c r="A33" s="1" t="s">
        <v>2415</v>
      </c>
      <c r="B33" s="42" t="s">
        <v>2404</v>
      </c>
      <c r="C33" s="42" t="s">
        <v>91</v>
      </c>
      <c r="D33" s="42" t="s">
        <v>16</v>
      </c>
      <c r="E33" s="42" t="s">
        <v>2417</v>
      </c>
      <c r="F33" s="42">
        <v>5952</v>
      </c>
      <c r="G33" s="42"/>
      <c r="H33" s="42">
        <v>15300</v>
      </c>
      <c r="I33" s="42">
        <v>300</v>
      </c>
      <c r="J33" s="42">
        <v>0.13</v>
      </c>
      <c r="K33" s="43">
        <f>I33*J33</f>
        <v>39</v>
      </c>
      <c r="L33" s="43">
        <f>H33-K33</f>
        <v>15261</v>
      </c>
      <c r="M33" s="43"/>
      <c r="N33" s="43">
        <f>L33-M33</f>
        <v>15261</v>
      </c>
      <c r="O33" s="43">
        <f>H33/1000*70</f>
        <v>1071</v>
      </c>
      <c r="P33" s="42">
        <v>0</v>
      </c>
      <c r="Q33" s="42"/>
      <c r="R33" s="42">
        <f>L33*Q33</f>
        <v>0</v>
      </c>
    </row>
    <row r="35" spans="1:18">
      <c r="A35" s="374" t="s">
        <v>2428</v>
      </c>
      <c r="B35" s="42" t="s">
        <v>2404</v>
      </c>
      <c r="C35" s="42" t="s">
        <v>91</v>
      </c>
      <c r="D35" s="42" t="s">
        <v>16</v>
      </c>
      <c r="E35" s="42" t="s">
        <v>2429</v>
      </c>
      <c r="F35" s="42">
        <v>5953</v>
      </c>
      <c r="G35" s="42"/>
      <c r="H35" s="42">
        <v>15090</v>
      </c>
      <c r="I35" s="42">
        <v>300</v>
      </c>
      <c r="J35" s="42">
        <v>0.13</v>
      </c>
      <c r="K35" s="43">
        <f>I35*J35</f>
        <v>39</v>
      </c>
      <c r="L35" s="43">
        <f>H35-K35</f>
        <v>15051</v>
      </c>
      <c r="M35" s="43"/>
      <c r="N35" s="43">
        <f>L35-M35</f>
        <v>15051</v>
      </c>
      <c r="O35" s="43">
        <f>H35/1000*70</f>
        <v>1056.3</v>
      </c>
      <c r="P35" s="42">
        <v>0</v>
      </c>
      <c r="Q35" s="42">
        <v>11.5</v>
      </c>
      <c r="R35" s="42">
        <f>L35*Q35</f>
        <v>173086.5</v>
      </c>
    </row>
    <row r="36" spans="1:18">
      <c r="A36" s="374"/>
      <c r="B36" s="42" t="s">
        <v>2404</v>
      </c>
      <c r="C36" s="42" t="s">
        <v>91</v>
      </c>
      <c r="D36" s="42" t="s">
        <v>16</v>
      </c>
      <c r="E36" s="42" t="s">
        <v>2430</v>
      </c>
      <c r="F36" s="42">
        <v>5957</v>
      </c>
      <c r="G36" s="42"/>
      <c r="H36" s="42">
        <v>15025</v>
      </c>
      <c r="I36" s="42">
        <v>289</v>
      </c>
      <c r="J36" s="42">
        <v>0.13</v>
      </c>
      <c r="K36" s="43">
        <f>I36*J36</f>
        <v>37.57</v>
      </c>
      <c r="L36" s="43">
        <f>H36-K36</f>
        <v>14987.43</v>
      </c>
      <c r="M36" s="43"/>
      <c r="N36" s="43">
        <f>L36-M36</f>
        <v>14987.43</v>
      </c>
      <c r="O36" s="43">
        <f>H36/1000*70</f>
        <v>1051.75</v>
      </c>
      <c r="P36" s="42">
        <v>0</v>
      </c>
      <c r="Q36" s="42">
        <v>11.5</v>
      </c>
      <c r="R36" s="42">
        <f>L36*Q36</f>
        <v>172355.44500000001</v>
      </c>
    </row>
    <row r="37" spans="1:18">
      <c r="A37" s="374"/>
      <c r="B37" s="42" t="s">
        <v>2404</v>
      </c>
      <c r="C37" s="42" t="s">
        <v>91</v>
      </c>
      <c r="D37" s="42" t="s">
        <v>16</v>
      </c>
      <c r="E37" s="42" t="s">
        <v>2431</v>
      </c>
      <c r="F37" s="42">
        <v>5954</v>
      </c>
      <c r="G37" s="42"/>
      <c r="H37" s="42">
        <v>15030</v>
      </c>
      <c r="I37" s="42">
        <v>289</v>
      </c>
      <c r="J37" s="42">
        <v>0.13</v>
      </c>
      <c r="K37" s="43">
        <f>I37*J37</f>
        <v>37.57</v>
      </c>
      <c r="L37" s="43">
        <f>H37-K37</f>
        <v>14992.43</v>
      </c>
      <c r="M37" s="43"/>
      <c r="N37" s="43">
        <f>L37-M37</f>
        <v>14992.43</v>
      </c>
      <c r="O37" s="43">
        <f>H37/1000*70</f>
        <v>1052.0999999999999</v>
      </c>
      <c r="P37" s="42">
        <v>0</v>
      </c>
      <c r="Q37" s="42">
        <v>11.5</v>
      </c>
      <c r="R37" s="42">
        <f>L37*Q37</f>
        <v>172412.94500000001</v>
      </c>
    </row>
    <row r="38" spans="1:18">
      <c r="A38" s="374"/>
      <c r="B38" s="42" t="s">
        <v>2404</v>
      </c>
      <c r="C38" s="42" t="s">
        <v>91</v>
      </c>
      <c r="D38" s="42" t="s">
        <v>16</v>
      </c>
      <c r="E38" s="42" t="s">
        <v>2432</v>
      </c>
      <c r="F38" s="42">
        <v>5956</v>
      </c>
      <c r="G38" s="42"/>
      <c r="H38" s="42">
        <v>15015</v>
      </c>
      <c r="I38" s="42">
        <v>289</v>
      </c>
      <c r="J38" s="42">
        <v>0.13</v>
      </c>
      <c r="K38" s="43">
        <f>I38*J38</f>
        <v>37.57</v>
      </c>
      <c r="L38" s="43">
        <f>H38-K38</f>
        <v>14977.43</v>
      </c>
      <c r="M38" s="43"/>
      <c r="N38" s="43">
        <f>L38-M38</f>
        <v>14977.43</v>
      </c>
      <c r="O38" s="43">
        <f>H38/1000*70</f>
        <v>1051.05</v>
      </c>
      <c r="P38" s="42">
        <v>0</v>
      </c>
      <c r="Q38" s="42">
        <v>11.5</v>
      </c>
      <c r="R38" s="42">
        <f>L38*Q38</f>
        <v>172240.44500000001</v>
      </c>
    </row>
    <row r="39" spans="1:18">
      <c r="A39" s="1" t="s">
        <v>2435</v>
      </c>
      <c r="B39" s="42" t="s">
        <v>2404</v>
      </c>
      <c r="C39" s="42" t="s">
        <v>91</v>
      </c>
      <c r="D39" s="42" t="s">
        <v>16</v>
      </c>
      <c r="E39" s="42" t="s">
        <v>2436</v>
      </c>
      <c r="F39" s="42">
        <v>5958</v>
      </c>
      <c r="G39" s="42"/>
      <c r="H39" s="42">
        <v>15085</v>
      </c>
      <c r="I39" s="42">
        <v>300</v>
      </c>
      <c r="J39" s="42">
        <v>0.13</v>
      </c>
      <c r="K39" s="43">
        <f t="shared" ref="K39:K42" si="25">I39*J39</f>
        <v>39</v>
      </c>
      <c r="L39" s="43">
        <f t="shared" ref="L39:L42" si="26">H39-K39</f>
        <v>15046</v>
      </c>
      <c r="M39" s="43"/>
      <c r="N39" s="43">
        <f t="shared" ref="N39:N42" si="27">L39-M39</f>
        <v>15046</v>
      </c>
      <c r="O39" s="43">
        <f t="shared" ref="O39:O42" si="28">H39/1000*70</f>
        <v>1055.95</v>
      </c>
      <c r="P39" s="42">
        <v>0</v>
      </c>
      <c r="Q39" s="42">
        <v>11.5</v>
      </c>
      <c r="R39" s="42">
        <f t="shared" ref="R39:R42" si="29">L39*Q39</f>
        <v>173029</v>
      </c>
    </row>
    <row r="40" spans="1:18">
      <c r="A40" s="1" t="s">
        <v>2450</v>
      </c>
      <c r="B40" s="42" t="s">
        <v>2404</v>
      </c>
      <c r="C40" s="42" t="s">
        <v>91</v>
      </c>
      <c r="D40" s="42" t="s">
        <v>16</v>
      </c>
      <c r="E40" s="42" t="s">
        <v>2451</v>
      </c>
      <c r="F40" s="42">
        <v>5962</v>
      </c>
      <c r="G40" s="42"/>
      <c r="H40" s="42">
        <v>16195</v>
      </c>
      <c r="I40" s="42">
        <v>320</v>
      </c>
      <c r="J40" s="42">
        <v>0.13</v>
      </c>
      <c r="K40" s="43">
        <f t="shared" si="25"/>
        <v>41.6</v>
      </c>
      <c r="L40" s="43">
        <f t="shared" si="26"/>
        <v>16153.4</v>
      </c>
      <c r="M40" s="43"/>
      <c r="N40" s="43">
        <f t="shared" si="27"/>
        <v>16153.4</v>
      </c>
      <c r="O40" s="43">
        <f t="shared" si="28"/>
        <v>1133.6500000000001</v>
      </c>
      <c r="P40" s="42">
        <v>0</v>
      </c>
      <c r="Q40" s="42">
        <v>11.5</v>
      </c>
      <c r="R40" s="42">
        <f t="shared" si="29"/>
        <v>185764.1</v>
      </c>
    </row>
    <row r="41" spans="1:18">
      <c r="A41" s="21" t="s">
        <v>3407</v>
      </c>
      <c r="B41" s="42" t="s">
        <v>464</v>
      </c>
      <c r="C41" s="42" t="s">
        <v>91</v>
      </c>
      <c r="D41" s="42" t="s">
        <v>16</v>
      </c>
      <c r="E41" s="47" t="s">
        <v>3411</v>
      </c>
      <c r="F41" s="47">
        <v>522</v>
      </c>
      <c r="G41" s="47"/>
      <c r="H41" s="47">
        <v>19590</v>
      </c>
      <c r="I41" s="47">
        <v>368</v>
      </c>
      <c r="J41" s="47">
        <v>0.13</v>
      </c>
      <c r="K41" s="43">
        <f t="shared" si="25"/>
        <v>47.84</v>
      </c>
      <c r="L41" s="43">
        <f t="shared" si="26"/>
        <v>19542.16</v>
      </c>
      <c r="M41" s="43"/>
      <c r="N41" s="43">
        <f t="shared" si="27"/>
        <v>19542.16</v>
      </c>
      <c r="O41" s="43">
        <f t="shared" si="28"/>
        <v>1371.3</v>
      </c>
      <c r="P41" s="42">
        <v>10000</v>
      </c>
      <c r="Q41" s="42"/>
      <c r="R41" s="42">
        <f t="shared" si="29"/>
        <v>0</v>
      </c>
    </row>
    <row r="42" spans="1:18">
      <c r="A42" s="21" t="s">
        <v>3414</v>
      </c>
      <c r="B42" s="42" t="s">
        <v>464</v>
      </c>
      <c r="C42" s="42" t="s">
        <v>91</v>
      </c>
      <c r="D42" s="42" t="s">
        <v>16</v>
      </c>
      <c r="E42" s="47" t="s">
        <v>3418</v>
      </c>
      <c r="F42" s="47">
        <v>2541</v>
      </c>
      <c r="G42" s="47"/>
      <c r="H42" s="47">
        <v>14490</v>
      </c>
      <c r="I42" s="47">
        <v>275</v>
      </c>
      <c r="J42" s="47">
        <v>0.13</v>
      </c>
      <c r="K42" s="43">
        <f t="shared" si="25"/>
        <v>35.75</v>
      </c>
      <c r="L42" s="43">
        <f t="shared" si="26"/>
        <v>14454.25</v>
      </c>
      <c r="M42" s="43"/>
      <c r="N42" s="43">
        <f t="shared" si="27"/>
        <v>14454.25</v>
      </c>
      <c r="O42" s="43">
        <f t="shared" si="28"/>
        <v>1014.3000000000001</v>
      </c>
      <c r="P42" s="42">
        <v>14000</v>
      </c>
      <c r="Q42" s="42">
        <v>18.5</v>
      </c>
      <c r="R42" s="42">
        <f t="shared" si="29"/>
        <v>267403.625</v>
      </c>
    </row>
    <row r="44" spans="1:18">
      <c r="A44" s="374" t="s">
        <v>3425</v>
      </c>
      <c r="B44" s="42" t="s">
        <v>464</v>
      </c>
      <c r="C44" s="42" t="s">
        <v>91</v>
      </c>
      <c r="D44" s="42" t="s">
        <v>16</v>
      </c>
      <c r="E44" s="47" t="s">
        <v>3418</v>
      </c>
      <c r="F44" s="47">
        <v>2405</v>
      </c>
      <c r="G44" s="47"/>
      <c r="H44" s="47">
        <v>14690</v>
      </c>
      <c r="I44" s="47">
        <v>276</v>
      </c>
      <c r="J44" s="47">
        <v>0.13</v>
      </c>
      <c r="K44" s="43">
        <f t="shared" ref="K44:K46" si="30">I44*J44</f>
        <v>35.880000000000003</v>
      </c>
      <c r="L44" s="43">
        <f t="shared" ref="L44:L46" si="31">H44-K44</f>
        <v>14654.12</v>
      </c>
      <c r="M44" s="43"/>
      <c r="N44" s="43">
        <f t="shared" ref="N44:N46" si="32">L44-M44</f>
        <v>14654.12</v>
      </c>
      <c r="O44" s="43">
        <f t="shared" ref="O44:O46" si="33">H44/1000*70</f>
        <v>1028.3</v>
      </c>
      <c r="P44" s="42">
        <v>13000</v>
      </c>
      <c r="Q44" s="42">
        <v>18</v>
      </c>
      <c r="R44" s="42">
        <f t="shared" ref="R44:R46" si="34">L44*Q44</f>
        <v>263774.16000000003</v>
      </c>
    </row>
    <row r="45" spans="1:18">
      <c r="A45" s="374"/>
      <c r="B45" s="42" t="s">
        <v>464</v>
      </c>
      <c r="C45" s="42" t="s">
        <v>91</v>
      </c>
      <c r="D45" s="42" t="s">
        <v>16</v>
      </c>
      <c r="E45" s="47" t="s">
        <v>528</v>
      </c>
      <c r="F45" s="47">
        <v>2403</v>
      </c>
      <c r="G45" s="47"/>
      <c r="H45" s="47">
        <v>14610</v>
      </c>
      <c r="I45" s="47">
        <v>279</v>
      </c>
      <c r="J45" s="47">
        <v>0.13</v>
      </c>
      <c r="K45" s="43">
        <f t="shared" si="30"/>
        <v>36.270000000000003</v>
      </c>
      <c r="L45" s="43">
        <f t="shared" si="31"/>
        <v>14573.73</v>
      </c>
      <c r="M45" s="43"/>
      <c r="N45" s="43">
        <f t="shared" si="32"/>
        <v>14573.73</v>
      </c>
      <c r="O45" s="43">
        <f t="shared" si="33"/>
        <v>1022.6999999999999</v>
      </c>
      <c r="P45" s="42">
        <v>13000</v>
      </c>
      <c r="Q45" s="42">
        <v>18</v>
      </c>
      <c r="R45" s="42">
        <f t="shared" si="34"/>
        <v>262327.14</v>
      </c>
    </row>
    <row r="46" spans="1:18">
      <c r="A46" s="374"/>
      <c r="B46" s="42" t="s">
        <v>464</v>
      </c>
      <c r="C46" s="42" t="s">
        <v>91</v>
      </c>
      <c r="D46" s="42" t="s">
        <v>16</v>
      </c>
      <c r="E46" s="47" t="s">
        <v>3430</v>
      </c>
      <c r="F46" s="47">
        <v>2402</v>
      </c>
      <c r="G46" s="47"/>
      <c r="H46" s="47">
        <v>14600</v>
      </c>
      <c r="I46" s="47">
        <v>275</v>
      </c>
      <c r="J46" s="47">
        <v>0.13</v>
      </c>
      <c r="K46" s="43">
        <f t="shared" si="30"/>
        <v>35.75</v>
      </c>
      <c r="L46" s="43">
        <f t="shared" si="31"/>
        <v>14564.25</v>
      </c>
      <c r="M46" s="43"/>
      <c r="N46" s="43">
        <f t="shared" si="32"/>
        <v>14564.25</v>
      </c>
      <c r="O46" s="43">
        <f t="shared" si="33"/>
        <v>1022</v>
      </c>
      <c r="P46" s="42">
        <v>13000</v>
      </c>
      <c r="Q46" s="42">
        <v>18</v>
      </c>
      <c r="R46" s="42">
        <f t="shared" si="34"/>
        <v>262156.5</v>
      </c>
    </row>
    <row r="48" spans="1:18">
      <c r="A48" s="374" t="s">
        <v>3434</v>
      </c>
      <c r="B48" s="42" t="s">
        <v>464</v>
      </c>
      <c r="C48" s="42" t="s">
        <v>91</v>
      </c>
      <c r="D48" s="42" t="s">
        <v>16</v>
      </c>
      <c r="E48" s="47" t="s">
        <v>1453</v>
      </c>
      <c r="F48" s="47">
        <v>2408</v>
      </c>
      <c r="G48" s="47"/>
      <c r="H48" s="47">
        <v>14680</v>
      </c>
      <c r="I48" s="47">
        <v>269</v>
      </c>
      <c r="J48" s="47">
        <v>0.13</v>
      </c>
      <c r="K48" s="43">
        <f t="shared" ref="K48:K50" si="35">I48*J48</f>
        <v>34.97</v>
      </c>
      <c r="L48" s="43">
        <f t="shared" ref="L48:L50" si="36">H48-K48</f>
        <v>14645.03</v>
      </c>
      <c r="M48" s="43"/>
      <c r="N48" s="43">
        <f t="shared" ref="N48:N50" si="37">L48-M48</f>
        <v>14645.03</v>
      </c>
      <c r="O48" s="43">
        <f t="shared" ref="O48:O50" si="38">H48/1000*70</f>
        <v>1027.5999999999999</v>
      </c>
      <c r="P48" s="42">
        <v>13000</v>
      </c>
      <c r="Q48" s="42">
        <v>18</v>
      </c>
      <c r="R48" s="42">
        <f t="shared" ref="R48:R50" si="39">L48*Q48</f>
        <v>263610.54000000004</v>
      </c>
    </row>
    <row r="49" spans="1:18">
      <c r="A49" s="374"/>
      <c r="B49" s="42" t="s">
        <v>464</v>
      </c>
      <c r="C49" s="42" t="s">
        <v>91</v>
      </c>
      <c r="D49" s="42" t="s">
        <v>16</v>
      </c>
      <c r="E49" s="47" t="s">
        <v>530</v>
      </c>
      <c r="F49" s="47">
        <v>2409</v>
      </c>
      <c r="G49" s="47"/>
      <c r="H49" s="47">
        <v>15160</v>
      </c>
      <c r="I49" s="47">
        <v>278</v>
      </c>
      <c r="J49" s="47">
        <v>0.13</v>
      </c>
      <c r="K49" s="43">
        <f t="shared" si="35"/>
        <v>36.14</v>
      </c>
      <c r="L49" s="43">
        <f t="shared" si="36"/>
        <v>15123.86</v>
      </c>
      <c r="M49" s="43"/>
      <c r="N49" s="43">
        <f t="shared" si="37"/>
        <v>15123.86</v>
      </c>
      <c r="O49" s="43">
        <f t="shared" si="38"/>
        <v>1061.2</v>
      </c>
      <c r="P49" s="42">
        <v>13000</v>
      </c>
      <c r="Q49" s="42">
        <v>18</v>
      </c>
      <c r="R49" s="42">
        <f t="shared" si="39"/>
        <v>272229.48</v>
      </c>
    </row>
    <row r="50" spans="1:18">
      <c r="A50" s="1" t="s">
        <v>3435</v>
      </c>
      <c r="B50" s="42" t="s">
        <v>464</v>
      </c>
      <c r="C50" s="42" t="s">
        <v>91</v>
      </c>
      <c r="D50" s="42" t="s">
        <v>16</v>
      </c>
      <c r="E50" s="47" t="s">
        <v>3437</v>
      </c>
      <c r="F50" s="47">
        <v>2412</v>
      </c>
      <c r="G50" s="47"/>
      <c r="H50" s="47">
        <v>15325</v>
      </c>
      <c r="I50" s="47">
        <v>270</v>
      </c>
      <c r="J50" s="47">
        <v>0.13</v>
      </c>
      <c r="K50" s="43">
        <f t="shared" si="35"/>
        <v>35.1</v>
      </c>
      <c r="L50" s="43">
        <f t="shared" si="36"/>
        <v>15289.9</v>
      </c>
      <c r="M50" s="43"/>
      <c r="N50" s="43">
        <f t="shared" si="37"/>
        <v>15289.9</v>
      </c>
      <c r="O50" s="43">
        <f t="shared" si="38"/>
        <v>1072.75</v>
      </c>
      <c r="P50" s="42">
        <v>13000</v>
      </c>
      <c r="Q50" s="42">
        <v>18</v>
      </c>
      <c r="R50" s="42">
        <f t="shared" si="39"/>
        <v>275218.2</v>
      </c>
    </row>
    <row r="52" spans="1:18">
      <c r="A52" s="53" t="s">
        <v>3438</v>
      </c>
      <c r="B52" s="42" t="s">
        <v>464</v>
      </c>
      <c r="C52" s="42" t="s">
        <v>91</v>
      </c>
      <c r="D52" s="42" t="s">
        <v>16</v>
      </c>
      <c r="E52" s="47" t="s">
        <v>528</v>
      </c>
      <c r="F52" s="47">
        <v>2417</v>
      </c>
      <c r="G52" s="47"/>
      <c r="H52" s="47">
        <v>14620</v>
      </c>
      <c r="I52" s="47">
        <v>264</v>
      </c>
      <c r="J52" s="47">
        <v>0.13</v>
      </c>
      <c r="K52" s="43">
        <v>34.32</v>
      </c>
      <c r="L52" s="43">
        <v>14585.68</v>
      </c>
      <c r="M52" s="43"/>
      <c r="N52" s="43">
        <v>14585.68</v>
      </c>
      <c r="O52" s="43">
        <v>1023.4</v>
      </c>
      <c r="P52" s="42">
        <v>13000</v>
      </c>
      <c r="Q52" s="42">
        <v>18</v>
      </c>
      <c r="R52" s="42">
        <v>262542.24</v>
      </c>
    </row>
    <row r="53" spans="1:18">
      <c r="A53" s="374" t="s">
        <v>3444</v>
      </c>
      <c r="B53" s="42" t="s">
        <v>464</v>
      </c>
      <c r="C53" s="42" t="s">
        <v>91</v>
      </c>
      <c r="D53" s="42" t="s">
        <v>16</v>
      </c>
      <c r="E53" s="47" t="s">
        <v>1868</v>
      </c>
      <c r="F53" s="47">
        <v>2420</v>
      </c>
      <c r="G53" s="47"/>
      <c r="H53" s="47">
        <v>14700</v>
      </c>
      <c r="I53" s="47">
        <v>268</v>
      </c>
      <c r="J53" s="47">
        <v>0.13</v>
      </c>
      <c r="K53" s="43">
        <v>34.840000000000003</v>
      </c>
      <c r="L53" s="43">
        <v>14665.16</v>
      </c>
      <c r="M53" s="43"/>
      <c r="N53" s="43">
        <v>14665.16</v>
      </c>
      <c r="O53" s="43">
        <v>1029</v>
      </c>
      <c r="P53" s="42">
        <v>13000</v>
      </c>
      <c r="Q53" s="42">
        <v>18</v>
      </c>
      <c r="R53" s="42">
        <v>263972.88</v>
      </c>
    </row>
    <row r="54" spans="1:18">
      <c r="A54" s="374"/>
      <c r="B54" s="42" t="s">
        <v>464</v>
      </c>
      <c r="C54" s="42" t="s">
        <v>91</v>
      </c>
      <c r="D54" s="42" t="s">
        <v>16</v>
      </c>
      <c r="E54" s="47" t="s">
        <v>3418</v>
      </c>
      <c r="F54" s="47">
        <v>2421</v>
      </c>
      <c r="G54" s="47"/>
      <c r="H54" s="47">
        <v>14630</v>
      </c>
      <c r="I54" s="47">
        <v>265</v>
      </c>
      <c r="J54" s="47">
        <v>0.13</v>
      </c>
      <c r="K54" s="43">
        <v>34.450000000000003</v>
      </c>
      <c r="L54" s="43">
        <v>14595.55</v>
      </c>
      <c r="M54" s="43"/>
      <c r="N54" s="43">
        <v>14595.55</v>
      </c>
      <c r="O54" s="43">
        <v>1024.1000000000001</v>
      </c>
      <c r="P54" s="42">
        <v>13000</v>
      </c>
      <c r="Q54" s="42">
        <v>18</v>
      </c>
      <c r="R54" s="42">
        <v>262719.89999999997</v>
      </c>
    </row>
    <row r="55" spans="1:18">
      <c r="A55" s="374"/>
      <c r="B55" s="42" t="s">
        <v>464</v>
      </c>
      <c r="C55" s="42" t="s">
        <v>91</v>
      </c>
      <c r="D55" s="42" t="s">
        <v>16</v>
      </c>
      <c r="E55" s="47" t="s">
        <v>1454</v>
      </c>
      <c r="F55" s="47">
        <v>2423</v>
      </c>
      <c r="G55" s="47"/>
      <c r="H55" s="47">
        <v>14580</v>
      </c>
      <c r="I55" s="47">
        <v>269</v>
      </c>
      <c r="J55" s="47">
        <v>0.13</v>
      </c>
      <c r="K55" s="43">
        <v>34.97</v>
      </c>
      <c r="L55" s="43">
        <v>14545.03</v>
      </c>
      <c r="M55" s="43"/>
      <c r="N55" s="43">
        <v>14545.03</v>
      </c>
      <c r="O55" s="43">
        <v>1020.6</v>
      </c>
      <c r="P55" s="42">
        <v>13000</v>
      </c>
      <c r="Q55" s="42">
        <v>18</v>
      </c>
      <c r="R55" s="42">
        <v>261810.54</v>
      </c>
    </row>
    <row r="56" spans="1:18">
      <c r="A56" s="1" t="s">
        <v>3454</v>
      </c>
      <c r="B56" s="42" t="s">
        <v>464</v>
      </c>
      <c r="C56" s="42" t="s">
        <v>91</v>
      </c>
      <c r="D56" s="42" t="s">
        <v>16</v>
      </c>
      <c r="E56" s="47" t="s">
        <v>3456</v>
      </c>
      <c r="F56" s="47">
        <v>2424</v>
      </c>
      <c r="G56" s="47"/>
      <c r="H56" s="47">
        <v>15120</v>
      </c>
      <c r="I56" s="47">
        <v>277</v>
      </c>
      <c r="J56" s="47">
        <v>0.13</v>
      </c>
      <c r="K56" s="43">
        <f t="shared" ref="K56" si="40">I56*J56</f>
        <v>36.01</v>
      </c>
      <c r="L56" s="43">
        <f t="shared" ref="L56" si="41">H56-K56</f>
        <v>15083.99</v>
      </c>
      <c r="M56" s="43"/>
      <c r="N56" s="43">
        <f t="shared" ref="N56" si="42">L56-M56</f>
        <v>15083.99</v>
      </c>
      <c r="O56" s="43">
        <f t="shared" ref="O56" si="43">H56/1000*70</f>
        <v>1058.3999999999999</v>
      </c>
      <c r="P56" s="42">
        <v>13000</v>
      </c>
      <c r="Q56" s="42">
        <v>18</v>
      </c>
      <c r="R56" s="42">
        <f t="shared" ref="R56" si="44">L56*Q56</f>
        <v>271511.82</v>
      </c>
    </row>
  </sheetData>
  <mergeCells count="11">
    <mergeCell ref="A27:A28"/>
    <mergeCell ref="A8:A10"/>
    <mergeCell ref="A11:A13"/>
    <mergeCell ref="A14:A16"/>
    <mergeCell ref="A19:A20"/>
    <mergeCell ref="A22:A23"/>
    <mergeCell ref="A53:A55"/>
    <mergeCell ref="A48:A49"/>
    <mergeCell ref="A44:A46"/>
    <mergeCell ref="A35:A38"/>
    <mergeCell ref="A30:A31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5:U25"/>
  <sheetViews>
    <sheetView workbookViewId="0">
      <selection activeCell="L8" sqref="L8:L10"/>
    </sheetView>
  </sheetViews>
  <sheetFormatPr defaultRowHeight="14.4"/>
  <cols>
    <col min="1" max="1" width="8.88671875" style="1"/>
    <col min="2" max="2" width="17.21875" style="1" customWidth="1"/>
    <col min="3" max="3" width="8.88671875" style="1"/>
    <col min="4" max="4" width="5.5546875" style="1" customWidth="1"/>
    <col min="5" max="5" width="9.7773437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0.399999999999999">
      <c r="A5" s="58" t="s">
        <v>3</v>
      </c>
      <c r="B5" s="58" t="s">
        <v>4</v>
      </c>
      <c r="C5" s="58" t="s">
        <v>5</v>
      </c>
      <c r="D5" s="58" t="s">
        <v>6</v>
      </c>
      <c r="E5" s="58" t="s">
        <v>37</v>
      </c>
      <c r="F5" s="59" t="s">
        <v>7</v>
      </c>
      <c r="G5" s="58" t="s">
        <v>8</v>
      </c>
      <c r="H5" s="58" t="s">
        <v>9</v>
      </c>
      <c r="I5" s="58" t="s">
        <v>10</v>
      </c>
      <c r="J5" s="59" t="s">
        <v>18</v>
      </c>
      <c r="K5" s="59" t="s">
        <v>17</v>
      </c>
      <c r="L5" s="58" t="s">
        <v>11</v>
      </c>
      <c r="M5" s="59" t="s">
        <v>36</v>
      </c>
      <c r="N5" s="58" t="s">
        <v>12</v>
      </c>
      <c r="O5" s="58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258</v>
      </c>
    </row>
    <row r="6" spans="1:21">
      <c r="A6" s="79"/>
      <c r="B6" s="42"/>
      <c r="C6" s="42"/>
      <c r="D6" s="42"/>
      <c r="E6" s="42"/>
      <c r="F6" s="42"/>
      <c r="G6" s="42"/>
      <c r="H6" s="42"/>
      <c r="I6" s="42"/>
      <c r="J6" s="42"/>
      <c r="K6" s="42"/>
      <c r="L6" s="43"/>
      <c r="M6" s="43"/>
      <c r="N6" s="42"/>
      <c r="O6" s="42"/>
      <c r="P6" s="42"/>
      <c r="Q6" s="42"/>
      <c r="R6" s="80"/>
      <c r="S6" s="80"/>
      <c r="T6" s="80"/>
      <c r="U6" s="81"/>
    </row>
    <row r="7" spans="1:21">
      <c r="A7" s="69"/>
      <c r="B7" s="60"/>
      <c r="C7" s="60"/>
      <c r="D7" s="60"/>
      <c r="E7" s="60"/>
      <c r="F7" s="60"/>
      <c r="G7" s="60"/>
      <c r="H7" s="60"/>
      <c r="I7" s="60"/>
      <c r="J7" s="60"/>
      <c r="K7" s="60"/>
      <c r="L7" s="61"/>
      <c r="M7" s="61"/>
      <c r="N7" s="60"/>
      <c r="O7" s="62"/>
      <c r="P7" s="62"/>
      <c r="Q7" s="62"/>
      <c r="R7" s="62"/>
      <c r="S7" s="62"/>
      <c r="T7" s="62"/>
      <c r="U7" s="62"/>
    </row>
    <row r="8" spans="1:21">
      <c r="A8" s="88" t="s">
        <v>585</v>
      </c>
      <c r="B8" s="42" t="s">
        <v>586</v>
      </c>
      <c r="C8" s="42" t="s">
        <v>91</v>
      </c>
      <c r="D8" s="42" t="s">
        <v>16</v>
      </c>
      <c r="E8" s="42" t="s">
        <v>587</v>
      </c>
      <c r="F8" s="42">
        <v>117</v>
      </c>
      <c r="G8" s="42"/>
      <c r="H8" s="42">
        <v>16205</v>
      </c>
      <c r="I8" s="42">
        <v>315</v>
      </c>
      <c r="J8" s="42">
        <v>0.13</v>
      </c>
      <c r="K8" s="42">
        <f t="shared" ref="K8:K10" si="0">I8*J8</f>
        <v>40.950000000000003</v>
      </c>
      <c r="L8" s="43">
        <f t="shared" ref="L8:L10" si="1">H8-K8</f>
        <v>16164.05</v>
      </c>
      <c r="M8" s="43">
        <f t="shared" ref="M8:M10" si="2">H8/1000*70</f>
        <v>1134.3499999999999</v>
      </c>
      <c r="N8" s="42">
        <v>14500</v>
      </c>
      <c r="O8" s="42"/>
      <c r="P8" s="42"/>
      <c r="Q8" s="62"/>
      <c r="R8" s="62"/>
      <c r="S8" s="62"/>
      <c r="T8" s="62"/>
      <c r="U8" s="62"/>
    </row>
    <row r="9" spans="1:21">
      <c r="A9" s="88" t="s">
        <v>589</v>
      </c>
      <c r="B9" s="42" t="s">
        <v>586</v>
      </c>
      <c r="C9" s="42" t="s">
        <v>91</v>
      </c>
      <c r="D9" s="42" t="s">
        <v>16</v>
      </c>
      <c r="E9" s="42" t="s">
        <v>590</v>
      </c>
      <c r="F9" s="42">
        <v>118</v>
      </c>
      <c r="G9" s="42"/>
      <c r="H9" s="42">
        <v>16790</v>
      </c>
      <c r="I9" s="42">
        <v>321</v>
      </c>
      <c r="J9" s="42">
        <v>0.13</v>
      </c>
      <c r="K9" s="42">
        <f t="shared" si="0"/>
        <v>41.730000000000004</v>
      </c>
      <c r="L9" s="43">
        <f t="shared" si="1"/>
        <v>16748.27</v>
      </c>
      <c r="M9" s="43">
        <f t="shared" si="2"/>
        <v>1175.3</v>
      </c>
      <c r="N9" s="42">
        <v>15000</v>
      </c>
      <c r="O9" s="42"/>
      <c r="P9" s="42"/>
      <c r="Q9" s="62"/>
      <c r="R9" s="62"/>
      <c r="S9" s="62"/>
      <c r="T9" s="62"/>
      <c r="U9" s="62">
        <v>20.75</v>
      </c>
    </row>
    <row r="10" spans="1:21">
      <c r="A10" s="88" t="s">
        <v>591</v>
      </c>
      <c r="B10" s="42" t="s">
        <v>586</v>
      </c>
      <c r="C10" s="42" t="s">
        <v>91</v>
      </c>
      <c r="D10" s="42" t="s">
        <v>16</v>
      </c>
      <c r="E10" s="42" t="s">
        <v>594</v>
      </c>
      <c r="F10" s="42">
        <v>119</v>
      </c>
      <c r="G10" s="42"/>
      <c r="H10" s="42">
        <v>16510</v>
      </c>
      <c r="I10" s="42">
        <v>321</v>
      </c>
      <c r="J10" s="42">
        <v>0.13</v>
      </c>
      <c r="K10" s="42">
        <f t="shared" si="0"/>
        <v>41.730000000000004</v>
      </c>
      <c r="L10" s="43">
        <f t="shared" si="1"/>
        <v>16468.27</v>
      </c>
      <c r="M10" s="43">
        <f t="shared" si="2"/>
        <v>1155.7</v>
      </c>
      <c r="N10" s="42">
        <v>15000</v>
      </c>
      <c r="O10" s="42"/>
      <c r="P10" s="42"/>
      <c r="Q10" s="62"/>
      <c r="R10" s="62"/>
      <c r="S10" s="62"/>
      <c r="T10" s="62"/>
      <c r="U10" s="62"/>
    </row>
    <row r="11" spans="1:21">
      <c r="A11" s="88"/>
      <c r="B11" s="42"/>
      <c r="C11" s="42"/>
      <c r="D11" s="42"/>
      <c r="E11" s="42"/>
      <c r="F11" s="42"/>
      <c r="G11" s="42"/>
      <c r="H11" s="42"/>
      <c r="I11" s="42"/>
      <c r="J11" s="42"/>
      <c r="K11" s="43"/>
      <c r="L11" s="43"/>
      <c r="M11" s="43"/>
      <c r="N11" s="42"/>
      <c r="O11" s="42"/>
      <c r="P11" s="62"/>
      <c r="Q11" s="62"/>
      <c r="R11" s="62"/>
      <c r="S11" s="62"/>
      <c r="T11" s="62"/>
      <c r="U11" s="62"/>
    </row>
    <row r="12" spans="1:21">
      <c r="A12" s="88"/>
      <c r="B12" s="42"/>
      <c r="C12" s="42"/>
      <c r="D12" s="42"/>
      <c r="E12" s="42"/>
      <c r="F12" s="42"/>
      <c r="G12" s="42"/>
      <c r="H12" s="42"/>
      <c r="I12" s="42"/>
      <c r="J12" s="42"/>
      <c r="K12" s="43"/>
      <c r="L12" s="43"/>
      <c r="M12" s="43"/>
      <c r="N12" s="42"/>
      <c r="O12" s="42"/>
      <c r="P12" s="62"/>
      <c r="Q12" s="62"/>
      <c r="R12" s="62"/>
      <c r="S12" s="62"/>
      <c r="T12" s="62"/>
      <c r="U12" s="62"/>
    </row>
    <row r="13" spans="1:21">
      <c r="A13" s="88"/>
      <c r="B13" s="42"/>
      <c r="C13" s="42"/>
      <c r="D13" s="42"/>
      <c r="E13" s="42"/>
      <c r="F13" s="42"/>
      <c r="G13" s="42"/>
      <c r="H13" s="42"/>
      <c r="I13" s="42"/>
      <c r="J13" s="42"/>
      <c r="K13" s="43"/>
      <c r="L13" s="43"/>
      <c r="M13" s="43"/>
      <c r="N13" s="42"/>
      <c r="O13" s="42"/>
      <c r="P13" s="42"/>
      <c r="Q13" s="62"/>
      <c r="R13" s="62"/>
      <c r="S13" s="62"/>
      <c r="T13" s="62"/>
      <c r="U13" s="77"/>
    </row>
    <row r="14" spans="1:21">
      <c r="A14" s="89"/>
      <c r="B14" s="42"/>
      <c r="C14" s="42"/>
      <c r="D14" s="42"/>
      <c r="E14" s="45"/>
      <c r="F14" s="42"/>
      <c r="G14" s="42"/>
      <c r="H14" s="42"/>
      <c r="I14" s="42"/>
      <c r="J14" s="42"/>
      <c r="K14" s="43"/>
      <c r="L14" s="43"/>
      <c r="M14" s="43"/>
      <c r="N14" s="42"/>
      <c r="O14" s="62"/>
      <c r="P14" s="62"/>
      <c r="Q14" s="62"/>
      <c r="R14" s="62"/>
      <c r="S14" s="62"/>
      <c r="T14" s="62"/>
      <c r="U14" s="62"/>
    </row>
    <row r="15" spans="1:21">
      <c r="A15" s="89"/>
      <c r="B15" s="42"/>
      <c r="C15" s="42"/>
      <c r="D15" s="42"/>
      <c r="E15" s="45"/>
      <c r="F15" s="47"/>
      <c r="G15" s="46"/>
      <c r="H15" s="47"/>
      <c r="I15" s="47"/>
      <c r="J15" s="47"/>
      <c r="K15" s="43"/>
      <c r="L15" s="43"/>
      <c r="M15" s="43"/>
      <c r="N15" s="47"/>
      <c r="O15" s="62"/>
      <c r="P15" s="62"/>
      <c r="Q15" s="62"/>
      <c r="R15" s="62"/>
      <c r="S15" s="62"/>
      <c r="T15" s="62"/>
      <c r="U15" s="62"/>
    </row>
    <row r="16" spans="1:21">
      <c r="A16" s="89"/>
      <c r="B16" s="42"/>
      <c r="C16" s="42"/>
      <c r="D16" s="42"/>
      <c r="E16" s="42"/>
      <c r="F16" s="47"/>
      <c r="G16" s="47"/>
      <c r="H16" s="47"/>
      <c r="I16" s="47"/>
      <c r="J16" s="47"/>
      <c r="K16" s="43"/>
      <c r="L16" s="43"/>
      <c r="M16" s="43"/>
      <c r="N16" s="47"/>
      <c r="O16" s="62"/>
      <c r="P16" s="62"/>
      <c r="Q16" s="62"/>
      <c r="R16" s="62"/>
      <c r="S16" s="62"/>
      <c r="T16" s="62"/>
      <c r="U16" s="62"/>
    </row>
    <row r="17" spans="1:21">
      <c r="A17" s="63"/>
      <c r="B17" s="60"/>
      <c r="C17" s="60"/>
      <c r="D17" s="60"/>
      <c r="E17" s="60"/>
      <c r="F17" s="60"/>
      <c r="G17" s="60"/>
      <c r="H17" s="60"/>
      <c r="I17" s="60"/>
      <c r="J17" s="60"/>
      <c r="K17" s="61"/>
      <c r="L17" s="65"/>
      <c r="M17" s="61"/>
      <c r="N17" s="60"/>
      <c r="O17" s="60"/>
      <c r="P17" s="60"/>
      <c r="Q17" s="62"/>
      <c r="R17" s="62"/>
      <c r="S17" s="62"/>
      <c r="T17" s="62"/>
      <c r="U17" s="62"/>
    </row>
    <row r="18" spans="1:21">
      <c r="A18" s="63"/>
      <c r="B18" s="60"/>
      <c r="C18" s="60"/>
      <c r="D18" s="60"/>
      <c r="E18" s="60"/>
      <c r="F18" s="60"/>
      <c r="G18" s="60"/>
      <c r="H18" s="60"/>
      <c r="I18" s="60"/>
      <c r="J18" s="60"/>
      <c r="K18" s="61"/>
      <c r="L18" s="65"/>
      <c r="M18" s="61"/>
      <c r="N18" s="60"/>
      <c r="O18" s="60"/>
      <c r="P18" s="60"/>
      <c r="Q18" s="62"/>
      <c r="R18" s="62"/>
      <c r="S18" s="62"/>
      <c r="T18" s="62"/>
      <c r="U18" s="62"/>
    </row>
    <row r="19" spans="1:21">
      <c r="A19" s="62"/>
      <c r="B19" s="62"/>
      <c r="C19" s="62"/>
      <c r="D19" s="62"/>
      <c r="E19" s="62"/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</row>
    <row r="20" spans="1:21">
      <c r="A20" s="62"/>
      <c r="B20" s="62"/>
      <c r="C20" s="62"/>
      <c r="D20" s="62"/>
      <c r="E20" s="62"/>
      <c r="F20" s="62"/>
      <c r="G20" s="62"/>
      <c r="H20" s="62"/>
      <c r="I20" s="62"/>
      <c r="J20" s="62"/>
      <c r="K20" s="62"/>
      <c r="L20" s="66"/>
      <c r="M20" s="62"/>
      <c r="N20" s="62"/>
      <c r="O20" s="62"/>
      <c r="P20" s="62"/>
      <c r="Q20" s="62"/>
      <c r="R20" s="62"/>
      <c r="S20" s="62"/>
      <c r="T20" s="62"/>
      <c r="U20" s="62"/>
    </row>
    <row r="21" spans="1:21">
      <c r="A21" s="62"/>
      <c r="B21" s="62"/>
      <c r="C21" s="62"/>
      <c r="D21" s="62"/>
      <c r="E21" s="62"/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</row>
    <row r="22" spans="1:21">
      <c r="A22" s="62"/>
      <c r="B22" s="62"/>
      <c r="C22" s="62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</row>
    <row r="23" spans="1:21">
      <c r="A23" s="62"/>
      <c r="B23" s="67"/>
      <c r="C23" s="67"/>
      <c r="D23" s="67"/>
      <c r="E23" s="67"/>
      <c r="F23" s="67"/>
      <c r="G23" s="67"/>
      <c r="H23" s="67"/>
      <c r="I23" s="67"/>
      <c r="J23" s="67"/>
      <c r="K23" s="67"/>
      <c r="L23" s="68"/>
      <c r="M23" s="68"/>
      <c r="N23" s="67"/>
      <c r="O23" s="67"/>
      <c r="P23" s="67"/>
      <c r="Q23" s="67"/>
      <c r="R23" s="62"/>
      <c r="S23" s="62"/>
      <c r="T23" s="62"/>
      <c r="U23" s="62"/>
    </row>
    <row r="24" spans="1:21">
      <c r="A24" s="62"/>
      <c r="B24" s="62"/>
      <c r="C24" s="62"/>
      <c r="D24" s="62"/>
      <c r="E24" s="6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</row>
    <row r="25" spans="1:21">
      <c r="A25" s="62"/>
      <c r="B25" s="62"/>
      <c r="C25" s="62"/>
      <c r="D25" s="62"/>
      <c r="E25" s="62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5:U25"/>
  <sheetViews>
    <sheetView workbookViewId="0">
      <selection activeCell="R8" sqref="R8"/>
    </sheetView>
  </sheetViews>
  <sheetFormatPr defaultRowHeight="14.4"/>
  <cols>
    <col min="1" max="1" width="8.88671875" style="1"/>
    <col min="2" max="2" width="17.21875" style="1" customWidth="1"/>
    <col min="3" max="3" width="8.88671875" style="1"/>
    <col min="4" max="4" width="5.5546875" style="1" customWidth="1"/>
    <col min="5" max="5" width="9.7773437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0.399999999999999">
      <c r="A5" s="58" t="s">
        <v>3</v>
      </c>
      <c r="B5" s="58" t="s">
        <v>4</v>
      </c>
      <c r="C5" s="58" t="s">
        <v>5</v>
      </c>
      <c r="D5" s="58" t="s">
        <v>6</v>
      </c>
      <c r="E5" s="58" t="s">
        <v>37</v>
      </c>
      <c r="F5" s="59" t="s">
        <v>7</v>
      </c>
      <c r="G5" s="58" t="s">
        <v>8</v>
      </c>
      <c r="H5" s="58" t="s">
        <v>9</v>
      </c>
      <c r="I5" s="58" t="s">
        <v>10</v>
      </c>
      <c r="J5" s="59" t="s">
        <v>18</v>
      </c>
      <c r="K5" s="59" t="s">
        <v>17</v>
      </c>
      <c r="L5" s="58" t="s">
        <v>11</v>
      </c>
      <c r="M5" s="59" t="s">
        <v>36</v>
      </c>
      <c r="N5" s="58" t="s">
        <v>12</v>
      </c>
      <c r="O5" s="58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258</v>
      </c>
    </row>
    <row r="6" spans="1:21">
      <c r="A6" s="79"/>
      <c r="B6" s="42"/>
      <c r="C6" s="42"/>
      <c r="D6" s="42"/>
      <c r="E6" s="42"/>
      <c r="F6" s="42"/>
      <c r="G6" s="42"/>
      <c r="H6" s="42"/>
      <c r="I6" s="42"/>
      <c r="J6" s="42"/>
      <c r="K6" s="42"/>
      <c r="L6" s="43"/>
      <c r="M6" s="43"/>
      <c r="N6" s="42"/>
      <c r="O6" s="42"/>
      <c r="P6" s="42"/>
      <c r="Q6" s="42"/>
      <c r="R6" s="80"/>
      <c r="S6" s="80"/>
      <c r="T6" s="80"/>
      <c r="U6" s="81"/>
    </row>
    <row r="7" spans="1:21">
      <c r="A7" s="69"/>
      <c r="B7" s="60"/>
      <c r="C7" s="60"/>
      <c r="D7" s="60"/>
      <c r="E7" s="60"/>
      <c r="F7" s="60"/>
      <c r="G7" s="60"/>
      <c r="H7" s="60"/>
      <c r="I7" s="60"/>
      <c r="J7" s="60"/>
      <c r="K7" s="60"/>
      <c r="L7" s="61"/>
      <c r="M7" s="61"/>
      <c r="N7" s="60"/>
      <c r="O7" s="62"/>
      <c r="P7" s="62"/>
      <c r="Q7" s="62"/>
      <c r="R7" s="62"/>
      <c r="S7" s="62"/>
      <c r="T7" s="62"/>
      <c r="U7" s="62"/>
    </row>
    <row r="8" spans="1:21">
      <c r="A8" s="88" t="s">
        <v>617</v>
      </c>
      <c r="B8" s="42" t="s">
        <v>618</v>
      </c>
      <c r="C8" s="42" t="s">
        <v>91</v>
      </c>
      <c r="D8" s="42" t="s">
        <v>16</v>
      </c>
      <c r="E8" s="42" t="s">
        <v>619</v>
      </c>
      <c r="F8" s="42">
        <v>673</v>
      </c>
      <c r="G8" s="42"/>
      <c r="H8" s="42">
        <v>14960</v>
      </c>
      <c r="I8" s="42">
        <v>293</v>
      </c>
      <c r="J8" s="42">
        <v>0.13</v>
      </c>
      <c r="K8" s="42">
        <f t="shared" ref="K8:K14" si="0">I8*J8</f>
        <v>38.090000000000003</v>
      </c>
      <c r="L8" s="43">
        <f t="shared" ref="L8:L14" si="1">H8-K8</f>
        <v>14921.91</v>
      </c>
      <c r="M8" s="43">
        <f t="shared" ref="M8:M14" si="2">H8/1000*70</f>
        <v>1047.2</v>
      </c>
      <c r="N8" s="42">
        <v>0</v>
      </c>
      <c r="O8" s="42"/>
      <c r="P8" s="42"/>
      <c r="Q8" s="62"/>
      <c r="R8" s="62">
        <v>202</v>
      </c>
      <c r="S8" s="62">
        <v>100000</v>
      </c>
      <c r="T8" s="62"/>
      <c r="U8" s="62"/>
    </row>
    <row r="9" spans="1:21">
      <c r="A9" s="390" t="s">
        <v>625</v>
      </c>
      <c r="B9" s="42" t="s">
        <v>618</v>
      </c>
      <c r="C9" s="42" t="s">
        <v>91</v>
      </c>
      <c r="D9" s="42" t="s">
        <v>16</v>
      </c>
      <c r="E9" s="42" t="s">
        <v>634</v>
      </c>
      <c r="F9" s="42">
        <v>674</v>
      </c>
      <c r="G9" s="42"/>
      <c r="H9" s="42">
        <v>15450</v>
      </c>
      <c r="I9" s="42">
        <v>290</v>
      </c>
      <c r="J9" s="42">
        <v>0.13</v>
      </c>
      <c r="K9" s="42">
        <f t="shared" si="0"/>
        <v>37.700000000000003</v>
      </c>
      <c r="L9" s="43">
        <f t="shared" si="1"/>
        <v>15412.3</v>
      </c>
      <c r="M9" s="43">
        <f t="shared" si="2"/>
        <v>1081.5</v>
      </c>
      <c r="N9" s="42">
        <v>0</v>
      </c>
      <c r="O9" s="42"/>
      <c r="P9" s="42"/>
      <c r="Q9" s="62"/>
      <c r="R9" s="62"/>
      <c r="S9" s="62"/>
      <c r="T9" s="62"/>
      <c r="U9" s="62">
        <v>20.75</v>
      </c>
    </row>
    <row r="10" spans="1:21">
      <c r="A10" s="390"/>
      <c r="B10" s="42" t="s">
        <v>618</v>
      </c>
      <c r="C10" s="42" t="s">
        <v>91</v>
      </c>
      <c r="D10" s="42" t="s">
        <v>16</v>
      </c>
      <c r="E10" s="42" t="s">
        <v>635</v>
      </c>
      <c r="F10" s="42">
        <v>674</v>
      </c>
      <c r="G10" s="42"/>
      <c r="H10" s="42">
        <v>15560</v>
      </c>
      <c r="I10" s="42">
        <v>297</v>
      </c>
      <c r="J10" s="42">
        <v>0.13</v>
      </c>
      <c r="K10" s="42">
        <f t="shared" si="0"/>
        <v>38.61</v>
      </c>
      <c r="L10" s="43">
        <f t="shared" si="1"/>
        <v>15521.39</v>
      </c>
      <c r="M10" s="43">
        <f t="shared" si="2"/>
        <v>1089.2</v>
      </c>
      <c r="N10" s="42">
        <v>0</v>
      </c>
      <c r="O10" s="42"/>
      <c r="P10" s="42"/>
      <c r="Q10" s="62"/>
      <c r="R10" s="62"/>
      <c r="S10" s="62"/>
      <c r="T10" s="62"/>
      <c r="U10" s="62"/>
    </row>
    <row r="11" spans="1:21">
      <c r="A11" s="390" t="s">
        <v>641</v>
      </c>
      <c r="B11" s="42" t="s">
        <v>618</v>
      </c>
      <c r="C11" s="42" t="s">
        <v>91</v>
      </c>
      <c r="D11" s="42" t="s">
        <v>16</v>
      </c>
      <c r="E11" s="42" t="s">
        <v>619</v>
      </c>
      <c r="F11" s="42">
        <v>677</v>
      </c>
      <c r="G11" s="42"/>
      <c r="H11" s="42">
        <v>15280</v>
      </c>
      <c r="I11" s="42">
        <v>298</v>
      </c>
      <c r="J11" s="42">
        <v>0.13</v>
      </c>
      <c r="K11" s="43">
        <f t="shared" si="0"/>
        <v>38.74</v>
      </c>
      <c r="L11" s="43">
        <f t="shared" si="1"/>
        <v>15241.26</v>
      </c>
      <c r="M11" s="43">
        <f t="shared" si="2"/>
        <v>1069.5999999999999</v>
      </c>
      <c r="N11" s="42">
        <v>0</v>
      </c>
      <c r="O11" s="42"/>
      <c r="P11" s="62"/>
      <c r="Q11" s="62"/>
      <c r="R11" s="62"/>
      <c r="S11" s="62"/>
      <c r="T11" s="62"/>
      <c r="U11" s="62"/>
    </row>
    <row r="12" spans="1:21">
      <c r="A12" s="390"/>
      <c r="B12" s="42" t="s">
        <v>618</v>
      </c>
      <c r="C12" s="42" t="s">
        <v>91</v>
      </c>
      <c r="D12" s="42" t="s">
        <v>16</v>
      </c>
      <c r="E12" s="42" t="s">
        <v>644</v>
      </c>
      <c r="F12" s="42">
        <v>678</v>
      </c>
      <c r="G12" s="42"/>
      <c r="H12" s="42">
        <v>15810</v>
      </c>
      <c r="I12" s="42">
        <v>305</v>
      </c>
      <c r="J12" s="42">
        <v>0.13</v>
      </c>
      <c r="K12" s="42">
        <f t="shared" si="0"/>
        <v>39.65</v>
      </c>
      <c r="L12" s="43">
        <f t="shared" si="1"/>
        <v>15770.35</v>
      </c>
      <c r="M12" s="43">
        <f t="shared" si="2"/>
        <v>1106.7</v>
      </c>
      <c r="N12" s="42">
        <v>0</v>
      </c>
      <c r="O12" s="42"/>
      <c r="P12" s="62"/>
      <c r="Q12" s="62"/>
      <c r="R12" s="62"/>
      <c r="S12" s="62"/>
      <c r="T12" s="62"/>
      <c r="U12" s="62"/>
    </row>
    <row r="13" spans="1:21">
      <c r="A13" s="390" t="s">
        <v>645</v>
      </c>
      <c r="B13" s="42" t="s">
        <v>618</v>
      </c>
      <c r="C13" s="42" t="s">
        <v>91</v>
      </c>
      <c r="D13" s="42" t="s">
        <v>16</v>
      </c>
      <c r="E13" s="42" t="s">
        <v>646</v>
      </c>
      <c r="F13" s="42">
        <v>679</v>
      </c>
      <c r="G13" s="42"/>
      <c r="H13" s="42">
        <v>15530</v>
      </c>
      <c r="I13" s="42">
        <v>290</v>
      </c>
      <c r="J13" s="42">
        <v>0.13</v>
      </c>
      <c r="K13" s="42">
        <f t="shared" si="0"/>
        <v>37.700000000000003</v>
      </c>
      <c r="L13" s="43">
        <f t="shared" si="1"/>
        <v>15492.3</v>
      </c>
      <c r="M13" s="43">
        <f t="shared" si="2"/>
        <v>1087.0999999999999</v>
      </c>
      <c r="N13" s="42">
        <v>0</v>
      </c>
      <c r="O13" s="42"/>
      <c r="P13" s="42"/>
      <c r="Q13" s="62"/>
      <c r="R13" s="62"/>
      <c r="S13" s="62"/>
      <c r="T13" s="62"/>
      <c r="U13" s="77"/>
    </row>
    <row r="14" spans="1:21">
      <c r="A14" s="390"/>
      <c r="B14" s="42" t="s">
        <v>618</v>
      </c>
      <c r="C14" s="42" t="s">
        <v>91</v>
      </c>
      <c r="D14" s="42" t="s">
        <v>16</v>
      </c>
      <c r="E14" s="42" t="s">
        <v>647</v>
      </c>
      <c r="F14" s="42">
        <v>681</v>
      </c>
      <c r="G14" s="42"/>
      <c r="H14" s="42">
        <v>15170</v>
      </c>
      <c r="I14" s="42">
        <v>290</v>
      </c>
      <c r="J14" s="42">
        <v>0.13</v>
      </c>
      <c r="K14" s="43">
        <f t="shared" si="0"/>
        <v>37.700000000000003</v>
      </c>
      <c r="L14" s="43">
        <f t="shared" si="1"/>
        <v>15132.3</v>
      </c>
      <c r="M14" s="43">
        <f t="shared" si="2"/>
        <v>1061.9000000000001</v>
      </c>
      <c r="N14" s="42">
        <v>0</v>
      </c>
      <c r="O14" s="62"/>
      <c r="P14" s="62"/>
      <c r="Q14" s="62"/>
      <c r="R14" s="62"/>
      <c r="S14" s="62"/>
      <c r="T14" s="62"/>
      <c r="U14" s="62"/>
    </row>
    <row r="15" spans="1:21">
      <c r="A15" s="89"/>
      <c r="B15" s="42"/>
      <c r="C15" s="42"/>
      <c r="D15" s="42"/>
      <c r="E15" s="45"/>
      <c r="F15" s="47"/>
      <c r="G15" s="46"/>
      <c r="H15" s="47"/>
      <c r="I15" s="47"/>
      <c r="J15" s="47"/>
      <c r="K15" s="43"/>
      <c r="L15" s="43"/>
      <c r="M15" s="43"/>
      <c r="N15" s="47"/>
      <c r="O15" s="62"/>
      <c r="P15" s="62"/>
      <c r="Q15" s="62"/>
      <c r="R15" s="62"/>
      <c r="S15" s="62"/>
      <c r="T15" s="62"/>
      <c r="U15" s="62"/>
    </row>
    <row r="16" spans="1:21">
      <c r="A16" s="89"/>
      <c r="B16" s="42"/>
      <c r="C16" s="42"/>
      <c r="D16" s="42"/>
      <c r="E16" s="42"/>
      <c r="F16" s="47"/>
      <c r="G16" s="47"/>
      <c r="H16" s="47"/>
      <c r="I16" s="47"/>
      <c r="J16" s="47"/>
      <c r="K16" s="43"/>
      <c r="L16" s="43"/>
      <c r="M16" s="43"/>
      <c r="N16" s="47"/>
      <c r="O16" s="62"/>
      <c r="P16" s="62"/>
      <c r="Q16" s="62"/>
      <c r="R16" s="62"/>
      <c r="S16" s="62"/>
      <c r="T16" s="62"/>
      <c r="U16" s="62"/>
    </row>
    <row r="17" spans="1:21">
      <c r="A17" s="63"/>
      <c r="B17" s="60"/>
      <c r="C17" s="60"/>
      <c r="D17" s="60"/>
      <c r="E17" s="60"/>
      <c r="F17" s="60"/>
      <c r="G17" s="60"/>
      <c r="H17" s="60"/>
      <c r="I17" s="60"/>
      <c r="J17" s="60"/>
      <c r="K17" s="61"/>
      <c r="L17" s="65"/>
      <c r="M17" s="61"/>
      <c r="N17" s="60"/>
      <c r="O17" s="60"/>
      <c r="P17" s="60"/>
      <c r="Q17" s="62"/>
      <c r="R17" s="62"/>
      <c r="S17" s="62"/>
      <c r="T17" s="62"/>
      <c r="U17" s="62"/>
    </row>
    <row r="18" spans="1:21">
      <c r="A18" s="63"/>
      <c r="B18" s="60"/>
      <c r="C18" s="60"/>
      <c r="D18" s="60"/>
      <c r="E18" s="60"/>
      <c r="F18" s="60"/>
      <c r="G18" s="60"/>
      <c r="H18" s="60"/>
      <c r="I18" s="60"/>
      <c r="J18" s="60"/>
      <c r="K18" s="61"/>
      <c r="L18" s="65"/>
      <c r="M18" s="61"/>
      <c r="N18" s="60"/>
      <c r="O18" s="60"/>
      <c r="P18" s="60"/>
      <c r="Q18" s="62"/>
      <c r="R18" s="62"/>
      <c r="S18" s="62"/>
      <c r="T18" s="62"/>
      <c r="U18" s="62"/>
    </row>
    <row r="19" spans="1:21">
      <c r="A19" s="62"/>
      <c r="B19" s="62"/>
      <c r="C19" s="62"/>
      <c r="D19" s="62"/>
      <c r="E19" s="62"/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</row>
    <row r="20" spans="1:21">
      <c r="A20" s="62"/>
      <c r="B20" s="62"/>
      <c r="C20" s="62"/>
      <c r="D20" s="62"/>
      <c r="E20" s="62"/>
      <c r="F20" s="62"/>
      <c r="G20" s="62"/>
      <c r="H20" s="62"/>
      <c r="I20" s="62"/>
      <c r="J20" s="62"/>
      <c r="K20" s="62"/>
      <c r="L20" s="66"/>
      <c r="M20" s="62"/>
      <c r="N20" s="62"/>
      <c r="O20" s="62"/>
      <c r="P20" s="62"/>
      <c r="Q20" s="62"/>
      <c r="R20" s="62"/>
      <c r="S20" s="62"/>
      <c r="T20" s="62"/>
      <c r="U20" s="62"/>
    </row>
    <row r="21" spans="1:21">
      <c r="A21" s="62"/>
      <c r="B21" s="62"/>
      <c r="C21" s="62"/>
      <c r="D21" s="62"/>
      <c r="E21" s="62"/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</row>
    <row r="22" spans="1:21">
      <c r="A22" s="62"/>
      <c r="B22" s="62"/>
      <c r="C22" s="62"/>
      <c r="D22" s="62"/>
      <c r="E22" s="62"/>
      <c r="F22" s="62"/>
      <c r="G22" s="62"/>
      <c r="H22" s="62"/>
      <c r="I22" s="62"/>
      <c r="J22" s="62"/>
      <c r="K22" s="62"/>
      <c r="L22" s="66">
        <f>SUM(L8:L21)</f>
        <v>107491.81000000001</v>
      </c>
      <c r="M22" s="62"/>
      <c r="N22" s="62"/>
      <c r="O22" s="62"/>
      <c r="P22" s="62"/>
      <c r="Q22" s="62"/>
      <c r="R22" s="62"/>
      <c r="S22" s="62"/>
      <c r="T22" s="62"/>
      <c r="U22" s="62"/>
    </row>
    <row r="23" spans="1:21">
      <c r="A23" s="62"/>
      <c r="B23" s="67"/>
      <c r="C23" s="67"/>
      <c r="D23" s="67"/>
      <c r="E23" s="67"/>
      <c r="F23" s="67"/>
      <c r="G23" s="67"/>
      <c r="H23" s="67"/>
      <c r="I23" s="67"/>
      <c r="J23" s="67"/>
      <c r="K23" s="67"/>
      <c r="L23" s="68"/>
      <c r="M23" s="68"/>
      <c r="N23" s="67"/>
      <c r="O23" s="67"/>
      <c r="P23" s="67"/>
      <c r="Q23" s="67"/>
      <c r="R23" s="62"/>
      <c r="S23" s="62"/>
      <c r="T23" s="62"/>
      <c r="U23" s="62"/>
    </row>
    <row r="24" spans="1:21">
      <c r="A24" s="62"/>
      <c r="B24" s="62"/>
      <c r="C24" s="62"/>
      <c r="D24" s="62"/>
      <c r="E24" s="6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</row>
    <row r="25" spans="1:21">
      <c r="A25" s="62"/>
      <c r="B25" s="62"/>
      <c r="C25" s="62"/>
      <c r="D25" s="62"/>
      <c r="E25" s="62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</row>
  </sheetData>
  <mergeCells count="3">
    <mergeCell ref="A9:A10"/>
    <mergeCell ref="A11:A12"/>
    <mergeCell ref="A13:A14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5:U25"/>
  <sheetViews>
    <sheetView workbookViewId="0">
      <selection activeCell="A22" sqref="A22"/>
    </sheetView>
  </sheetViews>
  <sheetFormatPr defaultRowHeight="14.4"/>
  <cols>
    <col min="1" max="1" width="8.88671875" style="1"/>
    <col min="2" max="2" width="17.21875" style="1" customWidth="1"/>
    <col min="3" max="3" width="8.88671875" style="1"/>
    <col min="4" max="4" width="5.5546875" style="1" customWidth="1"/>
    <col min="5" max="5" width="9.7773437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0.399999999999999">
      <c r="A5" s="58" t="s">
        <v>3</v>
      </c>
      <c r="B5" s="58" t="s">
        <v>4</v>
      </c>
      <c r="C5" s="58" t="s">
        <v>5</v>
      </c>
      <c r="D5" s="58" t="s">
        <v>6</v>
      </c>
      <c r="E5" s="58" t="s">
        <v>37</v>
      </c>
      <c r="F5" s="59" t="s">
        <v>7</v>
      </c>
      <c r="G5" s="58" t="s">
        <v>8</v>
      </c>
      <c r="H5" s="58" t="s">
        <v>9</v>
      </c>
      <c r="I5" s="58" t="s">
        <v>10</v>
      </c>
      <c r="J5" s="59" t="s">
        <v>18</v>
      </c>
      <c r="K5" s="59" t="s">
        <v>17</v>
      </c>
      <c r="L5" s="58" t="s">
        <v>11</v>
      </c>
      <c r="M5" s="59" t="s">
        <v>36</v>
      </c>
      <c r="N5" s="58" t="s">
        <v>12</v>
      </c>
      <c r="O5" s="58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258</v>
      </c>
    </row>
    <row r="6" spans="1:21">
      <c r="A6" s="79"/>
      <c r="B6" s="42"/>
      <c r="C6" s="42"/>
      <c r="D6" s="42"/>
      <c r="E6" s="42"/>
      <c r="F6" s="42"/>
      <c r="G6" s="42"/>
      <c r="H6" s="42"/>
      <c r="I6" s="42"/>
      <c r="J6" s="42"/>
      <c r="K6" s="42"/>
      <c r="L6" s="43"/>
      <c r="M6" s="43"/>
      <c r="N6" s="42"/>
      <c r="O6" s="42"/>
      <c r="P6" s="42"/>
      <c r="Q6" s="42"/>
      <c r="R6" s="80"/>
      <c r="S6" s="80"/>
      <c r="T6" s="80"/>
      <c r="U6" s="81"/>
    </row>
    <row r="7" spans="1:21">
      <c r="A7" s="69"/>
      <c r="B7" s="60"/>
      <c r="C7" s="60"/>
      <c r="D7" s="60"/>
      <c r="E7" s="60"/>
      <c r="F7" s="60"/>
      <c r="G7" s="60"/>
      <c r="H7" s="60"/>
      <c r="I7" s="60"/>
      <c r="J7" s="60"/>
      <c r="K7" s="60"/>
      <c r="L7" s="61"/>
      <c r="M7" s="61"/>
      <c r="N7" s="60"/>
      <c r="O7" s="62"/>
      <c r="P7" s="62"/>
      <c r="Q7" s="62" t="s">
        <v>609</v>
      </c>
      <c r="R7" s="62">
        <v>201</v>
      </c>
      <c r="S7" s="62">
        <v>40000</v>
      </c>
      <c r="T7" s="62"/>
      <c r="U7" s="62"/>
    </row>
    <row r="8" spans="1:21">
      <c r="A8" s="88" t="s">
        <v>625</v>
      </c>
      <c r="B8" s="42" t="s">
        <v>632</v>
      </c>
      <c r="C8" s="42" t="s">
        <v>91</v>
      </c>
      <c r="D8" s="42" t="s">
        <v>16</v>
      </c>
      <c r="E8" s="42" t="s">
        <v>633</v>
      </c>
      <c r="F8" s="42">
        <v>836</v>
      </c>
      <c r="G8" s="42"/>
      <c r="H8" s="42">
        <v>15560</v>
      </c>
      <c r="I8" s="42">
        <v>263</v>
      </c>
      <c r="J8" s="42">
        <v>0.13</v>
      </c>
      <c r="K8" s="43">
        <f t="shared" ref="K8" si="0">I8*J8</f>
        <v>34.19</v>
      </c>
      <c r="L8" s="43">
        <f t="shared" ref="L8" si="1">H8-K8</f>
        <v>15525.81</v>
      </c>
      <c r="M8" s="43">
        <f t="shared" ref="M8" si="2">H8/1000*70</f>
        <v>1089.2</v>
      </c>
      <c r="N8" s="42">
        <v>23000</v>
      </c>
      <c r="O8" s="42"/>
      <c r="P8" s="42"/>
      <c r="Q8" s="62"/>
      <c r="R8" s="62"/>
      <c r="S8" s="62"/>
      <c r="T8" s="62"/>
      <c r="U8" s="62"/>
    </row>
    <row r="9" spans="1:21">
      <c r="A9" s="88"/>
      <c r="B9" s="42"/>
      <c r="C9" s="42"/>
      <c r="D9" s="42"/>
      <c r="E9" s="42"/>
      <c r="F9" s="42"/>
      <c r="G9" s="42"/>
      <c r="H9" s="42"/>
      <c r="I9" s="42"/>
      <c r="J9" s="42"/>
      <c r="K9" s="42"/>
      <c r="L9" s="43"/>
      <c r="M9" s="43"/>
      <c r="N9" s="42"/>
      <c r="O9" s="42"/>
      <c r="P9" s="42"/>
      <c r="Q9" s="62"/>
      <c r="R9" s="62"/>
      <c r="S9" s="62"/>
      <c r="T9" s="62"/>
      <c r="U9" s="62">
        <v>20.75</v>
      </c>
    </row>
    <row r="10" spans="1:21">
      <c r="A10" s="88" t="s">
        <v>1069</v>
      </c>
      <c r="B10" s="42" t="s">
        <v>68</v>
      </c>
      <c r="C10" s="42" t="s">
        <v>91</v>
      </c>
      <c r="D10" s="42" t="s">
        <v>16</v>
      </c>
      <c r="E10" s="42" t="s">
        <v>1070</v>
      </c>
      <c r="F10" s="42">
        <v>10</v>
      </c>
      <c r="G10" s="42"/>
      <c r="H10" s="42">
        <v>15000</v>
      </c>
      <c r="I10" s="42">
        <v>260</v>
      </c>
      <c r="J10" s="42">
        <v>0.13</v>
      </c>
      <c r="K10" s="42">
        <f t="shared" ref="K10" si="3">I10*J10</f>
        <v>33.800000000000004</v>
      </c>
      <c r="L10" s="43">
        <f t="shared" ref="L10" si="4">H10-K10</f>
        <v>14966.2</v>
      </c>
      <c r="M10" s="43"/>
      <c r="N10" s="43">
        <f t="shared" ref="N10" si="5">L10-M10</f>
        <v>14966.2</v>
      </c>
      <c r="O10" s="43">
        <f t="shared" ref="O10" si="6">H10/1000*70</f>
        <v>1050</v>
      </c>
      <c r="P10" s="42">
        <v>14000</v>
      </c>
      <c r="Q10" s="42">
        <v>17.5</v>
      </c>
      <c r="R10" s="42">
        <f t="shared" ref="R10" si="7">L10*Q10</f>
        <v>261908.5</v>
      </c>
      <c r="S10" s="62"/>
      <c r="T10" s="62"/>
      <c r="U10" s="62"/>
    </row>
    <row r="11" spans="1:21">
      <c r="A11" s="88"/>
      <c r="B11" s="42"/>
      <c r="C11" s="42"/>
      <c r="D11" s="42"/>
      <c r="E11" s="42"/>
      <c r="F11" s="42"/>
      <c r="G11" s="42"/>
      <c r="H11" s="42"/>
      <c r="I11" s="42"/>
      <c r="J11" s="42"/>
      <c r="K11" s="43"/>
      <c r="L11" s="43"/>
      <c r="M11" s="43"/>
      <c r="N11" s="42"/>
      <c r="O11" s="42"/>
      <c r="P11" s="62"/>
      <c r="Q11" s="62"/>
      <c r="R11" s="62"/>
      <c r="S11" s="62"/>
      <c r="T11" s="62"/>
      <c r="U11" s="62"/>
    </row>
    <row r="12" spans="1:21">
      <c r="A12" s="88" t="s">
        <v>1081</v>
      </c>
      <c r="B12" s="42" t="s">
        <v>68</v>
      </c>
      <c r="C12" s="42" t="s">
        <v>91</v>
      </c>
      <c r="D12" s="42" t="s">
        <v>16</v>
      </c>
      <c r="E12" s="42" t="s">
        <v>1082</v>
      </c>
      <c r="F12" s="42">
        <v>314</v>
      </c>
      <c r="G12" s="42"/>
      <c r="H12" s="42">
        <v>15240</v>
      </c>
      <c r="I12" s="42">
        <v>280</v>
      </c>
      <c r="J12" s="42">
        <v>0.13</v>
      </c>
      <c r="K12" s="42">
        <f t="shared" ref="K12" si="8">I12*J12</f>
        <v>36.4</v>
      </c>
      <c r="L12" s="43">
        <f t="shared" ref="L12" si="9">H12-K12</f>
        <v>15203.6</v>
      </c>
      <c r="M12" s="43"/>
      <c r="N12" s="43">
        <f t="shared" ref="N12" si="10">L12-M12</f>
        <v>15203.6</v>
      </c>
      <c r="O12" s="43">
        <f t="shared" ref="O12" si="11">H12/1000*70</f>
        <v>1066.8</v>
      </c>
      <c r="P12" s="42">
        <v>20700</v>
      </c>
      <c r="Q12" s="42">
        <v>17.5</v>
      </c>
      <c r="R12" s="42">
        <f t="shared" ref="R12" si="12">L12*Q12</f>
        <v>266063</v>
      </c>
      <c r="S12" s="62"/>
      <c r="T12" s="62"/>
      <c r="U12" s="62"/>
    </row>
    <row r="13" spans="1:21">
      <c r="A13" s="88"/>
      <c r="B13" s="42"/>
      <c r="C13" s="42"/>
      <c r="D13" s="42"/>
      <c r="E13" s="42"/>
      <c r="F13" s="42"/>
      <c r="G13" s="42"/>
      <c r="H13" s="42"/>
      <c r="I13" s="42"/>
      <c r="J13" s="42"/>
      <c r="K13" s="43"/>
      <c r="L13" s="43"/>
      <c r="M13" s="43"/>
      <c r="N13" s="42"/>
      <c r="O13" s="42"/>
      <c r="P13" s="42"/>
      <c r="Q13" s="62"/>
      <c r="R13" s="62"/>
      <c r="S13" s="62"/>
      <c r="T13" s="62"/>
      <c r="U13" s="77"/>
    </row>
    <row r="14" spans="1:21">
      <c r="A14" s="89" t="s">
        <v>3770</v>
      </c>
      <c r="B14" s="42" t="s">
        <v>632</v>
      </c>
      <c r="C14" s="42" t="s">
        <v>91</v>
      </c>
      <c r="D14" s="42" t="s">
        <v>16</v>
      </c>
      <c r="E14" s="47" t="s">
        <v>3771</v>
      </c>
      <c r="F14" s="47">
        <v>20</v>
      </c>
      <c r="G14" s="47"/>
      <c r="H14" s="47">
        <v>20110</v>
      </c>
      <c r="I14" s="47">
        <v>392</v>
      </c>
      <c r="J14" s="47">
        <v>0.13</v>
      </c>
      <c r="K14" s="43">
        <f t="shared" ref="K14" si="13">I14*J14</f>
        <v>50.96</v>
      </c>
      <c r="L14" s="43">
        <f t="shared" ref="L14" si="14">H14-K14</f>
        <v>20059.04</v>
      </c>
      <c r="M14" s="43"/>
      <c r="N14" s="43">
        <f t="shared" ref="N14" si="15">L14-M14</f>
        <v>20059.04</v>
      </c>
      <c r="O14" s="43">
        <f t="shared" ref="O14" si="16">H14/1000*70</f>
        <v>1407.7</v>
      </c>
      <c r="P14" s="42">
        <v>9000</v>
      </c>
      <c r="Q14" s="42"/>
      <c r="R14" s="42">
        <f t="shared" ref="R14" si="17">L14*Q14</f>
        <v>0</v>
      </c>
      <c r="S14" s="62"/>
      <c r="T14" s="62"/>
      <c r="U14" s="62"/>
    </row>
    <row r="15" spans="1:21">
      <c r="A15" s="89"/>
      <c r="B15" s="42"/>
      <c r="C15" s="42"/>
      <c r="D15" s="42"/>
      <c r="E15" s="45"/>
      <c r="F15" s="47"/>
      <c r="G15" s="46"/>
      <c r="H15" s="47"/>
      <c r="I15" s="47"/>
      <c r="J15" s="47"/>
      <c r="K15" s="43"/>
      <c r="L15" s="43"/>
      <c r="M15" s="43"/>
      <c r="N15" s="47"/>
      <c r="O15" s="62"/>
      <c r="P15" s="62"/>
      <c r="Q15" s="62"/>
      <c r="R15" s="62"/>
      <c r="S15" s="62"/>
      <c r="T15" s="62"/>
      <c r="U15" s="62"/>
    </row>
    <row r="16" spans="1:21">
      <c r="A16" s="89" t="s">
        <v>3785</v>
      </c>
      <c r="B16" s="42" t="s">
        <v>632</v>
      </c>
      <c r="C16" s="42" t="s">
        <v>91</v>
      </c>
      <c r="D16" s="42" t="s">
        <v>16</v>
      </c>
      <c r="E16" s="47" t="s">
        <v>3786</v>
      </c>
      <c r="F16" s="47">
        <v>21</v>
      </c>
      <c r="G16" s="47"/>
      <c r="H16" s="47">
        <v>14690</v>
      </c>
      <c r="I16" s="47">
        <v>294</v>
      </c>
      <c r="J16" s="47">
        <v>0.13</v>
      </c>
      <c r="K16" s="43">
        <f t="shared" ref="K16" si="18">I16*J16</f>
        <v>38.22</v>
      </c>
      <c r="L16" s="43">
        <f t="shared" ref="L16" si="19">H16-K16</f>
        <v>14651.78</v>
      </c>
      <c r="M16" s="43"/>
      <c r="N16" s="43">
        <f t="shared" ref="N16" si="20">L16-M16</f>
        <v>14651.78</v>
      </c>
      <c r="O16" s="43">
        <f t="shared" ref="O16" si="21">H16/1000*70</f>
        <v>1028.3</v>
      </c>
      <c r="P16" s="42">
        <v>18000</v>
      </c>
      <c r="Q16" s="42"/>
      <c r="R16" s="42">
        <f t="shared" ref="R16" si="22">L16*Q16</f>
        <v>0</v>
      </c>
      <c r="S16" s="85"/>
      <c r="T16" s="62"/>
      <c r="U16" s="62"/>
    </row>
    <row r="17" spans="1:21">
      <c r="A17" s="63"/>
      <c r="B17" s="60"/>
      <c r="C17" s="60"/>
      <c r="D17" s="60"/>
      <c r="E17" s="60"/>
      <c r="F17" s="60"/>
      <c r="G17" s="60"/>
      <c r="H17" s="60"/>
      <c r="I17" s="60"/>
      <c r="J17" s="60"/>
      <c r="K17" s="61"/>
      <c r="L17" s="65"/>
      <c r="M17" s="61"/>
      <c r="N17" s="60"/>
      <c r="O17" s="60"/>
      <c r="P17" s="60"/>
      <c r="Q17" s="62"/>
      <c r="R17" s="62"/>
      <c r="S17" s="62"/>
      <c r="T17" s="62"/>
      <c r="U17" s="62"/>
    </row>
    <row r="18" spans="1:21">
      <c r="A18" s="374" t="s">
        <v>3795</v>
      </c>
      <c r="B18" s="42" t="s">
        <v>632</v>
      </c>
      <c r="C18" s="42" t="s">
        <v>91</v>
      </c>
      <c r="D18" s="42" t="s">
        <v>16</v>
      </c>
      <c r="E18" s="47" t="s">
        <v>3796</v>
      </c>
      <c r="F18" s="47">
        <v>7326</v>
      </c>
      <c r="G18" s="47"/>
      <c r="H18" s="47">
        <v>21950</v>
      </c>
      <c r="I18" s="47">
        <f>H18/50</f>
        <v>439</v>
      </c>
      <c r="J18" s="47">
        <v>0.13</v>
      </c>
      <c r="K18" s="43">
        <f t="shared" ref="K18:K19" si="23">I18*J18</f>
        <v>57.07</v>
      </c>
      <c r="L18" s="43">
        <f t="shared" ref="L18:L19" si="24">H18-K18</f>
        <v>21892.93</v>
      </c>
      <c r="M18" s="43"/>
      <c r="N18" s="43">
        <f t="shared" ref="N18:N19" si="25">L18-M18</f>
        <v>21892.93</v>
      </c>
      <c r="O18" s="43">
        <f t="shared" ref="O18:O19" si="26">H18/1000*70</f>
        <v>1536.5</v>
      </c>
      <c r="P18" s="42">
        <v>9900</v>
      </c>
      <c r="Q18" s="42"/>
      <c r="R18" s="42">
        <f t="shared" ref="R18:R19" si="27">L18*Q18</f>
        <v>0</v>
      </c>
      <c r="S18" s="62"/>
      <c r="T18" s="62"/>
      <c r="U18" s="62"/>
    </row>
    <row r="19" spans="1:21">
      <c r="A19" s="374"/>
      <c r="B19" s="42" t="s">
        <v>632</v>
      </c>
      <c r="C19" s="42" t="s">
        <v>91</v>
      </c>
      <c r="D19" s="42" t="s">
        <v>16</v>
      </c>
      <c r="E19" s="47" t="s">
        <v>3797</v>
      </c>
      <c r="F19" s="47">
        <v>7327</v>
      </c>
      <c r="G19" s="47"/>
      <c r="H19" s="47">
        <v>20790</v>
      </c>
      <c r="I19" s="47">
        <v>416</v>
      </c>
      <c r="J19" s="47">
        <v>0.13</v>
      </c>
      <c r="K19" s="43">
        <f t="shared" si="23"/>
        <v>54.08</v>
      </c>
      <c r="L19" s="43">
        <f t="shared" si="24"/>
        <v>20735.919999999998</v>
      </c>
      <c r="M19" s="43"/>
      <c r="N19" s="43">
        <f t="shared" si="25"/>
        <v>20735.919999999998</v>
      </c>
      <c r="O19" s="43">
        <f t="shared" si="26"/>
        <v>1455.3</v>
      </c>
      <c r="P19" s="42">
        <v>8700</v>
      </c>
      <c r="Q19" s="42"/>
      <c r="R19" s="42">
        <f t="shared" si="27"/>
        <v>0</v>
      </c>
      <c r="S19" s="62"/>
      <c r="T19" s="62"/>
      <c r="U19" s="62"/>
    </row>
    <row r="20" spans="1:21">
      <c r="A20" s="62"/>
      <c r="B20" s="62"/>
      <c r="C20" s="62"/>
      <c r="D20" s="62"/>
      <c r="E20" s="62"/>
      <c r="F20" s="62"/>
      <c r="G20" s="62"/>
      <c r="H20" s="62"/>
      <c r="I20" s="62"/>
      <c r="J20" s="62"/>
      <c r="K20" s="62"/>
      <c r="L20" s="66"/>
      <c r="M20" s="62"/>
      <c r="N20" s="62"/>
      <c r="O20" s="62"/>
      <c r="P20" s="62"/>
      <c r="Q20" s="62"/>
      <c r="R20" s="62"/>
      <c r="S20" s="62"/>
      <c r="T20" s="62"/>
      <c r="U20" s="62"/>
    </row>
    <row r="21" spans="1:21">
      <c r="A21" s="62" t="s">
        <v>3815</v>
      </c>
      <c r="B21" s="42" t="s">
        <v>632</v>
      </c>
      <c r="C21" s="42" t="s">
        <v>91</v>
      </c>
      <c r="D21" s="42" t="s">
        <v>16</v>
      </c>
      <c r="E21" s="47" t="s">
        <v>3817</v>
      </c>
      <c r="F21" s="47">
        <v>23</v>
      </c>
      <c r="G21" s="47"/>
      <c r="H21" s="47">
        <v>14920</v>
      </c>
      <c r="I21" s="47">
        <v>300</v>
      </c>
      <c r="J21" s="47">
        <v>0.13</v>
      </c>
      <c r="K21" s="43">
        <f t="shared" ref="K21" si="28">I21*J21</f>
        <v>39</v>
      </c>
      <c r="L21" s="43">
        <f t="shared" ref="L21" si="29">H21-K21</f>
        <v>14881</v>
      </c>
      <c r="M21" s="43"/>
      <c r="N21" s="43">
        <f t="shared" ref="N21" si="30">L21-M21</f>
        <v>14881</v>
      </c>
      <c r="O21" s="43">
        <f t="shared" ref="O21" si="31">H21/1000*70</f>
        <v>1044.4000000000001</v>
      </c>
      <c r="P21" s="42">
        <v>17000</v>
      </c>
      <c r="Q21" s="42"/>
      <c r="R21" s="42">
        <f t="shared" ref="R21" si="32">L21*Q21</f>
        <v>0</v>
      </c>
      <c r="S21" s="62"/>
      <c r="T21" s="62"/>
      <c r="U21" s="62"/>
    </row>
    <row r="22" spans="1:21">
      <c r="A22" s="62"/>
      <c r="B22" s="62"/>
      <c r="C22" s="62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</row>
    <row r="23" spans="1:21">
      <c r="A23" s="62"/>
      <c r="B23" s="67"/>
      <c r="C23" s="67"/>
      <c r="D23" s="67"/>
      <c r="E23" s="67"/>
      <c r="F23" s="67"/>
      <c r="G23" s="67"/>
      <c r="H23" s="67"/>
      <c r="I23" s="67"/>
      <c r="J23" s="67"/>
      <c r="K23" s="67"/>
      <c r="L23" s="68"/>
      <c r="M23" s="68"/>
      <c r="N23" s="67"/>
      <c r="O23" s="67"/>
      <c r="P23" s="67"/>
      <c r="Q23" s="67"/>
      <c r="R23" s="62"/>
      <c r="S23" s="62"/>
      <c r="T23" s="62"/>
      <c r="U23" s="62"/>
    </row>
    <row r="24" spans="1:21">
      <c r="A24" s="62"/>
      <c r="B24" s="62"/>
      <c r="C24" s="62"/>
      <c r="D24" s="62"/>
      <c r="E24" s="6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</row>
    <row r="25" spans="1:21">
      <c r="A25" s="62"/>
      <c r="B25" s="62"/>
      <c r="C25" s="62"/>
      <c r="D25" s="62"/>
      <c r="E25" s="62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</row>
  </sheetData>
  <mergeCells count="1">
    <mergeCell ref="A18:A19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5:U25"/>
  <sheetViews>
    <sheetView workbookViewId="0">
      <selection activeCell="B15" sqref="B15"/>
    </sheetView>
  </sheetViews>
  <sheetFormatPr defaultRowHeight="14.4"/>
  <cols>
    <col min="1" max="1" width="8.88671875" style="1"/>
    <col min="2" max="2" width="17.21875" style="1" customWidth="1"/>
    <col min="3" max="3" width="8.88671875" style="1"/>
    <col min="4" max="4" width="5.5546875" style="1" customWidth="1"/>
    <col min="5" max="5" width="9.7773437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0.399999999999999">
      <c r="A5" s="58" t="s">
        <v>3</v>
      </c>
      <c r="B5" s="58" t="s">
        <v>4</v>
      </c>
      <c r="C5" s="58" t="s">
        <v>5</v>
      </c>
      <c r="D5" s="58" t="s">
        <v>6</v>
      </c>
      <c r="E5" s="58" t="s">
        <v>37</v>
      </c>
      <c r="F5" s="59" t="s">
        <v>7</v>
      </c>
      <c r="G5" s="58" t="s">
        <v>8</v>
      </c>
      <c r="H5" s="58" t="s">
        <v>9</v>
      </c>
      <c r="I5" s="58" t="s">
        <v>10</v>
      </c>
      <c r="J5" s="59" t="s">
        <v>18</v>
      </c>
      <c r="K5" s="59" t="s">
        <v>17</v>
      </c>
      <c r="L5" s="58" t="s">
        <v>11</v>
      </c>
      <c r="M5" s="59" t="s">
        <v>36</v>
      </c>
      <c r="N5" s="58" t="s">
        <v>12</v>
      </c>
      <c r="O5" s="58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258</v>
      </c>
    </row>
    <row r="6" spans="1:21">
      <c r="A6" s="79"/>
      <c r="B6" s="42"/>
      <c r="C6" s="42"/>
      <c r="D6" s="42"/>
      <c r="E6" s="42"/>
      <c r="F6" s="42"/>
      <c r="G6" s="42"/>
      <c r="H6" s="42"/>
      <c r="I6" s="42"/>
      <c r="J6" s="42"/>
      <c r="K6" s="42"/>
      <c r="L6" s="43"/>
      <c r="M6" s="43"/>
      <c r="N6" s="42"/>
      <c r="O6" s="42"/>
      <c r="P6" s="42"/>
      <c r="Q6" s="42"/>
      <c r="R6" s="80"/>
      <c r="S6" s="80"/>
      <c r="T6" s="80"/>
      <c r="U6" s="81"/>
    </row>
    <row r="7" spans="1:21">
      <c r="A7" s="69"/>
      <c r="B7" s="60"/>
      <c r="C7" s="60"/>
      <c r="D7" s="60"/>
      <c r="E7" s="60"/>
      <c r="F7" s="60"/>
      <c r="G7" s="60"/>
      <c r="H7" s="60"/>
      <c r="I7" s="60"/>
      <c r="J7" s="60"/>
      <c r="K7" s="60"/>
      <c r="L7" s="61"/>
      <c r="M7" s="61"/>
      <c r="N7" s="60"/>
      <c r="O7" s="62"/>
      <c r="P7" s="62"/>
      <c r="Q7" s="62" t="s">
        <v>609</v>
      </c>
      <c r="R7" s="62">
        <v>203</v>
      </c>
      <c r="S7" s="62">
        <v>60000</v>
      </c>
      <c r="T7" s="62"/>
      <c r="U7" s="62"/>
    </row>
    <row r="8" spans="1:21">
      <c r="A8" s="88" t="s">
        <v>650</v>
      </c>
      <c r="B8" s="42" t="s">
        <v>655</v>
      </c>
      <c r="C8" s="42" t="s">
        <v>91</v>
      </c>
      <c r="D8" s="42" t="s">
        <v>16</v>
      </c>
      <c r="E8" s="42" t="s">
        <v>654</v>
      </c>
      <c r="F8" s="42">
        <v>842</v>
      </c>
      <c r="G8" s="42"/>
      <c r="H8" s="42">
        <v>15530</v>
      </c>
      <c r="I8" s="42">
        <v>256</v>
      </c>
      <c r="J8" s="42">
        <v>0.13</v>
      </c>
      <c r="K8" s="42">
        <f t="shared" ref="K8" si="0">I8*J8</f>
        <v>33.28</v>
      </c>
      <c r="L8" s="43">
        <f t="shared" ref="L8" si="1">H8-K8</f>
        <v>15496.72</v>
      </c>
      <c r="M8" s="43">
        <f t="shared" ref="M8" si="2">H8/1000*70</f>
        <v>1087.0999999999999</v>
      </c>
      <c r="N8" s="42">
        <v>0</v>
      </c>
      <c r="O8" s="42"/>
      <c r="P8" s="42"/>
      <c r="Q8" s="62"/>
      <c r="R8" s="62"/>
      <c r="S8" s="62"/>
      <c r="T8" s="62"/>
      <c r="U8" s="62"/>
    </row>
    <row r="9" spans="1:21">
      <c r="A9" s="88" t="s">
        <v>669</v>
      </c>
      <c r="B9" s="42" t="s">
        <v>671</v>
      </c>
      <c r="C9" s="42" t="s">
        <v>91</v>
      </c>
      <c r="D9" s="42" t="s">
        <v>16</v>
      </c>
      <c r="E9" s="42" t="s">
        <v>672</v>
      </c>
      <c r="F9" s="42">
        <v>930</v>
      </c>
      <c r="G9" s="42"/>
      <c r="H9" s="42">
        <v>15600</v>
      </c>
      <c r="I9" s="42">
        <v>261</v>
      </c>
      <c r="J9" s="42">
        <v>0.13</v>
      </c>
      <c r="K9" s="42">
        <v>33.93</v>
      </c>
      <c r="L9" s="43">
        <v>15566</v>
      </c>
      <c r="M9" s="43">
        <v>1092</v>
      </c>
      <c r="N9" s="42">
        <v>0</v>
      </c>
      <c r="O9" s="42">
        <v>20</v>
      </c>
      <c r="P9" s="42">
        <v>311321.40000000002</v>
      </c>
      <c r="Q9" s="62"/>
      <c r="R9" s="62"/>
      <c r="S9" s="62"/>
      <c r="T9" s="62"/>
      <c r="U9" s="62">
        <v>20.75</v>
      </c>
    </row>
    <row r="10" spans="1:21">
      <c r="A10" s="88"/>
      <c r="B10" s="42"/>
      <c r="C10" s="42"/>
      <c r="D10" s="42"/>
      <c r="E10" s="42"/>
      <c r="F10" s="42"/>
      <c r="G10" s="42"/>
      <c r="H10" s="42"/>
      <c r="I10" s="42"/>
      <c r="J10" s="42"/>
      <c r="K10" s="42"/>
      <c r="L10" s="43"/>
      <c r="M10" s="43"/>
      <c r="N10" s="42"/>
      <c r="O10" s="42"/>
      <c r="P10" s="42"/>
      <c r="Q10" s="62"/>
      <c r="R10" s="62"/>
      <c r="S10" s="62"/>
      <c r="T10" s="62"/>
      <c r="U10" s="62"/>
    </row>
    <row r="11" spans="1:21">
      <c r="A11" s="88" t="s">
        <v>695</v>
      </c>
      <c r="B11" s="42" t="s">
        <v>671</v>
      </c>
      <c r="C11" s="42" t="s">
        <v>91</v>
      </c>
      <c r="D11" s="42" t="s">
        <v>16</v>
      </c>
      <c r="E11" s="42" t="s">
        <v>698</v>
      </c>
      <c r="F11" s="42">
        <v>7514</v>
      </c>
      <c r="G11" s="42"/>
      <c r="H11" s="42">
        <v>18855</v>
      </c>
      <c r="I11" s="42">
        <v>350</v>
      </c>
      <c r="J11" s="42">
        <v>0.13</v>
      </c>
      <c r="K11" s="42">
        <v>46</v>
      </c>
      <c r="L11" s="43">
        <f t="shared" ref="L11" si="3">H11-K11</f>
        <v>18809</v>
      </c>
      <c r="M11" s="43"/>
      <c r="N11" s="43">
        <f t="shared" ref="N11" si="4">L11-M11</f>
        <v>18809</v>
      </c>
      <c r="O11" s="43">
        <f t="shared" ref="O11" si="5">H11/1000*70</f>
        <v>1319.8500000000001</v>
      </c>
      <c r="P11" s="42">
        <v>0</v>
      </c>
      <c r="Q11" s="62"/>
      <c r="R11" s="62"/>
      <c r="S11" s="62"/>
      <c r="T11" s="62"/>
      <c r="U11" s="62"/>
    </row>
    <row r="12" spans="1:21">
      <c r="A12" s="88"/>
      <c r="B12" s="42"/>
      <c r="C12" s="42"/>
      <c r="D12" s="42"/>
      <c r="E12" s="42"/>
      <c r="F12" s="42"/>
      <c r="G12" s="42"/>
      <c r="H12" s="42"/>
      <c r="I12" s="42"/>
      <c r="J12" s="42"/>
      <c r="K12" s="43"/>
      <c r="L12" s="43"/>
      <c r="M12" s="43"/>
      <c r="N12" s="42"/>
      <c r="O12" s="42"/>
      <c r="P12" s="62"/>
      <c r="Q12" s="62"/>
      <c r="R12" s="62"/>
      <c r="S12" s="62"/>
      <c r="T12" s="62"/>
      <c r="U12" s="62"/>
    </row>
    <row r="13" spans="1:21">
      <c r="A13" s="88" t="s">
        <v>714</v>
      </c>
      <c r="B13" s="42" t="s">
        <v>671</v>
      </c>
      <c r="C13" s="42" t="s">
        <v>91</v>
      </c>
      <c r="D13" s="42" t="s">
        <v>16</v>
      </c>
      <c r="E13" s="42" t="s">
        <v>717</v>
      </c>
      <c r="F13" s="42">
        <v>7736</v>
      </c>
      <c r="G13" s="42"/>
      <c r="H13" s="42">
        <v>19245</v>
      </c>
      <c r="I13" s="42">
        <v>380</v>
      </c>
      <c r="J13" s="42">
        <v>0.5</v>
      </c>
      <c r="K13" s="42">
        <f t="shared" ref="K13" si="6">I13*J13</f>
        <v>190</v>
      </c>
      <c r="L13" s="43">
        <f t="shared" ref="L13" si="7">H13-K13</f>
        <v>19055</v>
      </c>
      <c r="M13" s="43"/>
      <c r="N13" s="43">
        <f t="shared" ref="N13" si="8">L13-M13</f>
        <v>19055</v>
      </c>
      <c r="O13" s="43">
        <f t="shared" ref="O13" si="9">H13/1000*70</f>
        <v>1347.15</v>
      </c>
      <c r="P13" s="42">
        <v>0</v>
      </c>
      <c r="Q13" s="42">
        <v>19</v>
      </c>
      <c r="R13" s="42">
        <f t="shared" ref="R13" si="10">L13*Q13</f>
        <v>362045</v>
      </c>
      <c r="S13" s="62"/>
      <c r="T13" s="62"/>
      <c r="U13" s="77"/>
    </row>
    <row r="14" spans="1:21">
      <c r="A14" s="89"/>
      <c r="B14" s="42"/>
      <c r="C14" s="42"/>
      <c r="D14" s="42"/>
      <c r="E14" s="45"/>
      <c r="F14" s="42"/>
      <c r="G14" s="42"/>
      <c r="H14" s="42"/>
      <c r="I14" s="42"/>
      <c r="J14" s="42"/>
      <c r="K14" s="43"/>
      <c r="L14" s="43"/>
      <c r="M14" s="43"/>
      <c r="N14" s="42"/>
      <c r="O14" s="62"/>
      <c r="P14" s="62"/>
      <c r="Q14" s="62"/>
      <c r="R14" s="62"/>
      <c r="S14" s="62"/>
      <c r="T14" s="62"/>
      <c r="U14" s="62"/>
    </row>
    <row r="15" spans="1:21">
      <c r="A15" s="89"/>
      <c r="B15" s="42"/>
      <c r="C15" s="42"/>
      <c r="D15" s="42"/>
      <c r="E15" s="45"/>
      <c r="F15" s="47"/>
      <c r="G15" s="46"/>
      <c r="H15" s="47"/>
      <c r="I15" s="47"/>
      <c r="J15" s="47"/>
      <c r="K15" s="43"/>
      <c r="L15" s="43"/>
      <c r="M15" s="43"/>
      <c r="N15" s="47"/>
      <c r="O15" s="62"/>
      <c r="P15" s="62"/>
      <c r="Q15" s="62"/>
      <c r="R15" s="62"/>
      <c r="S15" s="62"/>
      <c r="T15" s="62"/>
      <c r="U15" s="62"/>
    </row>
    <row r="16" spans="1:21">
      <c r="A16" s="89"/>
      <c r="B16" s="42"/>
      <c r="C16" s="42"/>
      <c r="D16" s="42"/>
      <c r="E16" s="42"/>
      <c r="F16" s="47"/>
      <c r="G16" s="47"/>
      <c r="H16" s="47"/>
      <c r="I16" s="47"/>
      <c r="J16" s="47"/>
      <c r="K16" s="43"/>
      <c r="L16" s="43"/>
      <c r="M16" s="43"/>
      <c r="N16" s="47"/>
      <c r="O16" s="62"/>
      <c r="P16" s="62"/>
      <c r="Q16" s="62"/>
      <c r="R16" s="62"/>
      <c r="S16" s="62"/>
      <c r="T16" s="62"/>
      <c r="U16" s="62"/>
    </row>
    <row r="17" spans="1:21">
      <c r="A17" s="63"/>
      <c r="B17" s="60"/>
      <c r="C17" s="60"/>
      <c r="D17" s="60"/>
      <c r="E17" s="60"/>
      <c r="F17" s="60"/>
      <c r="G17" s="60"/>
      <c r="H17" s="60"/>
      <c r="I17" s="60"/>
      <c r="J17" s="60"/>
      <c r="K17" s="61"/>
      <c r="L17" s="65"/>
      <c r="M17" s="61"/>
      <c r="N17" s="60"/>
      <c r="O17" s="60"/>
      <c r="P17" s="60"/>
      <c r="Q17" s="62"/>
      <c r="R17" s="62"/>
      <c r="S17" s="62"/>
      <c r="T17" s="62"/>
      <c r="U17" s="62"/>
    </row>
    <row r="18" spans="1:21">
      <c r="A18" s="63"/>
      <c r="B18" s="60"/>
      <c r="C18" s="60"/>
      <c r="D18" s="60"/>
      <c r="E18" s="60"/>
      <c r="F18" s="60"/>
      <c r="G18" s="60"/>
      <c r="H18" s="60"/>
      <c r="I18" s="60"/>
      <c r="J18" s="60"/>
      <c r="K18" s="61"/>
      <c r="L18" s="65"/>
      <c r="M18" s="61"/>
      <c r="N18" s="60"/>
      <c r="O18" s="60"/>
      <c r="P18" s="60"/>
      <c r="Q18" s="62"/>
      <c r="R18" s="62"/>
      <c r="S18" s="62"/>
      <c r="T18" s="62"/>
      <c r="U18" s="62"/>
    </row>
    <row r="19" spans="1:21">
      <c r="A19" s="62"/>
      <c r="B19" s="62"/>
      <c r="C19" s="62"/>
      <c r="D19" s="62"/>
      <c r="E19" s="62"/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</row>
    <row r="20" spans="1:21">
      <c r="A20" s="62"/>
      <c r="B20" s="62"/>
      <c r="C20" s="62"/>
      <c r="D20" s="62"/>
      <c r="E20" s="62"/>
      <c r="F20" s="62"/>
      <c r="G20" s="62"/>
      <c r="H20" s="62"/>
      <c r="I20" s="62"/>
      <c r="J20" s="62"/>
      <c r="K20" s="62"/>
      <c r="L20" s="66"/>
      <c r="M20" s="62"/>
      <c r="N20" s="62"/>
      <c r="O20" s="62"/>
      <c r="P20" s="62"/>
      <c r="Q20" s="62"/>
      <c r="R20" s="62"/>
      <c r="S20" s="62"/>
      <c r="T20" s="62"/>
      <c r="U20" s="62"/>
    </row>
    <row r="21" spans="1:21">
      <c r="A21" s="62"/>
      <c r="B21" s="62"/>
      <c r="C21" s="62"/>
      <c r="D21" s="62"/>
      <c r="E21" s="62"/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</row>
    <row r="22" spans="1:21">
      <c r="A22" s="62"/>
      <c r="B22" s="62"/>
      <c r="C22" s="62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</row>
    <row r="23" spans="1:21">
      <c r="A23" s="62"/>
      <c r="B23" s="67"/>
      <c r="C23" s="67"/>
      <c r="D23" s="67"/>
      <c r="E23" s="67"/>
      <c r="F23" s="67"/>
      <c r="G23" s="67"/>
      <c r="H23" s="67"/>
      <c r="I23" s="67"/>
      <c r="J23" s="67"/>
      <c r="K23" s="67"/>
      <c r="L23" s="68"/>
      <c r="M23" s="68"/>
      <c r="N23" s="67"/>
      <c r="O23" s="67"/>
      <c r="P23" s="67"/>
      <c r="Q23" s="67"/>
      <c r="R23" s="62"/>
      <c r="S23" s="62"/>
      <c r="T23" s="62"/>
      <c r="U23" s="62"/>
    </row>
    <row r="24" spans="1:21">
      <c r="A24" s="62"/>
      <c r="B24" s="62"/>
      <c r="C24" s="62"/>
      <c r="D24" s="62"/>
      <c r="E24" s="6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</row>
    <row r="25" spans="1:21">
      <c r="A25" s="62"/>
      <c r="B25" s="62"/>
      <c r="C25" s="62"/>
      <c r="D25" s="62"/>
      <c r="E25" s="62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5:V25"/>
  <sheetViews>
    <sheetView workbookViewId="0">
      <selection activeCell="H19" sqref="H19"/>
    </sheetView>
  </sheetViews>
  <sheetFormatPr defaultRowHeight="14.4"/>
  <cols>
    <col min="1" max="1" width="8.88671875" style="1"/>
    <col min="2" max="2" width="17.21875" style="1" customWidth="1"/>
    <col min="3" max="3" width="8.88671875" style="1"/>
    <col min="4" max="4" width="5.5546875" style="1" customWidth="1"/>
    <col min="5" max="5" width="9.7773437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2" ht="20.399999999999999">
      <c r="A5" s="58" t="s">
        <v>3</v>
      </c>
      <c r="B5" s="58" t="s">
        <v>4</v>
      </c>
      <c r="C5" s="58" t="s">
        <v>5</v>
      </c>
      <c r="D5" s="58" t="s">
        <v>6</v>
      </c>
      <c r="E5" s="58" t="s">
        <v>37</v>
      </c>
      <c r="F5" s="59" t="s">
        <v>7</v>
      </c>
      <c r="G5" s="58" t="s">
        <v>8</v>
      </c>
      <c r="H5" s="58" t="s">
        <v>9</v>
      </c>
      <c r="I5" s="58" t="s">
        <v>10</v>
      </c>
      <c r="J5" s="59" t="s">
        <v>18</v>
      </c>
      <c r="K5" s="59" t="s">
        <v>17</v>
      </c>
      <c r="L5" s="58" t="s">
        <v>11</v>
      </c>
      <c r="M5" s="59" t="s">
        <v>36</v>
      </c>
      <c r="N5" s="58" t="s">
        <v>12</v>
      </c>
      <c r="O5" s="58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258</v>
      </c>
    </row>
    <row r="6" spans="1:22">
      <c r="A6" s="69"/>
      <c r="B6" s="67"/>
      <c r="C6" s="67"/>
      <c r="D6" s="67"/>
      <c r="E6" s="67"/>
      <c r="F6" s="67"/>
      <c r="G6" s="67"/>
      <c r="H6" s="67"/>
      <c r="I6" s="67"/>
      <c r="J6" s="67"/>
      <c r="K6" s="67"/>
      <c r="L6" s="68"/>
      <c r="M6" s="68"/>
      <c r="N6" s="67"/>
      <c r="O6" s="67"/>
      <c r="P6" s="67"/>
      <c r="Q6" s="67"/>
      <c r="R6" s="62"/>
      <c r="S6" s="62"/>
      <c r="T6" s="62"/>
      <c r="U6" s="77"/>
      <c r="V6" s="62"/>
    </row>
    <row r="7" spans="1:22">
      <c r="A7" s="69" t="s">
        <v>739</v>
      </c>
      <c r="B7" s="42" t="s">
        <v>740</v>
      </c>
      <c r="C7" s="42" t="s">
        <v>91</v>
      </c>
      <c r="D7" s="42" t="s">
        <v>16</v>
      </c>
      <c r="E7" s="42" t="s">
        <v>741</v>
      </c>
      <c r="F7" s="42">
        <v>867</v>
      </c>
      <c r="G7" s="42"/>
      <c r="H7" s="42">
        <v>15920</v>
      </c>
      <c r="I7" s="42">
        <v>264</v>
      </c>
      <c r="J7" s="42">
        <v>0.13</v>
      </c>
      <c r="K7" s="42">
        <f t="shared" ref="K7:K9" si="0">I7*J7</f>
        <v>34.32</v>
      </c>
      <c r="L7" s="43">
        <f t="shared" ref="L7:L12" si="1">H7-K7</f>
        <v>15885.68</v>
      </c>
      <c r="M7" s="43"/>
      <c r="N7" s="43">
        <f t="shared" ref="N7:N12" si="2">L7-M7</f>
        <v>15885.68</v>
      </c>
      <c r="O7" s="43">
        <f t="shared" ref="O7:O12" si="3">H7/1000*70</f>
        <v>1114.4000000000001</v>
      </c>
      <c r="P7" s="42">
        <v>22000</v>
      </c>
      <c r="Q7" s="62"/>
      <c r="R7" s="62"/>
      <c r="S7" s="62"/>
      <c r="T7" s="62"/>
      <c r="U7" s="62"/>
      <c r="V7" s="62"/>
    </row>
    <row r="8" spans="1:22">
      <c r="A8" s="69" t="s">
        <v>746</v>
      </c>
      <c r="B8" s="42" t="s">
        <v>740</v>
      </c>
      <c r="C8" s="42" t="s">
        <v>91</v>
      </c>
      <c r="D8" s="42" t="s">
        <v>16</v>
      </c>
      <c r="E8" s="42" t="s">
        <v>749</v>
      </c>
      <c r="F8" s="42">
        <v>957</v>
      </c>
      <c r="G8" s="42"/>
      <c r="H8" s="42">
        <v>15450</v>
      </c>
      <c r="I8" s="42">
        <v>270</v>
      </c>
      <c r="J8" s="42">
        <v>0.13</v>
      </c>
      <c r="K8" s="42">
        <f t="shared" si="0"/>
        <v>35.1</v>
      </c>
      <c r="L8" s="43">
        <f t="shared" si="1"/>
        <v>15414.9</v>
      </c>
      <c r="M8" s="43"/>
      <c r="N8" s="43">
        <f t="shared" si="2"/>
        <v>15414.9</v>
      </c>
      <c r="O8" s="43">
        <f t="shared" si="3"/>
        <v>1081.5</v>
      </c>
      <c r="P8" s="42">
        <v>19500</v>
      </c>
      <c r="Q8" s="42"/>
      <c r="R8" s="62"/>
      <c r="S8" s="62"/>
      <c r="T8" s="62"/>
      <c r="U8" s="62"/>
      <c r="V8" s="62"/>
    </row>
    <row r="9" spans="1:22">
      <c r="A9" s="69" t="s">
        <v>750</v>
      </c>
      <c r="B9" s="42" t="s">
        <v>740</v>
      </c>
      <c r="C9" s="42" t="s">
        <v>91</v>
      </c>
      <c r="D9" s="42" t="s">
        <v>16</v>
      </c>
      <c r="E9" s="42" t="s">
        <v>751</v>
      </c>
      <c r="F9" s="42">
        <v>958</v>
      </c>
      <c r="G9" s="42"/>
      <c r="H9" s="42">
        <v>13990</v>
      </c>
      <c r="I9" s="42">
        <v>280</v>
      </c>
      <c r="J9" s="42">
        <v>0.13</v>
      </c>
      <c r="K9" s="42">
        <f t="shared" si="0"/>
        <v>36.4</v>
      </c>
      <c r="L9" s="43">
        <f t="shared" si="1"/>
        <v>13953.6</v>
      </c>
      <c r="M9" s="43"/>
      <c r="N9" s="43">
        <f t="shared" si="2"/>
        <v>13953.6</v>
      </c>
      <c r="O9" s="43">
        <f t="shared" si="3"/>
        <v>979.30000000000007</v>
      </c>
      <c r="P9" s="42">
        <v>15200</v>
      </c>
      <c r="Q9" s="42"/>
      <c r="R9" s="62"/>
      <c r="S9" s="62"/>
      <c r="T9" s="62"/>
      <c r="U9" s="62"/>
      <c r="V9" s="62"/>
    </row>
    <row r="10" spans="1:22">
      <c r="A10" s="69" t="s">
        <v>760</v>
      </c>
      <c r="B10" s="42" t="s">
        <v>740</v>
      </c>
      <c r="C10" s="42" t="s">
        <v>91</v>
      </c>
      <c r="D10" s="42" t="s">
        <v>16</v>
      </c>
      <c r="E10" s="42" t="s">
        <v>762</v>
      </c>
      <c r="F10" s="42">
        <v>872</v>
      </c>
      <c r="G10" s="42"/>
      <c r="H10" s="42">
        <v>15980</v>
      </c>
      <c r="I10" s="42">
        <v>266</v>
      </c>
      <c r="J10" s="42">
        <v>0.13</v>
      </c>
      <c r="K10" s="42">
        <v>35</v>
      </c>
      <c r="L10" s="43">
        <f t="shared" si="1"/>
        <v>15945</v>
      </c>
      <c r="M10" s="43"/>
      <c r="N10" s="43">
        <f t="shared" si="2"/>
        <v>15945</v>
      </c>
      <c r="O10" s="43">
        <f t="shared" si="3"/>
        <v>1118.6000000000001</v>
      </c>
      <c r="P10" s="42">
        <v>19600</v>
      </c>
      <c r="Q10" s="42"/>
      <c r="R10" s="42">
        <f t="shared" ref="R10" si="4">L10*Q10</f>
        <v>0</v>
      </c>
      <c r="S10" s="62"/>
      <c r="T10" s="62"/>
      <c r="U10" s="62"/>
      <c r="V10" s="62"/>
    </row>
    <row r="11" spans="1:22">
      <c r="A11" s="69" t="s">
        <v>770</v>
      </c>
      <c r="B11" s="42" t="s">
        <v>740</v>
      </c>
      <c r="C11" s="42" t="s">
        <v>91</v>
      </c>
      <c r="D11" s="42" t="s">
        <v>16</v>
      </c>
      <c r="E11" s="42" t="s">
        <v>778</v>
      </c>
      <c r="F11" s="42">
        <v>960</v>
      </c>
      <c r="G11" s="42"/>
      <c r="H11" s="42">
        <v>15210</v>
      </c>
      <c r="I11" s="42">
        <v>275</v>
      </c>
      <c r="J11" s="42">
        <v>0.13</v>
      </c>
      <c r="K11" s="43">
        <f t="shared" ref="K11" si="5">I11*J11</f>
        <v>35.75</v>
      </c>
      <c r="L11" s="43">
        <f t="shared" si="1"/>
        <v>15174.25</v>
      </c>
      <c r="M11" s="43"/>
      <c r="N11" s="43">
        <f t="shared" si="2"/>
        <v>15174.25</v>
      </c>
      <c r="O11" s="43">
        <f t="shared" si="3"/>
        <v>1064.7</v>
      </c>
      <c r="P11" s="42">
        <v>14000</v>
      </c>
      <c r="Q11" s="62"/>
      <c r="R11" s="62"/>
      <c r="S11" s="62"/>
      <c r="T11" s="62"/>
      <c r="U11" s="62"/>
      <c r="V11" s="62"/>
    </row>
    <row r="12" spans="1:22">
      <c r="A12" s="88" t="s">
        <v>788</v>
      </c>
      <c r="B12" s="42" t="s">
        <v>740</v>
      </c>
      <c r="C12" s="42" t="s">
        <v>91</v>
      </c>
      <c r="D12" s="42" t="s">
        <v>16</v>
      </c>
      <c r="E12" s="42" t="s">
        <v>789</v>
      </c>
      <c r="F12" s="42">
        <v>938</v>
      </c>
      <c r="G12" s="42"/>
      <c r="H12" s="42">
        <v>15325</v>
      </c>
      <c r="I12" s="42">
        <v>252</v>
      </c>
      <c r="J12" s="42">
        <v>0.13</v>
      </c>
      <c r="K12" s="42">
        <v>33</v>
      </c>
      <c r="L12" s="43">
        <f t="shared" si="1"/>
        <v>15292</v>
      </c>
      <c r="M12" s="43"/>
      <c r="N12" s="43">
        <f t="shared" si="2"/>
        <v>15292</v>
      </c>
      <c r="O12" s="43">
        <f t="shared" si="3"/>
        <v>1072.75</v>
      </c>
      <c r="P12" s="42">
        <v>18500</v>
      </c>
      <c r="Q12" s="42"/>
      <c r="R12" s="42">
        <f t="shared" ref="R12" si="6">L12*Q12</f>
        <v>0</v>
      </c>
      <c r="S12" s="62"/>
      <c r="T12" s="62"/>
      <c r="U12" s="62"/>
      <c r="V12" s="62"/>
    </row>
    <row r="13" spans="1:22">
      <c r="A13" s="88"/>
      <c r="B13" s="42"/>
      <c r="C13" s="42"/>
      <c r="D13" s="42"/>
      <c r="E13" s="42"/>
      <c r="F13" s="42"/>
      <c r="G13" s="42"/>
      <c r="H13" s="42"/>
      <c r="I13" s="42"/>
      <c r="J13" s="42"/>
      <c r="K13" s="43"/>
      <c r="L13" s="43"/>
      <c r="M13" s="43"/>
      <c r="N13" s="43"/>
      <c r="O13" s="43"/>
      <c r="P13" s="42"/>
      <c r="Q13" s="42"/>
      <c r="R13" s="42"/>
      <c r="S13" s="42"/>
      <c r="T13" s="62"/>
      <c r="U13" s="77"/>
      <c r="V13" s="62"/>
    </row>
    <row r="14" spans="1:22">
      <c r="A14" s="78"/>
      <c r="B14" s="42"/>
      <c r="C14" s="42"/>
      <c r="D14" s="42"/>
      <c r="E14" s="42"/>
      <c r="F14" s="42"/>
      <c r="G14" s="42"/>
      <c r="H14" s="42"/>
      <c r="I14" s="42"/>
      <c r="J14" s="42"/>
      <c r="K14" s="43"/>
      <c r="L14" s="43"/>
      <c r="M14" s="43"/>
      <c r="N14" s="43"/>
      <c r="O14" s="43"/>
      <c r="P14" s="42"/>
      <c r="Q14" s="42"/>
      <c r="R14" s="42"/>
      <c r="S14" s="62"/>
      <c r="T14" s="62"/>
      <c r="U14" s="62"/>
      <c r="V14" s="62"/>
    </row>
    <row r="15" spans="1:22">
      <c r="A15" s="78"/>
      <c r="B15" s="67"/>
      <c r="C15" s="67"/>
      <c r="D15" s="67"/>
      <c r="E15" s="97"/>
      <c r="F15" s="98"/>
      <c r="G15" s="99"/>
      <c r="H15" s="98"/>
      <c r="I15" s="98"/>
      <c r="J15" s="98"/>
      <c r="K15" s="68"/>
      <c r="L15" s="68"/>
      <c r="M15" s="68"/>
      <c r="N15" s="98"/>
      <c r="O15" s="62"/>
      <c r="P15" s="62"/>
      <c r="Q15" s="62"/>
      <c r="R15" s="62"/>
      <c r="S15" s="62"/>
      <c r="T15" s="62"/>
      <c r="U15" s="62"/>
      <c r="V15" s="62"/>
    </row>
    <row r="16" spans="1:22">
      <c r="A16" s="78"/>
      <c r="B16" s="67"/>
      <c r="C16" s="67"/>
      <c r="D16" s="67"/>
      <c r="E16" s="67"/>
      <c r="F16" s="98"/>
      <c r="G16" s="98"/>
      <c r="H16" s="98"/>
      <c r="I16" s="98"/>
      <c r="J16" s="98"/>
      <c r="K16" s="68"/>
      <c r="L16" s="68"/>
      <c r="M16" s="68"/>
      <c r="N16" s="98"/>
      <c r="O16" s="62"/>
      <c r="P16" s="62"/>
      <c r="Q16" s="62"/>
      <c r="R16" s="62"/>
      <c r="S16" s="62"/>
      <c r="T16" s="62"/>
      <c r="U16" s="62"/>
      <c r="V16" s="62"/>
    </row>
    <row r="17" spans="1:22">
      <c r="A17" s="63"/>
      <c r="B17" s="60"/>
      <c r="C17" s="60"/>
      <c r="D17" s="60"/>
      <c r="E17" s="60"/>
      <c r="F17" s="60"/>
      <c r="G17" s="60"/>
      <c r="H17" s="60"/>
      <c r="I17" s="60"/>
      <c r="J17" s="60"/>
      <c r="K17" s="61"/>
      <c r="L17" s="65"/>
      <c r="M17" s="61"/>
      <c r="N17" s="60"/>
      <c r="O17" s="60"/>
      <c r="P17" s="60"/>
      <c r="Q17" s="62"/>
      <c r="R17" s="62"/>
      <c r="S17" s="62"/>
      <c r="T17" s="62"/>
      <c r="U17" s="62"/>
      <c r="V17" s="62"/>
    </row>
    <row r="18" spans="1:22">
      <c r="A18" s="63"/>
      <c r="B18" s="60"/>
      <c r="C18" s="60"/>
      <c r="D18" s="60"/>
      <c r="E18" s="60"/>
      <c r="F18" s="60"/>
      <c r="G18" s="60"/>
      <c r="H18" s="60"/>
      <c r="I18" s="60"/>
      <c r="J18" s="60"/>
      <c r="K18" s="61"/>
      <c r="L18" s="65"/>
      <c r="M18" s="61"/>
      <c r="N18" s="60"/>
      <c r="O18" s="60"/>
      <c r="P18" s="60"/>
      <c r="Q18" s="62"/>
      <c r="R18" s="62"/>
      <c r="S18" s="62"/>
      <c r="T18" s="62"/>
      <c r="U18" s="62"/>
      <c r="V18" s="62"/>
    </row>
    <row r="19" spans="1:22">
      <c r="A19" s="62"/>
      <c r="B19" s="62"/>
      <c r="C19" s="62"/>
      <c r="D19" s="62"/>
      <c r="E19" s="62"/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</row>
    <row r="20" spans="1:22">
      <c r="A20" s="62"/>
      <c r="B20" s="62"/>
      <c r="C20" s="62"/>
      <c r="D20" s="62"/>
      <c r="E20" s="62"/>
      <c r="F20" s="62"/>
      <c r="G20" s="62"/>
      <c r="H20" s="62"/>
      <c r="I20" s="62"/>
      <c r="J20" s="62"/>
      <c r="K20" s="62"/>
      <c r="L20" s="66"/>
      <c r="M20" s="62"/>
      <c r="N20" s="62"/>
      <c r="O20" s="62"/>
      <c r="P20" s="62"/>
      <c r="Q20" s="62"/>
      <c r="R20" s="62"/>
      <c r="S20" s="62"/>
      <c r="T20" s="62"/>
      <c r="U20" s="62"/>
    </row>
    <row r="21" spans="1:22">
      <c r="A21" s="62"/>
      <c r="B21" s="62"/>
      <c r="C21" s="62"/>
      <c r="D21" s="62"/>
      <c r="E21" s="62"/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</row>
    <row r="22" spans="1:22">
      <c r="A22" s="62"/>
      <c r="B22" s="62"/>
      <c r="C22" s="62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</row>
    <row r="23" spans="1:22">
      <c r="A23" s="62"/>
      <c r="B23" s="67"/>
      <c r="C23" s="67"/>
      <c r="D23" s="67"/>
      <c r="E23" s="67"/>
      <c r="F23" s="67"/>
      <c r="G23" s="67"/>
      <c r="H23" s="67"/>
      <c r="I23" s="67"/>
      <c r="J23" s="67"/>
      <c r="K23" s="67"/>
      <c r="L23" s="68"/>
      <c r="M23" s="68"/>
      <c r="N23" s="67"/>
      <c r="O23" s="67"/>
      <c r="P23" s="67"/>
      <c r="Q23" s="67"/>
      <c r="R23" s="62"/>
      <c r="S23" s="62"/>
      <c r="T23" s="62"/>
      <c r="U23" s="62"/>
    </row>
    <row r="24" spans="1:22">
      <c r="A24" s="62"/>
      <c r="B24" s="62"/>
      <c r="C24" s="62"/>
      <c r="D24" s="62"/>
      <c r="E24" s="6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</row>
    <row r="25" spans="1:22">
      <c r="A25" s="62"/>
      <c r="B25" s="62"/>
      <c r="C25" s="62"/>
      <c r="D25" s="62"/>
      <c r="E25" s="62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5:V83"/>
  <sheetViews>
    <sheetView topLeftCell="A67" workbookViewId="0">
      <selection activeCell="A84" sqref="A84"/>
    </sheetView>
  </sheetViews>
  <sheetFormatPr defaultRowHeight="14.4"/>
  <cols>
    <col min="1" max="1" width="8.88671875" style="1"/>
    <col min="2" max="2" width="22.77734375" style="1" customWidth="1"/>
    <col min="3" max="3" width="8.88671875" style="1"/>
    <col min="4" max="4" width="5.5546875" style="1" customWidth="1"/>
    <col min="5" max="5" width="9.7773437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2" ht="20.399999999999999">
      <c r="A5" s="58" t="s">
        <v>3</v>
      </c>
      <c r="B5" s="58" t="s">
        <v>4</v>
      </c>
      <c r="C5" s="58" t="s">
        <v>5</v>
      </c>
      <c r="D5" s="58" t="s">
        <v>6</v>
      </c>
      <c r="E5" s="58" t="s">
        <v>37</v>
      </c>
      <c r="F5" s="59" t="s">
        <v>7</v>
      </c>
      <c r="G5" s="58" t="s">
        <v>8</v>
      </c>
      <c r="H5" s="58" t="s">
        <v>9</v>
      </c>
      <c r="I5" s="58" t="s">
        <v>10</v>
      </c>
      <c r="J5" s="59" t="s">
        <v>18</v>
      </c>
      <c r="K5" s="59" t="s">
        <v>17</v>
      </c>
      <c r="L5" s="58" t="s">
        <v>11</v>
      </c>
      <c r="M5" s="59" t="s">
        <v>36</v>
      </c>
      <c r="N5" s="58" t="s">
        <v>12</v>
      </c>
      <c r="O5" s="58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258</v>
      </c>
    </row>
    <row r="6" spans="1:22">
      <c r="A6" s="69"/>
      <c r="B6" s="67"/>
      <c r="C6" s="67"/>
      <c r="D6" s="67"/>
      <c r="E6" s="67"/>
      <c r="F6" s="67"/>
      <c r="G6" s="67"/>
      <c r="H6" s="67"/>
      <c r="I6" s="67"/>
      <c r="J6" s="67"/>
      <c r="K6" s="67"/>
      <c r="L6" s="68"/>
      <c r="M6" s="68"/>
      <c r="N6" s="67"/>
      <c r="O6" s="67"/>
      <c r="P6" s="67"/>
      <c r="Q6" s="67"/>
      <c r="R6" s="62"/>
      <c r="S6" s="62"/>
      <c r="T6" s="62"/>
      <c r="U6" s="77"/>
      <c r="V6" s="62"/>
    </row>
    <row r="7" spans="1:22">
      <c r="A7" s="69" t="s">
        <v>801</v>
      </c>
      <c r="B7" s="42" t="s">
        <v>684</v>
      </c>
      <c r="C7" s="42" t="s">
        <v>91</v>
      </c>
      <c r="D7" s="42" t="s">
        <v>16</v>
      </c>
      <c r="E7" s="42" t="s">
        <v>790</v>
      </c>
      <c r="F7" s="42">
        <v>962</v>
      </c>
      <c r="G7" s="42"/>
      <c r="H7" s="42">
        <v>15345</v>
      </c>
      <c r="I7" s="42">
        <v>252</v>
      </c>
      <c r="J7" s="42">
        <v>0.13</v>
      </c>
      <c r="K7" s="42">
        <v>33</v>
      </c>
      <c r="L7" s="43">
        <f t="shared" ref="L7" si="0">H7-K7</f>
        <v>15312</v>
      </c>
      <c r="M7" s="43"/>
      <c r="N7" s="43">
        <f t="shared" ref="N7" si="1">L7-M7</f>
        <v>15312</v>
      </c>
      <c r="O7" s="43">
        <f t="shared" ref="O7" si="2">H7/1000*70</f>
        <v>1074.1500000000001</v>
      </c>
      <c r="P7" s="42">
        <v>15000</v>
      </c>
      <c r="Q7" s="42"/>
      <c r="R7" s="42">
        <f t="shared" ref="R7" si="3">L7*Q7</f>
        <v>0</v>
      </c>
      <c r="S7" s="62"/>
      <c r="T7" s="62"/>
      <c r="U7" s="62"/>
      <c r="V7" s="62"/>
    </row>
    <row r="8" spans="1:22">
      <c r="A8" s="35" t="s">
        <v>804</v>
      </c>
      <c r="B8" s="103" t="s">
        <v>684</v>
      </c>
      <c r="C8" s="42" t="s">
        <v>91</v>
      </c>
      <c r="D8" s="42" t="s">
        <v>16</v>
      </c>
      <c r="E8" s="42" t="s">
        <v>805</v>
      </c>
      <c r="F8" s="42">
        <v>963</v>
      </c>
      <c r="G8" s="42"/>
      <c r="H8" s="42">
        <v>15840</v>
      </c>
      <c r="I8" s="42">
        <v>300</v>
      </c>
      <c r="J8" s="42">
        <v>0.13</v>
      </c>
      <c r="K8" s="43">
        <v>39</v>
      </c>
      <c r="L8" s="43">
        <v>15801</v>
      </c>
      <c r="M8" s="43"/>
      <c r="N8" s="43">
        <v>15801</v>
      </c>
      <c r="O8" s="43">
        <v>1108.8</v>
      </c>
      <c r="P8" s="42">
        <v>14500</v>
      </c>
      <c r="Q8" s="42">
        <v>20</v>
      </c>
      <c r="R8" s="42">
        <v>316020</v>
      </c>
      <c r="T8" s="62"/>
      <c r="U8" s="62"/>
      <c r="V8" s="62"/>
    </row>
    <row r="9" spans="1:22">
      <c r="A9" s="31" t="s">
        <v>819</v>
      </c>
      <c r="B9" s="103" t="s">
        <v>684</v>
      </c>
      <c r="C9" s="42" t="s">
        <v>91</v>
      </c>
      <c r="D9" s="42" t="s">
        <v>16</v>
      </c>
      <c r="E9" s="42" t="s">
        <v>749</v>
      </c>
      <c r="F9" s="42">
        <v>946</v>
      </c>
      <c r="G9" s="42"/>
      <c r="H9" s="42">
        <v>16110</v>
      </c>
      <c r="I9" s="42">
        <v>275</v>
      </c>
      <c r="J9" s="42">
        <v>0.13</v>
      </c>
      <c r="K9" s="43">
        <v>35.75</v>
      </c>
      <c r="L9" s="43">
        <v>16074.25</v>
      </c>
      <c r="M9" s="43"/>
      <c r="N9" s="43">
        <v>16074.25</v>
      </c>
      <c r="O9" s="43">
        <v>1127.7</v>
      </c>
      <c r="P9" s="42">
        <v>19000</v>
      </c>
      <c r="Q9" s="42">
        <v>20</v>
      </c>
      <c r="R9" s="42">
        <v>321485</v>
      </c>
      <c r="T9" s="62"/>
      <c r="U9" s="62"/>
      <c r="V9" s="62"/>
    </row>
    <row r="10" spans="1:22">
      <c r="A10" s="69" t="s">
        <v>849</v>
      </c>
      <c r="B10" s="42" t="s">
        <v>684</v>
      </c>
      <c r="C10" s="42" t="s">
        <v>91</v>
      </c>
      <c r="D10" s="42" t="s">
        <v>16</v>
      </c>
      <c r="E10" s="42" t="s">
        <v>805</v>
      </c>
      <c r="F10" s="42">
        <v>966</v>
      </c>
      <c r="G10" s="42"/>
      <c r="H10" s="42">
        <v>15065</v>
      </c>
      <c r="I10" s="42">
        <v>384</v>
      </c>
      <c r="J10" s="42">
        <v>0.13</v>
      </c>
      <c r="K10" s="43">
        <f t="shared" ref="K10:K13" si="4">I10*J10</f>
        <v>49.92</v>
      </c>
      <c r="L10" s="43">
        <f t="shared" ref="L10:L13" si="5">H10-K10</f>
        <v>15015.08</v>
      </c>
      <c r="M10" s="43"/>
      <c r="N10" s="43">
        <f t="shared" ref="N10:N13" si="6">L10-M10</f>
        <v>15015.08</v>
      </c>
      <c r="O10" s="43">
        <f t="shared" ref="O10:O13" si="7">H10/1000*70</f>
        <v>1054.55</v>
      </c>
      <c r="P10" s="42">
        <v>14500</v>
      </c>
      <c r="Q10" s="42">
        <v>20</v>
      </c>
      <c r="R10" s="42">
        <f t="shared" ref="R10:R13" si="8">L10*Q10</f>
        <v>300301.59999999998</v>
      </c>
      <c r="S10" s="62"/>
      <c r="T10" s="62"/>
      <c r="U10" s="62"/>
      <c r="V10" s="62"/>
    </row>
    <row r="11" spans="1:22">
      <c r="A11" s="69" t="s">
        <v>866</v>
      </c>
      <c r="B11" s="42" t="s">
        <v>864</v>
      </c>
      <c r="C11" s="42" t="s">
        <v>91</v>
      </c>
      <c r="D11" s="42" t="s">
        <v>16</v>
      </c>
      <c r="E11" s="42" t="s">
        <v>867</v>
      </c>
      <c r="F11" s="42">
        <v>784</v>
      </c>
      <c r="G11" s="42"/>
      <c r="H11" s="42">
        <v>15510</v>
      </c>
      <c r="I11" s="42">
        <v>262</v>
      </c>
      <c r="J11" s="42">
        <v>0.13</v>
      </c>
      <c r="K11" s="42">
        <f t="shared" si="4"/>
        <v>34.06</v>
      </c>
      <c r="L11" s="43">
        <f t="shared" si="5"/>
        <v>15475.94</v>
      </c>
      <c r="M11" s="43"/>
      <c r="N11" s="43">
        <f t="shared" si="6"/>
        <v>15475.94</v>
      </c>
      <c r="O11" s="43">
        <f t="shared" si="7"/>
        <v>1085.7</v>
      </c>
      <c r="P11" s="42">
        <v>19700</v>
      </c>
      <c r="Q11" s="42">
        <v>20.5</v>
      </c>
      <c r="R11" s="42">
        <f t="shared" si="8"/>
        <v>317256.77</v>
      </c>
      <c r="S11" s="62"/>
      <c r="T11" s="62"/>
      <c r="U11" s="62"/>
      <c r="V11" s="62"/>
    </row>
    <row r="12" spans="1:22">
      <c r="A12" s="88" t="s">
        <v>874</v>
      </c>
      <c r="B12" s="42" t="s">
        <v>864</v>
      </c>
      <c r="C12" s="42" t="s">
        <v>91</v>
      </c>
      <c r="D12" s="42" t="s">
        <v>16</v>
      </c>
      <c r="E12" s="42" t="s">
        <v>875</v>
      </c>
      <c r="F12" s="42">
        <v>968</v>
      </c>
      <c r="G12" s="42"/>
      <c r="H12" s="42">
        <v>15620</v>
      </c>
      <c r="I12" s="42">
        <v>294</v>
      </c>
      <c r="J12" s="42">
        <v>0.13</v>
      </c>
      <c r="K12" s="42">
        <f t="shared" si="4"/>
        <v>38.22</v>
      </c>
      <c r="L12" s="43">
        <f t="shared" si="5"/>
        <v>15581.78</v>
      </c>
      <c r="M12" s="43"/>
      <c r="N12" s="43">
        <f t="shared" si="6"/>
        <v>15581.78</v>
      </c>
      <c r="O12" s="43">
        <f t="shared" si="7"/>
        <v>1093.3999999999999</v>
      </c>
      <c r="P12" s="42">
        <v>19000</v>
      </c>
      <c r="Q12" s="42">
        <v>20.5</v>
      </c>
      <c r="R12" s="42">
        <f t="shared" si="8"/>
        <v>319426.49</v>
      </c>
      <c r="S12" s="62"/>
      <c r="T12" s="62"/>
      <c r="U12" s="62"/>
      <c r="V12" s="62"/>
    </row>
    <row r="13" spans="1:22">
      <c r="A13" s="88" t="s">
        <v>704</v>
      </c>
      <c r="B13" s="42" t="s">
        <v>864</v>
      </c>
      <c r="C13" s="42" t="s">
        <v>91</v>
      </c>
      <c r="D13" s="42" t="s">
        <v>16</v>
      </c>
      <c r="E13" s="42" t="s">
        <v>751</v>
      </c>
      <c r="F13" s="42">
        <v>970</v>
      </c>
      <c r="G13" s="42"/>
      <c r="H13" s="42">
        <v>15635</v>
      </c>
      <c r="I13" s="42">
        <v>295</v>
      </c>
      <c r="J13" s="42">
        <v>0.13</v>
      </c>
      <c r="K13" s="42">
        <f t="shared" si="4"/>
        <v>38.35</v>
      </c>
      <c r="L13" s="43">
        <f t="shared" si="5"/>
        <v>15596.65</v>
      </c>
      <c r="M13" s="43"/>
      <c r="N13" s="43">
        <f t="shared" si="6"/>
        <v>15596.65</v>
      </c>
      <c r="O13" s="43">
        <f t="shared" si="7"/>
        <v>1094.45</v>
      </c>
      <c r="P13" s="42">
        <v>14500</v>
      </c>
      <c r="Q13" s="42">
        <v>20.5</v>
      </c>
      <c r="R13" s="42">
        <f t="shared" si="8"/>
        <v>319731.32500000001</v>
      </c>
      <c r="S13" s="62"/>
      <c r="T13" s="62"/>
      <c r="U13" s="77"/>
      <c r="V13" s="62"/>
    </row>
    <row r="14" spans="1:22">
      <c r="A14" s="78"/>
      <c r="B14" s="67"/>
      <c r="C14" s="67"/>
      <c r="D14" s="67"/>
      <c r="E14" s="97"/>
      <c r="F14" s="67"/>
      <c r="G14" s="67"/>
      <c r="H14" s="67"/>
      <c r="I14" s="67"/>
      <c r="J14" s="67"/>
      <c r="K14" s="68"/>
      <c r="L14" s="68"/>
      <c r="M14" s="68"/>
      <c r="N14" s="67"/>
      <c r="O14" s="62"/>
      <c r="P14" s="62"/>
      <c r="Q14" s="62"/>
      <c r="R14" s="62"/>
      <c r="S14" s="62"/>
      <c r="T14" s="62"/>
      <c r="U14" s="62"/>
      <c r="V14" s="62"/>
    </row>
    <row r="15" spans="1:22">
      <c r="A15" s="78" t="s">
        <v>1135</v>
      </c>
      <c r="B15" s="42" t="s">
        <v>684</v>
      </c>
      <c r="C15" s="42" t="s">
        <v>91</v>
      </c>
      <c r="D15" s="42" t="s">
        <v>16</v>
      </c>
      <c r="E15" s="42" t="s">
        <v>1136</v>
      </c>
      <c r="F15" s="42">
        <v>336</v>
      </c>
      <c r="G15" s="42"/>
      <c r="H15" s="42">
        <v>14485</v>
      </c>
      <c r="I15" s="42">
        <v>263</v>
      </c>
      <c r="J15" s="42">
        <v>0.13</v>
      </c>
      <c r="K15" s="42">
        <f t="shared" ref="K15" si="9">I15*J15</f>
        <v>34.19</v>
      </c>
      <c r="L15" s="43">
        <f t="shared" ref="L15" si="10">H15-K15</f>
        <v>14450.81</v>
      </c>
      <c r="M15" s="43"/>
      <c r="N15" s="43">
        <f t="shared" ref="N15" si="11">L15-M15</f>
        <v>14450.81</v>
      </c>
      <c r="O15" s="43">
        <f t="shared" ref="O15" si="12">H15/1000*70</f>
        <v>1013.9499999999999</v>
      </c>
      <c r="P15" s="42">
        <v>22500</v>
      </c>
      <c r="Q15" s="42">
        <v>17.5</v>
      </c>
      <c r="R15" s="42">
        <f t="shared" ref="R15" si="13">L15*Q15</f>
        <v>252889.17499999999</v>
      </c>
      <c r="S15" s="62"/>
      <c r="T15" s="62"/>
      <c r="U15" s="62"/>
      <c r="V15" s="62"/>
    </row>
    <row r="16" spans="1:22">
      <c r="A16" s="78"/>
      <c r="B16" s="67"/>
      <c r="C16" s="67"/>
      <c r="D16" s="67"/>
      <c r="E16" s="67"/>
      <c r="F16" s="98"/>
      <c r="G16" s="98"/>
      <c r="H16" s="98"/>
      <c r="I16" s="98"/>
      <c r="J16" s="98"/>
      <c r="K16" s="68"/>
      <c r="L16" s="68"/>
      <c r="M16" s="68"/>
      <c r="N16" s="98"/>
      <c r="O16" s="62"/>
      <c r="P16" s="62"/>
      <c r="Q16" s="62"/>
      <c r="R16" s="62"/>
      <c r="S16" s="62"/>
      <c r="T16" s="62"/>
      <c r="U16" s="62"/>
      <c r="V16" s="62"/>
    </row>
    <row r="17" spans="1:22">
      <c r="A17" s="78" t="s">
        <v>1137</v>
      </c>
      <c r="B17" s="42" t="s">
        <v>684</v>
      </c>
      <c r="C17" s="42" t="s">
        <v>91</v>
      </c>
      <c r="D17" s="42" t="s">
        <v>16</v>
      </c>
      <c r="E17" s="42" t="s">
        <v>1138</v>
      </c>
      <c r="F17" s="42">
        <v>277</v>
      </c>
      <c r="G17" s="42"/>
      <c r="H17" s="42">
        <v>14630</v>
      </c>
      <c r="I17" s="42">
        <v>276</v>
      </c>
      <c r="J17" s="42">
        <v>0.13</v>
      </c>
      <c r="K17" s="42">
        <f t="shared" ref="K17" si="14">I17*J17</f>
        <v>35.880000000000003</v>
      </c>
      <c r="L17" s="43">
        <f t="shared" ref="L17" si="15">H17-K17</f>
        <v>14594.12</v>
      </c>
      <c r="M17" s="43"/>
      <c r="N17" s="43">
        <f t="shared" ref="N17" si="16">L17-M17</f>
        <v>14594.12</v>
      </c>
      <c r="O17" s="43">
        <f t="shared" ref="O17" si="17">H17/1000*70</f>
        <v>1024.1000000000001</v>
      </c>
      <c r="P17" s="42">
        <v>14500</v>
      </c>
      <c r="Q17" s="42">
        <v>17.5</v>
      </c>
      <c r="R17" s="42">
        <f t="shared" ref="R17" si="18">L17*Q17</f>
        <v>255397.1</v>
      </c>
      <c r="S17" s="62"/>
      <c r="T17" s="62"/>
      <c r="U17" s="62"/>
      <c r="V17" s="62"/>
    </row>
    <row r="18" spans="1:22">
      <c r="A18" s="63"/>
      <c r="B18" s="60"/>
      <c r="C18" s="60"/>
      <c r="D18" s="60"/>
      <c r="E18" s="60"/>
      <c r="F18" s="60"/>
      <c r="G18" s="60"/>
      <c r="H18" s="60"/>
      <c r="I18" s="60"/>
      <c r="J18" s="60"/>
      <c r="K18" s="61"/>
      <c r="L18" s="65"/>
      <c r="M18" s="61"/>
      <c r="N18" s="60"/>
      <c r="O18" s="60"/>
      <c r="P18" s="60"/>
      <c r="Q18" s="62"/>
      <c r="R18" s="62"/>
      <c r="S18" s="62"/>
      <c r="T18" s="62"/>
      <c r="U18" s="62"/>
      <c r="V18" s="62"/>
    </row>
    <row r="19" spans="1:22">
      <c r="A19" s="62" t="s">
        <v>1154</v>
      </c>
      <c r="B19" s="42" t="s">
        <v>684</v>
      </c>
      <c r="C19" s="42" t="s">
        <v>91</v>
      </c>
      <c r="D19" s="42" t="s">
        <v>16</v>
      </c>
      <c r="E19" s="42" t="s">
        <v>1155</v>
      </c>
      <c r="F19" s="42">
        <v>752</v>
      </c>
      <c r="G19" s="42"/>
      <c r="H19" s="42">
        <v>15440</v>
      </c>
      <c r="I19" s="42">
        <v>281</v>
      </c>
      <c r="J19" s="42">
        <v>0.13</v>
      </c>
      <c r="K19" s="42">
        <v>37</v>
      </c>
      <c r="L19" s="43">
        <f t="shared" ref="L19" si="19">H19-K19</f>
        <v>15403</v>
      </c>
      <c r="M19" s="43"/>
      <c r="N19" s="43">
        <f t="shared" ref="N19" si="20">L19-M19</f>
        <v>15403</v>
      </c>
      <c r="O19" s="43">
        <f t="shared" ref="O19" si="21">H19/1000*70</f>
        <v>1080.8</v>
      </c>
      <c r="P19" s="42">
        <v>21000</v>
      </c>
      <c r="Q19" s="42">
        <v>17.5</v>
      </c>
      <c r="R19" s="42">
        <f t="shared" ref="R19" si="22">L19*Q19</f>
        <v>269552.5</v>
      </c>
      <c r="S19" s="62"/>
      <c r="T19" s="62"/>
      <c r="U19" s="62"/>
    </row>
    <row r="20" spans="1:22">
      <c r="A20" s="62"/>
      <c r="B20" s="62"/>
      <c r="C20" s="62"/>
      <c r="D20" s="62"/>
      <c r="E20" s="62"/>
      <c r="F20" s="62"/>
      <c r="G20" s="62"/>
      <c r="H20" s="62"/>
      <c r="I20" s="62"/>
      <c r="J20" s="62"/>
      <c r="K20" s="62"/>
      <c r="L20" s="66"/>
      <c r="M20" s="62"/>
      <c r="N20" s="62"/>
      <c r="O20" s="62"/>
      <c r="P20" s="62"/>
      <c r="Q20" s="62"/>
      <c r="R20" s="62"/>
      <c r="S20" s="62"/>
      <c r="T20" s="62"/>
      <c r="U20" s="62"/>
    </row>
    <row r="21" spans="1:22">
      <c r="A21" s="62" t="s">
        <v>1241</v>
      </c>
      <c r="B21" s="42" t="s">
        <v>684</v>
      </c>
      <c r="C21" s="92" t="s">
        <v>91</v>
      </c>
      <c r="D21" s="42" t="s">
        <v>16</v>
      </c>
      <c r="E21" s="42" t="s">
        <v>963</v>
      </c>
      <c r="F21" s="42">
        <v>723</v>
      </c>
      <c r="G21" s="42"/>
      <c r="H21" s="42">
        <v>15420</v>
      </c>
      <c r="I21" s="42">
        <v>291</v>
      </c>
      <c r="J21" s="42">
        <v>0.13</v>
      </c>
      <c r="K21" s="42">
        <v>38</v>
      </c>
      <c r="L21" s="43">
        <f t="shared" ref="L21" si="23">H21-K21</f>
        <v>15382</v>
      </c>
      <c r="M21" s="43"/>
      <c r="N21" s="43">
        <f t="shared" ref="N21" si="24">L21-M21</f>
        <v>15382</v>
      </c>
      <c r="O21" s="43">
        <f t="shared" ref="O21" si="25">H21/1000*70</f>
        <v>1079.4000000000001</v>
      </c>
      <c r="P21" s="42">
        <v>18000</v>
      </c>
      <c r="Q21" s="62"/>
      <c r="R21" s="62"/>
      <c r="S21" s="62"/>
      <c r="T21" s="62"/>
      <c r="U21" s="62"/>
    </row>
    <row r="22" spans="1:22">
      <c r="A22" s="62"/>
      <c r="B22" s="62"/>
      <c r="C22" s="62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</row>
    <row r="23" spans="1:22">
      <c r="A23" s="62" t="s">
        <v>1260</v>
      </c>
      <c r="B23" s="42" t="s">
        <v>684</v>
      </c>
      <c r="C23" s="42" t="s">
        <v>91</v>
      </c>
      <c r="D23" s="42" t="s">
        <v>16</v>
      </c>
      <c r="E23" s="42" t="s">
        <v>1263</v>
      </c>
      <c r="F23" s="42">
        <v>184</v>
      </c>
      <c r="G23" s="42"/>
      <c r="H23" s="42">
        <v>15300</v>
      </c>
      <c r="I23" s="42">
        <v>296</v>
      </c>
      <c r="J23" s="42">
        <v>0.13</v>
      </c>
      <c r="K23" s="42">
        <v>39</v>
      </c>
      <c r="L23" s="43">
        <f t="shared" ref="L23" si="26">H23-K23</f>
        <v>15261</v>
      </c>
      <c r="M23" s="43"/>
      <c r="N23" s="43">
        <f t="shared" ref="N23" si="27">L23-M23</f>
        <v>15261</v>
      </c>
      <c r="O23" s="43">
        <f t="shared" ref="O23" si="28">H23/1000*70</f>
        <v>1071</v>
      </c>
      <c r="P23" s="42">
        <v>12500</v>
      </c>
      <c r="Q23" s="42">
        <v>17.5</v>
      </c>
      <c r="R23" s="42">
        <f t="shared" ref="R23" si="29">L23*Q23</f>
        <v>267067.5</v>
      </c>
      <c r="S23" s="62"/>
      <c r="T23" s="62"/>
      <c r="U23" s="62"/>
    </row>
    <row r="24" spans="1:22">
      <c r="A24" s="62"/>
      <c r="B24" s="62"/>
      <c r="C24" s="62"/>
      <c r="D24" s="62"/>
      <c r="E24" s="6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</row>
    <row r="25" spans="1:22">
      <c r="A25" s="62" t="s">
        <v>1267</v>
      </c>
      <c r="B25" s="42" t="s">
        <v>684</v>
      </c>
      <c r="C25" s="42" t="s">
        <v>91</v>
      </c>
      <c r="D25" s="42" t="s">
        <v>16</v>
      </c>
      <c r="E25" s="42" t="s">
        <v>1268</v>
      </c>
      <c r="F25" s="42">
        <v>189</v>
      </c>
      <c r="G25" s="42"/>
      <c r="H25" s="42">
        <v>15820</v>
      </c>
      <c r="I25" s="42">
        <v>300</v>
      </c>
      <c r="J25" s="42">
        <v>0.13</v>
      </c>
      <c r="K25" s="42">
        <f t="shared" ref="K25" si="30">I25*J25</f>
        <v>39</v>
      </c>
      <c r="L25" s="43">
        <f t="shared" ref="L25" si="31">H25-K25</f>
        <v>15781</v>
      </c>
      <c r="M25" s="43"/>
      <c r="N25" s="43">
        <f t="shared" ref="N25" si="32">L25-M25</f>
        <v>15781</v>
      </c>
      <c r="O25" s="43">
        <f t="shared" ref="O25" si="33">H25/1000*70</f>
        <v>1107.4000000000001</v>
      </c>
      <c r="P25" s="42">
        <v>13500</v>
      </c>
      <c r="Q25" s="42">
        <v>17.5</v>
      </c>
      <c r="R25" s="42">
        <f t="shared" ref="R25" si="34">L25*Q25</f>
        <v>276167.5</v>
      </c>
      <c r="S25" s="62"/>
      <c r="T25" s="62"/>
      <c r="U25" s="62"/>
    </row>
    <row r="27" spans="1:22">
      <c r="A27" s="1" t="s">
        <v>1499</v>
      </c>
      <c r="B27" s="42" t="s">
        <v>864</v>
      </c>
      <c r="C27" s="42" t="s">
        <v>91</v>
      </c>
      <c r="D27" s="42" t="s">
        <v>16</v>
      </c>
      <c r="E27" s="42" t="s">
        <v>1502</v>
      </c>
      <c r="F27" s="42">
        <v>505</v>
      </c>
      <c r="G27" s="42"/>
      <c r="H27" s="42">
        <v>16930</v>
      </c>
      <c r="I27" s="42">
        <v>314</v>
      </c>
      <c r="J27" s="42">
        <v>0.13</v>
      </c>
      <c r="K27" s="42">
        <v>41</v>
      </c>
      <c r="L27" s="43">
        <f t="shared" ref="L27:L43" si="35">H27-K27</f>
        <v>16889</v>
      </c>
      <c r="M27" s="43"/>
      <c r="N27" s="43">
        <f t="shared" ref="N27:N43" si="36">L27-M27</f>
        <v>16889</v>
      </c>
      <c r="O27" s="43">
        <f t="shared" ref="O27:O43" si="37">H27/1000*70</f>
        <v>1185.0999999999999</v>
      </c>
      <c r="P27" s="42">
        <v>0</v>
      </c>
      <c r="Q27" s="42"/>
      <c r="R27" s="42">
        <f t="shared" ref="R27:R43" si="38">L27*Q27</f>
        <v>0</v>
      </c>
    </row>
    <row r="28" spans="1:22">
      <c r="A28" s="374" t="s">
        <v>1569</v>
      </c>
      <c r="B28" s="42" t="s">
        <v>1579</v>
      </c>
      <c r="C28" s="42" t="s">
        <v>91</v>
      </c>
      <c r="D28" s="42" t="s">
        <v>16</v>
      </c>
      <c r="E28" s="42" t="s">
        <v>433</v>
      </c>
      <c r="F28" s="42">
        <v>1753</v>
      </c>
      <c r="G28" s="42"/>
      <c r="H28" s="42">
        <v>15080</v>
      </c>
      <c r="I28" s="42">
        <v>290</v>
      </c>
      <c r="J28" s="42">
        <v>0.13</v>
      </c>
      <c r="K28" s="42">
        <v>38</v>
      </c>
      <c r="L28" s="43">
        <f t="shared" si="35"/>
        <v>15042</v>
      </c>
      <c r="M28" s="43"/>
      <c r="N28" s="43">
        <f t="shared" si="36"/>
        <v>15042</v>
      </c>
      <c r="O28" s="43">
        <f t="shared" si="37"/>
        <v>1055.5999999999999</v>
      </c>
      <c r="P28" s="42">
        <v>15000</v>
      </c>
      <c r="Q28" s="42">
        <v>15.5</v>
      </c>
      <c r="R28" s="42">
        <f t="shared" si="38"/>
        <v>233151</v>
      </c>
    </row>
    <row r="29" spans="1:22">
      <c r="A29" s="374"/>
      <c r="B29" s="42" t="s">
        <v>1579</v>
      </c>
      <c r="C29" s="42" t="s">
        <v>91</v>
      </c>
      <c r="D29" s="42" t="s">
        <v>16</v>
      </c>
      <c r="E29" s="42" t="s">
        <v>1263</v>
      </c>
      <c r="F29" s="42">
        <v>1754</v>
      </c>
      <c r="G29" s="42"/>
      <c r="H29" s="42">
        <v>15025</v>
      </c>
      <c r="I29" s="42">
        <v>243</v>
      </c>
      <c r="J29" s="42">
        <v>0.13</v>
      </c>
      <c r="K29" s="42">
        <v>32</v>
      </c>
      <c r="L29" s="43">
        <f t="shared" si="35"/>
        <v>14993</v>
      </c>
      <c r="M29" s="43"/>
      <c r="N29" s="43">
        <f t="shared" si="36"/>
        <v>14993</v>
      </c>
      <c r="O29" s="43">
        <f t="shared" si="37"/>
        <v>1051.75</v>
      </c>
      <c r="P29" s="42">
        <v>0</v>
      </c>
      <c r="Q29" s="42">
        <v>15.5</v>
      </c>
      <c r="R29" s="42">
        <f t="shared" si="38"/>
        <v>232391.5</v>
      </c>
    </row>
    <row r="30" spans="1:22">
      <c r="A30" s="1" t="s">
        <v>1691</v>
      </c>
      <c r="B30" s="42" t="s">
        <v>1579</v>
      </c>
      <c r="C30" s="42" t="s">
        <v>91</v>
      </c>
      <c r="D30" s="42" t="s">
        <v>16</v>
      </c>
      <c r="E30" s="42" t="s">
        <v>477</v>
      </c>
      <c r="F30" s="42">
        <v>1697</v>
      </c>
      <c r="G30" s="42"/>
      <c r="H30" s="42">
        <v>15145</v>
      </c>
      <c r="I30" s="42">
        <v>280</v>
      </c>
      <c r="J30" s="42">
        <v>0.13</v>
      </c>
      <c r="K30" s="42">
        <f t="shared" ref="K30:K32" si="39">I30*J30</f>
        <v>36.4</v>
      </c>
      <c r="L30" s="43">
        <f t="shared" si="35"/>
        <v>15108.6</v>
      </c>
      <c r="M30" s="43"/>
      <c r="N30" s="43">
        <f t="shared" si="36"/>
        <v>15108.6</v>
      </c>
      <c r="O30" s="43">
        <f t="shared" si="37"/>
        <v>1060.1499999999999</v>
      </c>
      <c r="P30" s="201">
        <v>15000</v>
      </c>
      <c r="Q30" s="201">
        <v>14.4</v>
      </c>
      <c r="R30" s="42">
        <f t="shared" si="38"/>
        <v>217563.84</v>
      </c>
      <c r="S30" s="42"/>
    </row>
    <row r="31" spans="1:22">
      <c r="A31" s="21" t="s">
        <v>1699</v>
      </c>
      <c r="B31" s="42" t="s">
        <v>1579</v>
      </c>
      <c r="C31" s="42" t="s">
        <v>91</v>
      </c>
      <c r="D31" s="42" t="s">
        <v>16</v>
      </c>
      <c r="E31" s="42" t="s">
        <v>477</v>
      </c>
      <c r="F31" s="42">
        <v>1699</v>
      </c>
      <c r="G31" s="42"/>
      <c r="H31" s="42">
        <v>15050</v>
      </c>
      <c r="I31" s="42">
        <v>270</v>
      </c>
      <c r="J31" s="42">
        <v>0.13</v>
      </c>
      <c r="K31" s="42">
        <f t="shared" si="39"/>
        <v>35.1</v>
      </c>
      <c r="L31" s="43">
        <f t="shared" si="35"/>
        <v>15014.9</v>
      </c>
      <c r="M31" s="43"/>
      <c r="N31" s="43">
        <f t="shared" si="36"/>
        <v>15014.9</v>
      </c>
      <c r="O31" s="43">
        <f t="shared" si="37"/>
        <v>1053.5</v>
      </c>
      <c r="P31" s="203">
        <v>0</v>
      </c>
      <c r="Q31" s="203">
        <v>14.4</v>
      </c>
      <c r="R31" s="42">
        <f t="shared" si="38"/>
        <v>216214.56</v>
      </c>
    </row>
    <row r="32" spans="1:22">
      <c r="A32" s="21" t="s">
        <v>1708</v>
      </c>
      <c r="B32" s="42" t="s">
        <v>1579</v>
      </c>
      <c r="C32" s="42" t="s">
        <v>91</v>
      </c>
      <c r="D32" s="42" t="s">
        <v>16</v>
      </c>
      <c r="E32" s="42" t="s">
        <v>1711</v>
      </c>
      <c r="F32" s="42">
        <v>1901</v>
      </c>
      <c r="G32" s="42"/>
      <c r="H32" s="42">
        <v>14990</v>
      </c>
      <c r="I32" s="42">
        <v>270</v>
      </c>
      <c r="J32" s="42">
        <v>0.13</v>
      </c>
      <c r="K32" s="42">
        <f t="shared" si="39"/>
        <v>35.1</v>
      </c>
      <c r="L32" s="43">
        <f t="shared" si="35"/>
        <v>14954.9</v>
      </c>
      <c r="M32" s="43"/>
      <c r="N32" s="43">
        <f t="shared" si="36"/>
        <v>14954.9</v>
      </c>
      <c r="O32" s="43">
        <f t="shared" si="37"/>
        <v>1049.3</v>
      </c>
      <c r="P32" s="204">
        <v>15000</v>
      </c>
      <c r="Q32" s="204">
        <v>14.4</v>
      </c>
      <c r="R32" s="42">
        <f t="shared" si="38"/>
        <v>215350.56</v>
      </c>
    </row>
    <row r="33" spans="1:19">
      <c r="A33" s="374" t="s">
        <v>1721</v>
      </c>
      <c r="B33" s="42" t="s">
        <v>1579</v>
      </c>
      <c r="C33" s="42" t="s">
        <v>91</v>
      </c>
      <c r="D33" s="42" t="s">
        <v>16</v>
      </c>
      <c r="E33" s="42" t="s">
        <v>1723</v>
      </c>
      <c r="F33" s="42">
        <v>955</v>
      </c>
      <c r="G33" s="42"/>
      <c r="H33" s="42">
        <v>15275</v>
      </c>
      <c r="I33" s="42">
        <v>283</v>
      </c>
      <c r="J33" s="42">
        <v>0.13</v>
      </c>
      <c r="K33" s="42">
        <v>37</v>
      </c>
      <c r="L33" s="43">
        <f t="shared" si="35"/>
        <v>15238</v>
      </c>
      <c r="M33" s="43"/>
      <c r="N33" s="43">
        <f t="shared" si="36"/>
        <v>15238</v>
      </c>
      <c r="O33" s="43">
        <f t="shared" si="37"/>
        <v>1069.25</v>
      </c>
      <c r="P33" s="205">
        <v>0</v>
      </c>
      <c r="Q33" s="205">
        <v>14.4</v>
      </c>
      <c r="R33" s="42">
        <f t="shared" si="38"/>
        <v>219427.20000000001</v>
      </c>
    </row>
    <row r="34" spans="1:19">
      <c r="A34" s="374"/>
      <c r="B34" s="42" t="s">
        <v>1579</v>
      </c>
      <c r="C34" s="42" t="s">
        <v>91</v>
      </c>
      <c r="D34" s="42" t="s">
        <v>16</v>
      </c>
      <c r="E34" s="42" t="s">
        <v>1724</v>
      </c>
      <c r="F34" s="42">
        <v>956</v>
      </c>
      <c r="G34" s="42"/>
      <c r="H34" s="42">
        <v>15180</v>
      </c>
      <c r="I34" s="42">
        <v>285</v>
      </c>
      <c r="J34" s="42">
        <v>0.13</v>
      </c>
      <c r="K34" s="42">
        <f t="shared" ref="K34:K35" si="40">I34*J34</f>
        <v>37.050000000000004</v>
      </c>
      <c r="L34" s="43">
        <f t="shared" si="35"/>
        <v>15142.95</v>
      </c>
      <c r="M34" s="43"/>
      <c r="N34" s="43">
        <f t="shared" si="36"/>
        <v>15142.95</v>
      </c>
      <c r="O34" s="43">
        <f t="shared" si="37"/>
        <v>1062.5999999999999</v>
      </c>
      <c r="P34" s="205">
        <v>0</v>
      </c>
      <c r="Q34" s="205">
        <v>14.4</v>
      </c>
      <c r="R34" s="42">
        <f t="shared" si="38"/>
        <v>218058.48</v>
      </c>
    </row>
    <row r="35" spans="1:19">
      <c r="A35" s="374" t="s">
        <v>1749</v>
      </c>
      <c r="B35" s="42" t="s">
        <v>1579</v>
      </c>
      <c r="C35" s="42" t="s">
        <v>91</v>
      </c>
      <c r="D35" s="42" t="s">
        <v>16</v>
      </c>
      <c r="E35" s="42" t="s">
        <v>1752</v>
      </c>
      <c r="F35" s="42">
        <v>1151</v>
      </c>
      <c r="G35" s="42"/>
      <c r="H35" s="42">
        <v>14990</v>
      </c>
      <c r="I35" s="42">
        <v>285</v>
      </c>
      <c r="J35" s="42">
        <v>0.13</v>
      </c>
      <c r="K35" s="42">
        <f t="shared" si="40"/>
        <v>37.050000000000004</v>
      </c>
      <c r="L35" s="43">
        <f t="shared" si="35"/>
        <v>14952.95</v>
      </c>
      <c r="M35" s="43"/>
      <c r="N35" s="43">
        <f t="shared" si="36"/>
        <v>14952.95</v>
      </c>
      <c r="O35" s="43">
        <f t="shared" si="37"/>
        <v>1049.3</v>
      </c>
      <c r="P35" s="210">
        <v>0</v>
      </c>
      <c r="Q35" s="210">
        <v>14.4</v>
      </c>
      <c r="R35" s="42">
        <f t="shared" si="38"/>
        <v>215322.48</v>
      </c>
    </row>
    <row r="36" spans="1:19">
      <c r="A36" s="374"/>
      <c r="B36" s="42" t="s">
        <v>1579</v>
      </c>
      <c r="C36" s="42" t="s">
        <v>91</v>
      </c>
      <c r="D36" s="42" t="s">
        <v>16</v>
      </c>
      <c r="E36" s="42" t="s">
        <v>1753</v>
      </c>
      <c r="F36" s="42">
        <v>1152</v>
      </c>
      <c r="G36" s="42"/>
      <c r="H36" s="42">
        <v>15040</v>
      </c>
      <c r="I36" s="42">
        <v>275</v>
      </c>
      <c r="J36" s="42">
        <v>0.13</v>
      </c>
      <c r="K36" s="42">
        <v>36</v>
      </c>
      <c r="L36" s="43">
        <f t="shared" si="35"/>
        <v>15004</v>
      </c>
      <c r="M36" s="43"/>
      <c r="N36" s="43">
        <f t="shared" si="36"/>
        <v>15004</v>
      </c>
      <c r="O36" s="43">
        <f t="shared" si="37"/>
        <v>1052.8</v>
      </c>
      <c r="P36" s="210">
        <v>0</v>
      </c>
      <c r="Q36" s="210">
        <v>14.4</v>
      </c>
      <c r="R36" s="42">
        <f t="shared" si="38"/>
        <v>216057.60000000001</v>
      </c>
    </row>
    <row r="37" spans="1:19">
      <c r="A37" s="374" t="s">
        <v>2275</v>
      </c>
      <c r="B37" s="42" t="s">
        <v>1579</v>
      </c>
      <c r="C37" s="42" t="s">
        <v>91</v>
      </c>
      <c r="D37" s="42" t="s">
        <v>16</v>
      </c>
      <c r="E37" s="42" t="s">
        <v>2276</v>
      </c>
      <c r="F37" s="42">
        <v>1376</v>
      </c>
      <c r="G37" s="42"/>
      <c r="H37" s="42">
        <v>15050</v>
      </c>
      <c r="I37" s="42">
        <v>270</v>
      </c>
      <c r="J37" s="42">
        <v>0.13</v>
      </c>
      <c r="K37" s="43">
        <f t="shared" ref="K37:K43" si="41">I37*J37</f>
        <v>35.1</v>
      </c>
      <c r="L37" s="43">
        <f t="shared" si="35"/>
        <v>15014.9</v>
      </c>
      <c r="M37" s="43"/>
      <c r="N37" s="43">
        <f t="shared" si="36"/>
        <v>15014.9</v>
      </c>
      <c r="O37" s="43">
        <f t="shared" si="37"/>
        <v>1053.5</v>
      </c>
      <c r="P37" s="42">
        <v>11500</v>
      </c>
      <c r="Q37" s="42">
        <v>12.7</v>
      </c>
      <c r="R37" s="42">
        <f t="shared" si="38"/>
        <v>190689.22999999998</v>
      </c>
      <c r="S37" s="42" t="s">
        <v>1655</v>
      </c>
    </row>
    <row r="38" spans="1:19">
      <c r="A38" s="374"/>
      <c r="B38" s="42" t="s">
        <v>1579</v>
      </c>
      <c r="C38" s="42" t="s">
        <v>91</v>
      </c>
      <c r="D38" s="42" t="s">
        <v>16</v>
      </c>
      <c r="E38" s="42" t="s">
        <v>2277</v>
      </c>
      <c r="F38" s="42">
        <v>1377</v>
      </c>
      <c r="G38" s="42"/>
      <c r="H38" s="42">
        <v>15110</v>
      </c>
      <c r="I38" s="42">
        <v>270</v>
      </c>
      <c r="J38" s="42">
        <v>0.13</v>
      </c>
      <c r="K38" s="43">
        <f t="shared" si="41"/>
        <v>35.1</v>
      </c>
      <c r="L38" s="43">
        <f t="shared" si="35"/>
        <v>15074.9</v>
      </c>
      <c r="M38" s="43"/>
      <c r="N38" s="43">
        <f t="shared" si="36"/>
        <v>15074.9</v>
      </c>
      <c r="O38" s="43">
        <f t="shared" si="37"/>
        <v>1057.7</v>
      </c>
      <c r="P38" s="42">
        <v>11500</v>
      </c>
      <c r="Q38" s="42">
        <v>12.7</v>
      </c>
      <c r="R38" s="42">
        <f t="shared" si="38"/>
        <v>191451.22999999998</v>
      </c>
      <c r="S38" s="42"/>
    </row>
    <row r="39" spans="1:19">
      <c r="A39" s="1" t="s">
        <v>2282</v>
      </c>
      <c r="B39" s="42" t="s">
        <v>1579</v>
      </c>
      <c r="C39" s="42" t="s">
        <v>91</v>
      </c>
      <c r="D39" s="42" t="s">
        <v>16</v>
      </c>
      <c r="E39" s="42" t="s">
        <v>2283</v>
      </c>
      <c r="F39" s="42">
        <v>1381</v>
      </c>
      <c r="G39" s="42"/>
      <c r="H39" s="42">
        <v>15000</v>
      </c>
      <c r="I39" s="42">
        <v>270</v>
      </c>
      <c r="J39" s="42">
        <v>0.13</v>
      </c>
      <c r="K39" s="43">
        <f t="shared" si="41"/>
        <v>35.1</v>
      </c>
      <c r="L39" s="43">
        <f t="shared" si="35"/>
        <v>14964.9</v>
      </c>
      <c r="M39" s="43"/>
      <c r="N39" s="43">
        <f t="shared" si="36"/>
        <v>14964.9</v>
      </c>
      <c r="O39" s="43">
        <f t="shared" si="37"/>
        <v>1050</v>
      </c>
      <c r="P39" s="42">
        <v>11500</v>
      </c>
      <c r="Q39" s="42">
        <v>12.7</v>
      </c>
      <c r="R39" s="42">
        <f t="shared" si="38"/>
        <v>190054.22999999998</v>
      </c>
    </row>
    <row r="40" spans="1:19">
      <c r="A40" s="374" t="s">
        <v>2288</v>
      </c>
      <c r="B40" s="42" t="s">
        <v>1579</v>
      </c>
      <c r="C40" s="42" t="s">
        <v>91</v>
      </c>
      <c r="D40" s="42" t="s">
        <v>16</v>
      </c>
      <c r="E40" s="42" t="s">
        <v>2289</v>
      </c>
      <c r="F40" s="42">
        <v>1867</v>
      </c>
      <c r="G40" s="42"/>
      <c r="H40" s="42">
        <v>15010</v>
      </c>
      <c r="I40" s="42">
        <v>270</v>
      </c>
      <c r="J40" s="42">
        <v>0.13</v>
      </c>
      <c r="K40" s="43">
        <f t="shared" si="41"/>
        <v>35.1</v>
      </c>
      <c r="L40" s="43">
        <f t="shared" si="35"/>
        <v>14974.9</v>
      </c>
      <c r="M40" s="43"/>
      <c r="N40" s="43">
        <f t="shared" si="36"/>
        <v>14974.9</v>
      </c>
      <c r="O40" s="43">
        <f t="shared" si="37"/>
        <v>1050.7</v>
      </c>
      <c r="P40" s="42">
        <v>11200</v>
      </c>
      <c r="Q40" s="42">
        <v>12.7</v>
      </c>
      <c r="R40" s="42">
        <f t="shared" si="38"/>
        <v>190181.22999999998</v>
      </c>
    </row>
    <row r="41" spans="1:19">
      <c r="A41" s="374"/>
      <c r="B41" s="42" t="s">
        <v>1579</v>
      </c>
      <c r="C41" s="42" t="s">
        <v>91</v>
      </c>
      <c r="D41" s="42" t="s">
        <v>16</v>
      </c>
      <c r="E41" s="42" t="s">
        <v>2290</v>
      </c>
      <c r="F41" s="42">
        <v>1866</v>
      </c>
      <c r="G41" s="42"/>
      <c r="H41" s="42">
        <v>14920</v>
      </c>
      <c r="I41" s="42">
        <v>270</v>
      </c>
      <c r="J41" s="42">
        <v>0.13</v>
      </c>
      <c r="K41" s="43">
        <f t="shared" si="41"/>
        <v>35.1</v>
      </c>
      <c r="L41" s="43">
        <f t="shared" si="35"/>
        <v>14884.9</v>
      </c>
      <c r="M41" s="43"/>
      <c r="N41" s="43">
        <f t="shared" si="36"/>
        <v>14884.9</v>
      </c>
      <c r="O41" s="43">
        <f t="shared" si="37"/>
        <v>1044.4000000000001</v>
      </c>
      <c r="P41" s="42">
        <v>11200</v>
      </c>
      <c r="Q41" s="42">
        <v>12.7</v>
      </c>
      <c r="R41" s="42">
        <f t="shared" si="38"/>
        <v>189038.22999999998</v>
      </c>
    </row>
    <row r="42" spans="1:19">
      <c r="A42" s="374"/>
      <c r="B42" s="42" t="s">
        <v>1579</v>
      </c>
      <c r="C42" s="42" t="s">
        <v>91</v>
      </c>
      <c r="D42" s="42" t="s">
        <v>16</v>
      </c>
      <c r="E42" s="42" t="s">
        <v>2291</v>
      </c>
      <c r="F42" s="42">
        <v>1378</v>
      </c>
      <c r="G42" s="42"/>
      <c r="H42" s="42">
        <v>15000</v>
      </c>
      <c r="I42" s="42">
        <v>260</v>
      </c>
      <c r="J42" s="42">
        <v>0.13</v>
      </c>
      <c r="K42" s="43">
        <f t="shared" si="41"/>
        <v>33.800000000000004</v>
      </c>
      <c r="L42" s="43">
        <f t="shared" si="35"/>
        <v>14966.2</v>
      </c>
      <c r="M42" s="43"/>
      <c r="N42" s="43">
        <f t="shared" si="36"/>
        <v>14966.2</v>
      </c>
      <c r="O42" s="43">
        <f t="shared" si="37"/>
        <v>1050</v>
      </c>
      <c r="P42" s="42">
        <v>11200</v>
      </c>
      <c r="Q42" s="42">
        <v>12.7</v>
      </c>
      <c r="R42" s="42">
        <f t="shared" si="38"/>
        <v>190070.74</v>
      </c>
    </row>
    <row r="43" spans="1:19">
      <c r="A43" s="374"/>
      <c r="B43" s="42" t="s">
        <v>1579</v>
      </c>
      <c r="C43" s="42" t="s">
        <v>91</v>
      </c>
      <c r="D43" s="42" t="s">
        <v>16</v>
      </c>
      <c r="E43" s="42" t="s">
        <v>2292</v>
      </c>
      <c r="F43" s="42">
        <v>1380</v>
      </c>
      <c r="G43" s="42"/>
      <c r="H43" s="42">
        <v>14960</v>
      </c>
      <c r="I43" s="42">
        <v>260</v>
      </c>
      <c r="J43" s="42">
        <v>0.13</v>
      </c>
      <c r="K43" s="43">
        <f t="shared" si="41"/>
        <v>33.800000000000004</v>
      </c>
      <c r="L43" s="43">
        <f t="shared" si="35"/>
        <v>14926.2</v>
      </c>
      <c r="M43" s="43"/>
      <c r="N43" s="43">
        <f t="shared" si="36"/>
        <v>14926.2</v>
      </c>
      <c r="O43" s="43">
        <f t="shared" si="37"/>
        <v>1047.2</v>
      </c>
      <c r="P43" s="42">
        <v>11200</v>
      </c>
      <c r="Q43" s="42">
        <v>12.7</v>
      </c>
      <c r="R43" s="42">
        <f t="shared" si="38"/>
        <v>189562.74</v>
      </c>
    </row>
    <row r="45" spans="1:19">
      <c r="A45" s="374" t="s">
        <v>2663</v>
      </c>
      <c r="B45" s="42" t="s">
        <v>2665</v>
      </c>
      <c r="C45" s="42" t="s">
        <v>91</v>
      </c>
      <c r="D45" s="42" t="s">
        <v>16</v>
      </c>
      <c r="E45" s="42" t="s">
        <v>536</v>
      </c>
      <c r="F45" s="42">
        <v>19353</v>
      </c>
      <c r="G45" s="42"/>
      <c r="H45" s="42">
        <v>14870</v>
      </c>
      <c r="I45" s="42">
        <v>260</v>
      </c>
      <c r="J45" s="42">
        <v>0.13</v>
      </c>
      <c r="K45" s="43">
        <f t="shared" ref="K45:K51" si="42">I45*J45</f>
        <v>33.800000000000004</v>
      </c>
      <c r="L45" s="43">
        <f t="shared" ref="L45:L51" si="43">H45-K45</f>
        <v>14836.2</v>
      </c>
      <c r="M45" s="43"/>
      <c r="N45" s="43">
        <f t="shared" ref="N45:N51" si="44">L45-M45</f>
        <v>14836.2</v>
      </c>
      <c r="O45" s="43">
        <f t="shared" ref="O45:O51" si="45">H45/1000*70</f>
        <v>1040.8999999999999</v>
      </c>
      <c r="P45" s="42">
        <v>11500</v>
      </c>
      <c r="Q45" s="42">
        <v>12</v>
      </c>
      <c r="R45" s="42">
        <f t="shared" ref="R45:R51" si="46">L45*Q45</f>
        <v>178034.40000000002</v>
      </c>
    </row>
    <row r="46" spans="1:19">
      <c r="A46" s="374"/>
      <c r="B46" s="42" t="s">
        <v>2665</v>
      </c>
      <c r="C46" s="42" t="s">
        <v>91</v>
      </c>
      <c r="D46" s="42" t="s">
        <v>16</v>
      </c>
      <c r="E46" s="42" t="s">
        <v>2666</v>
      </c>
      <c r="F46" s="42">
        <v>239</v>
      </c>
      <c r="G46" s="42"/>
      <c r="H46" s="42">
        <v>14800</v>
      </c>
      <c r="I46" s="42">
        <v>260</v>
      </c>
      <c r="J46" s="42">
        <v>0.13</v>
      </c>
      <c r="K46" s="43">
        <f t="shared" si="42"/>
        <v>33.800000000000004</v>
      </c>
      <c r="L46" s="43">
        <f t="shared" si="43"/>
        <v>14766.2</v>
      </c>
      <c r="M46" s="43"/>
      <c r="N46" s="43">
        <f t="shared" si="44"/>
        <v>14766.2</v>
      </c>
      <c r="O46" s="43">
        <f t="shared" si="45"/>
        <v>1036</v>
      </c>
      <c r="P46" s="42">
        <v>11500</v>
      </c>
      <c r="Q46" s="42">
        <v>12</v>
      </c>
      <c r="R46" s="42">
        <f t="shared" si="46"/>
        <v>177194.40000000002</v>
      </c>
    </row>
    <row r="47" spans="1:19">
      <c r="A47" s="374"/>
      <c r="B47" s="42" t="s">
        <v>2665</v>
      </c>
      <c r="C47" s="42" t="s">
        <v>91</v>
      </c>
      <c r="D47" s="42" t="s">
        <v>16</v>
      </c>
      <c r="E47" s="42" t="s">
        <v>2667</v>
      </c>
      <c r="F47" s="42">
        <v>472</v>
      </c>
      <c r="G47" s="42"/>
      <c r="H47" s="42">
        <v>15340</v>
      </c>
      <c r="I47" s="42">
        <v>273</v>
      </c>
      <c r="J47" s="42">
        <v>0.13</v>
      </c>
      <c r="K47" s="43">
        <f t="shared" si="42"/>
        <v>35.49</v>
      </c>
      <c r="L47" s="43">
        <f t="shared" si="43"/>
        <v>15304.51</v>
      </c>
      <c r="M47" s="43"/>
      <c r="N47" s="43">
        <f t="shared" si="44"/>
        <v>15304.51</v>
      </c>
      <c r="O47" s="43">
        <f t="shared" si="45"/>
        <v>1073.8</v>
      </c>
      <c r="P47" s="42">
        <v>11500</v>
      </c>
      <c r="Q47" s="42">
        <v>12</v>
      </c>
      <c r="R47" s="42">
        <f t="shared" si="46"/>
        <v>183654.12</v>
      </c>
    </row>
    <row r="48" spans="1:19">
      <c r="A48" s="1" t="s">
        <v>2668</v>
      </c>
      <c r="B48" s="42" t="s">
        <v>2665</v>
      </c>
      <c r="C48" s="42" t="s">
        <v>91</v>
      </c>
      <c r="D48" s="42" t="s">
        <v>16</v>
      </c>
      <c r="E48" s="42" t="s">
        <v>2673</v>
      </c>
      <c r="F48" s="42">
        <v>240</v>
      </c>
      <c r="G48" s="42"/>
      <c r="H48" s="42">
        <v>15790</v>
      </c>
      <c r="I48" s="42">
        <v>282</v>
      </c>
      <c r="J48" s="42">
        <v>0.13</v>
      </c>
      <c r="K48" s="43">
        <f t="shared" si="42"/>
        <v>36.660000000000004</v>
      </c>
      <c r="L48" s="43">
        <f t="shared" si="43"/>
        <v>15753.34</v>
      </c>
      <c r="M48" s="43"/>
      <c r="N48" s="43">
        <f t="shared" si="44"/>
        <v>15753.34</v>
      </c>
      <c r="O48" s="43">
        <f t="shared" si="45"/>
        <v>1105.3</v>
      </c>
      <c r="P48" s="42">
        <v>12000</v>
      </c>
      <c r="Q48" s="42">
        <v>12</v>
      </c>
      <c r="R48" s="42">
        <f t="shared" si="46"/>
        <v>189040.08000000002</v>
      </c>
    </row>
    <row r="49" spans="1:18">
      <c r="A49" s="1" t="s">
        <v>2680</v>
      </c>
      <c r="B49" s="42" t="s">
        <v>2665</v>
      </c>
      <c r="C49" s="42" t="s">
        <v>91</v>
      </c>
      <c r="D49" s="42" t="s">
        <v>16</v>
      </c>
      <c r="E49" s="42" t="s">
        <v>1268</v>
      </c>
      <c r="F49" s="42">
        <v>241</v>
      </c>
      <c r="G49" s="42"/>
      <c r="H49" s="42">
        <v>15010</v>
      </c>
      <c r="I49" s="42">
        <v>300</v>
      </c>
      <c r="J49" s="42">
        <v>0.13</v>
      </c>
      <c r="K49" s="43">
        <f t="shared" si="42"/>
        <v>39</v>
      </c>
      <c r="L49" s="43">
        <f t="shared" si="43"/>
        <v>14971</v>
      </c>
      <c r="M49" s="43"/>
      <c r="N49" s="43">
        <f t="shared" si="44"/>
        <v>14971</v>
      </c>
      <c r="O49" s="43">
        <f t="shared" si="45"/>
        <v>1050.7</v>
      </c>
      <c r="P49" s="42">
        <v>11500</v>
      </c>
      <c r="Q49" s="42">
        <v>12</v>
      </c>
      <c r="R49" s="42">
        <f t="shared" si="46"/>
        <v>179652</v>
      </c>
    </row>
    <row r="50" spans="1:18">
      <c r="A50" s="374" t="s">
        <v>2695</v>
      </c>
      <c r="B50" s="42" t="s">
        <v>2665</v>
      </c>
      <c r="C50" s="42" t="s">
        <v>91</v>
      </c>
      <c r="D50" s="42" t="s">
        <v>16</v>
      </c>
      <c r="E50" s="42" t="s">
        <v>2696</v>
      </c>
      <c r="F50" s="42">
        <v>244</v>
      </c>
      <c r="G50" s="42"/>
      <c r="H50" s="42">
        <v>14970</v>
      </c>
      <c r="I50" s="42">
        <v>300</v>
      </c>
      <c r="J50" s="42">
        <v>0.13</v>
      </c>
      <c r="K50" s="43">
        <f t="shared" si="42"/>
        <v>39</v>
      </c>
      <c r="L50" s="43">
        <f t="shared" si="43"/>
        <v>14931</v>
      </c>
      <c r="M50" s="43"/>
      <c r="N50" s="43">
        <f t="shared" si="44"/>
        <v>14931</v>
      </c>
      <c r="O50" s="43">
        <f t="shared" si="45"/>
        <v>1047.9000000000001</v>
      </c>
      <c r="P50" s="42">
        <v>11500</v>
      </c>
      <c r="Q50" s="42">
        <v>12</v>
      </c>
      <c r="R50" s="42">
        <f t="shared" si="46"/>
        <v>179172</v>
      </c>
    </row>
    <row r="51" spans="1:18">
      <c r="A51" s="374"/>
      <c r="B51" s="42" t="s">
        <v>2665</v>
      </c>
      <c r="C51" s="42" t="s">
        <v>91</v>
      </c>
      <c r="D51" s="42" t="s">
        <v>16</v>
      </c>
      <c r="E51" s="42" t="s">
        <v>536</v>
      </c>
      <c r="F51" s="42">
        <v>243</v>
      </c>
      <c r="G51" s="42"/>
      <c r="H51" s="42">
        <v>14970</v>
      </c>
      <c r="I51" s="42">
        <v>300</v>
      </c>
      <c r="J51" s="42">
        <v>0.13</v>
      </c>
      <c r="K51" s="43">
        <f t="shared" si="42"/>
        <v>39</v>
      </c>
      <c r="L51" s="43">
        <f t="shared" si="43"/>
        <v>14931</v>
      </c>
      <c r="M51" s="43"/>
      <c r="N51" s="43">
        <f t="shared" si="44"/>
        <v>14931</v>
      </c>
      <c r="O51" s="43">
        <f t="shared" si="45"/>
        <v>1047.9000000000001</v>
      </c>
      <c r="P51" s="42">
        <v>11500</v>
      </c>
      <c r="Q51" s="42">
        <v>12</v>
      </c>
      <c r="R51" s="42">
        <f t="shared" si="46"/>
        <v>179172</v>
      </c>
    </row>
    <row r="53" spans="1:18">
      <c r="A53" s="1" t="s">
        <v>2774</v>
      </c>
      <c r="B53" s="289" t="s">
        <v>684</v>
      </c>
      <c r="C53" s="42" t="s">
        <v>91</v>
      </c>
      <c r="D53" s="42" t="s">
        <v>16</v>
      </c>
      <c r="E53" s="42" t="s">
        <v>901</v>
      </c>
      <c r="F53" s="291" t="s">
        <v>2782</v>
      </c>
      <c r="G53" s="42"/>
      <c r="H53" s="42">
        <v>15880</v>
      </c>
      <c r="I53" s="42">
        <v>318</v>
      </c>
      <c r="J53" s="42">
        <v>0.13</v>
      </c>
      <c r="K53" s="43">
        <f t="shared" ref="K53:K70" si="47">I53*J53</f>
        <v>41.34</v>
      </c>
      <c r="L53" s="43">
        <f t="shared" ref="L53:L70" si="48">H53-K53</f>
        <v>15838.66</v>
      </c>
      <c r="M53" s="43"/>
      <c r="N53" s="43">
        <f t="shared" ref="N53:N70" si="49">L53-M53</f>
        <v>15838.66</v>
      </c>
      <c r="O53" s="43">
        <f t="shared" ref="O53:O70" si="50">H53/1000*70</f>
        <v>1111.6000000000001</v>
      </c>
      <c r="P53" s="42">
        <v>6360</v>
      </c>
      <c r="Q53" s="42"/>
      <c r="R53" s="42">
        <f t="shared" ref="R53:R70" si="51">L53*Q53</f>
        <v>0</v>
      </c>
    </row>
    <row r="54" spans="1:18">
      <c r="A54" s="21" t="s">
        <v>2795</v>
      </c>
      <c r="B54" s="293" t="s">
        <v>2796</v>
      </c>
      <c r="C54" s="42" t="s">
        <v>91</v>
      </c>
      <c r="D54" s="42" t="s">
        <v>16</v>
      </c>
      <c r="E54" s="42" t="s">
        <v>2799</v>
      </c>
      <c r="F54" s="42">
        <v>1636</v>
      </c>
      <c r="G54" s="42"/>
      <c r="H54" s="42">
        <v>19680</v>
      </c>
      <c r="I54" s="42">
        <v>400</v>
      </c>
      <c r="J54" s="42">
        <v>0.13</v>
      </c>
      <c r="K54" s="43">
        <f t="shared" si="47"/>
        <v>52</v>
      </c>
      <c r="L54" s="43">
        <f t="shared" si="48"/>
        <v>19628</v>
      </c>
      <c r="M54" s="43"/>
      <c r="N54" s="43">
        <f t="shared" si="49"/>
        <v>19628</v>
      </c>
      <c r="O54" s="43">
        <f t="shared" si="50"/>
        <v>1377.6</v>
      </c>
      <c r="P54" s="42">
        <v>7900</v>
      </c>
      <c r="Q54" s="42">
        <v>12</v>
      </c>
      <c r="R54" s="42">
        <f t="shared" si="51"/>
        <v>235536</v>
      </c>
    </row>
    <row r="55" spans="1:18">
      <c r="A55" s="21" t="s">
        <v>2807</v>
      </c>
      <c r="B55" s="294" t="s">
        <v>2796</v>
      </c>
      <c r="C55" s="42" t="s">
        <v>91</v>
      </c>
      <c r="D55" s="42" t="s">
        <v>16</v>
      </c>
      <c r="E55" s="42" t="s">
        <v>2809</v>
      </c>
      <c r="F55" s="42">
        <v>0</v>
      </c>
      <c r="G55" s="42"/>
      <c r="H55" s="42">
        <v>17850</v>
      </c>
      <c r="I55" s="42">
        <f>H55/50</f>
        <v>357</v>
      </c>
      <c r="J55" s="42">
        <v>0.13</v>
      </c>
      <c r="K55" s="43">
        <f t="shared" si="47"/>
        <v>46.410000000000004</v>
      </c>
      <c r="L55" s="43">
        <f t="shared" si="48"/>
        <v>17803.59</v>
      </c>
      <c r="M55" s="43"/>
      <c r="N55" s="43">
        <f t="shared" si="49"/>
        <v>17803.59</v>
      </c>
      <c r="O55" s="43">
        <f t="shared" si="50"/>
        <v>1249.5</v>
      </c>
      <c r="P55" s="42">
        <v>12800</v>
      </c>
      <c r="Q55" s="42">
        <v>12</v>
      </c>
      <c r="R55" s="42">
        <f t="shared" si="51"/>
        <v>213643.08000000002</v>
      </c>
    </row>
    <row r="56" spans="1:18">
      <c r="A56" s="21" t="s">
        <v>2813</v>
      </c>
      <c r="B56" s="42" t="s">
        <v>2818</v>
      </c>
      <c r="C56" s="42" t="s">
        <v>91</v>
      </c>
      <c r="D56" s="42" t="s">
        <v>16</v>
      </c>
      <c r="E56" s="42" t="s">
        <v>2819</v>
      </c>
      <c r="F56" s="42">
        <v>1649</v>
      </c>
      <c r="G56" s="42"/>
      <c r="H56" s="42">
        <v>17670</v>
      </c>
      <c r="I56" s="42">
        <v>353</v>
      </c>
      <c r="J56" s="42">
        <v>0.13</v>
      </c>
      <c r="K56" s="43">
        <f t="shared" si="47"/>
        <v>45.89</v>
      </c>
      <c r="L56" s="43">
        <f t="shared" si="48"/>
        <v>17624.11</v>
      </c>
      <c r="M56" s="43"/>
      <c r="N56" s="43">
        <f t="shared" si="49"/>
        <v>17624.11</v>
      </c>
      <c r="O56" s="43">
        <f t="shared" si="50"/>
        <v>1236.9000000000001</v>
      </c>
      <c r="P56" s="42">
        <v>7400</v>
      </c>
      <c r="Q56" s="42">
        <v>12</v>
      </c>
      <c r="R56" s="42">
        <f t="shared" si="51"/>
        <v>211489.32</v>
      </c>
    </row>
    <row r="57" spans="1:18">
      <c r="A57" s="21" t="s">
        <v>2843</v>
      </c>
      <c r="B57" s="55" t="s">
        <v>2844</v>
      </c>
      <c r="C57" s="42" t="s">
        <v>91</v>
      </c>
      <c r="D57" s="42" t="s">
        <v>16</v>
      </c>
      <c r="E57" s="42" t="s">
        <v>2845</v>
      </c>
      <c r="F57" s="42">
        <v>1653</v>
      </c>
      <c r="G57" s="42"/>
      <c r="H57" s="42">
        <v>19660</v>
      </c>
      <c r="I57" s="42">
        <v>393</v>
      </c>
      <c r="J57" s="42">
        <v>0.13</v>
      </c>
      <c r="K57" s="43">
        <f t="shared" si="47"/>
        <v>51.09</v>
      </c>
      <c r="L57" s="43">
        <f t="shared" si="48"/>
        <v>19608.91</v>
      </c>
      <c r="M57" s="43"/>
      <c r="N57" s="43">
        <f t="shared" si="49"/>
        <v>19608.91</v>
      </c>
      <c r="O57" s="43">
        <f t="shared" si="50"/>
        <v>1376.2</v>
      </c>
      <c r="P57" s="42">
        <v>7900</v>
      </c>
      <c r="Q57" s="42">
        <v>12</v>
      </c>
      <c r="R57" s="42">
        <f t="shared" si="51"/>
        <v>235306.91999999998</v>
      </c>
    </row>
    <row r="58" spans="1:18">
      <c r="A58" s="374" t="s">
        <v>2954</v>
      </c>
      <c r="B58" s="42" t="s">
        <v>2956</v>
      </c>
      <c r="C58" s="42" t="s">
        <v>91</v>
      </c>
      <c r="D58" s="42" t="s">
        <v>16</v>
      </c>
      <c r="E58" s="42" t="s">
        <v>2955</v>
      </c>
      <c r="F58" s="42"/>
      <c r="G58" s="42"/>
      <c r="H58" s="42">
        <v>10530</v>
      </c>
      <c r="I58" s="42">
        <v>210</v>
      </c>
      <c r="J58" s="42">
        <v>0.13</v>
      </c>
      <c r="K58" s="43">
        <f t="shared" si="47"/>
        <v>27.3</v>
      </c>
      <c r="L58" s="43">
        <f t="shared" si="48"/>
        <v>10502.7</v>
      </c>
      <c r="M58" s="43"/>
      <c r="N58" s="43">
        <f t="shared" si="49"/>
        <v>10502.7</v>
      </c>
      <c r="O58" s="43">
        <f t="shared" si="50"/>
        <v>737.09999999999991</v>
      </c>
      <c r="P58" s="42">
        <v>7200</v>
      </c>
      <c r="Q58" s="42">
        <v>13.5</v>
      </c>
      <c r="R58" s="42">
        <f t="shared" si="51"/>
        <v>141786.45000000001</v>
      </c>
    </row>
    <row r="59" spans="1:18">
      <c r="A59" s="374"/>
      <c r="B59" s="42" t="s">
        <v>2956</v>
      </c>
      <c r="C59" s="42" t="s">
        <v>91</v>
      </c>
      <c r="D59" s="42" t="s">
        <v>16</v>
      </c>
      <c r="E59" s="42" t="s">
        <v>2957</v>
      </c>
      <c r="F59" s="42">
        <v>0</v>
      </c>
      <c r="G59" s="42"/>
      <c r="H59" s="42">
        <v>14350</v>
      </c>
      <c r="I59" s="42">
        <v>290</v>
      </c>
      <c r="J59" s="42">
        <v>0.13</v>
      </c>
      <c r="K59" s="43">
        <f t="shared" si="47"/>
        <v>37.700000000000003</v>
      </c>
      <c r="L59" s="43">
        <f t="shared" si="48"/>
        <v>14312.3</v>
      </c>
      <c r="M59" s="43"/>
      <c r="N59" s="43">
        <f t="shared" si="49"/>
        <v>14312.3</v>
      </c>
      <c r="O59" s="43">
        <f t="shared" si="50"/>
        <v>1004.5</v>
      </c>
      <c r="P59" s="42">
        <v>9000</v>
      </c>
      <c r="Q59" s="42">
        <v>13.5</v>
      </c>
      <c r="R59" s="42">
        <f t="shared" si="51"/>
        <v>193216.05</v>
      </c>
    </row>
    <row r="60" spans="1:18">
      <c r="A60" s="374"/>
      <c r="B60" s="42" t="s">
        <v>2956</v>
      </c>
      <c r="C60" s="42" t="s">
        <v>91</v>
      </c>
      <c r="D60" s="42" t="s">
        <v>16</v>
      </c>
      <c r="E60" s="42" t="s">
        <v>2958</v>
      </c>
      <c r="F60" s="42">
        <v>1666</v>
      </c>
      <c r="G60" s="42"/>
      <c r="H60" s="42">
        <v>18800</v>
      </c>
      <c r="I60" s="42">
        <f>H60/50</f>
        <v>376</v>
      </c>
      <c r="J60" s="42">
        <v>0.13</v>
      </c>
      <c r="K60" s="43">
        <f t="shared" si="47"/>
        <v>48.88</v>
      </c>
      <c r="L60" s="43">
        <f t="shared" si="48"/>
        <v>18751.12</v>
      </c>
      <c r="M60" s="43"/>
      <c r="N60" s="43">
        <f t="shared" si="49"/>
        <v>18751.12</v>
      </c>
      <c r="O60" s="43">
        <f t="shared" si="50"/>
        <v>1316</v>
      </c>
      <c r="P60" s="42">
        <v>7500</v>
      </c>
      <c r="Q60" s="42">
        <v>13.5</v>
      </c>
      <c r="R60" s="42">
        <f t="shared" si="51"/>
        <v>253140.12</v>
      </c>
    </row>
    <row r="61" spans="1:18">
      <c r="A61" s="374"/>
      <c r="B61" s="42" t="s">
        <v>2956</v>
      </c>
      <c r="C61" s="42" t="s">
        <v>91</v>
      </c>
      <c r="D61" s="42" t="s">
        <v>16</v>
      </c>
      <c r="E61" s="42" t="s">
        <v>2959</v>
      </c>
      <c r="F61" s="42">
        <v>1668</v>
      </c>
      <c r="G61" s="42"/>
      <c r="H61" s="42">
        <v>10320</v>
      </c>
      <c r="I61" s="42">
        <f>H61/50</f>
        <v>206.4</v>
      </c>
      <c r="J61" s="42">
        <v>0.13</v>
      </c>
      <c r="K61" s="43">
        <f t="shared" si="47"/>
        <v>26.832000000000001</v>
      </c>
      <c r="L61" s="43">
        <f t="shared" si="48"/>
        <v>10293.168</v>
      </c>
      <c r="M61" s="43"/>
      <c r="N61" s="43">
        <f t="shared" si="49"/>
        <v>10293.168</v>
      </c>
      <c r="O61" s="43">
        <f t="shared" si="50"/>
        <v>722.4</v>
      </c>
      <c r="P61" s="42">
        <v>4100</v>
      </c>
      <c r="Q61" s="42">
        <v>13.5</v>
      </c>
      <c r="R61" s="42">
        <f t="shared" si="51"/>
        <v>138957.76799999998</v>
      </c>
    </row>
    <row r="62" spans="1:18">
      <c r="A62" s="21" t="s">
        <v>2960</v>
      </c>
      <c r="B62" s="42" t="s">
        <v>2956</v>
      </c>
      <c r="C62" s="42" t="s">
        <v>91</v>
      </c>
      <c r="D62" s="42" t="s">
        <v>16</v>
      </c>
      <c r="E62" s="42" t="s">
        <v>2962</v>
      </c>
      <c r="F62" s="42">
        <v>1669</v>
      </c>
      <c r="G62" s="42"/>
      <c r="H62" s="42">
        <v>21780</v>
      </c>
      <c r="I62" s="42">
        <f>H62/50</f>
        <v>435.6</v>
      </c>
      <c r="J62" s="42">
        <v>0.13</v>
      </c>
      <c r="K62" s="43">
        <f t="shared" si="47"/>
        <v>56.628000000000007</v>
      </c>
      <c r="L62" s="43">
        <f t="shared" si="48"/>
        <v>21723.371999999999</v>
      </c>
      <c r="M62" s="43"/>
      <c r="N62" s="43">
        <f t="shared" si="49"/>
        <v>21723.371999999999</v>
      </c>
      <c r="O62" s="43">
        <f t="shared" si="50"/>
        <v>1524.6000000000001</v>
      </c>
      <c r="P62" s="42">
        <v>8700</v>
      </c>
      <c r="Q62" s="42">
        <v>13.5</v>
      </c>
      <c r="R62" s="42">
        <f t="shared" si="51"/>
        <v>293265.522</v>
      </c>
    </row>
    <row r="63" spans="1:18">
      <c r="A63" s="21" t="s">
        <v>2972</v>
      </c>
      <c r="B63" s="42" t="s">
        <v>2956</v>
      </c>
      <c r="C63" s="42" t="s">
        <v>91</v>
      </c>
      <c r="D63" s="42" t="s">
        <v>16</v>
      </c>
      <c r="E63" s="42" t="s">
        <v>2973</v>
      </c>
      <c r="F63" s="42">
        <v>472</v>
      </c>
      <c r="G63" s="42"/>
      <c r="H63" s="42">
        <v>15000</v>
      </c>
      <c r="I63" s="42">
        <v>300</v>
      </c>
      <c r="J63" s="42">
        <v>0.13</v>
      </c>
      <c r="K63" s="43">
        <f t="shared" si="47"/>
        <v>39</v>
      </c>
      <c r="L63" s="43">
        <f t="shared" si="48"/>
        <v>14961</v>
      </c>
      <c r="M63" s="43"/>
      <c r="N63" s="43">
        <f t="shared" si="49"/>
        <v>14961</v>
      </c>
      <c r="O63" s="43">
        <f t="shared" si="50"/>
        <v>1050</v>
      </c>
      <c r="P63" s="42">
        <v>13000</v>
      </c>
      <c r="Q63" s="42">
        <v>13.5</v>
      </c>
      <c r="R63" s="42">
        <f t="shared" si="51"/>
        <v>201973.5</v>
      </c>
    </row>
    <row r="64" spans="1:18">
      <c r="A64" s="374" t="s">
        <v>3160</v>
      </c>
      <c r="B64" s="42" t="s">
        <v>3161</v>
      </c>
      <c r="C64" s="42" t="s">
        <v>91</v>
      </c>
      <c r="D64" s="42" t="s">
        <v>16</v>
      </c>
      <c r="E64" s="42" t="s">
        <v>1632</v>
      </c>
      <c r="F64" s="42">
        <v>494</v>
      </c>
      <c r="G64" s="42"/>
      <c r="H64" s="42">
        <v>15390</v>
      </c>
      <c r="I64" s="42">
        <v>308</v>
      </c>
      <c r="J64" s="42">
        <v>0.13</v>
      </c>
      <c r="K64" s="43">
        <f t="shared" si="47"/>
        <v>40.04</v>
      </c>
      <c r="L64" s="43">
        <f t="shared" si="48"/>
        <v>15349.96</v>
      </c>
      <c r="M64" s="43"/>
      <c r="N64" s="43">
        <f t="shared" si="49"/>
        <v>15349.96</v>
      </c>
      <c r="O64" s="43">
        <f t="shared" si="50"/>
        <v>1077.3</v>
      </c>
      <c r="P64" s="42">
        <v>12000</v>
      </c>
      <c r="Q64" s="42">
        <v>15.5</v>
      </c>
      <c r="R64" s="42">
        <f t="shared" si="51"/>
        <v>237924.37999999998</v>
      </c>
    </row>
    <row r="65" spans="1:18">
      <c r="A65" s="374"/>
      <c r="B65" s="42" t="s">
        <v>3161</v>
      </c>
      <c r="C65" s="42" t="s">
        <v>91</v>
      </c>
      <c r="D65" s="42" t="s">
        <v>16</v>
      </c>
      <c r="E65" s="42" t="s">
        <v>1268</v>
      </c>
      <c r="F65" s="42">
        <v>492</v>
      </c>
      <c r="G65" s="42"/>
      <c r="H65" s="42">
        <v>15050</v>
      </c>
      <c r="I65" s="42">
        <v>300</v>
      </c>
      <c r="J65" s="42">
        <v>0.13</v>
      </c>
      <c r="K65" s="43">
        <f t="shared" si="47"/>
        <v>39</v>
      </c>
      <c r="L65" s="43">
        <f t="shared" si="48"/>
        <v>15011</v>
      </c>
      <c r="M65" s="43"/>
      <c r="N65" s="43">
        <f t="shared" si="49"/>
        <v>15011</v>
      </c>
      <c r="O65" s="43">
        <f t="shared" si="50"/>
        <v>1053.5</v>
      </c>
      <c r="P65" s="42">
        <v>12000</v>
      </c>
      <c r="Q65" s="42">
        <v>15.5</v>
      </c>
      <c r="R65" s="42">
        <f t="shared" si="51"/>
        <v>232670.5</v>
      </c>
    </row>
    <row r="66" spans="1:18">
      <c r="A66" s="374" t="s">
        <v>3164</v>
      </c>
      <c r="B66" s="42" t="s">
        <v>3161</v>
      </c>
      <c r="C66" s="42" t="s">
        <v>91</v>
      </c>
      <c r="D66" s="42" t="s">
        <v>16</v>
      </c>
      <c r="E66" s="42" t="s">
        <v>3165</v>
      </c>
      <c r="F66" s="42">
        <v>498</v>
      </c>
      <c r="G66" s="42"/>
      <c r="H66" s="42">
        <v>15070</v>
      </c>
      <c r="I66" s="42">
        <v>300</v>
      </c>
      <c r="J66" s="42">
        <v>0.13</v>
      </c>
      <c r="K66" s="43">
        <f t="shared" si="47"/>
        <v>39</v>
      </c>
      <c r="L66" s="43">
        <f t="shared" si="48"/>
        <v>15031</v>
      </c>
      <c r="M66" s="43"/>
      <c r="N66" s="43">
        <f t="shared" si="49"/>
        <v>15031</v>
      </c>
      <c r="O66" s="43">
        <f t="shared" si="50"/>
        <v>1054.9000000000001</v>
      </c>
      <c r="P66" s="42">
        <v>12000</v>
      </c>
      <c r="Q66" s="42">
        <v>15.5</v>
      </c>
      <c r="R66" s="42">
        <f t="shared" si="51"/>
        <v>232980.5</v>
      </c>
    </row>
    <row r="67" spans="1:18">
      <c r="A67" s="374"/>
      <c r="B67" s="42" t="s">
        <v>3161</v>
      </c>
      <c r="C67" s="42" t="s">
        <v>91</v>
      </c>
      <c r="D67" s="42" t="s">
        <v>16</v>
      </c>
      <c r="E67" s="42" t="s">
        <v>3166</v>
      </c>
      <c r="F67" s="42">
        <v>495</v>
      </c>
      <c r="G67" s="42"/>
      <c r="H67" s="42">
        <v>15080</v>
      </c>
      <c r="I67" s="42">
        <v>300</v>
      </c>
      <c r="J67" s="42">
        <v>0.13</v>
      </c>
      <c r="K67" s="43">
        <f t="shared" si="47"/>
        <v>39</v>
      </c>
      <c r="L67" s="43">
        <f t="shared" si="48"/>
        <v>15041</v>
      </c>
      <c r="M67" s="43"/>
      <c r="N67" s="43">
        <f t="shared" si="49"/>
        <v>15041</v>
      </c>
      <c r="O67" s="43">
        <f t="shared" si="50"/>
        <v>1055.5999999999999</v>
      </c>
      <c r="P67" s="42">
        <v>12000</v>
      </c>
      <c r="Q67" s="42">
        <v>15.5</v>
      </c>
      <c r="R67" s="42">
        <f t="shared" si="51"/>
        <v>233135.5</v>
      </c>
    </row>
    <row r="68" spans="1:18">
      <c r="A68" s="374"/>
      <c r="B68" s="42" t="s">
        <v>3161</v>
      </c>
      <c r="C68" s="42" t="s">
        <v>91</v>
      </c>
      <c r="D68" s="42" t="s">
        <v>16</v>
      </c>
      <c r="E68" s="42" t="s">
        <v>3167</v>
      </c>
      <c r="F68" s="42">
        <v>490</v>
      </c>
      <c r="G68" s="42"/>
      <c r="H68" s="42">
        <v>14970</v>
      </c>
      <c r="I68" s="42">
        <v>300</v>
      </c>
      <c r="J68" s="42">
        <v>0.13</v>
      </c>
      <c r="K68" s="43">
        <f t="shared" si="47"/>
        <v>39</v>
      </c>
      <c r="L68" s="43">
        <f t="shared" si="48"/>
        <v>14931</v>
      </c>
      <c r="M68" s="43"/>
      <c r="N68" s="43">
        <f t="shared" si="49"/>
        <v>14931</v>
      </c>
      <c r="O68" s="43">
        <f t="shared" si="50"/>
        <v>1047.9000000000001</v>
      </c>
      <c r="P68" s="42">
        <v>12000</v>
      </c>
      <c r="Q68" s="42">
        <v>15.5</v>
      </c>
      <c r="R68" s="42">
        <f t="shared" si="51"/>
        <v>231430.5</v>
      </c>
    </row>
    <row r="69" spans="1:18">
      <c r="A69" s="1" t="s">
        <v>3172</v>
      </c>
      <c r="B69" s="42" t="s">
        <v>3161</v>
      </c>
      <c r="C69" s="42" t="s">
        <v>91</v>
      </c>
      <c r="D69" s="42" t="s">
        <v>16</v>
      </c>
      <c r="E69" s="42" t="s">
        <v>1661</v>
      </c>
      <c r="F69" s="42">
        <v>499</v>
      </c>
      <c r="G69" s="42"/>
      <c r="H69" s="42">
        <v>14580</v>
      </c>
      <c r="I69" s="42">
        <v>292</v>
      </c>
      <c r="J69" s="42">
        <v>0.13</v>
      </c>
      <c r="K69" s="43">
        <f t="shared" si="47"/>
        <v>37.96</v>
      </c>
      <c r="L69" s="43">
        <f t="shared" si="48"/>
        <v>14542.04</v>
      </c>
      <c r="M69" s="43"/>
      <c r="N69" s="43">
        <f t="shared" si="49"/>
        <v>14542.04</v>
      </c>
      <c r="O69" s="43">
        <f t="shared" si="50"/>
        <v>1020.6</v>
      </c>
      <c r="P69" s="42">
        <v>12000</v>
      </c>
      <c r="Q69" s="42">
        <v>15.5</v>
      </c>
      <c r="R69" s="42">
        <f t="shared" si="51"/>
        <v>225401.62000000002</v>
      </c>
    </row>
    <row r="70" spans="1:18">
      <c r="A70" s="1" t="s">
        <v>3164</v>
      </c>
      <c r="B70" s="42" t="s">
        <v>3161</v>
      </c>
      <c r="C70" s="42" t="s">
        <v>91</v>
      </c>
      <c r="D70" s="42" t="s">
        <v>16</v>
      </c>
      <c r="E70" s="42" t="s">
        <v>3179</v>
      </c>
      <c r="F70" s="42">
        <v>489</v>
      </c>
      <c r="G70" s="42"/>
      <c r="H70" s="42">
        <v>14650</v>
      </c>
      <c r="I70" s="42">
        <f>H70/50</f>
        <v>293</v>
      </c>
      <c r="J70" s="42">
        <v>0.13</v>
      </c>
      <c r="K70" s="43">
        <f t="shared" si="47"/>
        <v>38.090000000000003</v>
      </c>
      <c r="L70" s="43">
        <f t="shared" si="48"/>
        <v>14611.91</v>
      </c>
      <c r="M70" s="43"/>
      <c r="N70" s="43">
        <f t="shared" si="49"/>
        <v>14611.91</v>
      </c>
      <c r="O70" s="43">
        <f t="shared" si="50"/>
        <v>1025.5</v>
      </c>
      <c r="P70" s="42">
        <v>12000</v>
      </c>
      <c r="Q70" s="42">
        <v>15.5</v>
      </c>
      <c r="R70" s="42">
        <f t="shared" si="51"/>
        <v>226484.60500000001</v>
      </c>
    </row>
    <row r="72" spans="1:18">
      <c r="A72" s="374" t="s">
        <v>3326</v>
      </c>
      <c r="B72" s="42" t="s">
        <v>3161</v>
      </c>
      <c r="C72" s="42" t="s">
        <v>91</v>
      </c>
      <c r="D72" s="42" t="s">
        <v>16</v>
      </c>
      <c r="E72" s="47" t="s">
        <v>2291</v>
      </c>
      <c r="F72" s="47">
        <v>269</v>
      </c>
      <c r="G72" s="47"/>
      <c r="H72" s="47">
        <v>17000</v>
      </c>
      <c r="I72" s="47">
        <f>H72/50</f>
        <v>340</v>
      </c>
      <c r="J72" s="47">
        <v>0.13</v>
      </c>
      <c r="K72" s="43">
        <f t="shared" ref="K72:K78" si="52">I72*J72</f>
        <v>44.2</v>
      </c>
      <c r="L72" s="43">
        <f t="shared" ref="L72:L78" si="53">H72-K72</f>
        <v>16955.8</v>
      </c>
      <c r="M72" s="43"/>
      <c r="N72" s="43">
        <f t="shared" ref="N72:N78" si="54">L72-M72</f>
        <v>16955.8</v>
      </c>
      <c r="O72" s="43">
        <f t="shared" ref="O72:O78" si="55">H72/1000*70</f>
        <v>1190</v>
      </c>
      <c r="P72" s="42">
        <v>15800</v>
      </c>
      <c r="Q72" s="42">
        <v>16.899999999999999</v>
      </c>
      <c r="R72" s="42">
        <f t="shared" ref="R72:R78" si="56">L72*Q72</f>
        <v>286553.01999999996</v>
      </c>
    </row>
    <row r="73" spans="1:18">
      <c r="A73" s="374"/>
      <c r="B73" s="42" t="s">
        <v>3161</v>
      </c>
      <c r="C73" s="42" t="s">
        <v>91</v>
      </c>
      <c r="D73" s="42" t="s">
        <v>16</v>
      </c>
      <c r="E73" s="47" t="s">
        <v>3328</v>
      </c>
      <c r="F73" s="47">
        <v>271</v>
      </c>
      <c r="G73" s="47"/>
      <c r="H73" s="47">
        <v>18010</v>
      </c>
      <c r="I73" s="47">
        <v>360</v>
      </c>
      <c r="J73" s="47">
        <v>0.13</v>
      </c>
      <c r="K73" s="43">
        <f t="shared" si="52"/>
        <v>46.800000000000004</v>
      </c>
      <c r="L73" s="43">
        <f t="shared" si="53"/>
        <v>17963.2</v>
      </c>
      <c r="M73" s="43"/>
      <c r="N73" s="43">
        <f t="shared" si="54"/>
        <v>17963.2</v>
      </c>
      <c r="O73" s="43">
        <f t="shared" si="55"/>
        <v>1260.7</v>
      </c>
      <c r="P73" s="42">
        <v>17000</v>
      </c>
      <c r="Q73" s="42">
        <v>16.899999999999999</v>
      </c>
      <c r="R73" s="42">
        <f t="shared" si="56"/>
        <v>303578.07999999996</v>
      </c>
    </row>
    <row r="74" spans="1:18">
      <c r="A74" s="374"/>
      <c r="B74" s="42" t="s">
        <v>3161</v>
      </c>
      <c r="C74" s="42" t="s">
        <v>91</v>
      </c>
      <c r="D74" s="42" t="s">
        <v>16</v>
      </c>
      <c r="E74" s="47" t="s">
        <v>2292</v>
      </c>
      <c r="F74" s="47">
        <v>270</v>
      </c>
      <c r="G74" s="47"/>
      <c r="H74" s="47">
        <v>14970</v>
      </c>
      <c r="I74" s="47">
        <v>300</v>
      </c>
      <c r="J74" s="47">
        <v>0.13</v>
      </c>
      <c r="K74" s="43">
        <f t="shared" si="52"/>
        <v>39</v>
      </c>
      <c r="L74" s="43">
        <f t="shared" si="53"/>
        <v>14931</v>
      </c>
      <c r="M74" s="43"/>
      <c r="N74" s="43">
        <f t="shared" si="54"/>
        <v>14931</v>
      </c>
      <c r="O74" s="43">
        <f t="shared" si="55"/>
        <v>1047.9000000000001</v>
      </c>
      <c r="P74" s="42">
        <v>14000</v>
      </c>
      <c r="Q74" s="42">
        <v>16.899999999999999</v>
      </c>
      <c r="R74" s="42">
        <f t="shared" si="56"/>
        <v>252333.89999999997</v>
      </c>
    </row>
    <row r="75" spans="1:18">
      <c r="A75" s="1" t="s">
        <v>3364</v>
      </c>
      <c r="B75" s="42" t="s">
        <v>3161</v>
      </c>
      <c r="C75" s="42" t="s">
        <v>91</v>
      </c>
      <c r="D75" s="42" t="s">
        <v>16</v>
      </c>
      <c r="E75" s="47" t="s">
        <v>3365</v>
      </c>
      <c r="F75" s="47">
        <v>1693</v>
      </c>
      <c r="G75" s="47"/>
      <c r="H75" s="47">
        <v>16880</v>
      </c>
      <c r="I75" s="47">
        <v>168</v>
      </c>
      <c r="J75" s="47">
        <v>0.13</v>
      </c>
      <c r="K75" s="43">
        <f t="shared" si="52"/>
        <v>21.84</v>
      </c>
      <c r="L75" s="43">
        <f t="shared" si="53"/>
        <v>16858.16</v>
      </c>
      <c r="M75" s="43"/>
      <c r="N75" s="43">
        <f t="shared" si="54"/>
        <v>16858.16</v>
      </c>
      <c r="O75" s="43">
        <f t="shared" si="55"/>
        <v>1181.5999999999999</v>
      </c>
      <c r="P75" s="42">
        <v>6700</v>
      </c>
      <c r="Q75" s="42">
        <v>16.899999999999999</v>
      </c>
      <c r="R75" s="42">
        <f t="shared" si="56"/>
        <v>284902.90399999998</v>
      </c>
    </row>
    <row r="76" spans="1:18">
      <c r="A76" s="21" t="s">
        <v>3374</v>
      </c>
      <c r="B76" s="42" t="s">
        <v>684</v>
      </c>
      <c r="C76" s="42" t="s">
        <v>91</v>
      </c>
      <c r="D76" s="42" t="s">
        <v>16</v>
      </c>
      <c r="E76" s="47" t="s">
        <v>3375</v>
      </c>
      <c r="F76" s="47">
        <v>1004</v>
      </c>
      <c r="G76" s="47"/>
      <c r="H76" s="47">
        <v>15150</v>
      </c>
      <c r="I76" s="47">
        <f>H76/50</f>
        <v>303</v>
      </c>
      <c r="J76" s="47">
        <v>0.13</v>
      </c>
      <c r="K76" s="43">
        <f t="shared" si="52"/>
        <v>39.39</v>
      </c>
      <c r="L76" s="43">
        <f t="shared" si="53"/>
        <v>15110.61</v>
      </c>
      <c r="M76" s="43"/>
      <c r="N76" s="43">
        <f t="shared" si="54"/>
        <v>15110.61</v>
      </c>
      <c r="O76" s="43">
        <f t="shared" si="55"/>
        <v>1060.5</v>
      </c>
      <c r="P76" s="42">
        <v>6100</v>
      </c>
      <c r="Q76" s="42"/>
      <c r="R76" s="42">
        <f t="shared" si="56"/>
        <v>0</v>
      </c>
    </row>
    <row r="77" spans="1:18">
      <c r="A77" s="21" t="s">
        <v>3414</v>
      </c>
      <c r="B77" s="42" t="s">
        <v>3416</v>
      </c>
      <c r="C77" s="42" t="s">
        <v>91</v>
      </c>
      <c r="D77" s="42" t="s">
        <v>16</v>
      </c>
      <c r="E77" s="47" t="s">
        <v>3417</v>
      </c>
      <c r="F77" s="47">
        <v>1061</v>
      </c>
      <c r="G77" s="47"/>
      <c r="H77" s="47">
        <v>15340</v>
      </c>
      <c r="I77" s="47">
        <v>270</v>
      </c>
      <c r="J77" s="47">
        <v>0.13</v>
      </c>
      <c r="K77" s="43">
        <f t="shared" si="52"/>
        <v>35.1</v>
      </c>
      <c r="L77" s="43">
        <f t="shared" si="53"/>
        <v>15304.9</v>
      </c>
      <c r="M77" s="43"/>
      <c r="N77" s="43">
        <f t="shared" si="54"/>
        <v>15304.9</v>
      </c>
      <c r="O77" s="43">
        <f t="shared" si="55"/>
        <v>1073.8</v>
      </c>
      <c r="P77" s="42">
        <v>12200</v>
      </c>
      <c r="Q77" s="42">
        <v>18.5</v>
      </c>
      <c r="R77" s="42">
        <f t="shared" si="56"/>
        <v>283140.64999999997</v>
      </c>
    </row>
    <row r="78" spans="1:18">
      <c r="A78" s="21" t="s">
        <v>3609</v>
      </c>
      <c r="B78" s="42" t="s">
        <v>3606</v>
      </c>
      <c r="C78" s="42" t="s">
        <v>91</v>
      </c>
      <c r="D78" s="42" t="s">
        <v>16</v>
      </c>
      <c r="E78" s="47" t="s">
        <v>3607</v>
      </c>
      <c r="F78" s="47">
        <v>629</v>
      </c>
      <c r="G78" s="47"/>
      <c r="H78" s="47">
        <v>16460</v>
      </c>
      <c r="I78" s="47">
        <v>290</v>
      </c>
      <c r="J78" s="47">
        <v>0.13</v>
      </c>
      <c r="K78" s="43">
        <f t="shared" si="52"/>
        <v>37.700000000000003</v>
      </c>
      <c r="L78" s="43">
        <f t="shared" si="53"/>
        <v>16422.3</v>
      </c>
      <c r="M78" s="43"/>
      <c r="N78" s="43">
        <f t="shared" si="54"/>
        <v>16422.3</v>
      </c>
      <c r="O78" s="43">
        <f t="shared" si="55"/>
        <v>1152.2</v>
      </c>
      <c r="P78" s="42">
        <v>11250</v>
      </c>
      <c r="Q78" s="42"/>
      <c r="R78" s="42">
        <f t="shared" si="56"/>
        <v>0</v>
      </c>
    </row>
    <row r="80" spans="1:18">
      <c r="A80" s="21" t="s">
        <v>3643</v>
      </c>
      <c r="B80" s="42" t="s">
        <v>3639</v>
      </c>
      <c r="C80" s="42" t="s">
        <v>91</v>
      </c>
      <c r="D80" s="42" t="s">
        <v>16</v>
      </c>
      <c r="E80" s="47" t="s">
        <v>3640</v>
      </c>
      <c r="F80" s="47">
        <v>631</v>
      </c>
      <c r="G80" s="47"/>
      <c r="H80" s="47">
        <v>16180</v>
      </c>
      <c r="I80" s="47">
        <v>295</v>
      </c>
      <c r="J80" s="47">
        <v>0.13</v>
      </c>
      <c r="K80" s="43">
        <f t="shared" ref="K80" si="57">I80*J80</f>
        <v>38.35</v>
      </c>
      <c r="L80" s="43">
        <f t="shared" ref="L80" si="58">H80-K80</f>
        <v>16141.65</v>
      </c>
      <c r="M80" s="43"/>
      <c r="N80" s="43">
        <f t="shared" ref="N80" si="59">L80-M80</f>
        <v>16141.65</v>
      </c>
      <c r="O80" s="43">
        <f t="shared" ref="O80" si="60">H80/1000*70</f>
        <v>1132.5999999999999</v>
      </c>
      <c r="P80" s="42">
        <v>11000</v>
      </c>
      <c r="Q80" s="42">
        <v>21</v>
      </c>
      <c r="R80" s="42">
        <f t="shared" ref="R80" si="61">L80*Q80</f>
        <v>338974.64999999997</v>
      </c>
    </row>
    <row r="82" spans="1:19">
      <c r="A82" s="21" t="s">
        <v>3657</v>
      </c>
      <c r="B82" s="42" t="s">
        <v>3639</v>
      </c>
      <c r="C82" s="42" t="s">
        <v>91</v>
      </c>
      <c r="D82" s="42" t="s">
        <v>16</v>
      </c>
      <c r="E82" s="47" t="s">
        <v>3660</v>
      </c>
      <c r="F82" s="47">
        <v>1391</v>
      </c>
      <c r="G82" s="47"/>
      <c r="H82" s="47">
        <v>15300</v>
      </c>
      <c r="I82" s="47">
        <v>280</v>
      </c>
      <c r="J82" s="47">
        <v>0.13</v>
      </c>
      <c r="K82" s="43">
        <f t="shared" ref="K82:K83" si="62">I82*J82</f>
        <v>36.4</v>
      </c>
      <c r="L82" s="43">
        <f t="shared" ref="L82:L83" si="63">H82-K82</f>
        <v>15263.6</v>
      </c>
      <c r="M82" s="43"/>
      <c r="N82" s="43">
        <f t="shared" ref="N82:N83" si="64">L82-M82</f>
        <v>15263.6</v>
      </c>
      <c r="O82" s="43">
        <f t="shared" ref="O82:O83" si="65">H82/1000*70</f>
        <v>1071</v>
      </c>
      <c r="P82" s="42">
        <v>10300</v>
      </c>
      <c r="Q82" s="42">
        <v>21</v>
      </c>
      <c r="R82" s="42">
        <f t="shared" ref="R82:R83" si="66">L82*Q82</f>
        <v>320535.60000000003</v>
      </c>
    </row>
    <row r="83" spans="1:19">
      <c r="A83" s="21" t="s">
        <v>3716</v>
      </c>
      <c r="B83" s="42" t="s">
        <v>3639</v>
      </c>
      <c r="C83" s="42" t="s">
        <v>91</v>
      </c>
      <c r="D83" s="42" t="s">
        <v>16</v>
      </c>
      <c r="E83" s="47" t="s">
        <v>3717</v>
      </c>
      <c r="F83" s="47">
        <v>253</v>
      </c>
      <c r="G83" s="47"/>
      <c r="H83" s="47">
        <v>15010</v>
      </c>
      <c r="I83" s="47">
        <v>230</v>
      </c>
      <c r="J83" s="47">
        <v>0.13</v>
      </c>
      <c r="K83" s="43">
        <f t="shared" si="62"/>
        <v>29.900000000000002</v>
      </c>
      <c r="L83" s="43">
        <f t="shared" si="63"/>
        <v>14980.1</v>
      </c>
      <c r="M83" s="43"/>
      <c r="N83" s="43">
        <f t="shared" si="64"/>
        <v>14980.1</v>
      </c>
      <c r="O83" s="43">
        <f t="shared" si="65"/>
        <v>1050.7</v>
      </c>
      <c r="P83" s="42">
        <v>9350</v>
      </c>
      <c r="Q83" s="42"/>
      <c r="R83" s="42">
        <f t="shared" si="66"/>
        <v>0</v>
      </c>
      <c r="S83" s="42"/>
    </row>
  </sheetData>
  <mergeCells count="11">
    <mergeCell ref="A72:A74"/>
    <mergeCell ref="A28:A29"/>
    <mergeCell ref="A33:A34"/>
    <mergeCell ref="A35:A36"/>
    <mergeCell ref="A37:A38"/>
    <mergeCell ref="A40:A43"/>
    <mergeCell ref="A66:A68"/>
    <mergeCell ref="A64:A65"/>
    <mergeCell ref="A58:A61"/>
    <mergeCell ref="A50:A51"/>
    <mergeCell ref="A45:A47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5:V25"/>
  <sheetViews>
    <sheetView workbookViewId="0">
      <selection activeCell="I14" sqref="I14:I21"/>
    </sheetView>
  </sheetViews>
  <sheetFormatPr defaultRowHeight="14.4"/>
  <cols>
    <col min="1" max="1" width="8.88671875" style="1"/>
    <col min="2" max="2" width="17.21875" style="1" customWidth="1"/>
    <col min="3" max="3" width="8.88671875" style="1"/>
    <col min="4" max="4" width="5.5546875" style="1" customWidth="1"/>
    <col min="5" max="5" width="9.7773437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2" ht="20.399999999999999">
      <c r="A5" s="58" t="s">
        <v>3</v>
      </c>
      <c r="B5" s="58" t="s">
        <v>4</v>
      </c>
      <c r="C5" s="58" t="s">
        <v>5</v>
      </c>
      <c r="D5" s="58" t="s">
        <v>6</v>
      </c>
      <c r="E5" s="58" t="s">
        <v>37</v>
      </c>
      <c r="F5" s="59" t="s">
        <v>7</v>
      </c>
      <c r="G5" s="58" t="s">
        <v>8</v>
      </c>
      <c r="H5" s="58" t="s">
        <v>9</v>
      </c>
      <c r="I5" s="58" t="s">
        <v>10</v>
      </c>
      <c r="J5" s="59" t="s">
        <v>18</v>
      </c>
      <c r="K5" s="59" t="s">
        <v>17</v>
      </c>
      <c r="L5" s="58" t="s">
        <v>11</v>
      </c>
      <c r="M5" s="59" t="s">
        <v>36</v>
      </c>
      <c r="N5" s="58" t="s">
        <v>12</v>
      </c>
      <c r="O5" s="58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258</v>
      </c>
    </row>
    <row r="6" spans="1:22">
      <c r="A6" s="69"/>
      <c r="B6" s="67"/>
      <c r="C6" s="67"/>
      <c r="D6" s="67"/>
      <c r="E6" s="67"/>
      <c r="F6" s="67"/>
      <c r="G6" s="67"/>
      <c r="H6" s="67"/>
      <c r="I6" s="67"/>
      <c r="J6" s="67"/>
      <c r="K6" s="67"/>
      <c r="L6" s="68"/>
      <c r="M6" s="68"/>
      <c r="N6" s="67"/>
      <c r="O6" s="67"/>
      <c r="P6" s="67"/>
      <c r="Q6" s="67"/>
      <c r="R6" s="62"/>
      <c r="S6" s="62"/>
      <c r="T6" s="62"/>
      <c r="U6" s="77"/>
      <c r="V6" s="62"/>
    </row>
    <row r="7" spans="1:22">
      <c r="A7" s="30" t="s">
        <v>919</v>
      </c>
      <c r="B7" s="42" t="s">
        <v>19</v>
      </c>
      <c r="C7" s="42" t="s">
        <v>91</v>
      </c>
      <c r="D7" s="42" t="s">
        <v>16</v>
      </c>
      <c r="E7" s="42" t="s">
        <v>920</v>
      </c>
      <c r="F7" s="42">
        <v>502</v>
      </c>
      <c r="G7" s="42"/>
      <c r="H7" s="42">
        <v>16895</v>
      </c>
      <c r="I7" s="42">
        <v>319</v>
      </c>
      <c r="J7" s="42">
        <v>0.13</v>
      </c>
      <c r="K7" s="42">
        <f t="shared" ref="K7" si="0">I7*J7</f>
        <v>41.47</v>
      </c>
      <c r="L7" s="43">
        <f t="shared" ref="L7:L11" si="1">H7-K7</f>
        <v>16853.53</v>
      </c>
      <c r="M7" s="43"/>
      <c r="N7" s="43">
        <f t="shared" ref="N7:N12" si="2">L7-M7</f>
        <v>16853.53</v>
      </c>
      <c r="O7" s="43">
        <f t="shared" ref="O7:O11" si="3">H7/1000*70</f>
        <v>1182.6499999999999</v>
      </c>
      <c r="P7" s="42">
        <v>35800</v>
      </c>
      <c r="Q7" s="42"/>
      <c r="R7" s="42">
        <f t="shared" ref="R7" si="4">L7*Q7</f>
        <v>0</v>
      </c>
      <c r="S7" s="21"/>
      <c r="T7" s="62"/>
      <c r="U7" s="62"/>
      <c r="V7" s="62"/>
    </row>
    <row r="8" spans="1:22">
      <c r="A8" s="391" t="s">
        <v>921</v>
      </c>
      <c r="B8" s="42" t="s">
        <v>19</v>
      </c>
      <c r="C8" s="42" t="s">
        <v>91</v>
      </c>
      <c r="D8" s="42" t="s">
        <v>16</v>
      </c>
      <c r="E8" s="42" t="s">
        <v>922</v>
      </c>
      <c r="F8" s="42">
        <v>503</v>
      </c>
      <c r="G8" s="42"/>
      <c r="H8" s="42">
        <v>18505</v>
      </c>
      <c r="I8" s="42">
        <v>350</v>
      </c>
      <c r="J8" s="42">
        <v>0.13</v>
      </c>
      <c r="K8" s="42">
        <v>46</v>
      </c>
      <c r="L8" s="43">
        <f t="shared" si="1"/>
        <v>18459</v>
      </c>
      <c r="M8" s="43"/>
      <c r="N8" s="43">
        <f t="shared" si="2"/>
        <v>18459</v>
      </c>
      <c r="O8" s="43">
        <f t="shared" si="3"/>
        <v>1295.3499999999999</v>
      </c>
      <c r="P8" s="42">
        <v>39200</v>
      </c>
      <c r="Q8" s="42"/>
      <c r="R8" s="42"/>
      <c r="S8" s="44"/>
      <c r="T8" s="62"/>
      <c r="U8" s="62"/>
      <c r="V8" s="62"/>
    </row>
    <row r="9" spans="1:22">
      <c r="A9" s="392"/>
      <c r="B9" s="42" t="s">
        <v>19</v>
      </c>
      <c r="C9" s="42" t="s">
        <v>91</v>
      </c>
      <c r="D9" s="42" t="s">
        <v>16</v>
      </c>
      <c r="E9" s="42" t="s">
        <v>923</v>
      </c>
      <c r="F9" s="42">
        <v>504</v>
      </c>
      <c r="G9" s="42"/>
      <c r="H9" s="42">
        <v>16490</v>
      </c>
      <c r="I9" s="42">
        <v>311</v>
      </c>
      <c r="J9" s="42">
        <v>0.13</v>
      </c>
      <c r="K9" s="42">
        <f t="shared" ref="K9:K10" si="5">I9*J9</f>
        <v>40.43</v>
      </c>
      <c r="L9" s="43">
        <f t="shared" si="1"/>
        <v>16449.57</v>
      </c>
      <c r="M9" s="43"/>
      <c r="N9" s="43">
        <f t="shared" si="2"/>
        <v>16449.57</v>
      </c>
      <c r="O9" s="43">
        <f t="shared" si="3"/>
        <v>1154.3</v>
      </c>
      <c r="P9" s="42">
        <v>34950</v>
      </c>
      <c r="Q9" s="42"/>
      <c r="R9" s="42"/>
      <c r="S9" s="44"/>
      <c r="T9" s="62"/>
      <c r="U9" s="62"/>
      <c r="V9" s="62"/>
    </row>
    <row r="10" spans="1:22">
      <c r="A10" s="392"/>
      <c r="B10" s="42" t="s">
        <v>19</v>
      </c>
      <c r="C10" s="42" t="s">
        <v>91</v>
      </c>
      <c r="D10" s="42" t="s">
        <v>16</v>
      </c>
      <c r="E10" s="42" t="s">
        <v>924</v>
      </c>
      <c r="F10" s="42">
        <v>505</v>
      </c>
      <c r="G10" s="42"/>
      <c r="H10" s="42">
        <v>16845</v>
      </c>
      <c r="I10" s="42">
        <v>318</v>
      </c>
      <c r="J10" s="42">
        <v>0.13</v>
      </c>
      <c r="K10" s="42">
        <f t="shared" si="5"/>
        <v>41.34</v>
      </c>
      <c r="L10" s="43">
        <f t="shared" si="1"/>
        <v>16803.66</v>
      </c>
      <c r="M10" s="43"/>
      <c r="N10" s="43">
        <f t="shared" si="2"/>
        <v>16803.66</v>
      </c>
      <c r="O10" s="43">
        <f t="shared" si="3"/>
        <v>1179.1499999999999</v>
      </c>
      <c r="P10" s="42">
        <v>35700</v>
      </c>
      <c r="Q10" s="42"/>
      <c r="R10" s="42"/>
      <c r="S10" s="21"/>
      <c r="T10" s="62"/>
      <c r="U10" s="62"/>
      <c r="V10" s="62"/>
    </row>
    <row r="11" spans="1:22">
      <c r="A11" s="78" t="s">
        <v>927</v>
      </c>
      <c r="B11" s="42" t="s">
        <v>19</v>
      </c>
      <c r="C11" s="42" t="s">
        <v>91</v>
      </c>
      <c r="D11" s="42" t="s">
        <v>16</v>
      </c>
      <c r="E11" s="42" t="s">
        <v>930</v>
      </c>
      <c r="F11" s="42">
        <v>506</v>
      </c>
      <c r="G11" s="42"/>
      <c r="H11" s="42">
        <v>20750</v>
      </c>
      <c r="I11" s="42">
        <v>392</v>
      </c>
      <c r="J11" s="42">
        <v>0.13</v>
      </c>
      <c r="K11" s="42">
        <v>51</v>
      </c>
      <c r="L11" s="43">
        <f t="shared" si="1"/>
        <v>20699</v>
      </c>
      <c r="M11" s="43"/>
      <c r="N11" s="43">
        <f t="shared" si="2"/>
        <v>20699</v>
      </c>
      <c r="O11" s="43">
        <f t="shared" si="3"/>
        <v>1452.5</v>
      </c>
      <c r="P11" s="42">
        <v>44074</v>
      </c>
      <c r="Q11" s="42"/>
      <c r="R11" s="42">
        <f t="shared" ref="R11" si="6">L11*Q11</f>
        <v>0</v>
      </c>
      <c r="S11" s="21"/>
      <c r="T11" s="62"/>
      <c r="U11" s="62"/>
      <c r="V11" s="62"/>
    </row>
    <row r="12" spans="1:22">
      <c r="A12" s="89"/>
      <c r="B12" s="42"/>
      <c r="C12" s="42"/>
      <c r="D12" s="42"/>
      <c r="E12" s="42"/>
      <c r="F12" s="42"/>
      <c r="G12" s="42"/>
      <c r="H12" s="42"/>
      <c r="I12" s="42"/>
      <c r="J12" s="42"/>
      <c r="K12" s="42"/>
      <c r="L12" s="43">
        <f>SUM(L7:L11)</f>
        <v>89264.76</v>
      </c>
      <c r="M12" s="43"/>
      <c r="N12" s="43">
        <f t="shared" si="2"/>
        <v>89264.76</v>
      </c>
      <c r="O12" s="43"/>
      <c r="P12" s="42"/>
      <c r="Q12" s="42"/>
      <c r="R12" s="42"/>
      <c r="S12" s="21"/>
      <c r="T12" s="62"/>
      <c r="U12" s="62"/>
      <c r="V12" s="62"/>
    </row>
    <row r="13" spans="1:22">
      <c r="A13" s="89"/>
      <c r="B13" s="42"/>
      <c r="C13" s="42"/>
      <c r="D13" s="42"/>
      <c r="E13" s="42"/>
      <c r="F13" s="42"/>
      <c r="G13" s="42"/>
      <c r="H13" s="42"/>
      <c r="I13" s="42"/>
      <c r="J13" s="42"/>
      <c r="K13" s="42"/>
      <c r="L13" s="43"/>
      <c r="M13" s="43"/>
      <c r="N13" s="43"/>
      <c r="O13" s="43"/>
      <c r="P13" s="42"/>
      <c r="Q13" s="42"/>
      <c r="R13" s="42"/>
      <c r="S13" s="21"/>
      <c r="T13" s="62"/>
      <c r="U13" s="77"/>
      <c r="V13" s="62"/>
    </row>
    <row r="14" spans="1:22">
      <c r="A14" s="389" t="s">
        <v>1004</v>
      </c>
      <c r="B14" s="92" t="s">
        <v>19</v>
      </c>
      <c r="C14" s="92" t="s">
        <v>91</v>
      </c>
      <c r="D14" s="42" t="s">
        <v>16</v>
      </c>
      <c r="E14" s="92" t="s">
        <v>1005</v>
      </c>
      <c r="F14" s="92">
        <v>516</v>
      </c>
      <c r="G14" s="92"/>
      <c r="H14" s="92">
        <v>15800</v>
      </c>
      <c r="I14" s="92">
        <v>300</v>
      </c>
      <c r="J14" s="92">
        <v>0.13</v>
      </c>
      <c r="K14" s="42">
        <f t="shared" ref="K14:K20" si="7">I14*J14</f>
        <v>39</v>
      </c>
      <c r="L14" s="43">
        <f t="shared" ref="L14:L20" si="8">H14-K14</f>
        <v>15761</v>
      </c>
      <c r="M14" s="43"/>
      <c r="N14" s="43">
        <f t="shared" ref="N14:N21" si="9">L14-M14</f>
        <v>15761</v>
      </c>
      <c r="O14" s="43">
        <f t="shared" ref="O14:O20" si="10">H14/1000*70</f>
        <v>1106</v>
      </c>
      <c r="P14" s="92">
        <v>39500</v>
      </c>
      <c r="Q14" s="92"/>
      <c r="R14" s="92">
        <f t="shared" ref="R14:R21" si="11">L14*Q14</f>
        <v>0</v>
      </c>
      <c r="S14" s="21"/>
      <c r="T14" s="62"/>
      <c r="U14" s="62"/>
      <c r="V14" s="62"/>
    </row>
    <row r="15" spans="1:22">
      <c r="A15" s="389"/>
      <c r="B15" s="92" t="s">
        <v>19</v>
      </c>
      <c r="C15" s="92" t="s">
        <v>91</v>
      </c>
      <c r="D15" s="42" t="s">
        <v>16</v>
      </c>
      <c r="E15" s="92" t="s">
        <v>1006</v>
      </c>
      <c r="F15" s="92">
        <v>518</v>
      </c>
      <c r="G15" s="92"/>
      <c r="H15" s="92">
        <v>14770</v>
      </c>
      <c r="I15" s="92">
        <v>277</v>
      </c>
      <c r="J15" s="92">
        <v>0.13</v>
      </c>
      <c r="K15" s="42">
        <f t="shared" si="7"/>
        <v>36.01</v>
      </c>
      <c r="L15" s="43">
        <f t="shared" si="8"/>
        <v>14733.99</v>
      </c>
      <c r="M15" s="43"/>
      <c r="N15" s="43">
        <f t="shared" si="9"/>
        <v>14733.99</v>
      </c>
      <c r="O15" s="43">
        <f t="shared" si="10"/>
        <v>1033.8999999999999</v>
      </c>
      <c r="P15" s="92">
        <v>36925</v>
      </c>
      <c r="Q15" s="92"/>
      <c r="R15" s="92">
        <f t="shared" si="11"/>
        <v>0</v>
      </c>
      <c r="S15" s="21"/>
      <c r="T15" s="62"/>
      <c r="U15" s="62"/>
      <c r="V15" s="62"/>
    </row>
    <row r="16" spans="1:22">
      <c r="A16" s="389"/>
      <c r="B16" s="92" t="s">
        <v>19</v>
      </c>
      <c r="C16" s="92" t="s">
        <v>91</v>
      </c>
      <c r="D16" s="42" t="s">
        <v>16</v>
      </c>
      <c r="E16" s="92" t="s">
        <v>1007</v>
      </c>
      <c r="F16" s="92">
        <v>514</v>
      </c>
      <c r="G16" s="92"/>
      <c r="H16" s="92">
        <v>14965</v>
      </c>
      <c r="I16" s="92">
        <v>282</v>
      </c>
      <c r="J16" s="92">
        <v>0.13</v>
      </c>
      <c r="K16" s="42">
        <v>37</v>
      </c>
      <c r="L16" s="43">
        <v>14927</v>
      </c>
      <c r="M16" s="43"/>
      <c r="N16" s="43">
        <f t="shared" si="9"/>
        <v>14927</v>
      </c>
      <c r="O16" s="43">
        <f t="shared" si="10"/>
        <v>1047.55</v>
      </c>
      <c r="P16" s="92">
        <v>37812</v>
      </c>
      <c r="Q16" s="92"/>
      <c r="R16" s="92">
        <f t="shared" si="11"/>
        <v>0</v>
      </c>
      <c r="S16" s="62"/>
      <c r="T16" s="62"/>
      <c r="U16" s="62"/>
      <c r="V16" s="62"/>
    </row>
    <row r="17" spans="1:22">
      <c r="A17" s="389"/>
      <c r="B17" s="92" t="s">
        <v>19</v>
      </c>
      <c r="C17" s="92" t="s">
        <v>91</v>
      </c>
      <c r="D17" s="42" t="s">
        <v>16</v>
      </c>
      <c r="E17" s="92" t="s">
        <v>1008</v>
      </c>
      <c r="F17" s="92">
        <v>519</v>
      </c>
      <c r="G17" s="92"/>
      <c r="H17" s="92">
        <v>14160</v>
      </c>
      <c r="I17" s="92">
        <v>267</v>
      </c>
      <c r="J17" s="92">
        <v>0.13</v>
      </c>
      <c r="K17" s="42">
        <f t="shared" si="7"/>
        <v>34.71</v>
      </c>
      <c r="L17" s="43">
        <f t="shared" si="8"/>
        <v>14125.29</v>
      </c>
      <c r="M17" s="43"/>
      <c r="N17" s="43">
        <f t="shared" si="9"/>
        <v>14125.29</v>
      </c>
      <c r="O17" s="43">
        <f t="shared" si="10"/>
        <v>991.2</v>
      </c>
      <c r="P17" s="92">
        <v>35800</v>
      </c>
      <c r="Q17" s="92"/>
      <c r="R17" s="92">
        <f t="shared" si="11"/>
        <v>0</v>
      </c>
      <c r="S17" s="62"/>
      <c r="T17" s="62"/>
      <c r="U17" s="62"/>
      <c r="V17" s="62"/>
    </row>
    <row r="18" spans="1:22">
      <c r="A18" s="389"/>
      <c r="B18" s="92" t="s">
        <v>19</v>
      </c>
      <c r="C18" s="92" t="s">
        <v>91</v>
      </c>
      <c r="D18" s="42" t="s">
        <v>16</v>
      </c>
      <c r="E18" s="92" t="s">
        <v>1009</v>
      </c>
      <c r="F18" s="92">
        <v>517</v>
      </c>
      <c r="G18" s="92"/>
      <c r="H18" s="92">
        <v>14335</v>
      </c>
      <c r="I18" s="92">
        <v>270</v>
      </c>
      <c r="J18" s="92">
        <v>0.13</v>
      </c>
      <c r="K18" s="42">
        <f t="shared" si="7"/>
        <v>35.1</v>
      </c>
      <c r="L18" s="43">
        <f t="shared" si="8"/>
        <v>14299.9</v>
      </c>
      <c r="M18" s="43"/>
      <c r="N18" s="43">
        <f t="shared" si="9"/>
        <v>14299.9</v>
      </c>
      <c r="O18" s="43">
        <f t="shared" si="10"/>
        <v>1003.45</v>
      </c>
      <c r="P18" s="92">
        <v>35837</v>
      </c>
      <c r="Q18" s="92"/>
      <c r="R18" s="92">
        <f t="shared" si="11"/>
        <v>0</v>
      </c>
      <c r="S18" s="62"/>
      <c r="T18" s="62"/>
      <c r="U18" s="62"/>
      <c r="V18" s="62"/>
    </row>
    <row r="19" spans="1:22">
      <c r="A19" s="389"/>
      <c r="B19" s="92" t="s">
        <v>19</v>
      </c>
      <c r="C19" s="92" t="s">
        <v>91</v>
      </c>
      <c r="D19" s="42" t="s">
        <v>16</v>
      </c>
      <c r="E19" s="92" t="s">
        <v>1010</v>
      </c>
      <c r="F19" s="92">
        <v>520</v>
      </c>
      <c r="G19" s="92"/>
      <c r="H19" s="92">
        <v>14790</v>
      </c>
      <c r="I19" s="134">
        <f>H19/53</f>
        <v>279.05660377358492</v>
      </c>
      <c r="J19" s="92">
        <v>0.13</v>
      </c>
      <c r="K19" s="130">
        <f t="shared" si="7"/>
        <v>36.277358490566044</v>
      </c>
      <c r="L19" s="43">
        <f t="shared" si="8"/>
        <v>14753.722641509434</v>
      </c>
      <c r="M19" s="43"/>
      <c r="N19" s="43">
        <f t="shared" si="9"/>
        <v>14753.722641509434</v>
      </c>
      <c r="O19" s="43">
        <f t="shared" si="10"/>
        <v>1035.3</v>
      </c>
      <c r="P19" s="92">
        <v>37100</v>
      </c>
      <c r="Q19" s="92"/>
      <c r="R19" s="92">
        <f t="shared" si="11"/>
        <v>0</v>
      </c>
      <c r="S19" s="62"/>
      <c r="T19" s="62"/>
      <c r="U19" s="62"/>
    </row>
    <row r="20" spans="1:22">
      <c r="A20" s="389"/>
      <c r="B20" s="92" t="s">
        <v>19</v>
      </c>
      <c r="C20" s="92" t="s">
        <v>91</v>
      </c>
      <c r="D20" s="42" t="s">
        <v>16</v>
      </c>
      <c r="E20" s="92" t="s">
        <v>1011</v>
      </c>
      <c r="F20" s="92">
        <v>515</v>
      </c>
      <c r="G20" s="92"/>
      <c r="H20" s="92">
        <v>15500</v>
      </c>
      <c r="I20" s="92">
        <v>292</v>
      </c>
      <c r="J20" s="92">
        <v>0.13</v>
      </c>
      <c r="K20" s="42">
        <f t="shared" si="7"/>
        <v>37.96</v>
      </c>
      <c r="L20" s="43">
        <f t="shared" si="8"/>
        <v>15462.04</v>
      </c>
      <c r="M20" s="43"/>
      <c r="N20" s="43">
        <f t="shared" si="9"/>
        <v>15462.04</v>
      </c>
      <c r="O20" s="43">
        <f t="shared" si="10"/>
        <v>1085</v>
      </c>
      <c r="P20" s="92">
        <v>38775</v>
      </c>
      <c r="Q20" s="92"/>
      <c r="R20" s="92">
        <f t="shared" si="11"/>
        <v>0</v>
      </c>
      <c r="S20" s="62"/>
      <c r="T20" s="62"/>
      <c r="U20" s="62"/>
    </row>
    <row r="21" spans="1:22">
      <c r="A21" s="62"/>
      <c r="B21" s="62"/>
      <c r="C21" s="62"/>
      <c r="D21" s="62"/>
      <c r="E21" s="62"/>
      <c r="F21" s="62"/>
      <c r="G21" s="62"/>
      <c r="H21" s="62"/>
      <c r="I21" s="62"/>
      <c r="J21" s="62"/>
      <c r="K21" s="62"/>
      <c r="L21" s="66">
        <f>SUM(L14:L20)</f>
        <v>104062.94264150943</v>
      </c>
      <c r="M21" s="62"/>
      <c r="N21" s="131">
        <f t="shared" si="9"/>
        <v>104062.94264150943</v>
      </c>
      <c r="O21" s="62"/>
      <c r="P21" s="62"/>
      <c r="Q21" s="62"/>
      <c r="R21" s="132">
        <f t="shared" si="11"/>
        <v>0</v>
      </c>
      <c r="S21" s="62"/>
      <c r="T21" s="62"/>
      <c r="U21" s="62"/>
    </row>
    <row r="22" spans="1:22">
      <c r="A22" s="62"/>
      <c r="B22" s="62"/>
      <c r="C22" s="62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</row>
    <row r="23" spans="1:22">
      <c r="A23" s="62"/>
      <c r="B23" s="67"/>
      <c r="C23" s="67"/>
      <c r="D23" s="67"/>
      <c r="E23" s="67"/>
      <c r="F23" s="67"/>
      <c r="G23" s="67"/>
      <c r="H23" s="67"/>
      <c r="I23" s="67"/>
      <c r="J23" s="67"/>
      <c r="K23" s="67"/>
      <c r="L23" s="68"/>
      <c r="M23" s="68"/>
      <c r="N23" s="67"/>
      <c r="O23" s="67"/>
      <c r="P23" s="67"/>
      <c r="Q23" s="67"/>
      <c r="R23" s="62"/>
      <c r="S23" s="62"/>
      <c r="T23" s="62"/>
      <c r="U23" s="62"/>
    </row>
    <row r="24" spans="1:22">
      <c r="A24" s="62"/>
      <c r="B24" s="62"/>
      <c r="C24" s="62"/>
      <c r="D24" s="62"/>
      <c r="E24" s="6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</row>
    <row r="25" spans="1:22">
      <c r="A25" s="62"/>
      <c r="B25" s="62"/>
      <c r="C25" s="62"/>
      <c r="D25" s="62"/>
      <c r="E25" s="62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</row>
  </sheetData>
  <mergeCells count="2">
    <mergeCell ref="A8:A10"/>
    <mergeCell ref="A14:A20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5:V24"/>
  <sheetViews>
    <sheetView topLeftCell="A4" workbookViewId="0">
      <selection activeCell="L25" sqref="L25"/>
    </sheetView>
  </sheetViews>
  <sheetFormatPr defaultRowHeight="14.4"/>
  <cols>
    <col min="1" max="1" width="8.88671875" style="1"/>
    <col min="2" max="2" width="17.21875" style="1" customWidth="1"/>
    <col min="3" max="3" width="8.88671875" style="1"/>
    <col min="4" max="4" width="5.5546875" style="1" customWidth="1"/>
    <col min="5" max="5" width="9.7773437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2" ht="20.399999999999999">
      <c r="A5" s="58" t="s">
        <v>3</v>
      </c>
      <c r="B5" s="58" t="s">
        <v>4</v>
      </c>
      <c r="C5" s="58" t="s">
        <v>5</v>
      </c>
      <c r="D5" s="58" t="s">
        <v>6</v>
      </c>
      <c r="E5" s="58" t="s">
        <v>37</v>
      </c>
      <c r="F5" s="59" t="s">
        <v>7</v>
      </c>
      <c r="G5" s="58" t="s">
        <v>8</v>
      </c>
      <c r="H5" s="58" t="s">
        <v>9</v>
      </c>
      <c r="I5" s="58" t="s">
        <v>10</v>
      </c>
      <c r="J5" s="59" t="s">
        <v>18</v>
      </c>
      <c r="K5" s="59" t="s">
        <v>17</v>
      </c>
      <c r="L5" s="58" t="s">
        <v>11</v>
      </c>
      <c r="M5" s="59" t="s">
        <v>36</v>
      </c>
      <c r="N5" s="58" t="s">
        <v>12</v>
      </c>
      <c r="O5" s="58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258</v>
      </c>
    </row>
    <row r="6" spans="1:22">
      <c r="A6" s="69"/>
      <c r="B6" s="67"/>
      <c r="C6" s="67"/>
      <c r="D6" s="67"/>
      <c r="E6" s="67"/>
      <c r="F6" s="67"/>
      <c r="G6" s="67"/>
      <c r="H6" s="67"/>
      <c r="I6" s="67"/>
      <c r="J6" s="67"/>
      <c r="K6" s="67"/>
      <c r="L6" s="68"/>
      <c r="M6" s="68"/>
      <c r="N6" s="67"/>
      <c r="O6" s="67"/>
      <c r="P6" s="67"/>
      <c r="Q6" s="67"/>
      <c r="R6" s="62"/>
      <c r="S6" s="62"/>
      <c r="T6" s="62"/>
      <c r="U6" s="77"/>
      <c r="V6" s="62"/>
    </row>
    <row r="7" spans="1:22">
      <c r="A7" s="30"/>
      <c r="B7" s="42"/>
      <c r="C7" s="42"/>
      <c r="D7" s="42"/>
      <c r="E7" s="42"/>
      <c r="F7" s="42"/>
      <c r="G7" s="42"/>
      <c r="H7" s="42"/>
      <c r="I7" s="42"/>
      <c r="J7" s="42"/>
      <c r="K7" s="42"/>
      <c r="L7" s="43"/>
      <c r="M7" s="43"/>
      <c r="N7" s="43"/>
      <c r="O7" s="43"/>
      <c r="P7" s="42"/>
      <c r="Q7" s="42"/>
      <c r="R7" s="42"/>
      <c r="S7" s="21"/>
      <c r="T7" s="62"/>
      <c r="U7" s="62"/>
      <c r="V7" s="62"/>
    </row>
    <row r="8" spans="1:22">
      <c r="A8" s="391" t="s">
        <v>1631</v>
      </c>
      <c r="B8" s="42" t="s">
        <v>1172</v>
      </c>
      <c r="C8" s="42" t="s">
        <v>91</v>
      </c>
      <c r="D8" s="42" t="s">
        <v>16</v>
      </c>
      <c r="E8" s="42" t="s">
        <v>433</v>
      </c>
      <c r="F8" s="42">
        <v>67</v>
      </c>
      <c r="G8" s="42"/>
      <c r="H8" s="42">
        <v>15040</v>
      </c>
      <c r="I8" s="42">
        <v>301</v>
      </c>
      <c r="J8" s="42">
        <v>0.13</v>
      </c>
      <c r="K8" s="42">
        <f t="shared" ref="K8" si="0">I8*J8</f>
        <v>39.130000000000003</v>
      </c>
      <c r="L8" s="43">
        <f t="shared" ref="L8:L9" si="1">H8-K8</f>
        <v>15000.87</v>
      </c>
      <c r="M8" s="43"/>
      <c r="N8" s="43">
        <f t="shared" ref="N8:N9" si="2">L8-M8</f>
        <v>15000.87</v>
      </c>
      <c r="O8" s="43">
        <f t="shared" ref="O8:O9" si="3">H8/1000*70</f>
        <v>1052.8</v>
      </c>
      <c r="P8" s="42">
        <v>0</v>
      </c>
      <c r="Q8" s="42">
        <v>14.5</v>
      </c>
      <c r="R8" s="42">
        <f t="shared" ref="R8:R9" si="4">L8*Q8</f>
        <v>217512.61500000002</v>
      </c>
      <c r="S8" s="44"/>
      <c r="T8" s="62"/>
      <c r="U8" s="62"/>
      <c r="V8" s="62"/>
    </row>
    <row r="9" spans="1:22">
      <c r="A9" s="392"/>
      <c r="B9" s="42" t="s">
        <v>1172</v>
      </c>
      <c r="C9" s="42" t="s">
        <v>91</v>
      </c>
      <c r="D9" s="42" t="s">
        <v>16</v>
      </c>
      <c r="E9" s="42" t="s">
        <v>1632</v>
      </c>
      <c r="F9" s="42">
        <v>66</v>
      </c>
      <c r="G9" s="42"/>
      <c r="H9" s="42">
        <v>15230</v>
      </c>
      <c r="I9" s="42">
        <v>304</v>
      </c>
      <c r="J9" s="42">
        <v>0.13</v>
      </c>
      <c r="K9" s="42">
        <v>40</v>
      </c>
      <c r="L9" s="43">
        <f t="shared" si="1"/>
        <v>15190</v>
      </c>
      <c r="M9" s="43"/>
      <c r="N9" s="43">
        <f t="shared" si="2"/>
        <v>15190</v>
      </c>
      <c r="O9" s="43">
        <f t="shared" si="3"/>
        <v>1066.1000000000001</v>
      </c>
      <c r="P9" s="42">
        <v>0</v>
      </c>
      <c r="Q9" s="42">
        <v>14.5</v>
      </c>
      <c r="R9" s="42">
        <f t="shared" si="4"/>
        <v>220255</v>
      </c>
      <c r="S9" s="44"/>
      <c r="T9" s="62"/>
      <c r="U9" s="62"/>
      <c r="V9" s="62"/>
    </row>
    <row r="10" spans="1:22">
      <c r="A10" s="188"/>
      <c r="B10" s="42"/>
      <c r="C10" s="42"/>
      <c r="D10" s="42"/>
      <c r="E10" s="42"/>
      <c r="F10" s="42"/>
      <c r="G10" s="42"/>
      <c r="H10" s="42"/>
      <c r="I10" s="42"/>
      <c r="J10" s="42"/>
      <c r="K10" s="42"/>
      <c r="L10" s="43"/>
      <c r="M10" s="43"/>
      <c r="N10" s="43"/>
      <c r="O10" s="43"/>
      <c r="P10" s="42"/>
      <c r="Q10" s="42"/>
      <c r="R10" s="42"/>
      <c r="S10" s="21"/>
      <c r="T10" s="62"/>
      <c r="U10" s="62"/>
      <c r="V10" s="62"/>
    </row>
    <row r="11" spans="1:22">
      <c r="A11" s="389" t="s">
        <v>1636</v>
      </c>
      <c r="B11" s="42" t="s">
        <v>1172</v>
      </c>
      <c r="C11" s="42" t="s">
        <v>91</v>
      </c>
      <c r="D11" s="42" t="s">
        <v>16</v>
      </c>
      <c r="E11" s="42" t="s">
        <v>1268</v>
      </c>
      <c r="F11" s="42">
        <v>71</v>
      </c>
      <c r="G11" s="42"/>
      <c r="H11" s="42">
        <v>15060</v>
      </c>
      <c r="I11" s="42">
        <v>283</v>
      </c>
      <c r="J11" s="42">
        <v>0.13</v>
      </c>
      <c r="K11" s="42">
        <v>37</v>
      </c>
      <c r="L11" s="43">
        <f t="shared" ref="L11:L22" si="5">H11-K11</f>
        <v>15023</v>
      </c>
      <c r="M11" s="43"/>
      <c r="N11" s="43">
        <f t="shared" ref="N11:N22" si="6">L11-M11</f>
        <v>15023</v>
      </c>
      <c r="O11" s="43">
        <f t="shared" ref="O11:O22" si="7">H11/1000*70</f>
        <v>1054.2</v>
      </c>
      <c r="P11" s="42">
        <v>0</v>
      </c>
      <c r="Q11" s="42">
        <v>14.5</v>
      </c>
      <c r="R11" s="42">
        <f t="shared" ref="R11:R22" si="8">L11*Q11</f>
        <v>217833.5</v>
      </c>
      <c r="S11" s="21"/>
      <c r="T11" s="62"/>
      <c r="U11" s="62"/>
      <c r="V11" s="62"/>
    </row>
    <row r="12" spans="1:22">
      <c r="A12" s="389"/>
      <c r="B12" s="42" t="s">
        <v>1172</v>
      </c>
      <c r="C12" s="42" t="s">
        <v>91</v>
      </c>
      <c r="D12" s="42" t="s">
        <v>16</v>
      </c>
      <c r="E12" s="42" t="s">
        <v>1641</v>
      </c>
      <c r="F12" s="42">
        <v>72</v>
      </c>
      <c r="G12" s="42"/>
      <c r="H12" s="42">
        <v>15030</v>
      </c>
      <c r="I12" s="42">
        <v>302</v>
      </c>
      <c r="J12" s="42">
        <v>0.13</v>
      </c>
      <c r="K12" s="42">
        <v>39</v>
      </c>
      <c r="L12" s="43">
        <f t="shared" si="5"/>
        <v>14991</v>
      </c>
      <c r="M12" s="43"/>
      <c r="N12" s="43">
        <f t="shared" si="6"/>
        <v>14991</v>
      </c>
      <c r="O12" s="43">
        <f t="shared" si="7"/>
        <v>1052.0999999999999</v>
      </c>
      <c r="P12" s="189">
        <v>0</v>
      </c>
      <c r="Q12" s="189">
        <v>14.5</v>
      </c>
      <c r="R12" s="42">
        <f t="shared" si="8"/>
        <v>217369.5</v>
      </c>
      <c r="S12" s="21"/>
      <c r="T12" s="62"/>
      <c r="U12" s="62"/>
      <c r="V12" s="62"/>
    </row>
    <row r="13" spans="1:22">
      <c r="A13" s="389" t="s">
        <v>1654</v>
      </c>
      <c r="B13" s="42" t="s">
        <v>1172</v>
      </c>
      <c r="C13" s="42" t="s">
        <v>91</v>
      </c>
      <c r="D13" s="42" t="s">
        <v>16</v>
      </c>
      <c r="E13" s="42" t="s">
        <v>1660</v>
      </c>
      <c r="F13" s="42">
        <v>69</v>
      </c>
      <c r="G13" s="42"/>
      <c r="H13" s="42">
        <v>15110</v>
      </c>
      <c r="I13" s="42">
        <v>300</v>
      </c>
      <c r="J13" s="42">
        <v>0.13</v>
      </c>
      <c r="K13" s="42">
        <f t="shared" ref="K13:K17" si="9">I13*J13</f>
        <v>39</v>
      </c>
      <c r="L13" s="43">
        <f t="shared" si="5"/>
        <v>15071</v>
      </c>
      <c r="M13" s="43"/>
      <c r="N13" s="43">
        <f t="shared" si="6"/>
        <v>15071</v>
      </c>
      <c r="O13" s="43">
        <f t="shared" si="7"/>
        <v>1057.7</v>
      </c>
      <c r="P13" s="193">
        <v>0</v>
      </c>
      <c r="Q13" s="193">
        <v>14.5</v>
      </c>
      <c r="R13" s="42">
        <f t="shared" si="8"/>
        <v>218529.5</v>
      </c>
      <c r="S13" s="21"/>
      <c r="T13" s="62"/>
      <c r="U13" s="77"/>
      <c r="V13" s="62"/>
    </row>
    <row r="14" spans="1:22">
      <c r="A14" s="389"/>
      <c r="B14" s="42" t="s">
        <v>1172</v>
      </c>
      <c r="C14" s="42" t="s">
        <v>91</v>
      </c>
      <c r="D14" s="42" t="s">
        <v>16</v>
      </c>
      <c r="E14" s="42" t="s">
        <v>1661</v>
      </c>
      <c r="F14" s="42">
        <v>68</v>
      </c>
      <c r="G14" s="42"/>
      <c r="H14" s="42">
        <v>15490</v>
      </c>
      <c r="I14" s="42">
        <v>308</v>
      </c>
      <c r="J14" s="42">
        <v>0.13</v>
      </c>
      <c r="K14" s="42">
        <f t="shared" si="9"/>
        <v>40.04</v>
      </c>
      <c r="L14" s="43">
        <f t="shared" si="5"/>
        <v>15449.96</v>
      </c>
      <c r="M14" s="43"/>
      <c r="N14" s="43">
        <f t="shared" si="6"/>
        <v>15449.96</v>
      </c>
      <c r="O14" s="43">
        <f t="shared" si="7"/>
        <v>1084.3</v>
      </c>
      <c r="P14" s="193">
        <v>0</v>
      </c>
      <c r="Q14" s="193">
        <v>14.5</v>
      </c>
      <c r="R14" s="42">
        <f t="shared" si="8"/>
        <v>224024.41999999998</v>
      </c>
      <c r="S14" s="21"/>
      <c r="T14" s="62"/>
      <c r="U14" s="62"/>
      <c r="V14" s="62"/>
    </row>
    <row r="15" spans="1:22">
      <c r="A15" s="89" t="s">
        <v>1664</v>
      </c>
      <c r="B15" s="42" t="s">
        <v>1172</v>
      </c>
      <c r="C15" s="42" t="s">
        <v>91</v>
      </c>
      <c r="D15" s="42" t="s">
        <v>16</v>
      </c>
      <c r="E15" s="42" t="s">
        <v>1669</v>
      </c>
      <c r="F15" s="42">
        <v>90</v>
      </c>
      <c r="G15" s="42"/>
      <c r="H15" s="42">
        <v>15060</v>
      </c>
      <c r="I15" s="42">
        <v>302</v>
      </c>
      <c r="J15" s="42">
        <v>0.13</v>
      </c>
      <c r="K15" s="42">
        <f t="shared" si="9"/>
        <v>39.26</v>
      </c>
      <c r="L15" s="43">
        <f t="shared" si="5"/>
        <v>15020.74</v>
      </c>
      <c r="M15" s="43"/>
      <c r="N15" s="43">
        <f t="shared" si="6"/>
        <v>15020.74</v>
      </c>
      <c r="O15" s="43">
        <f t="shared" si="7"/>
        <v>1054.2</v>
      </c>
      <c r="P15" s="194">
        <v>0</v>
      </c>
      <c r="Q15" s="194">
        <v>14.5</v>
      </c>
      <c r="R15" s="42">
        <f t="shared" si="8"/>
        <v>217800.73</v>
      </c>
      <c r="S15" s="21"/>
      <c r="T15" s="62"/>
      <c r="U15" s="62"/>
      <c r="V15" s="62"/>
    </row>
    <row r="16" spans="1:22">
      <c r="A16" s="89" t="s">
        <v>1689</v>
      </c>
      <c r="B16" s="42" t="s">
        <v>1172</v>
      </c>
      <c r="C16" s="42" t="s">
        <v>91</v>
      </c>
      <c r="D16" s="42" t="s">
        <v>16</v>
      </c>
      <c r="E16" s="42" t="s">
        <v>1641</v>
      </c>
      <c r="F16" s="42">
        <v>73</v>
      </c>
      <c r="G16" s="42"/>
      <c r="H16" s="42">
        <v>16180</v>
      </c>
      <c r="I16" s="42">
        <v>300</v>
      </c>
      <c r="J16" s="42">
        <v>0.13</v>
      </c>
      <c r="K16" s="42">
        <f t="shared" si="9"/>
        <v>39</v>
      </c>
      <c r="L16" s="43">
        <f t="shared" si="5"/>
        <v>16141</v>
      </c>
      <c r="M16" s="43"/>
      <c r="N16" s="43">
        <f t="shared" si="6"/>
        <v>16141</v>
      </c>
      <c r="O16" s="43">
        <f t="shared" si="7"/>
        <v>1132.5999999999999</v>
      </c>
      <c r="P16" s="200">
        <v>0</v>
      </c>
      <c r="Q16" s="200">
        <v>14.4</v>
      </c>
      <c r="R16" s="42">
        <f t="shared" si="8"/>
        <v>232430.4</v>
      </c>
      <c r="S16" s="62"/>
      <c r="T16" s="62"/>
      <c r="U16" s="62"/>
      <c r="V16" s="62"/>
    </row>
    <row r="17" spans="1:22">
      <c r="A17" s="89" t="s">
        <v>1691</v>
      </c>
      <c r="B17" s="42" t="s">
        <v>1172</v>
      </c>
      <c r="C17" s="42" t="s">
        <v>91</v>
      </c>
      <c r="D17" s="42" t="s">
        <v>16</v>
      </c>
      <c r="E17" s="42" t="s">
        <v>1692</v>
      </c>
      <c r="F17" s="42">
        <v>86</v>
      </c>
      <c r="G17" s="42"/>
      <c r="H17" s="42">
        <v>15110</v>
      </c>
      <c r="I17" s="42">
        <v>240</v>
      </c>
      <c r="J17" s="42">
        <v>0.13</v>
      </c>
      <c r="K17" s="42">
        <f t="shared" si="9"/>
        <v>31.200000000000003</v>
      </c>
      <c r="L17" s="43">
        <f t="shared" si="5"/>
        <v>15078.8</v>
      </c>
      <c r="M17" s="43"/>
      <c r="N17" s="43">
        <f t="shared" si="6"/>
        <v>15078.8</v>
      </c>
      <c r="O17" s="43">
        <f t="shared" si="7"/>
        <v>1057.7</v>
      </c>
      <c r="P17" s="201">
        <v>0</v>
      </c>
      <c r="Q17" s="201">
        <v>14.4</v>
      </c>
      <c r="R17" s="42">
        <f t="shared" si="8"/>
        <v>217134.72</v>
      </c>
      <c r="S17" s="62"/>
      <c r="T17" s="62"/>
      <c r="U17" s="62"/>
      <c r="V17" s="62"/>
    </row>
    <row r="18" spans="1:22">
      <c r="A18" s="89" t="s">
        <v>1796</v>
      </c>
      <c r="B18" s="42" t="s">
        <v>1172</v>
      </c>
      <c r="C18" s="42" t="s">
        <v>91</v>
      </c>
      <c r="D18" s="42" t="s">
        <v>16</v>
      </c>
      <c r="E18" s="42" t="s">
        <v>1798</v>
      </c>
      <c r="F18" s="42">
        <v>76</v>
      </c>
      <c r="G18" s="42"/>
      <c r="H18" s="42">
        <v>16070</v>
      </c>
      <c r="I18" s="42">
        <v>290</v>
      </c>
      <c r="J18" s="42">
        <v>0.13</v>
      </c>
      <c r="K18" s="42">
        <v>38</v>
      </c>
      <c r="L18" s="43">
        <f t="shared" si="5"/>
        <v>16032</v>
      </c>
      <c r="M18" s="43"/>
      <c r="N18" s="43">
        <f t="shared" si="6"/>
        <v>16032</v>
      </c>
      <c r="O18" s="43">
        <f t="shared" si="7"/>
        <v>1124.9000000000001</v>
      </c>
      <c r="P18" s="219">
        <v>0</v>
      </c>
      <c r="Q18" s="219">
        <v>14.4</v>
      </c>
      <c r="R18" s="42">
        <f t="shared" si="8"/>
        <v>230860.80000000002</v>
      </c>
      <c r="S18" s="62"/>
      <c r="T18" s="62"/>
      <c r="U18" s="62"/>
      <c r="V18" s="62"/>
    </row>
    <row r="19" spans="1:22">
      <c r="A19" s="389" t="s">
        <v>1800</v>
      </c>
      <c r="B19" s="42" t="s">
        <v>1172</v>
      </c>
      <c r="C19" s="42" t="s">
        <v>91</v>
      </c>
      <c r="D19" s="42" t="s">
        <v>16</v>
      </c>
      <c r="E19" s="42" t="s">
        <v>1268</v>
      </c>
      <c r="F19" s="42">
        <v>77</v>
      </c>
      <c r="G19" s="42"/>
      <c r="H19" s="42">
        <v>14990</v>
      </c>
      <c r="I19" s="42">
        <v>275</v>
      </c>
      <c r="J19" s="42">
        <v>0.13</v>
      </c>
      <c r="K19" s="42">
        <v>36</v>
      </c>
      <c r="L19" s="43">
        <f t="shared" si="5"/>
        <v>14954</v>
      </c>
      <c r="M19" s="43"/>
      <c r="N19" s="43">
        <f t="shared" si="6"/>
        <v>14954</v>
      </c>
      <c r="O19" s="43">
        <f t="shared" si="7"/>
        <v>1049.3</v>
      </c>
      <c r="P19" s="220">
        <v>0</v>
      </c>
      <c r="Q19" s="220">
        <v>14.4</v>
      </c>
      <c r="R19" s="42">
        <f t="shared" si="8"/>
        <v>215337.60000000001</v>
      </c>
      <c r="S19" s="62"/>
      <c r="T19" s="62"/>
      <c r="U19" s="62"/>
    </row>
    <row r="20" spans="1:22">
      <c r="A20" s="389"/>
      <c r="B20" s="42" t="s">
        <v>1172</v>
      </c>
      <c r="C20" s="42" t="s">
        <v>91</v>
      </c>
      <c r="D20" s="42" t="s">
        <v>16</v>
      </c>
      <c r="E20" s="42" t="s">
        <v>1802</v>
      </c>
      <c r="F20" s="42">
        <v>78</v>
      </c>
      <c r="G20" s="42"/>
      <c r="H20" s="42">
        <v>15010</v>
      </c>
      <c r="I20" s="42">
        <v>275</v>
      </c>
      <c r="J20" s="42">
        <v>0.13</v>
      </c>
      <c r="K20" s="42">
        <v>36</v>
      </c>
      <c r="L20" s="43">
        <f t="shared" si="5"/>
        <v>14974</v>
      </c>
      <c r="M20" s="43"/>
      <c r="N20" s="43">
        <f t="shared" si="6"/>
        <v>14974</v>
      </c>
      <c r="O20" s="43">
        <f t="shared" si="7"/>
        <v>1050.7</v>
      </c>
      <c r="P20" s="220">
        <v>0</v>
      </c>
      <c r="Q20" s="220">
        <v>14.4</v>
      </c>
      <c r="R20" s="42">
        <f t="shared" si="8"/>
        <v>215625.60000000001</v>
      </c>
      <c r="S20" s="62"/>
      <c r="T20" s="62"/>
      <c r="U20" s="62"/>
    </row>
    <row r="21" spans="1:22">
      <c r="A21" s="374" t="s">
        <v>1810</v>
      </c>
      <c r="B21" s="42" t="s">
        <v>1172</v>
      </c>
      <c r="C21" s="42" t="s">
        <v>91</v>
      </c>
      <c r="D21" s="42" t="s">
        <v>16</v>
      </c>
      <c r="E21" s="42" t="s">
        <v>1805</v>
      </c>
      <c r="F21" s="42">
        <v>80</v>
      </c>
      <c r="G21" s="42"/>
      <c r="H21" s="42">
        <v>15480</v>
      </c>
      <c r="I21" s="42">
        <v>292</v>
      </c>
      <c r="J21" s="42">
        <v>0.13</v>
      </c>
      <c r="K21" s="42">
        <v>38</v>
      </c>
      <c r="L21" s="43">
        <f t="shared" si="5"/>
        <v>15442</v>
      </c>
      <c r="M21" s="43"/>
      <c r="N21" s="43">
        <f t="shared" si="6"/>
        <v>15442</v>
      </c>
      <c r="O21" s="43">
        <f t="shared" si="7"/>
        <v>1083.6000000000001</v>
      </c>
      <c r="P21" s="221">
        <v>0</v>
      </c>
      <c r="Q21" s="221">
        <v>14.4</v>
      </c>
      <c r="R21" s="42">
        <f t="shared" si="8"/>
        <v>222364.80000000002</v>
      </c>
      <c r="S21" s="62"/>
      <c r="T21" s="62"/>
      <c r="U21" s="62"/>
    </row>
    <row r="22" spans="1:22">
      <c r="A22" s="374"/>
      <c r="B22" s="42" t="s">
        <v>1172</v>
      </c>
      <c r="C22" s="42" t="s">
        <v>91</v>
      </c>
      <c r="D22" s="42" t="s">
        <v>16</v>
      </c>
      <c r="E22" s="42" t="s">
        <v>1661</v>
      </c>
      <c r="F22" s="42">
        <v>79</v>
      </c>
      <c r="G22" s="42"/>
      <c r="H22" s="42">
        <v>15510</v>
      </c>
      <c r="I22" s="42">
        <v>290</v>
      </c>
      <c r="J22" s="42">
        <v>0.13</v>
      </c>
      <c r="K22" s="42">
        <v>38</v>
      </c>
      <c r="L22" s="43">
        <f t="shared" si="5"/>
        <v>15472</v>
      </c>
      <c r="M22" s="43"/>
      <c r="N22" s="43">
        <f t="shared" si="6"/>
        <v>15472</v>
      </c>
      <c r="O22" s="43">
        <f t="shared" si="7"/>
        <v>1085.7</v>
      </c>
      <c r="P22" s="221">
        <v>0</v>
      </c>
      <c r="Q22" s="221">
        <v>14.4</v>
      </c>
      <c r="R22" s="42">
        <f t="shared" si="8"/>
        <v>222796.80000000002</v>
      </c>
      <c r="S22" s="62"/>
      <c r="T22" s="62"/>
      <c r="U22" s="62"/>
    </row>
    <row r="23" spans="1:22">
      <c r="A23" s="62"/>
      <c r="B23" s="67"/>
      <c r="C23" s="67"/>
      <c r="D23" s="67"/>
      <c r="E23" s="67"/>
      <c r="F23" s="67"/>
      <c r="G23" s="67"/>
      <c r="H23" s="67"/>
      <c r="I23" s="67"/>
      <c r="J23" s="67"/>
      <c r="K23" s="67"/>
      <c r="L23" s="68"/>
      <c r="M23" s="68"/>
      <c r="N23" s="67"/>
      <c r="O23" s="67"/>
      <c r="P23" s="67"/>
      <c r="Q23" s="67"/>
      <c r="R23" s="62"/>
      <c r="S23" s="62"/>
      <c r="T23" s="62"/>
      <c r="U23" s="62"/>
    </row>
    <row r="24" spans="1:22">
      <c r="A24" s="62"/>
      <c r="B24" s="62"/>
      <c r="C24" s="62"/>
      <c r="D24" s="62"/>
      <c r="E24" s="6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</row>
  </sheetData>
  <mergeCells count="5">
    <mergeCell ref="A8:A9"/>
    <mergeCell ref="A11:A12"/>
    <mergeCell ref="A13:A14"/>
    <mergeCell ref="A19:A20"/>
    <mergeCell ref="A21:A22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5:V17"/>
  <sheetViews>
    <sheetView topLeftCell="A4" workbookViewId="0">
      <selection activeCell="H25" sqref="H25"/>
    </sheetView>
  </sheetViews>
  <sheetFormatPr defaultRowHeight="14.4"/>
  <cols>
    <col min="1" max="1" width="8.88671875" style="1"/>
    <col min="2" max="2" width="17.21875" style="1" customWidth="1"/>
    <col min="3" max="3" width="8.88671875" style="1"/>
    <col min="4" max="4" width="5.5546875" style="1" customWidth="1"/>
    <col min="5" max="5" width="9.7773437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2" ht="20.399999999999999">
      <c r="A5" s="58" t="s">
        <v>3</v>
      </c>
      <c r="B5" s="58" t="s">
        <v>4</v>
      </c>
      <c r="C5" s="58" t="s">
        <v>5</v>
      </c>
      <c r="D5" s="58" t="s">
        <v>6</v>
      </c>
      <c r="E5" s="58" t="s">
        <v>37</v>
      </c>
      <c r="F5" s="59" t="s">
        <v>7</v>
      </c>
      <c r="G5" s="58" t="s">
        <v>8</v>
      </c>
      <c r="H5" s="58" t="s">
        <v>9</v>
      </c>
      <c r="I5" s="58" t="s">
        <v>10</v>
      </c>
      <c r="J5" s="59" t="s">
        <v>18</v>
      </c>
      <c r="K5" s="59" t="s">
        <v>17</v>
      </c>
      <c r="L5" s="58" t="s">
        <v>11</v>
      </c>
      <c r="M5" s="59" t="s">
        <v>36</v>
      </c>
      <c r="N5" s="58" t="s">
        <v>12</v>
      </c>
      <c r="O5" s="58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258</v>
      </c>
    </row>
    <row r="6" spans="1:22">
      <c r="A6" s="69"/>
      <c r="B6" s="67"/>
      <c r="C6" s="67"/>
      <c r="D6" s="67"/>
      <c r="E6" s="67"/>
      <c r="F6" s="67"/>
      <c r="G6" s="67"/>
      <c r="H6" s="67"/>
      <c r="I6" s="67"/>
      <c r="J6" s="67"/>
      <c r="K6" s="67"/>
      <c r="L6" s="68"/>
      <c r="M6" s="68"/>
      <c r="N6" s="67"/>
      <c r="O6" s="67"/>
      <c r="P6" s="67"/>
      <c r="Q6" s="67"/>
      <c r="R6" s="62"/>
      <c r="S6" s="62"/>
      <c r="T6" s="62"/>
      <c r="U6" s="77"/>
      <c r="V6" s="62"/>
    </row>
    <row r="7" spans="1:22">
      <c r="A7" s="30"/>
      <c r="B7" s="42"/>
      <c r="C7" s="42"/>
      <c r="D7" s="42"/>
      <c r="E7" s="42"/>
      <c r="F7" s="42"/>
      <c r="G7" s="42"/>
      <c r="H7" s="42"/>
      <c r="I7" s="42"/>
      <c r="J7" s="42"/>
      <c r="K7" s="42"/>
      <c r="L7" s="43"/>
      <c r="M7" s="43"/>
      <c r="N7" s="43"/>
      <c r="O7" s="43"/>
      <c r="P7" s="42"/>
      <c r="Q7" s="42"/>
      <c r="R7" s="42"/>
      <c r="S7" s="21"/>
      <c r="T7" s="62"/>
      <c r="U7" s="62"/>
      <c r="V7" s="62"/>
    </row>
    <row r="8" spans="1:22">
      <c r="A8" s="62"/>
      <c r="B8" s="67"/>
      <c r="C8" s="67"/>
      <c r="D8" s="67"/>
      <c r="E8" s="67"/>
      <c r="F8" s="67"/>
      <c r="G8" s="67"/>
      <c r="H8" s="67"/>
      <c r="I8" s="67"/>
      <c r="J8" s="67"/>
      <c r="K8" s="67"/>
      <c r="L8" s="68"/>
      <c r="M8" s="68"/>
      <c r="N8" s="67"/>
      <c r="O8" s="67"/>
      <c r="P8" s="67"/>
      <c r="Q8" s="67"/>
      <c r="R8" s="62"/>
      <c r="S8" s="62"/>
      <c r="T8" s="62"/>
      <c r="U8" s="62"/>
    </row>
    <row r="9" spans="1:22">
      <c r="A9" s="62"/>
      <c r="B9" s="62"/>
      <c r="C9" s="62"/>
      <c r="D9" s="62"/>
      <c r="E9" s="62"/>
      <c r="F9" s="62"/>
      <c r="G9" s="62"/>
      <c r="H9" s="62"/>
      <c r="I9" s="62"/>
      <c r="J9" s="62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</row>
    <row r="10" spans="1:22">
      <c r="A10" s="62" t="s">
        <v>2998</v>
      </c>
      <c r="B10" s="42" t="s">
        <v>2999</v>
      </c>
      <c r="C10" s="42" t="s">
        <v>91</v>
      </c>
      <c r="D10" s="42" t="s">
        <v>16</v>
      </c>
      <c r="E10" s="42" t="s">
        <v>3000</v>
      </c>
      <c r="F10" s="42">
        <v>2241</v>
      </c>
      <c r="G10" s="42"/>
      <c r="H10" s="42">
        <v>20180</v>
      </c>
      <c r="I10" s="42">
        <v>385</v>
      </c>
      <c r="J10" s="42">
        <v>0.13</v>
      </c>
      <c r="K10" s="43">
        <f t="shared" ref="K10" si="0">I10*J10</f>
        <v>50.050000000000004</v>
      </c>
      <c r="L10" s="43">
        <f t="shared" ref="L10" si="1">H10-K10</f>
        <v>20129.95</v>
      </c>
      <c r="M10" s="43"/>
      <c r="N10" s="43">
        <f t="shared" ref="N10" si="2">L10-M10</f>
        <v>20129.95</v>
      </c>
      <c r="O10" s="43">
        <f t="shared" ref="O10" si="3">H10/1000*70</f>
        <v>1412.6</v>
      </c>
      <c r="P10" s="42">
        <v>11000</v>
      </c>
      <c r="Q10" s="42">
        <v>13.2</v>
      </c>
      <c r="R10" s="42">
        <f t="shared" ref="R10" si="4">L10*Q10</f>
        <v>265715.33999999997</v>
      </c>
      <c r="S10" s="62"/>
      <c r="T10" s="62"/>
      <c r="U10" s="62"/>
    </row>
    <row r="12" spans="1:22">
      <c r="A12" s="1" t="s">
        <v>3044</v>
      </c>
      <c r="B12" s="42" t="s">
        <v>2999</v>
      </c>
      <c r="C12" s="42" t="s">
        <v>91</v>
      </c>
      <c r="D12" s="42" t="s">
        <v>16</v>
      </c>
      <c r="E12" s="42" t="s">
        <v>3047</v>
      </c>
      <c r="F12" s="42">
        <v>2240</v>
      </c>
      <c r="G12" s="42"/>
      <c r="H12" s="42">
        <v>20640</v>
      </c>
      <c r="I12" s="42">
        <v>400</v>
      </c>
      <c r="J12" s="42">
        <v>0.13</v>
      </c>
      <c r="K12" s="43">
        <f t="shared" ref="K12" si="5">I12*J12</f>
        <v>52</v>
      </c>
      <c r="L12" s="43">
        <f t="shared" ref="L12" si="6">H12-K12</f>
        <v>20588</v>
      </c>
      <c r="M12" s="43"/>
      <c r="N12" s="43">
        <f t="shared" ref="N12" si="7">L12-M12</f>
        <v>20588</v>
      </c>
      <c r="O12" s="43">
        <f t="shared" ref="O12" si="8">H12/1000*70</f>
        <v>1444.8</v>
      </c>
      <c r="P12" s="42">
        <v>15000</v>
      </c>
      <c r="Q12" s="42">
        <v>13.2</v>
      </c>
      <c r="R12" s="42">
        <f t="shared" ref="R12" si="9">L12*Q12</f>
        <v>271761.59999999998</v>
      </c>
    </row>
    <row r="14" spans="1:22">
      <c r="B14" s="42" t="s">
        <v>356</v>
      </c>
      <c r="C14" s="42" t="s">
        <v>91</v>
      </c>
      <c r="D14" s="42" t="s">
        <v>16</v>
      </c>
      <c r="E14" s="47" t="s">
        <v>3677</v>
      </c>
      <c r="F14" s="47">
        <v>435</v>
      </c>
      <c r="G14" s="47"/>
      <c r="H14" s="47">
        <v>17740</v>
      </c>
      <c r="I14" s="47">
        <v>355</v>
      </c>
      <c r="J14" s="47">
        <v>0.13</v>
      </c>
      <c r="K14" s="43">
        <f t="shared" ref="K14" si="10">I14*J14</f>
        <v>46.15</v>
      </c>
      <c r="L14" s="43">
        <f t="shared" ref="L14" si="11">H14-K14</f>
        <v>17693.849999999999</v>
      </c>
      <c r="M14" s="43"/>
      <c r="N14" s="43">
        <f t="shared" ref="N14" si="12">L14-M14</f>
        <v>17693.849999999999</v>
      </c>
      <c r="O14" s="43">
        <f t="shared" ref="O14" si="13">H14/1000*70</f>
        <v>1241.8</v>
      </c>
      <c r="P14" s="42">
        <v>13000</v>
      </c>
      <c r="Q14" s="42"/>
      <c r="R14" s="42">
        <f t="shared" ref="R14" si="14">L14*Q14</f>
        <v>0</v>
      </c>
      <c r="S14" s="42"/>
    </row>
    <row r="17" spans="2:19">
      <c r="B17" s="42" t="s">
        <v>3833</v>
      </c>
      <c r="C17" s="42" t="s">
        <v>91</v>
      </c>
      <c r="D17" s="42" t="s">
        <v>16</v>
      </c>
      <c r="E17" s="47" t="s">
        <v>749</v>
      </c>
      <c r="F17" s="47">
        <v>24</v>
      </c>
      <c r="G17" s="47"/>
      <c r="H17" s="47">
        <v>14800</v>
      </c>
      <c r="I17" s="47">
        <f>H17/50</f>
        <v>296</v>
      </c>
      <c r="J17" s="47">
        <v>0.13</v>
      </c>
      <c r="K17" s="43">
        <f t="shared" ref="K17" si="15">I17*J17</f>
        <v>38.480000000000004</v>
      </c>
      <c r="L17" s="43">
        <f t="shared" ref="L17" si="16">H17-K17</f>
        <v>14761.52</v>
      </c>
      <c r="M17" s="43"/>
      <c r="N17" s="43">
        <f t="shared" ref="N17" si="17">L17-M17</f>
        <v>14761.52</v>
      </c>
      <c r="O17" s="43">
        <f t="shared" ref="O17" si="18">H17/1000*70</f>
        <v>1036</v>
      </c>
      <c r="P17" s="42">
        <v>17500</v>
      </c>
      <c r="Q17" s="42"/>
      <c r="R17" s="42">
        <f t="shared" ref="R17" si="19">L17*Q17</f>
        <v>0</v>
      </c>
      <c r="S17" s="85"/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5:V11"/>
  <sheetViews>
    <sheetView topLeftCell="A4" workbookViewId="0">
      <selection activeCell="A12" sqref="A12"/>
    </sheetView>
  </sheetViews>
  <sheetFormatPr defaultRowHeight="14.4"/>
  <cols>
    <col min="1" max="1" width="8.88671875" style="1"/>
    <col min="2" max="2" width="17.21875" style="1" customWidth="1"/>
    <col min="3" max="3" width="8.88671875" style="1"/>
    <col min="4" max="4" width="5.5546875" style="1" customWidth="1"/>
    <col min="5" max="5" width="9.7773437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2" ht="20.399999999999999">
      <c r="A5" s="58" t="s">
        <v>3</v>
      </c>
      <c r="B5" s="58" t="s">
        <v>4</v>
      </c>
      <c r="C5" s="58" t="s">
        <v>5</v>
      </c>
      <c r="D5" s="58" t="s">
        <v>6</v>
      </c>
      <c r="E5" s="58" t="s">
        <v>37</v>
      </c>
      <c r="F5" s="59" t="s">
        <v>7</v>
      </c>
      <c r="G5" s="58" t="s">
        <v>8</v>
      </c>
      <c r="H5" s="58" t="s">
        <v>9</v>
      </c>
      <c r="I5" s="58" t="s">
        <v>10</v>
      </c>
      <c r="J5" s="59" t="s">
        <v>18</v>
      </c>
      <c r="K5" s="59" t="s">
        <v>17</v>
      </c>
      <c r="L5" s="58" t="s">
        <v>11</v>
      </c>
      <c r="M5" s="59" t="s">
        <v>36</v>
      </c>
      <c r="N5" s="58" t="s">
        <v>12</v>
      </c>
      <c r="O5" s="58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258</v>
      </c>
    </row>
    <row r="6" spans="1:22">
      <c r="A6" s="69"/>
      <c r="B6" s="67"/>
      <c r="C6" s="67"/>
      <c r="D6" s="67"/>
      <c r="E6" s="67"/>
      <c r="F6" s="67"/>
      <c r="G6" s="67"/>
      <c r="H6" s="67"/>
      <c r="I6" s="67"/>
      <c r="J6" s="67"/>
      <c r="K6" s="67"/>
      <c r="L6" s="68"/>
      <c r="M6" s="68"/>
      <c r="N6" s="67"/>
      <c r="O6" s="67"/>
      <c r="P6" s="67"/>
      <c r="Q6" s="67"/>
      <c r="R6" s="62"/>
      <c r="S6" s="62"/>
      <c r="T6" s="62"/>
      <c r="U6" s="77"/>
      <c r="V6" s="62"/>
    </row>
    <row r="7" spans="1:22">
      <c r="A7" s="30"/>
      <c r="B7" s="42"/>
      <c r="C7" s="42"/>
      <c r="D7" s="42"/>
      <c r="E7" s="42"/>
      <c r="F7" s="42"/>
      <c r="G7" s="42"/>
      <c r="H7" s="42"/>
      <c r="I7" s="42"/>
      <c r="J7" s="42"/>
      <c r="K7" s="42"/>
      <c r="L7" s="43"/>
      <c r="M7" s="43"/>
      <c r="N7" s="43"/>
      <c r="O7" s="43"/>
      <c r="P7" s="42"/>
      <c r="Q7" s="42"/>
      <c r="R7" s="42"/>
      <c r="S7" s="21"/>
      <c r="T7" s="62"/>
      <c r="U7" s="62"/>
      <c r="V7" s="62"/>
    </row>
    <row r="8" spans="1:22">
      <c r="A8" s="62"/>
      <c r="B8" s="67"/>
      <c r="C8" s="67"/>
      <c r="D8" s="67"/>
      <c r="E8" s="67"/>
      <c r="F8" s="67"/>
      <c r="G8" s="67"/>
      <c r="H8" s="67"/>
      <c r="I8" s="67"/>
      <c r="J8" s="67"/>
      <c r="K8" s="67"/>
      <c r="L8" s="68"/>
      <c r="M8" s="68"/>
      <c r="N8" s="67"/>
      <c r="O8" s="67"/>
      <c r="P8" s="67"/>
      <c r="Q8" s="67"/>
      <c r="R8" s="62"/>
      <c r="S8" s="62"/>
      <c r="T8" s="62"/>
      <c r="U8" s="62"/>
    </row>
    <row r="9" spans="1:22">
      <c r="A9" s="62"/>
      <c r="B9" s="62"/>
      <c r="C9" s="62"/>
      <c r="D9" s="62"/>
      <c r="E9" s="62"/>
      <c r="F9" s="62"/>
      <c r="G9" s="62"/>
      <c r="H9" s="62"/>
      <c r="I9" s="62"/>
      <c r="J9" s="62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</row>
    <row r="11" spans="1:22">
      <c r="A11" s="1" t="s">
        <v>3831</v>
      </c>
      <c r="B11" s="42" t="s">
        <v>3833</v>
      </c>
      <c r="C11" s="42" t="s">
        <v>91</v>
      </c>
      <c r="D11" s="42" t="s">
        <v>16</v>
      </c>
      <c r="E11" s="47" t="s">
        <v>749</v>
      </c>
      <c r="F11" s="47">
        <v>24</v>
      </c>
      <c r="G11" s="47"/>
      <c r="H11" s="47">
        <v>14800</v>
      </c>
      <c r="I11" s="47">
        <f>H11/50</f>
        <v>296</v>
      </c>
      <c r="J11" s="47">
        <v>0.13</v>
      </c>
      <c r="K11" s="43">
        <f t="shared" ref="K11" si="0">I11*J11</f>
        <v>38.480000000000004</v>
      </c>
      <c r="L11" s="43">
        <f t="shared" ref="L11" si="1">H11-K11</f>
        <v>14761.52</v>
      </c>
      <c r="M11" s="43"/>
      <c r="N11" s="43">
        <f t="shared" ref="N11" si="2">L11-M11</f>
        <v>14761.52</v>
      </c>
      <c r="O11" s="43">
        <f t="shared" ref="O11" si="3">H11/1000*70</f>
        <v>1036</v>
      </c>
      <c r="P11" s="42">
        <v>17500</v>
      </c>
      <c r="Q11" s="42"/>
      <c r="R11" s="42">
        <f t="shared" ref="R11" si="4">L11*Q11</f>
        <v>0</v>
      </c>
      <c r="S11" s="85"/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5:V21"/>
  <sheetViews>
    <sheetView topLeftCell="A4" workbookViewId="0">
      <selection activeCell="A22" sqref="A22"/>
    </sheetView>
  </sheetViews>
  <sheetFormatPr defaultRowHeight="14.4"/>
  <cols>
    <col min="1" max="1" width="8.88671875" style="1"/>
    <col min="2" max="2" width="17.21875" style="1" customWidth="1"/>
    <col min="3" max="3" width="8.88671875" style="1"/>
    <col min="4" max="4" width="5.5546875" style="1" customWidth="1"/>
    <col min="5" max="5" width="9.7773437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2" ht="20.399999999999999">
      <c r="A5" s="58" t="s">
        <v>3</v>
      </c>
      <c r="B5" s="58" t="s">
        <v>4</v>
      </c>
      <c r="C5" s="58" t="s">
        <v>5</v>
      </c>
      <c r="D5" s="58" t="s">
        <v>6</v>
      </c>
      <c r="E5" s="58" t="s">
        <v>37</v>
      </c>
      <c r="F5" s="59" t="s">
        <v>7</v>
      </c>
      <c r="G5" s="58" t="s">
        <v>8</v>
      </c>
      <c r="H5" s="58" t="s">
        <v>9</v>
      </c>
      <c r="I5" s="58" t="s">
        <v>10</v>
      </c>
      <c r="J5" s="59" t="s">
        <v>18</v>
      </c>
      <c r="K5" s="59" t="s">
        <v>17</v>
      </c>
      <c r="L5" s="58" t="s">
        <v>11</v>
      </c>
      <c r="M5" s="59" t="s">
        <v>36</v>
      </c>
      <c r="N5" s="58" t="s">
        <v>12</v>
      </c>
      <c r="O5" s="58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258</v>
      </c>
    </row>
    <row r="6" spans="1:22">
      <c r="A6" s="69"/>
      <c r="B6" s="67"/>
      <c r="C6" s="67"/>
      <c r="D6" s="67"/>
      <c r="E6" s="67"/>
      <c r="F6" s="67"/>
      <c r="G6" s="67"/>
      <c r="H6" s="67"/>
      <c r="I6" s="67"/>
      <c r="J6" s="67"/>
      <c r="K6" s="67"/>
      <c r="L6" s="68"/>
      <c r="M6" s="68"/>
      <c r="N6" s="67"/>
      <c r="O6" s="67"/>
      <c r="P6" s="67"/>
      <c r="Q6" s="67"/>
      <c r="R6" s="62"/>
      <c r="S6" s="62"/>
      <c r="T6" s="62"/>
      <c r="U6" s="77"/>
      <c r="V6" s="62"/>
    </row>
    <row r="7" spans="1:22">
      <c r="A7" s="30"/>
      <c r="B7" s="42"/>
      <c r="C7" s="42"/>
      <c r="D7" s="42"/>
      <c r="E7" s="42"/>
      <c r="F7" s="42"/>
      <c r="G7" s="42"/>
      <c r="H7" s="42"/>
      <c r="I7" s="42"/>
      <c r="J7" s="42"/>
      <c r="K7" s="42"/>
      <c r="L7" s="43"/>
      <c r="M7" s="43"/>
      <c r="N7" s="43"/>
      <c r="O7" s="43"/>
      <c r="P7" s="42"/>
      <c r="Q7" s="42"/>
      <c r="R7" s="42"/>
      <c r="S7" s="21"/>
      <c r="T7" s="62"/>
      <c r="U7" s="62"/>
      <c r="V7" s="62"/>
    </row>
    <row r="8" spans="1:22">
      <c r="A8" s="62"/>
      <c r="B8" s="67"/>
      <c r="C8" s="67"/>
      <c r="D8" s="67"/>
      <c r="E8" s="67"/>
      <c r="F8" s="67"/>
      <c r="G8" s="67"/>
      <c r="H8" s="67"/>
      <c r="I8" s="67"/>
      <c r="J8" s="67"/>
      <c r="K8" s="67"/>
      <c r="L8" s="68"/>
      <c r="M8" s="68"/>
      <c r="N8" s="67"/>
      <c r="O8" s="67"/>
      <c r="P8" s="67"/>
      <c r="Q8" s="67"/>
      <c r="R8" s="62"/>
      <c r="S8" s="62"/>
      <c r="T8" s="62"/>
      <c r="U8" s="62"/>
    </row>
    <row r="9" spans="1:22">
      <c r="A9" s="62"/>
      <c r="B9" s="62"/>
      <c r="C9" s="62"/>
      <c r="D9" s="62"/>
      <c r="E9" s="62"/>
      <c r="F9" s="62"/>
      <c r="G9" s="62"/>
      <c r="H9" s="62"/>
      <c r="I9" s="62"/>
      <c r="J9" s="62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</row>
    <row r="11" spans="1:22">
      <c r="A11" s="1" t="s">
        <v>3676</v>
      </c>
      <c r="B11" s="42" t="s">
        <v>356</v>
      </c>
      <c r="C11" s="42" t="s">
        <v>91</v>
      </c>
      <c r="D11" s="42" t="s">
        <v>16</v>
      </c>
      <c r="E11" s="47" t="s">
        <v>3677</v>
      </c>
      <c r="F11" s="47">
        <v>435</v>
      </c>
      <c r="G11" s="47"/>
      <c r="H11" s="47">
        <v>17740</v>
      </c>
      <c r="I11" s="47">
        <v>355</v>
      </c>
      <c r="J11" s="47">
        <v>0.13</v>
      </c>
      <c r="K11" s="43">
        <f t="shared" ref="K11" si="0">I11*J11</f>
        <v>46.15</v>
      </c>
      <c r="L11" s="43">
        <f t="shared" ref="L11" si="1">H11-K11</f>
        <v>17693.849999999999</v>
      </c>
      <c r="M11" s="43"/>
      <c r="N11" s="43">
        <f t="shared" ref="N11" si="2">L11-M11</f>
        <v>17693.849999999999</v>
      </c>
      <c r="O11" s="43">
        <f t="shared" ref="O11" si="3">H11/1000*70</f>
        <v>1241.8</v>
      </c>
      <c r="P11" s="42">
        <v>13000</v>
      </c>
      <c r="Q11" s="42"/>
      <c r="R11" s="42">
        <f t="shared" ref="R11" si="4">L11*Q11</f>
        <v>0</v>
      </c>
      <c r="S11" s="42"/>
    </row>
    <row r="13" spans="1:22">
      <c r="A13" s="1" t="s">
        <v>3693</v>
      </c>
      <c r="B13" s="42" t="s">
        <v>356</v>
      </c>
      <c r="C13" s="42" t="s">
        <v>91</v>
      </c>
      <c r="D13" s="42" t="s">
        <v>16</v>
      </c>
      <c r="E13" s="47" t="s">
        <v>3696</v>
      </c>
      <c r="F13" s="47">
        <v>437</v>
      </c>
      <c r="G13" s="47"/>
      <c r="H13" s="47">
        <v>15110</v>
      </c>
      <c r="I13" s="47">
        <v>302</v>
      </c>
      <c r="J13" s="47">
        <v>0.13</v>
      </c>
      <c r="K13" s="43">
        <f t="shared" ref="K13" si="5">I13*J13</f>
        <v>39.26</v>
      </c>
      <c r="L13" s="43">
        <f t="shared" ref="L13" si="6">H13-K13</f>
        <v>15070.74</v>
      </c>
      <c r="M13" s="43"/>
      <c r="N13" s="43">
        <f t="shared" ref="N13" si="7">L13-M13</f>
        <v>15070.74</v>
      </c>
      <c r="O13" s="43">
        <f t="shared" ref="O13" si="8">H13/1000*70</f>
        <v>1057.7</v>
      </c>
      <c r="P13" s="42">
        <v>10500</v>
      </c>
      <c r="Q13" s="42">
        <v>21.4</v>
      </c>
      <c r="R13" s="42">
        <f t="shared" ref="R13" si="9">L13*Q13</f>
        <v>322513.83599999995</v>
      </c>
    </row>
    <row r="15" spans="1:22">
      <c r="A15" s="1" t="s">
        <v>3700</v>
      </c>
      <c r="B15" s="42" t="s">
        <v>356</v>
      </c>
      <c r="C15" s="42" t="s">
        <v>91</v>
      </c>
      <c r="D15" s="42" t="s">
        <v>16</v>
      </c>
      <c r="E15" s="47" t="s">
        <v>3701</v>
      </c>
      <c r="F15" s="47">
        <v>440</v>
      </c>
      <c r="G15" s="47"/>
      <c r="H15" s="47">
        <v>15050</v>
      </c>
      <c r="I15" s="47">
        <v>301</v>
      </c>
      <c r="J15" s="47">
        <v>0.13</v>
      </c>
      <c r="K15" s="43">
        <f t="shared" ref="K15" si="10">I15*J15</f>
        <v>39.130000000000003</v>
      </c>
      <c r="L15" s="43">
        <f t="shared" ref="L15" si="11">H15-K15</f>
        <v>15010.87</v>
      </c>
      <c r="M15" s="43"/>
      <c r="N15" s="43">
        <f t="shared" ref="N15" si="12">L15-M15</f>
        <v>15010.87</v>
      </c>
      <c r="O15" s="43">
        <f t="shared" ref="O15" si="13">H15/1000*70</f>
        <v>1053.5</v>
      </c>
      <c r="P15" s="42">
        <v>10500</v>
      </c>
      <c r="Q15" s="42">
        <v>21.4</v>
      </c>
      <c r="R15" s="42">
        <f t="shared" ref="R15" si="14">L15*Q15</f>
        <v>321232.61800000002</v>
      </c>
    </row>
    <row r="17" spans="1:18">
      <c r="A17" s="1" t="s">
        <v>3734</v>
      </c>
      <c r="B17" s="42" t="s">
        <v>356</v>
      </c>
      <c r="C17" s="42" t="s">
        <v>91</v>
      </c>
      <c r="D17" s="42" t="s">
        <v>16</v>
      </c>
      <c r="E17" s="47" t="s">
        <v>3701</v>
      </c>
      <c r="F17" s="47">
        <v>357</v>
      </c>
      <c r="G17" s="47"/>
      <c r="H17" s="47">
        <v>14870</v>
      </c>
      <c r="I17" s="47">
        <v>297</v>
      </c>
      <c r="J17" s="47">
        <v>0.13</v>
      </c>
      <c r="K17" s="43">
        <f t="shared" ref="K17" si="15">I17*J17</f>
        <v>38.61</v>
      </c>
      <c r="L17" s="43">
        <f t="shared" ref="L17" si="16">H17-K17</f>
        <v>14831.39</v>
      </c>
      <c r="M17" s="43"/>
      <c r="N17" s="43">
        <f t="shared" ref="N17" si="17">L17-M17</f>
        <v>14831.39</v>
      </c>
      <c r="O17" s="43">
        <f t="shared" ref="O17" si="18">H17/1000*70</f>
        <v>1040.8999999999999</v>
      </c>
      <c r="P17" s="42">
        <v>11000</v>
      </c>
      <c r="Q17" s="42"/>
      <c r="R17" s="42">
        <f t="shared" ref="R17" si="19">L17*Q17</f>
        <v>0</v>
      </c>
    </row>
    <row r="19" spans="1:18">
      <c r="A19" s="374" t="s">
        <v>3744</v>
      </c>
      <c r="B19" s="42" t="s">
        <v>356</v>
      </c>
      <c r="C19" s="42" t="s">
        <v>91</v>
      </c>
      <c r="D19" s="42" t="s">
        <v>16</v>
      </c>
      <c r="E19" s="47" t="s">
        <v>3745</v>
      </c>
      <c r="F19" s="47">
        <v>359</v>
      </c>
      <c r="G19" s="47"/>
      <c r="H19" s="47">
        <v>15010</v>
      </c>
      <c r="I19" s="47">
        <v>300</v>
      </c>
      <c r="J19" s="47">
        <v>0.13</v>
      </c>
      <c r="K19" s="43">
        <f t="shared" ref="K19:K21" si="20">I19*J19</f>
        <v>39</v>
      </c>
      <c r="L19" s="43">
        <f t="shared" ref="L19:L21" si="21">H19-K19</f>
        <v>14971</v>
      </c>
      <c r="M19" s="43"/>
      <c r="N19" s="43">
        <f t="shared" ref="N19:N21" si="22">L19-M19</f>
        <v>14971</v>
      </c>
      <c r="O19" s="43">
        <f t="shared" ref="O19:O21" si="23">H19/1000*70</f>
        <v>1050.7</v>
      </c>
      <c r="P19" s="42">
        <v>10000</v>
      </c>
      <c r="Q19" s="42"/>
      <c r="R19" s="42">
        <f t="shared" ref="R19:R21" si="24">L19*Q19</f>
        <v>0</v>
      </c>
    </row>
    <row r="20" spans="1:18">
      <c r="A20" s="374"/>
      <c r="B20" s="42" t="s">
        <v>356</v>
      </c>
      <c r="C20" s="42" t="s">
        <v>91</v>
      </c>
      <c r="D20" s="42" t="s">
        <v>16</v>
      </c>
      <c r="E20" s="47" t="s">
        <v>1632</v>
      </c>
      <c r="F20" s="47">
        <v>362</v>
      </c>
      <c r="G20" s="47"/>
      <c r="H20" s="47">
        <v>14980</v>
      </c>
      <c r="I20" s="47">
        <v>300</v>
      </c>
      <c r="J20" s="47">
        <v>0.13</v>
      </c>
      <c r="K20" s="43">
        <f t="shared" si="20"/>
        <v>39</v>
      </c>
      <c r="L20" s="43">
        <f t="shared" si="21"/>
        <v>14941</v>
      </c>
      <c r="M20" s="43"/>
      <c r="N20" s="43">
        <f t="shared" si="22"/>
        <v>14941</v>
      </c>
      <c r="O20" s="43">
        <f t="shared" si="23"/>
        <v>1048.6000000000001</v>
      </c>
      <c r="P20" s="42">
        <v>10500</v>
      </c>
      <c r="Q20" s="42"/>
      <c r="R20" s="42">
        <f t="shared" si="24"/>
        <v>0</v>
      </c>
    </row>
    <row r="21" spans="1:18">
      <c r="A21" s="1" t="s">
        <v>3775</v>
      </c>
      <c r="B21" s="42" t="s">
        <v>356</v>
      </c>
      <c r="C21" s="42" t="s">
        <v>91</v>
      </c>
      <c r="D21" s="42" t="s">
        <v>16</v>
      </c>
      <c r="E21" s="47" t="s">
        <v>1268</v>
      </c>
      <c r="F21" s="47">
        <v>368</v>
      </c>
      <c r="G21" s="47"/>
      <c r="H21" s="47">
        <v>14470</v>
      </c>
      <c r="I21" s="47">
        <v>290</v>
      </c>
      <c r="J21" s="47">
        <v>0.13</v>
      </c>
      <c r="K21" s="43">
        <f t="shared" si="20"/>
        <v>37.700000000000003</v>
      </c>
      <c r="L21" s="43">
        <f t="shared" si="21"/>
        <v>14432.3</v>
      </c>
      <c r="M21" s="43"/>
      <c r="N21" s="43">
        <f t="shared" si="22"/>
        <v>14432.3</v>
      </c>
      <c r="O21" s="43">
        <f t="shared" si="23"/>
        <v>1012.9000000000001</v>
      </c>
      <c r="P21" s="42">
        <v>10700</v>
      </c>
      <c r="Q21" s="42">
        <v>20.5</v>
      </c>
      <c r="R21" s="42">
        <f t="shared" si="24"/>
        <v>295862.14999999997</v>
      </c>
    </row>
  </sheetData>
  <mergeCells count="1">
    <mergeCell ref="A19:A20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5:U67"/>
  <sheetViews>
    <sheetView topLeftCell="A46" workbookViewId="0">
      <selection activeCell="A63" sqref="A63:R64"/>
    </sheetView>
  </sheetViews>
  <sheetFormatPr defaultRowHeight="14.4"/>
  <cols>
    <col min="1" max="1" width="8.88671875" style="1"/>
    <col min="2" max="2" width="17.21875" style="1" customWidth="1"/>
    <col min="3" max="3" width="8.88671875" style="1"/>
    <col min="4" max="4" width="5.5546875" style="1" customWidth="1"/>
    <col min="5" max="5" width="9.7773437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0.399999999999999">
      <c r="A5" s="58" t="s">
        <v>3</v>
      </c>
      <c r="B5" s="58" t="s">
        <v>4</v>
      </c>
      <c r="C5" s="58" t="s">
        <v>5</v>
      </c>
      <c r="D5" s="58" t="s">
        <v>6</v>
      </c>
      <c r="E5" s="58" t="s">
        <v>37</v>
      </c>
      <c r="F5" s="59" t="s">
        <v>7</v>
      </c>
      <c r="G5" s="58" t="s">
        <v>8</v>
      </c>
      <c r="H5" s="58" t="s">
        <v>9</v>
      </c>
      <c r="I5" s="58" t="s">
        <v>10</v>
      </c>
      <c r="J5" s="59" t="s">
        <v>18</v>
      </c>
      <c r="K5" s="59" t="s">
        <v>17</v>
      </c>
      <c r="L5" s="58" t="s">
        <v>11</v>
      </c>
      <c r="M5" s="59" t="s">
        <v>36</v>
      </c>
      <c r="N5" s="58" t="s">
        <v>12</v>
      </c>
      <c r="O5" s="58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258</v>
      </c>
    </row>
    <row r="6" spans="1:21">
      <c r="A6" s="31" t="s">
        <v>443</v>
      </c>
      <c r="B6" s="42" t="s">
        <v>19</v>
      </c>
      <c r="C6" s="42" t="s">
        <v>444</v>
      </c>
      <c r="D6" s="42" t="s">
        <v>16</v>
      </c>
      <c r="E6" s="42" t="s">
        <v>445</v>
      </c>
      <c r="F6" s="42">
        <v>607</v>
      </c>
      <c r="G6" s="42"/>
      <c r="H6" s="42">
        <v>17330</v>
      </c>
      <c r="I6" s="42">
        <v>414</v>
      </c>
      <c r="J6" s="42">
        <v>0.13</v>
      </c>
      <c r="K6" s="42">
        <f t="shared" ref="K6:K20" si="0">I6*J6</f>
        <v>53.82</v>
      </c>
      <c r="L6" s="43">
        <f t="shared" ref="L6:L20" si="1">H6-K6</f>
        <v>17276.18</v>
      </c>
      <c r="M6" s="43">
        <f t="shared" ref="M6:M20" si="2">H6/1000*70</f>
        <v>1213.0999999999999</v>
      </c>
      <c r="N6" s="42">
        <v>37000</v>
      </c>
      <c r="O6" s="42">
        <v>1</v>
      </c>
      <c r="P6" s="42">
        <v>12</v>
      </c>
      <c r="Q6" s="42"/>
      <c r="R6" s="80"/>
      <c r="S6" s="80"/>
      <c r="T6" s="80"/>
      <c r="U6" s="81"/>
    </row>
    <row r="7" spans="1:21">
      <c r="A7" s="31" t="s">
        <v>448</v>
      </c>
      <c r="B7" s="42" t="s">
        <v>19</v>
      </c>
      <c r="C7" s="42" t="s">
        <v>444</v>
      </c>
      <c r="D7" s="42" t="s">
        <v>16</v>
      </c>
      <c r="E7" s="42" t="s">
        <v>450</v>
      </c>
      <c r="F7" s="42">
        <v>239</v>
      </c>
      <c r="G7" s="42"/>
      <c r="H7" s="42">
        <v>16410</v>
      </c>
      <c r="I7" s="42">
        <v>339</v>
      </c>
      <c r="J7" s="42">
        <v>0.13</v>
      </c>
      <c r="K7" s="42">
        <f t="shared" si="0"/>
        <v>44.07</v>
      </c>
      <c r="L7" s="43">
        <f t="shared" si="1"/>
        <v>16365.93</v>
      </c>
      <c r="M7" s="43">
        <f t="shared" si="2"/>
        <v>1148.7</v>
      </c>
      <c r="N7" s="42">
        <v>27000</v>
      </c>
      <c r="O7" s="42">
        <v>2</v>
      </c>
      <c r="P7" s="42">
        <v>12</v>
      </c>
      <c r="Q7" s="62"/>
      <c r="R7" s="62"/>
      <c r="S7" s="62"/>
      <c r="T7" s="62"/>
      <c r="U7" s="62"/>
    </row>
    <row r="8" spans="1:21">
      <c r="A8" s="31" t="s">
        <v>452</v>
      </c>
      <c r="B8" s="42" t="s">
        <v>19</v>
      </c>
      <c r="C8" s="42" t="s">
        <v>444</v>
      </c>
      <c r="D8" s="42" t="s">
        <v>16</v>
      </c>
      <c r="E8" s="42" t="s">
        <v>455</v>
      </c>
      <c r="F8" s="42">
        <v>244</v>
      </c>
      <c r="G8" s="42"/>
      <c r="H8" s="42">
        <v>17610</v>
      </c>
      <c r="I8" s="42">
        <v>380</v>
      </c>
      <c r="J8" s="42">
        <v>0.13</v>
      </c>
      <c r="K8" s="42">
        <f t="shared" si="0"/>
        <v>49.4</v>
      </c>
      <c r="L8" s="43">
        <f t="shared" si="1"/>
        <v>17560.599999999999</v>
      </c>
      <c r="M8" s="43">
        <f t="shared" si="2"/>
        <v>1232.7</v>
      </c>
      <c r="N8" s="42">
        <v>32500</v>
      </c>
      <c r="O8" s="42">
        <v>3</v>
      </c>
      <c r="P8" s="42">
        <v>12</v>
      </c>
      <c r="Q8" s="62"/>
      <c r="R8" s="62"/>
      <c r="S8" s="62"/>
      <c r="T8" s="62"/>
      <c r="U8" s="62"/>
    </row>
    <row r="9" spans="1:21">
      <c r="A9" s="376" t="s">
        <v>463</v>
      </c>
      <c r="B9" s="42" t="s">
        <v>19</v>
      </c>
      <c r="C9" s="42" t="s">
        <v>444</v>
      </c>
      <c r="D9" s="42" t="s">
        <v>16</v>
      </c>
      <c r="E9" s="42" t="s">
        <v>466</v>
      </c>
      <c r="F9" s="42">
        <v>245</v>
      </c>
      <c r="G9" s="42"/>
      <c r="H9" s="42">
        <v>16540</v>
      </c>
      <c r="I9" s="42">
        <v>346</v>
      </c>
      <c r="J9" s="42">
        <v>0.13</v>
      </c>
      <c r="K9" s="42">
        <f t="shared" si="0"/>
        <v>44.980000000000004</v>
      </c>
      <c r="L9" s="43">
        <f t="shared" si="1"/>
        <v>16495.02</v>
      </c>
      <c r="M9" s="43">
        <f t="shared" si="2"/>
        <v>1157.8</v>
      </c>
      <c r="N9" s="42">
        <v>27500</v>
      </c>
      <c r="O9" s="42">
        <v>4</v>
      </c>
      <c r="P9" s="42">
        <v>12</v>
      </c>
      <c r="Q9" s="62"/>
      <c r="R9" s="62"/>
      <c r="S9" s="62"/>
      <c r="T9" s="62"/>
      <c r="U9" s="62"/>
    </row>
    <row r="10" spans="1:21">
      <c r="A10" s="376"/>
      <c r="B10" s="42" t="s">
        <v>19</v>
      </c>
      <c r="C10" s="42" t="s">
        <v>444</v>
      </c>
      <c r="D10" s="42" t="s">
        <v>16</v>
      </c>
      <c r="E10" s="42" t="s">
        <v>467</v>
      </c>
      <c r="F10" s="42">
        <v>249</v>
      </c>
      <c r="G10" s="42"/>
      <c r="H10" s="42">
        <v>17040</v>
      </c>
      <c r="I10" s="42">
        <v>393</v>
      </c>
      <c r="J10" s="42">
        <v>0.13</v>
      </c>
      <c r="K10" s="42">
        <f t="shared" si="0"/>
        <v>51.09</v>
      </c>
      <c r="L10" s="43">
        <f t="shared" si="1"/>
        <v>16988.91</v>
      </c>
      <c r="M10" s="43">
        <f t="shared" si="2"/>
        <v>1192.8</v>
      </c>
      <c r="N10" s="42">
        <v>27500</v>
      </c>
      <c r="O10" s="42">
        <v>5</v>
      </c>
      <c r="P10" s="42">
        <v>12</v>
      </c>
      <c r="Q10" s="62"/>
      <c r="R10" s="62"/>
      <c r="S10" s="62"/>
      <c r="T10" s="62"/>
      <c r="U10" s="62"/>
    </row>
    <row r="11" spans="1:21">
      <c r="A11" s="86"/>
      <c r="B11" s="42"/>
      <c r="C11" s="42"/>
      <c r="D11" s="42"/>
      <c r="E11" s="42"/>
      <c r="F11" s="42"/>
      <c r="G11" s="42"/>
      <c r="H11" s="42"/>
      <c r="I11" s="42"/>
      <c r="J11" s="42"/>
      <c r="K11" s="42"/>
      <c r="L11" s="43">
        <f>SUM(L6:L10)</f>
        <v>84686.64</v>
      </c>
      <c r="M11" s="43">
        <f t="shared" ref="M11:N11" si="3">SUM(M6:M10)</f>
        <v>5945.1</v>
      </c>
      <c r="N11" s="43">
        <f t="shared" si="3"/>
        <v>151500</v>
      </c>
      <c r="O11" s="42"/>
      <c r="P11" s="42"/>
      <c r="Q11" s="62"/>
      <c r="R11" s="62"/>
      <c r="S11" s="62"/>
      <c r="T11" s="62"/>
      <c r="U11" s="62"/>
    </row>
    <row r="12" spans="1:21">
      <c r="A12" s="376" t="s">
        <v>468</v>
      </c>
      <c r="B12" s="42" t="s">
        <v>19</v>
      </c>
      <c r="C12" s="42" t="s">
        <v>444</v>
      </c>
      <c r="D12" s="42" t="s">
        <v>16</v>
      </c>
      <c r="E12" s="42" t="s">
        <v>471</v>
      </c>
      <c r="F12" s="42">
        <v>908</v>
      </c>
      <c r="G12" s="42"/>
      <c r="H12" s="42">
        <v>16830</v>
      </c>
      <c r="I12" s="42">
        <v>338</v>
      </c>
      <c r="J12" s="42">
        <v>0.13</v>
      </c>
      <c r="K12" s="42">
        <f t="shared" si="0"/>
        <v>43.940000000000005</v>
      </c>
      <c r="L12" s="43">
        <f t="shared" si="1"/>
        <v>16786.060000000001</v>
      </c>
      <c r="M12" s="43">
        <f t="shared" si="2"/>
        <v>1178.0999999999999</v>
      </c>
      <c r="N12" s="42">
        <v>27500</v>
      </c>
      <c r="O12" s="42">
        <v>6</v>
      </c>
      <c r="P12" s="42">
        <v>78</v>
      </c>
      <c r="Q12" s="62"/>
      <c r="R12" s="62"/>
      <c r="S12" s="62"/>
      <c r="T12" s="62"/>
      <c r="U12" s="62"/>
    </row>
    <row r="13" spans="1:21">
      <c r="A13" s="376"/>
      <c r="B13" s="42" t="s">
        <v>19</v>
      </c>
      <c r="C13" s="42" t="s">
        <v>444</v>
      </c>
      <c r="D13" s="42" t="s">
        <v>16</v>
      </c>
      <c r="E13" s="42" t="s">
        <v>472</v>
      </c>
      <c r="F13" s="42">
        <v>246</v>
      </c>
      <c r="G13" s="42"/>
      <c r="H13" s="42">
        <v>16570</v>
      </c>
      <c r="I13" s="42">
        <v>365</v>
      </c>
      <c r="J13" s="42">
        <v>0.13</v>
      </c>
      <c r="K13" s="42">
        <f t="shared" si="0"/>
        <v>47.45</v>
      </c>
      <c r="L13" s="43">
        <f t="shared" si="1"/>
        <v>16522.55</v>
      </c>
      <c r="M13" s="43">
        <f t="shared" si="2"/>
        <v>1159.9000000000001</v>
      </c>
      <c r="N13" s="42">
        <v>27500</v>
      </c>
      <c r="O13" s="42">
        <v>7</v>
      </c>
      <c r="P13" s="42">
        <v>78</v>
      </c>
      <c r="Q13" s="62"/>
      <c r="R13" s="62"/>
      <c r="S13" s="62"/>
      <c r="T13" s="62"/>
      <c r="U13" s="62"/>
    </row>
    <row r="14" spans="1:21">
      <c r="A14" s="376"/>
      <c r="B14" s="42" t="s">
        <v>19</v>
      </c>
      <c r="C14" s="42" t="s">
        <v>444</v>
      </c>
      <c r="D14" s="42" t="s">
        <v>16</v>
      </c>
      <c r="E14" s="42" t="s">
        <v>473</v>
      </c>
      <c r="F14" s="42">
        <v>763</v>
      </c>
      <c r="G14" s="42"/>
      <c r="H14" s="42">
        <v>16800</v>
      </c>
      <c r="I14" s="42">
        <v>385</v>
      </c>
      <c r="J14" s="42">
        <v>0.13</v>
      </c>
      <c r="K14" s="42">
        <f t="shared" si="0"/>
        <v>50.050000000000004</v>
      </c>
      <c r="L14" s="43">
        <f t="shared" si="1"/>
        <v>16749.95</v>
      </c>
      <c r="M14" s="43">
        <f t="shared" si="2"/>
        <v>1176</v>
      </c>
      <c r="N14" s="42">
        <v>27500</v>
      </c>
      <c r="O14" s="42">
        <v>8</v>
      </c>
      <c r="P14" s="42">
        <v>78</v>
      </c>
      <c r="Q14" s="62"/>
      <c r="R14" s="62"/>
      <c r="S14" s="62"/>
      <c r="T14" s="62"/>
      <c r="U14" s="77"/>
    </row>
    <row r="15" spans="1:21">
      <c r="A15" s="376"/>
      <c r="B15" s="42" t="s">
        <v>19</v>
      </c>
      <c r="C15" s="42" t="s">
        <v>444</v>
      </c>
      <c r="D15" s="42" t="s">
        <v>16</v>
      </c>
      <c r="E15" s="42" t="s">
        <v>474</v>
      </c>
      <c r="F15" s="42">
        <v>247</v>
      </c>
      <c r="G15" s="42"/>
      <c r="H15" s="42">
        <v>16640</v>
      </c>
      <c r="I15" s="42">
        <v>247</v>
      </c>
      <c r="J15" s="42">
        <v>0.13</v>
      </c>
      <c r="K15" s="42">
        <f t="shared" si="0"/>
        <v>32.11</v>
      </c>
      <c r="L15" s="43">
        <f t="shared" si="1"/>
        <v>16607.89</v>
      </c>
      <c r="M15" s="43">
        <f t="shared" si="2"/>
        <v>1164.8</v>
      </c>
      <c r="N15" s="42">
        <v>27500</v>
      </c>
      <c r="O15" s="42">
        <v>9</v>
      </c>
      <c r="P15" s="42">
        <v>78</v>
      </c>
      <c r="Q15" s="62"/>
      <c r="R15" s="62"/>
      <c r="S15" s="62"/>
      <c r="T15" s="62"/>
      <c r="U15" s="62"/>
    </row>
    <row r="16" spans="1:21">
      <c r="A16" s="386" t="s">
        <v>483</v>
      </c>
      <c r="B16" s="42" t="s">
        <v>19</v>
      </c>
      <c r="C16" s="42" t="s">
        <v>444</v>
      </c>
      <c r="D16" s="42" t="s">
        <v>16</v>
      </c>
      <c r="E16" s="42" t="s">
        <v>486</v>
      </c>
      <c r="F16" s="42">
        <v>783</v>
      </c>
      <c r="G16" s="42"/>
      <c r="H16" s="42">
        <v>14980</v>
      </c>
      <c r="I16" s="42">
        <v>342</v>
      </c>
      <c r="J16" s="42">
        <v>0.13</v>
      </c>
      <c r="K16" s="42">
        <f t="shared" si="0"/>
        <v>44.46</v>
      </c>
      <c r="L16" s="43">
        <f t="shared" si="1"/>
        <v>14935.54</v>
      </c>
      <c r="M16" s="43">
        <f t="shared" si="2"/>
        <v>1048.6000000000001</v>
      </c>
      <c r="N16" s="42">
        <v>29500</v>
      </c>
      <c r="O16" s="42">
        <v>10</v>
      </c>
      <c r="P16" s="42">
        <v>78</v>
      </c>
      <c r="Q16" s="62"/>
      <c r="R16" s="62"/>
      <c r="S16" s="62"/>
      <c r="T16" s="62"/>
      <c r="U16" s="62"/>
    </row>
    <row r="17" spans="1:21">
      <c r="A17" s="374"/>
      <c r="B17" s="42" t="s">
        <v>19</v>
      </c>
      <c r="C17" s="42" t="s">
        <v>444</v>
      </c>
      <c r="D17" s="42" t="s">
        <v>16</v>
      </c>
      <c r="E17" s="42" t="s">
        <v>487</v>
      </c>
      <c r="F17" s="42">
        <v>250</v>
      </c>
      <c r="G17" s="42"/>
      <c r="H17" s="42">
        <v>15840</v>
      </c>
      <c r="I17" s="42">
        <v>370</v>
      </c>
      <c r="J17" s="42">
        <v>0.13</v>
      </c>
      <c r="K17" s="42">
        <f t="shared" si="0"/>
        <v>48.1</v>
      </c>
      <c r="L17" s="43">
        <f t="shared" si="1"/>
        <v>15791.9</v>
      </c>
      <c r="M17" s="43">
        <f t="shared" si="2"/>
        <v>1108.8</v>
      </c>
      <c r="N17" s="42">
        <v>29500</v>
      </c>
      <c r="O17" s="42">
        <v>11</v>
      </c>
      <c r="P17" s="42">
        <v>78</v>
      </c>
      <c r="Q17" s="62"/>
      <c r="R17" s="62"/>
      <c r="S17" s="62"/>
      <c r="T17" s="62"/>
      <c r="U17" s="62"/>
    </row>
    <row r="18" spans="1:21">
      <c r="A18" s="387"/>
      <c r="B18" s="42" t="s">
        <v>19</v>
      </c>
      <c r="C18" s="42" t="s">
        <v>444</v>
      </c>
      <c r="D18" s="42" t="s">
        <v>16</v>
      </c>
      <c r="E18" s="42" t="s">
        <v>488</v>
      </c>
      <c r="F18" s="42">
        <v>782</v>
      </c>
      <c r="G18" s="42"/>
      <c r="H18" s="42">
        <v>16790</v>
      </c>
      <c r="I18" s="42">
        <v>380</v>
      </c>
      <c r="J18" s="42">
        <v>0.13</v>
      </c>
      <c r="K18" s="42">
        <f t="shared" si="0"/>
        <v>49.4</v>
      </c>
      <c r="L18" s="43">
        <f t="shared" si="1"/>
        <v>16740.599999999999</v>
      </c>
      <c r="M18" s="43">
        <f t="shared" si="2"/>
        <v>1175.3</v>
      </c>
      <c r="N18" s="42">
        <v>29500</v>
      </c>
      <c r="O18" s="42">
        <v>12</v>
      </c>
      <c r="P18" s="42">
        <v>78</v>
      </c>
      <c r="Q18" s="62"/>
      <c r="R18" s="62"/>
      <c r="S18" s="62"/>
      <c r="T18" s="62"/>
      <c r="U18" s="62"/>
    </row>
    <row r="19" spans="1:21">
      <c r="A19" s="375" t="s">
        <v>491</v>
      </c>
      <c r="B19" s="42" t="s">
        <v>19</v>
      </c>
      <c r="C19" s="42" t="s">
        <v>444</v>
      </c>
      <c r="D19" s="42" t="s">
        <v>16</v>
      </c>
      <c r="E19" s="42" t="s">
        <v>466</v>
      </c>
      <c r="F19" s="42">
        <v>784</v>
      </c>
      <c r="G19" s="42"/>
      <c r="H19" s="42">
        <v>17240</v>
      </c>
      <c r="I19" s="42">
        <v>364</v>
      </c>
      <c r="J19" s="42">
        <v>0.13</v>
      </c>
      <c r="K19" s="42">
        <f t="shared" si="0"/>
        <v>47.32</v>
      </c>
      <c r="L19" s="43">
        <f t="shared" si="1"/>
        <v>17192.68</v>
      </c>
      <c r="M19" s="43">
        <f t="shared" si="2"/>
        <v>1206.8</v>
      </c>
      <c r="N19" s="42">
        <v>30500</v>
      </c>
      <c r="O19" s="42">
        <v>13</v>
      </c>
      <c r="P19" s="42">
        <v>78</v>
      </c>
      <c r="Q19" s="62"/>
      <c r="R19" s="62"/>
      <c r="S19" s="62"/>
      <c r="T19" s="62"/>
      <c r="U19" s="62"/>
    </row>
    <row r="20" spans="1:21">
      <c r="A20" s="375"/>
      <c r="B20" s="42" t="s">
        <v>19</v>
      </c>
      <c r="C20" s="42" t="s">
        <v>444</v>
      </c>
      <c r="D20" s="42" t="s">
        <v>16</v>
      </c>
      <c r="E20" s="42" t="s">
        <v>295</v>
      </c>
      <c r="F20" s="42">
        <v>785</v>
      </c>
      <c r="G20" s="42"/>
      <c r="H20" s="42">
        <v>16300</v>
      </c>
      <c r="I20" s="42">
        <v>350</v>
      </c>
      <c r="J20" s="42">
        <v>0.13</v>
      </c>
      <c r="K20" s="43">
        <f t="shared" si="0"/>
        <v>45.5</v>
      </c>
      <c r="L20" s="43">
        <f t="shared" si="1"/>
        <v>16254.5</v>
      </c>
      <c r="M20" s="43">
        <f t="shared" si="2"/>
        <v>1141</v>
      </c>
      <c r="N20" s="42">
        <v>30500</v>
      </c>
      <c r="O20" s="42">
        <v>14</v>
      </c>
      <c r="P20" s="42">
        <v>78</v>
      </c>
      <c r="Q20" s="62"/>
      <c r="R20" s="62"/>
      <c r="S20" s="62"/>
      <c r="T20" s="62"/>
      <c r="U20" s="62"/>
    </row>
    <row r="21" spans="1:21">
      <c r="A21" s="62"/>
      <c r="B21" s="62"/>
      <c r="C21" s="62"/>
      <c r="D21" s="62"/>
      <c r="E21" s="62"/>
      <c r="F21" s="62"/>
      <c r="G21" s="62"/>
      <c r="H21" s="62"/>
      <c r="I21" s="62"/>
      <c r="J21" s="62"/>
      <c r="K21" s="62"/>
      <c r="L21" s="66">
        <f>SUM(L12:L20)</f>
        <v>147581.66999999998</v>
      </c>
      <c r="M21" s="66">
        <f t="shared" ref="M21:N21" si="4">SUM(M12:M20)</f>
        <v>10359.300000000001</v>
      </c>
      <c r="N21" s="66">
        <f t="shared" si="4"/>
        <v>259500</v>
      </c>
      <c r="O21" s="62"/>
      <c r="P21" s="62"/>
      <c r="Q21" s="62"/>
      <c r="R21" s="62"/>
      <c r="S21" s="62"/>
      <c r="T21" s="62"/>
      <c r="U21" s="62"/>
    </row>
    <row r="22" spans="1:21">
      <c r="A22" s="62"/>
      <c r="B22" s="62"/>
      <c r="C22" s="62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</row>
    <row r="23" spans="1:21">
      <c r="A23" s="62"/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</row>
    <row r="24" spans="1:21">
      <c r="A24" s="62"/>
      <c r="B24" s="67"/>
      <c r="C24" s="67"/>
      <c r="D24" s="67"/>
      <c r="E24" s="67"/>
      <c r="F24" s="67"/>
      <c r="G24" s="67"/>
      <c r="H24" s="67"/>
      <c r="I24" s="67"/>
      <c r="J24" s="67"/>
      <c r="K24" s="67"/>
      <c r="L24" s="68">
        <f>SUM(L6:L23)</f>
        <v>464536.61999999994</v>
      </c>
      <c r="M24" s="68"/>
      <c r="N24" s="67"/>
      <c r="O24" s="67"/>
      <c r="P24" s="67"/>
      <c r="Q24" s="67"/>
      <c r="R24" s="62"/>
      <c r="S24" s="62"/>
      <c r="T24" s="62"/>
      <c r="U24" s="62"/>
    </row>
    <row r="25" spans="1:21">
      <c r="A25" s="62"/>
      <c r="B25" s="62"/>
      <c r="C25" s="62"/>
      <c r="D25" s="62"/>
      <c r="E25" s="62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</row>
    <row r="26" spans="1:21">
      <c r="A26" s="62"/>
      <c r="B26" s="42" t="s">
        <v>684</v>
      </c>
      <c r="C26" s="42" t="s">
        <v>444</v>
      </c>
      <c r="D26" s="42" t="s">
        <v>16</v>
      </c>
      <c r="E26" s="42" t="s">
        <v>850</v>
      </c>
      <c r="F26" s="42">
        <v>951</v>
      </c>
      <c r="G26" s="42"/>
      <c r="H26" s="42">
        <v>11410</v>
      </c>
      <c r="I26" s="42">
        <v>228</v>
      </c>
      <c r="J26" s="42">
        <v>0.13</v>
      </c>
      <c r="K26" s="43">
        <f t="shared" ref="K26" si="5">I26*J26</f>
        <v>29.64</v>
      </c>
      <c r="L26" s="43">
        <f t="shared" ref="L26" si="6">H26-K26</f>
        <v>11380.36</v>
      </c>
      <c r="M26" s="43"/>
      <c r="N26" s="43">
        <f t="shared" ref="N26" si="7">L26-M26</f>
        <v>11380.36</v>
      </c>
      <c r="O26" s="43">
        <f t="shared" ref="O26" si="8">H26/1000*70</f>
        <v>798.7</v>
      </c>
      <c r="P26" s="42">
        <v>18500</v>
      </c>
      <c r="Q26" s="42">
        <v>24.5</v>
      </c>
      <c r="R26" s="42">
        <f t="shared" ref="R26" si="9">L26*Q26</f>
        <v>278818.82</v>
      </c>
      <c r="S26" s="62"/>
      <c r="T26" s="62"/>
      <c r="U26" s="62"/>
    </row>
    <row r="29" spans="1:21">
      <c r="A29" s="1" t="s">
        <v>2295</v>
      </c>
      <c r="B29" s="42" t="s">
        <v>19</v>
      </c>
      <c r="C29" s="42" t="s">
        <v>444</v>
      </c>
      <c r="D29" s="42" t="s">
        <v>16</v>
      </c>
      <c r="E29" s="42" t="s">
        <v>1600</v>
      </c>
      <c r="F29" s="42">
        <v>552</v>
      </c>
      <c r="G29" s="42"/>
      <c r="H29" s="42">
        <v>13490</v>
      </c>
      <c r="I29" s="42">
        <v>270</v>
      </c>
      <c r="J29" s="42">
        <v>0.13</v>
      </c>
      <c r="K29" s="43">
        <v>35.1</v>
      </c>
      <c r="L29" s="43">
        <v>13454.9</v>
      </c>
      <c r="M29" s="43"/>
      <c r="N29" s="43">
        <v>13454.9</v>
      </c>
      <c r="O29" s="43">
        <v>944.30000000000007</v>
      </c>
      <c r="P29" s="42">
        <v>21000</v>
      </c>
      <c r="Q29" s="6"/>
      <c r="R29" s="6"/>
      <c r="S29" s="1">
        <v>1</v>
      </c>
    </row>
    <row r="30" spans="1:21">
      <c r="A30" s="374" t="s">
        <v>2296</v>
      </c>
      <c r="B30" s="42" t="s">
        <v>19</v>
      </c>
      <c r="C30" s="42" t="s">
        <v>444</v>
      </c>
      <c r="D30" s="42" t="s">
        <v>16</v>
      </c>
      <c r="E30" s="42" t="s">
        <v>2297</v>
      </c>
      <c r="F30" s="42">
        <v>2829</v>
      </c>
      <c r="G30" s="42"/>
      <c r="H30" s="42">
        <v>12840</v>
      </c>
      <c r="I30" s="42">
        <v>265</v>
      </c>
      <c r="J30" s="42">
        <v>0.13</v>
      </c>
      <c r="K30" s="43">
        <v>34.450000000000003</v>
      </c>
      <c r="L30" s="43">
        <v>12805.55</v>
      </c>
      <c r="M30" s="43"/>
      <c r="N30" s="43">
        <v>12805.55</v>
      </c>
      <c r="O30" s="43">
        <v>898.8</v>
      </c>
      <c r="P30" s="42">
        <v>20200</v>
      </c>
      <c r="Q30" s="6"/>
      <c r="R30" s="6"/>
      <c r="S30" s="1">
        <v>2</v>
      </c>
    </row>
    <row r="31" spans="1:21">
      <c r="A31" s="374"/>
      <c r="B31" s="42" t="s">
        <v>19</v>
      </c>
      <c r="C31" s="42" t="s">
        <v>444</v>
      </c>
      <c r="D31" s="42" t="s">
        <v>16</v>
      </c>
      <c r="E31" s="42" t="s">
        <v>2298</v>
      </c>
      <c r="F31" s="42">
        <v>2828</v>
      </c>
      <c r="G31" s="42"/>
      <c r="H31" s="42">
        <v>12510</v>
      </c>
      <c r="I31" s="42">
        <v>260</v>
      </c>
      <c r="J31" s="42">
        <v>0.13</v>
      </c>
      <c r="K31" s="43">
        <v>33.800000000000004</v>
      </c>
      <c r="L31" s="43">
        <v>12476.2</v>
      </c>
      <c r="M31" s="43"/>
      <c r="N31" s="43">
        <v>12476.2</v>
      </c>
      <c r="O31" s="43">
        <v>875.69999999999993</v>
      </c>
      <c r="P31" s="42">
        <v>20200</v>
      </c>
      <c r="Q31" s="6"/>
      <c r="R31" s="6"/>
      <c r="S31" s="1">
        <v>3</v>
      </c>
    </row>
    <row r="32" spans="1:21">
      <c r="A32" s="374"/>
      <c r="B32" s="42" t="s">
        <v>19</v>
      </c>
      <c r="C32" s="42" t="s">
        <v>444</v>
      </c>
      <c r="D32" s="42" t="s">
        <v>16</v>
      </c>
      <c r="E32" s="42" t="s">
        <v>2299</v>
      </c>
      <c r="F32" s="42">
        <v>2832</v>
      </c>
      <c r="G32" s="42"/>
      <c r="H32" s="42">
        <v>12700</v>
      </c>
      <c r="I32" s="42">
        <v>280</v>
      </c>
      <c r="J32" s="42">
        <v>0.13</v>
      </c>
      <c r="K32" s="43">
        <v>36.4</v>
      </c>
      <c r="L32" s="43">
        <v>12663.6</v>
      </c>
      <c r="M32" s="43"/>
      <c r="N32" s="43">
        <v>12663.6</v>
      </c>
      <c r="O32" s="43">
        <v>889</v>
      </c>
      <c r="P32" s="42">
        <v>20200</v>
      </c>
      <c r="Q32" s="6"/>
      <c r="R32" s="6"/>
      <c r="S32" s="1">
        <v>4</v>
      </c>
    </row>
    <row r="33" spans="1:19">
      <c r="A33" s="374"/>
      <c r="B33" s="42" t="s">
        <v>19</v>
      </c>
      <c r="C33" s="42" t="s">
        <v>444</v>
      </c>
      <c r="D33" s="42" t="s">
        <v>16</v>
      </c>
      <c r="E33" s="42" t="s">
        <v>2300</v>
      </c>
      <c r="F33" s="42">
        <v>2833</v>
      </c>
      <c r="G33" s="42"/>
      <c r="H33" s="42">
        <v>12770</v>
      </c>
      <c r="I33" s="42">
        <v>236</v>
      </c>
      <c r="J33" s="42">
        <v>0.13</v>
      </c>
      <c r="K33" s="43">
        <v>30.68</v>
      </c>
      <c r="L33" s="43">
        <v>12739.32</v>
      </c>
      <c r="M33" s="43"/>
      <c r="N33" s="43">
        <v>12739.32</v>
      </c>
      <c r="O33" s="43">
        <v>893.9</v>
      </c>
      <c r="P33" s="42">
        <v>20200</v>
      </c>
      <c r="Q33" s="6"/>
      <c r="R33" s="6"/>
      <c r="S33" s="1">
        <v>5</v>
      </c>
    </row>
    <row r="34" spans="1:19">
      <c r="A34" s="374"/>
      <c r="B34" s="42" t="s">
        <v>19</v>
      </c>
      <c r="C34" s="42" t="s">
        <v>444</v>
      </c>
      <c r="D34" s="42" t="s">
        <v>16</v>
      </c>
      <c r="E34" s="42" t="s">
        <v>2301</v>
      </c>
      <c r="F34" s="42">
        <v>2831</v>
      </c>
      <c r="G34" s="42"/>
      <c r="H34" s="42">
        <v>12720</v>
      </c>
      <c r="I34" s="42">
        <v>270</v>
      </c>
      <c r="J34" s="42">
        <v>0.13</v>
      </c>
      <c r="K34" s="43">
        <v>35.1</v>
      </c>
      <c r="L34" s="43">
        <v>12684.9</v>
      </c>
      <c r="M34" s="43"/>
      <c r="N34" s="43">
        <v>12684.9</v>
      </c>
      <c r="O34" s="43">
        <v>890.40000000000009</v>
      </c>
      <c r="P34" s="42">
        <v>20200</v>
      </c>
      <c r="Q34" s="6"/>
      <c r="R34" s="6"/>
      <c r="S34" s="1">
        <v>6</v>
      </c>
    </row>
    <row r="35" spans="1:19">
      <c r="A35" s="374"/>
      <c r="B35" s="42" t="s">
        <v>19</v>
      </c>
      <c r="C35" s="42" t="s">
        <v>444</v>
      </c>
      <c r="D35" s="42" t="s">
        <v>16</v>
      </c>
      <c r="E35" s="42" t="s">
        <v>2302</v>
      </c>
      <c r="F35" s="42">
        <v>2830</v>
      </c>
      <c r="G35" s="42"/>
      <c r="H35" s="42">
        <v>12720</v>
      </c>
      <c r="I35" s="42">
        <v>265</v>
      </c>
      <c r="J35" s="42">
        <v>0.13</v>
      </c>
      <c r="K35" s="43">
        <v>34.450000000000003</v>
      </c>
      <c r="L35" s="43">
        <v>12685.55</v>
      </c>
      <c r="M35" s="43"/>
      <c r="N35" s="43">
        <v>12685.55</v>
      </c>
      <c r="O35" s="43">
        <v>890.40000000000009</v>
      </c>
      <c r="P35" s="42">
        <v>20200</v>
      </c>
      <c r="Q35" s="6"/>
      <c r="R35" s="6"/>
      <c r="S35" s="1">
        <v>7</v>
      </c>
    </row>
    <row r="36" spans="1:19">
      <c r="A36" s="374"/>
      <c r="B36" s="42" t="s">
        <v>19</v>
      </c>
      <c r="C36" s="42" t="s">
        <v>444</v>
      </c>
      <c r="D36" s="42" t="s">
        <v>16</v>
      </c>
      <c r="E36" s="42" t="s">
        <v>2303</v>
      </c>
      <c r="F36" s="42">
        <v>279</v>
      </c>
      <c r="G36" s="42"/>
      <c r="H36" s="42">
        <v>12120</v>
      </c>
      <c r="I36" s="42">
        <v>253</v>
      </c>
      <c r="J36" s="42">
        <v>0.13</v>
      </c>
      <c r="K36" s="43">
        <v>32.89</v>
      </c>
      <c r="L36" s="43">
        <v>12087.11</v>
      </c>
      <c r="M36" s="43"/>
      <c r="N36" s="43">
        <v>12087.11</v>
      </c>
      <c r="O36" s="43">
        <v>848.4</v>
      </c>
      <c r="P36" s="42">
        <v>21000</v>
      </c>
      <c r="Q36" s="6"/>
      <c r="R36" s="6"/>
      <c r="S36" s="1">
        <v>8</v>
      </c>
    </row>
    <row r="37" spans="1:19">
      <c r="A37" s="374"/>
      <c r="B37" s="42" t="s">
        <v>19</v>
      </c>
      <c r="C37" s="42" t="s">
        <v>444</v>
      </c>
      <c r="D37" s="42" t="s">
        <v>16</v>
      </c>
      <c r="E37" s="42" t="s">
        <v>2304</v>
      </c>
      <c r="F37" s="42">
        <v>2827</v>
      </c>
      <c r="G37" s="42"/>
      <c r="H37" s="42">
        <v>12750</v>
      </c>
      <c r="I37" s="42">
        <v>265</v>
      </c>
      <c r="J37" s="42">
        <v>0.13</v>
      </c>
      <c r="K37" s="43">
        <v>34.450000000000003</v>
      </c>
      <c r="L37" s="43">
        <v>12715.55</v>
      </c>
      <c r="M37" s="43"/>
      <c r="N37" s="43">
        <v>12715.55</v>
      </c>
      <c r="O37" s="43">
        <v>892.5</v>
      </c>
      <c r="P37" s="42">
        <v>20200</v>
      </c>
      <c r="Q37" s="6"/>
      <c r="R37" s="6"/>
      <c r="S37" s="1">
        <v>9</v>
      </c>
    </row>
    <row r="38" spans="1:19">
      <c r="A38" s="375" t="s">
        <v>2307</v>
      </c>
      <c r="B38" s="42" t="s">
        <v>19</v>
      </c>
      <c r="C38" s="42" t="s">
        <v>444</v>
      </c>
      <c r="D38" s="42" t="s">
        <v>16</v>
      </c>
      <c r="E38" s="42" t="s">
        <v>2308</v>
      </c>
      <c r="F38" s="42">
        <v>2840</v>
      </c>
      <c r="G38" s="42"/>
      <c r="H38" s="42">
        <v>13010</v>
      </c>
      <c r="I38" s="42">
        <v>269</v>
      </c>
      <c r="J38" s="42">
        <v>0.13</v>
      </c>
      <c r="K38" s="43">
        <f t="shared" ref="K38:K62" si="10">I38*J38</f>
        <v>34.97</v>
      </c>
      <c r="L38" s="43">
        <f t="shared" ref="L38:L62" si="11">H38-K38</f>
        <v>12975.03</v>
      </c>
      <c r="M38" s="43"/>
      <c r="N38" s="43">
        <f t="shared" ref="N38:N62" si="12">L38-M38</f>
        <v>12975.03</v>
      </c>
      <c r="O38" s="43">
        <f t="shared" ref="O38:O62" si="13">H38/1000*70</f>
        <v>910.69999999999993</v>
      </c>
      <c r="P38" s="42">
        <v>20200</v>
      </c>
      <c r="Q38" s="42"/>
      <c r="R38" s="42">
        <f t="shared" ref="R38:R62" si="14">L38*Q38</f>
        <v>0</v>
      </c>
      <c r="S38" s="1">
        <v>10</v>
      </c>
    </row>
    <row r="39" spans="1:19">
      <c r="A39" s="375"/>
      <c r="B39" s="42" t="s">
        <v>19</v>
      </c>
      <c r="C39" s="42" t="s">
        <v>444</v>
      </c>
      <c r="D39" s="42" t="s">
        <v>16</v>
      </c>
      <c r="E39" s="42" t="s">
        <v>2309</v>
      </c>
      <c r="F39" s="42">
        <v>2842</v>
      </c>
      <c r="G39" s="42"/>
      <c r="H39" s="42">
        <v>12640</v>
      </c>
      <c r="I39" s="42">
        <v>260</v>
      </c>
      <c r="J39" s="42">
        <v>0.13</v>
      </c>
      <c r="K39" s="43">
        <f t="shared" si="10"/>
        <v>33.800000000000004</v>
      </c>
      <c r="L39" s="43">
        <f t="shared" si="11"/>
        <v>12606.2</v>
      </c>
      <c r="M39" s="43"/>
      <c r="N39" s="43">
        <f t="shared" si="12"/>
        <v>12606.2</v>
      </c>
      <c r="O39" s="43">
        <f t="shared" si="13"/>
        <v>884.80000000000007</v>
      </c>
      <c r="P39" s="42">
        <v>20200</v>
      </c>
      <c r="Q39" s="42"/>
      <c r="R39" s="42">
        <f t="shared" si="14"/>
        <v>0</v>
      </c>
      <c r="S39" s="1">
        <v>11</v>
      </c>
    </row>
    <row r="40" spans="1:19">
      <c r="A40" s="375"/>
      <c r="B40" s="42" t="s">
        <v>19</v>
      </c>
      <c r="C40" s="42" t="s">
        <v>444</v>
      </c>
      <c r="D40" s="42" t="s">
        <v>16</v>
      </c>
      <c r="E40" s="42" t="s">
        <v>2310</v>
      </c>
      <c r="F40" s="42">
        <v>2834</v>
      </c>
      <c r="G40" s="42"/>
      <c r="H40" s="42">
        <v>12570</v>
      </c>
      <c r="I40" s="42">
        <v>260</v>
      </c>
      <c r="J40" s="42">
        <v>0.13</v>
      </c>
      <c r="K40" s="43">
        <f t="shared" si="10"/>
        <v>33.800000000000004</v>
      </c>
      <c r="L40" s="43">
        <f t="shared" si="11"/>
        <v>12536.2</v>
      </c>
      <c r="M40" s="43"/>
      <c r="N40" s="43">
        <f t="shared" si="12"/>
        <v>12536.2</v>
      </c>
      <c r="O40" s="43">
        <f t="shared" si="13"/>
        <v>879.9</v>
      </c>
      <c r="P40" s="42">
        <v>20200</v>
      </c>
      <c r="Q40" s="42"/>
      <c r="R40" s="42">
        <f t="shared" si="14"/>
        <v>0</v>
      </c>
      <c r="S40" s="1">
        <v>12</v>
      </c>
    </row>
    <row r="41" spans="1:19">
      <c r="A41" s="375"/>
      <c r="B41" s="42" t="s">
        <v>19</v>
      </c>
      <c r="C41" s="42" t="s">
        <v>444</v>
      </c>
      <c r="D41" s="42" t="s">
        <v>16</v>
      </c>
      <c r="E41" s="42" t="s">
        <v>2311</v>
      </c>
      <c r="F41" s="42">
        <v>2841</v>
      </c>
      <c r="G41" s="42"/>
      <c r="H41" s="42">
        <v>12940</v>
      </c>
      <c r="I41" s="42">
        <v>265</v>
      </c>
      <c r="J41" s="42">
        <v>0.13</v>
      </c>
      <c r="K41" s="43">
        <f t="shared" si="10"/>
        <v>34.450000000000003</v>
      </c>
      <c r="L41" s="43">
        <f t="shared" si="11"/>
        <v>12905.55</v>
      </c>
      <c r="M41" s="43"/>
      <c r="N41" s="43">
        <f t="shared" si="12"/>
        <v>12905.55</v>
      </c>
      <c r="O41" s="43">
        <f t="shared" si="13"/>
        <v>905.8</v>
      </c>
      <c r="P41" s="42">
        <v>20200</v>
      </c>
      <c r="Q41" s="42"/>
      <c r="R41" s="42">
        <f t="shared" si="14"/>
        <v>0</v>
      </c>
      <c r="S41" s="1">
        <v>13</v>
      </c>
    </row>
    <row r="42" spans="1:19">
      <c r="A42" s="375"/>
      <c r="B42" s="42" t="s">
        <v>19</v>
      </c>
      <c r="C42" s="42" t="s">
        <v>444</v>
      </c>
      <c r="D42" s="42" t="s">
        <v>16</v>
      </c>
      <c r="E42" s="42" t="s">
        <v>2312</v>
      </c>
      <c r="F42" s="42">
        <v>2843</v>
      </c>
      <c r="G42" s="42"/>
      <c r="H42" s="42">
        <v>12480</v>
      </c>
      <c r="I42" s="42">
        <v>250</v>
      </c>
      <c r="J42" s="42">
        <v>0.13</v>
      </c>
      <c r="K42" s="43">
        <f t="shared" si="10"/>
        <v>32.5</v>
      </c>
      <c r="L42" s="43">
        <f t="shared" si="11"/>
        <v>12447.5</v>
      </c>
      <c r="M42" s="43"/>
      <c r="N42" s="43">
        <f t="shared" si="12"/>
        <v>12447.5</v>
      </c>
      <c r="O42" s="43">
        <f t="shared" si="13"/>
        <v>873.6</v>
      </c>
      <c r="P42" s="42">
        <v>20200</v>
      </c>
      <c r="Q42" s="42"/>
      <c r="R42" s="42">
        <f t="shared" si="14"/>
        <v>0</v>
      </c>
      <c r="S42" s="1">
        <v>14</v>
      </c>
    </row>
    <row r="43" spans="1:19">
      <c r="A43" s="375"/>
      <c r="B43" s="42" t="s">
        <v>19</v>
      </c>
      <c r="C43" s="42" t="s">
        <v>444</v>
      </c>
      <c r="D43" s="42" t="s">
        <v>16</v>
      </c>
      <c r="E43" s="42" t="s">
        <v>2313</v>
      </c>
      <c r="F43" s="42">
        <v>2838</v>
      </c>
      <c r="G43" s="42"/>
      <c r="H43" s="42">
        <v>12660</v>
      </c>
      <c r="I43" s="42">
        <v>240</v>
      </c>
      <c r="J43" s="42">
        <v>0.13</v>
      </c>
      <c r="K43" s="43">
        <f t="shared" si="10"/>
        <v>31.200000000000003</v>
      </c>
      <c r="L43" s="43">
        <f t="shared" si="11"/>
        <v>12628.8</v>
      </c>
      <c r="M43" s="43"/>
      <c r="N43" s="43">
        <f t="shared" si="12"/>
        <v>12628.8</v>
      </c>
      <c r="O43" s="43">
        <f t="shared" si="13"/>
        <v>886.2</v>
      </c>
      <c r="P43" s="42">
        <v>20200</v>
      </c>
      <c r="Q43" s="42"/>
      <c r="R43" s="42">
        <f t="shared" si="14"/>
        <v>0</v>
      </c>
      <c r="S43" s="1">
        <v>15</v>
      </c>
    </row>
    <row r="44" spans="1:19">
      <c r="A44" s="375"/>
      <c r="B44" s="42" t="s">
        <v>19</v>
      </c>
      <c r="C44" s="42" t="s">
        <v>444</v>
      </c>
      <c r="D44" s="42" t="s">
        <v>16</v>
      </c>
      <c r="E44" s="42" t="s">
        <v>2314</v>
      </c>
      <c r="F44" s="42">
        <v>2837</v>
      </c>
      <c r="G44" s="42"/>
      <c r="H44" s="42">
        <v>12490</v>
      </c>
      <c r="I44" s="42">
        <v>255</v>
      </c>
      <c r="J44" s="42">
        <v>0.13</v>
      </c>
      <c r="K44" s="43">
        <f t="shared" si="10"/>
        <v>33.15</v>
      </c>
      <c r="L44" s="43">
        <f t="shared" si="11"/>
        <v>12456.85</v>
      </c>
      <c r="M44" s="43"/>
      <c r="N44" s="43">
        <f t="shared" si="12"/>
        <v>12456.85</v>
      </c>
      <c r="O44" s="43">
        <f t="shared" si="13"/>
        <v>874.30000000000007</v>
      </c>
      <c r="P44" s="42">
        <v>20200</v>
      </c>
      <c r="Q44" s="42"/>
      <c r="R44" s="42">
        <f t="shared" si="14"/>
        <v>0</v>
      </c>
      <c r="S44" s="1">
        <v>16</v>
      </c>
    </row>
    <row r="45" spans="1:19">
      <c r="A45" s="375"/>
      <c r="B45" s="42" t="s">
        <v>19</v>
      </c>
      <c r="C45" s="42" t="s">
        <v>444</v>
      </c>
      <c r="D45" s="42" t="s">
        <v>16</v>
      </c>
      <c r="E45" s="42" t="s">
        <v>2315</v>
      </c>
      <c r="F45" s="42">
        <v>2835</v>
      </c>
      <c r="G45" s="42"/>
      <c r="H45" s="42">
        <v>12710</v>
      </c>
      <c r="I45" s="42">
        <v>280</v>
      </c>
      <c r="J45" s="42">
        <v>0.13</v>
      </c>
      <c r="K45" s="43">
        <f t="shared" si="10"/>
        <v>36.4</v>
      </c>
      <c r="L45" s="43">
        <f t="shared" si="11"/>
        <v>12673.6</v>
      </c>
      <c r="M45" s="43"/>
      <c r="N45" s="43">
        <f t="shared" si="12"/>
        <v>12673.6</v>
      </c>
      <c r="O45" s="43">
        <f t="shared" si="13"/>
        <v>889.7</v>
      </c>
      <c r="P45" s="42">
        <v>20200</v>
      </c>
      <c r="Q45" s="42"/>
      <c r="R45" s="42">
        <f t="shared" si="14"/>
        <v>0</v>
      </c>
      <c r="S45" s="1">
        <v>17</v>
      </c>
    </row>
    <row r="46" spans="1:19">
      <c r="A46" s="375"/>
      <c r="B46" s="42" t="s">
        <v>19</v>
      </c>
      <c r="C46" s="42" t="s">
        <v>444</v>
      </c>
      <c r="D46" s="42" t="s">
        <v>16</v>
      </c>
      <c r="E46" s="42" t="s">
        <v>2316</v>
      </c>
      <c r="F46" s="42">
        <v>2754</v>
      </c>
      <c r="G46" s="42"/>
      <c r="H46" s="42">
        <v>12550</v>
      </c>
      <c r="I46" s="42">
        <v>258</v>
      </c>
      <c r="J46" s="42">
        <v>0.13</v>
      </c>
      <c r="K46" s="43">
        <f t="shared" si="10"/>
        <v>33.54</v>
      </c>
      <c r="L46" s="43">
        <f t="shared" si="11"/>
        <v>12516.46</v>
      </c>
      <c r="M46" s="43"/>
      <c r="N46" s="43">
        <f t="shared" si="12"/>
        <v>12516.46</v>
      </c>
      <c r="O46" s="43">
        <f t="shared" si="13"/>
        <v>878.5</v>
      </c>
      <c r="P46" s="42">
        <v>20500</v>
      </c>
      <c r="Q46" s="42"/>
      <c r="R46" s="42">
        <f t="shared" si="14"/>
        <v>0</v>
      </c>
      <c r="S46" s="1">
        <v>18</v>
      </c>
    </row>
    <row r="47" spans="1:19">
      <c r="A47" s="375"/>
      <c r="B47" s="42" t="s">
        <v>19</v>
      </c>
      <c r="C47" s="42" t="s">
        <v>444</v>
      </c>
      <c r="D47" s="42" t="s">
        <v>16</v>
      </c>
      <c r="E47" s="42" t="s">
        <v>2317</v>
      </c>
      <c r="F47" s="42">
        <v>2752</v>
      </c>
      <c r="G47" s="42"/>
      <c r="H47" s="42">
        <v>12730</v>
      </c>
      <c r="I47" s="42">
        <v>280</v>
      </c>
      <c r="J47" s="42">
        <v>0.13</v>
      </c>
      <c r="K47" s="43">
        <f t="shared" si="10"/>
        <v>36.4</v>
      </c>
      <c r="L47" s="43">
        <f t="shared" si="11"/>
        <v>12693.6</v>
      </c>
      <c r="M47" s="43"/>
      <c r="N47" s="43">
        <f t="shared" si="12"/>
        <v>12693.6</v>
      </c>
      <c r="O47" s="43">
        <f t="shared" si="13"/>
        <v>891.1</v>
      </c>
      <c r="P47" s="42">
        <v>20500</v>
      </c>
      <c r="Q47" s="42"/>
      <c r="R47" s="42">
        <f t="shared" si="14"/>
        <v>0</v>
      </c>
      <c r="S47" s="1">
        <v>19</v>
      </c>
    </row>
    <row r="48" spans="1:19">
      <c r="A48" s="386" t="s">
        <v>2318</v>
      </c>
      <c r="B48" s="42" t="s">
        <v>19</v>
      </c>
      <c r="C48" s="42" t="s">
        <v>444</v>
      </c>
      <c r="D48" s="42" t="s">
        <v>16</v>
      </c>
      <c r="E48" s="42" t="s">
        <v>2321</v>
      </c>
      <c r="F48" s="42">
        <v>2751</v>
      </c>
      <c r="G48" s="42"/>
      <c r="H48" s="42">
        <v>12670</v>
      </c>
      <c r="I48" s="42">
        <v>260</v>
      </c>
      <c r="J48" s="42">
        <v>0.13</v>
      </c>
      <c r="K48" s="43">
        <f t="shared" si="10"/>
        <v>33.800000000000004</v>
      </c>
      <c r="L48" s="43">
        <f t="shared" si="11"/>
        <v>12636.2</v>
      </c>
      <c r="M48" s="43"/>
      <c r="N48" s="43">
        <f t="shared" si="12"/>
        <v>12636.2</v>
      </c>
      <c r="O48" s="43">
        <f t="shared" si="13"/>
        <v>886.9</v>
      </c>
      <c r="P48" s="42">
        <v>20500</v>
      </c>
      <c r="Q48" s="42"/>
      <c r="R48" s="42">
        <f t="shared" si="14"/>
        <v>0</v>
      </c>
      <c r="S48" s="1">
        <v>20</v>
      </c>
    </row>
    <row r="49" spans="1:19">
      <c r="A49" s="374"/>
      <c r="B49" s="42" t="s">
        <v>19</v>
      </c>
      <c r="C49" s="42" t="s">
        <v>444</v>
      </c>
      <c r="D49" s="42" t="s">
        <v>16</v>
      </c>
      <c r="E49" s="42" t="s">
        <v>2322</v>
      </c>
      <c r="F49" s="42">
        <v>2836</v>
      </c>
      <c r="G49" s="42"/>
      <c r="H49" s="42">
        <v>12630</v>
      </c>
      <c r="I49" s="42">
        <v>255</v>
      </c>
      <c r="J49" s="42">
        <v>0.13</v>
      </c>
      <c r="K49" s="43">
        <f t="shared" si="10"/>
        <v>33.15</v>
      </c>
      <c r="L49" s="43">
        <f t="shared" si="11"/>
        <v>12596.85</v>
      </c>
      <c r="M49" s="43"/>
      <c r="N49" s="43">
        <f t="shared" si="12"/>
        <v>12596.85</v>
      </c>
      <c r="O49" s="43">
        <f t="shared" si="13"/>
        <v>884.1</v>
      </c>
      <c r="P49" s="42">
        <v>20200</v>
      </c>
      <c r="Q49" s="42"/>
      <c r="R49" s="42">
        <f t="shared" si="14"/>
        <v>0</v>
      </c>
      <c r="S49" s="1">
        <v>21</v>
      </c>
    </row>
    <row r="50" spans="1:19">
      <c r="A50" s="374"/>
      <c r="B50" s="42" t="s">
        <v>19</v>
      </c>
      <c r="C50" s="42" t="s">
        <v>444</v>
      </c>
      <c r="D50" s="42" t="s">
        <v>16</v>
      </c>
      <c r="E50" s="42" t="s">
        <v>1986</v>
      </c>
      <c r="F50" s="42">
        <v>2758</v>
      </c>
      <c r="G50" s="42"/>
      <c r="H50" s="42">
        <v>12810</v>
      </c>
      <c r="I50" s="42">
        <v>273</v>
      </c>
      <c r="J50" s="42">
        <v>0.13</v>
      </c>
      <c r="K50" s="43">
        <f t="shared" si="10"/>
        <v>35.49</v>
      </c>
      <c r="L50" s="43">
        <f t="shared" si="11"/>
        <v>12774.51</v>
      </c>
      <c r="M50" s="43"/>
      <c r="N50" s="43">
        <f t="shared" si="12"/>
        <v>12774.51</v>
      </c>
      <c r="O50" s="43">
        <f t="shared" si="13"/>
        <v>896.7</v>
      </c>
      <c r="P50" s="42">
        <v>20500</v>
      </c>
      <c r="Q50" s="42"/>
      <c r="R50" s="42">
        <f t="shared" si="14"/>
        <v>0</v>
      </c>
      <c r="S50" s="1">
        <v>22</v>
      </c>
    </row>
    <row r="51" spans="1:19">
      <c r="A51" s="374"/>
      <c r="B51" s="42" t="s">
        <v>19</v>
      </c>
      <c r="C51" s="42" t="s">
        <v>444</v>
      </c>
      <c r="D51" s="42" t="s">
        <v>16</v>
      </c>
      <c r="E51" s="42" t="s">
        <v>2323</v>
      </c>
      <c r="F51" s="42">
        <v>2755</v>
      </c>
      <c r="G51" s="42"/>
      <c r="H51" s="42">
        <v>12830</v>
      </c>
      <c r="I51" s="42">
        <v>260</v>
      </c>
      <c r="J51" s="42">
        <v>0.13</v>
      </c>
      <c r="K51" s="43">
        <f t="shared" si="10"/>
        <v>33.800000000000004</v>
      </c>
      <c r="L51" s="43">
        <f t="shared" si="11"/>
        <v>12796.2</v>
      </c>
      <c r="M51" s="43"/>
      <c r="N51" s="43">
        <f t="shared" si="12"/>
        <v>12796.2</v>
      </c>
      <c r="O51" s="43">
        <f t="shared" si="13"/>
        <v>898.1</v>
      </c>
      <c r="P51" s="42">
        <v>20500</v>
      </c>
      <c r="Q51" s="42"/>
      <c r="R51" s="42">
        <f t="shared" si="14"/>
        <v>0</v>
      </c>
      <c r="S51" s="1">
        <v>23</v>
      </c>
    </row>
    <row r="52" spans="1:19">
      <c r="A52" s="374"/>
      <c r="B52" s="42" t="s">
        <v>19</v>
      </c>
      <c r="C52" s="42" t="s">
        <v>444</v>
      </c>
      <c r="D52" s="42" t="s">
        <v>16</v>
      </c>
      <c r="E52" s="42" t="s">
        <v>2324</v>
      </c>
      <c r="F52" s="42">
        <v>2762</v>
      </c>
      <c r="G52" s="42"/>
      <c r="H52" s="42">
        <v>12700</v>
      </c>
      <c r="I52" s="42">
        <v>260</v>
      </c>
      <c r="J52" s="42">
        <v>0.13</v>
      </c>
      <c r="K52" s="43">
        <f t="shared" si="10"/>
        <v>33.800000000000004</v>
      </c>
      <c r="L52" s="43">
        <f t="shared" si="11"/>
        <v>12666.2</v>
      </c>
      <c r="M52" s="43"/>
      <c r="N52" s="43">
        <f t="shared" si="12"/>
        <v>12666.2</v>
      </c>
      <c r="O52" s="43">
        <f t="shared" si="13"/>
        <v>889</v>
      </c>
      <c r="P52" s="42">
        <v>20500</v>
      </c>
      <c r="Q52" s="42"/>
      <c r="R52" s="42">
        <f t="shared" si="14"/>
        <v>0</v>
      </c>
      <c r="S52" s="1">
        <v>24</v>
      </c>
    </row>
    <row r="53" spans="1:19">
      <c r="A53" s="374"/>
      <c r="B53" s="42" t="s">
        <v>19</v>
      </c>
      <c r="C53" s="42" t="s">
        <v>444</v>
      </c>
      <c r="D53" s="42" t="s">
        <v>16</v>
      </c>
      <c r="E53" s="42" t="s">
        <v>2325</v>
      </c>
      <c r="F53" s="42">
        <v>2760</v>
      </c>
      <c r="G53" s="42"/>
      <c r="H53" s="42">
        <v>12550</v>
      </c>
      <c r="I53" s="42">
        <v>261</v>
      </c>
      <c r="J53" s="42">
        <v>0.13</v>
      </c>
      <c r="K53" s="43">
        <f t="shared" si="10"/>
        <v>33.93</v>
      </c>
      <c r="L53" s="43">
        <f t="shared" si="11"/>
        <v>12516.07</v>
      </c>
      <c r="M53" s="43"/>
      <c r="N53" s="43">
        <f t="shared" si="12"/>
        <v>12516.07</v>
      </c>
      <c r="O53" s="43">
        <f t="shared" si="13"/>
        <v>878.5</v>
      </c>
      <c r="P53" s="42">
        <v>20500</v>
      </c>
      <c r="Q53" s="42"/>
      <c r="R53" s="42">
        <f t="shared" si="14"/>
        <v>0</v>
      </c>
      <c r="S53" s="1">
        <v>25</v>
      </c>
    </row>
    <row r="54" spans="1:19">
      <c r="A54" s="374"/>
      <c r="B54" s="42" t="s">
        <v>19</v>
      </c>
      <c r="C54" s="42" t="s">
        <v>444</v>
      </c>
      <c r="D54" s="42" t="s">
        <v>16</v>
      </c>
      <c r="E54" s="42" t="s">
        <v>2326</v>
      </c>
      <c r="F54" s="42">
        <v>2759</v>
      </c>
      <c r="G54" s="42"/>
      <c r="H54" s="42">
        <v>12540</v>
      </c>
      <c r="I54" s="42">
        <v>254</v>
      </c>
      <c r="J54" s="42">
        <v>0.13</v>
      </c>
      <c r="K54" s="43">
        <f t="shared" si="10"/>
        <v>33.020000000000003</v>
      </c>
      <c r="L54" s="43">
        <f t="shared" si="11"/>
        <v>12506.98</v>
      </c>
      <c r="M54" s="43"/>
      <c r="N54" s="43">
        <f t="shared" si="12"/>
        <v>12506.98</v>
      </c>
      <c r="O54" s="43">
        <f t="shared" si="13"/>
        <v>877.8</v>
      </c>
      <c r="P54" s="42">
        <v>20500</v>
      </c>
      <c r="Q54" s="42"/>
      <c r="R54" s="42">
        <f t="shared" si="14"/>
        <v>0</v>
      </c>
      <c r="S54" s="1">
        <v>26</v>
      </c>
    </row>
    <row r="55" spans="1:19">
      <c r="A55" s="374"/>
      <c r="B55" s="42" t="s">
        <v>19</v>
      </c>
      <c r="C55" s="42" t="s">
        <v>444</v>
      </c>
      <c r="D55" s="42" t="s">
        <v>16</v>
      </c>
      <c r="E55" s="42" t="s">
        <v>2327</v>
      </c>
      <c r="F55" s="42">
        <v>2763</v>
      </c>
      <c r="G55" s="42"/>
      <c r="H55" s="42">
        <v>12730</v>
      </c>
      <c r="I55" s="42">
        <v>270</v>
      </c>
      <c r="J55" s="42">
        <v>0.13</v>
      </c>
      <c r="K55" s="43">
        <f t="shared" si="10"/>
        <v>35.1</v>
      </c>
      <c r="L55" s="43">
        <f t="shared" si="11"/>
        <v>12694.9</v>
      </c>
      <c r="M55" s="43"/>
      <c r="N55" s="43">
        <f t="shared" si="12"/>
        <v>12694.9</v>
      </c>
      <c r="O55" s="43">
        <f t="shared" si="13"/>
        <v>891.1</v>
      </c>
      <c r="P55" s="42">
        <v>20500</v>
      </c>
      <c r="Q55" s="42"/>
      <c r="R55" s="42">
        <f t="shared" si="14"/>
        <v>0</v>
      </c>
      <c r="S55" s="1">
        <v>27</v>
      </c>
    </row>
    <row r="56" spans="1:19">
      <c r="A56" s="374" t="s">
        <v>2328</v>
      </c>
      <c r="B56" s="42" t="s">
        <v>19</v>
      </c>
      <c r="C56" s="42" t="s">
        <v>444</v>
      </c>
      <c r="D56" s="42" t="s">
        <v>16</v>
      </c>
      <c r="E56" s="42" t="s">
        <v>2331</v>
      </c>
      <c r="F56" s="42">
        <v>2765</v>
      </c>
      <c r="G56" s="42"/>
      <c r="H56" s="42">
        <v>12860</v>
      </c>
      <c r="I56" s="42">
        <v>270</v>
      </c>
      <c r="J56" s="42">
        <v>0.13</v>
      </c>
      <c r="K56" s="43">
        <f t="shared" si="10"/>
        <v>35.1</v>
      </c>
      <c r="L56" s="43">
        <f t="shared" si="11"/>
        <v>12824.9</v>
      </c>
      <c r="M56" s="43"/>
      <c r="N56" s="43">
        <f t="shared" si="12"/>
        <v>12824.9</v>
      </c>
      <c r="O56" s="43">
        <f t="shared" si="13"/>
        <v>900.19999999999993</v>
      </c>
      <c r="P56" s="42">
        <v>20500</v>
      </c>
      <c r="Q56" s="42"/>
      <c r="R56" s="42">
        <f t="shared" si="14"/>
        <v>0</v>
      </c>
      <c r="S56" s="1">
        <v>28</v>
      </c>
    </row>
    <row r="57" spans="1:19">
      <c r="A57" s="374"/>
      <c r="B57" s="42" t="s">
        <v>19</v>
      </c>
      <c r="C57" s="42" t="s">
        <v>444</v>
      </c>
      <c r="D57" s="42" t="s">
        <v>16</v>
      </c>
      <c r="E57" s="42" t="s">
        <v>2332</v>
      </c>
      <c r="F57" s="42">
        <v>2761</v>
      </c>
      <c r="G57" s="42"/>
      <c r="H57" s="42">
        <v>12790</v>
      </c>
      <c r="I57" s="42">
        <v>257</v>
      </c>
      <c r="J57" s="42">
        <v>0.13</v>
      </c>
      <c r="K57" s="43">
        <f t="shared" si="10"/>
        <v>33.410000000000004</v>
      </c>
      <c r="L57" s="43">
        <f t="shared" si="11"/>
        <v>12756.59</v>
      </c>
      <c r="M57" s="43"/>
      <c r="N57" s="43">
        <f t="shared" si="12"/>
        <v>12756.59</v>
      </c>
      <c r="O57" s="43">
        <f t="shared" si="13"/>
        <v>895.3</v>
      </c>
      <c r="P57" s="42">
        <v>20500</v>
      </c>
      <c r="Q57" s="42"/>
      <c r="R57" s="42">
        <f t="shared" si="14"/>
        <v>0</v>
      </c>
      <c r="S57" s="1">
        <v>29</v>
      </c>
    </row>
    <row r="58" spans="1:19">
      <c r="A58" s="374"/>
      <c r="B58" s="42" t="s">
        <v>19</v>
      </c>
      <c r="C58" s="42" t="s">
        <v>444</v>
      </c>
      <c r="D58" s="42" t="s">
        <v>16</v>
      </c>
      <c r="E58" s="42" t="s">
        <v>2333</v>
      </c>
      <c r="F58" s="42">
        <v>2766</v>
      </c>
      <c r="G58" s="42"/>
      <c r="H58" s="42">
        <v>12860</v>
      </c>
      <c r="I58" s="42">
        <v>265</v>
      </c>
      <c r="J58" s="42">
        <v>0.13</v>
      </c>
      <c r="K58" s="43">
        <f t="shared" si="10"/>
        <v>34.450000000000003</v>
      </c>
      <c r="L58" s="43">
        <f t="shared" si="11"/>
        <v>12825.55</v>
      </c>
      <c r="M58" s="43"/>
      <c r="N58" s="43">
        <f t="shared" si="12"/>
        <v>12825.55</v>
      </c>
      <c r="O58" s="43">
        <f t="shared" si="13"/>
        <v>900.19999999999993</v>
      </c>
      <c r="P58" s="42">
        <v>20500</v>
      </c>
      <c r="Q58" s="42"/>
      <c r="R58" s="42">
        <f t="shared" si="14"/>
        <v>0</v>
      </c>
      <c r="S58" s="1">
        <v>30</v>
      </c>
    </row>
    <row r="59" spans="1:19">
      <c r="A59" s="374"/>
      <c r="B59" s="42" t="s">
        <v>19</v>
      </c>
      <c r="C59" s="42" t="s">
        <v>444</v>
      </c>
      <c r="D59" s="42" t="s">
        <v>16</v>
      </c>
      <c r="E59" s="42" t="s">
        <v>2334</v>
      </c>
      <c r="F59" s="42">
        <v>2764</v>
      </c>
      <c r="G59" s="42"/>
      <c r="H59" s="42">
        <v>12630</v>
      </c>
      <c r="I59" s="42">
        <v>265</v>
      </c>
      <c r="J59" s="42">
        <v>0.13</v>
      </c>
      <c r="K59" s="43">
        <f t="shared" si="10"/>
        <v>34.450000000000003</v>
      </c>
      <c r="L59" s="43">
        <f t="shared" si="11"/>
        <v>12595.55</v>
      </c>
      <c r="M59" s="43"/>
      <c r="N59" s="43">
        <f t="shared" si="12"/>
        <v>12595.55</v>
      </c>
      <c r="O59" s="43">
        <f t="shared" si="13"/>
        <v>884.1</v>
      </c>
      <c r="P59" s="42">
        <v>20500</v>
      </c>
      <c r="Q59" s="42"/>
      <c r="R59" s="42">
        <f t="shared" si="14"/>
        <v>0</v>
      </c>
      <c r="S59" s="1">
        <v>31</v>
      </c>
    </row>
    <row r="60" spans="1:19">
      <c r="A60" s="374"/>
      <c r="B60" s="42" t="s">
        <v>19</v>
      </c>
      <c r="C60" s="42" t="s">
        <v>444</v>
      </c>
      <c r="D60" s="42" t="s">
        <v>16</v>
      </c>
      <c r="E60" s="42" t="s">
        <v>2335</v>
      </c>
      <c r="F60" s="42">
        <v>2756</v>
      </c>
      <c r="G60" s="42"/>
      <c r="H60" s="42">
        <v>12490</v>
      </c>
      <c r="I60" s="42">
        <v>260</v>
      </c>
      <c r="J60" s="42">
        <v>0.13</v>
      </c>
      <c r="K60" s="43">
        <f t="shared" si="10"/>
        <v>33.800000000000004</v>
      </c>
      <c r="L60" s="43">
        <f t="shared" si="11"/>
        <v>12456.2</v>
      </c>
      <c r="M60" s="43"/>
      <c r="N60" s="43">
        <f t="shared" si="12"/>
        <v>12456.2</v>
      </c>
      <c r="O60" s="43">
        <f t="shared" si="13"/>
        <v>874.30000000000007</v>
      </c>
      <c r="P60" s="42">
        <v>20500</v>
      </c>
      <c r="Q60" s="42"/>
      <c r="R60" s="42">
        <f t="shared" si="14"/>
        <v>0</v>
      </c>
      <c r="S60" s="1">
        <v>32</v>
      </c>
    </row>
    <row r="61" spans="1:19">
      <c r="A61" s="374"/>
      <c r="B61" s="42" t="s">
        <v>19</v>
      </c>
      <c r="C61" s="42" t="s">
        <v>444</v>
      </c>
      <c r="D61" s="42" t="s">
        <v>16</v>
      </c>
      <c r="E61" s="42" t="s">
        <v>2336</v>
      </c>
      <c r="F61" s="42">
        <v>2757</v>
      </c>
      <c r="G61" s="42"/>
      <c r="H61" s="42">
        <v>12730</v>
      </c>
      <c r="I61" s="42">
        <v>260</v>
      </c>
      <c r="J61" s="42">
        <v>0.13</v>
      </c>
      <c r="K61" s="43">
        <f t="shared" si="10"/>
        <v>33.800000000000004</v>
      </c>
      <c r="L61" s="43">
        <f t="shared" si="11"/>
        <v>12696.2</v>
      </c>
      <c r="M61" s="43"/>
      <c r="N61" s="43">
        <f t="shared" si="12"/>
        <v>12696.2</v>
      </c>
      <c r="O61" s="43">
        <f t="shared" si="13"/>
        <v>891.1</v>
      </c>
      <c r="P61" s="42">
        <v>20500</v>
      </c>
      <c r="Q61" s="42"/>
      <c r="R61" s="42">
        <f t="shared" si="14"/>
        <v>0</v>
      </c>
      <c r="S61" s="1">
        <v>33</v>
      </c>
    </row>
    <row r="62" spans="1:19">
      <c r="A62" s="374"/>
      <c r="B62" s="42" t="s">
        <v>19</v>
      </c>
      <c r="C62" s="42" t="s">
        <v>444</v>
      </c>
      <c r="D62" s="42" t="s">
        <v>16</v>
      </c>
      <c r="E62" s="42" t="s">
        <v>2337</v>
      </c>
      <c r="F62" s="42">
        <v>2753</v>
      </c>
      <c r="G62" s="42"/>
      <c r="H62" s="42">
        <v>12740</v>
      </c>
      <c r="I62" s="42">
        <v>260</v>
      </c>
      <c r="J62" s="42">
        <v>0.13</v>
      </c>
      <c r="K62" s="43">
        <f t="shared" si="10"/>
        <v>33.800000000000004</v>
      </c>
      <c r="L62" s="43">
        <f t="shared" si="11"/>
        <v>12706.2</v>
      </c>
      <c r="M62" s="43"/>
      <c r="N62" s="43">
        <f t="shared" si="12"/>
        <v>12706.2</v>
      </c>
      <c r="O62" s="43">
        <f t="shared" si="13"/>
        <v>891.80000000000007</v>
      </c>
      <c r="P62" s="42">
        <v>20500</v>
      </c>
      <c r="Q62" s="42"/>
      <c r="R62" s="42">
        <f t="shared" si="14"/>
        <v>0</v>
      </c>
      <c r="S62" s="1">
        <v>34</v>
      </c>
    </row>
    <row r="67" spans="8:16">
      <c r="H67" s="1">
        <f>SUM(H29:H66)</f>
        <v>431960</v>
      </c>
      <c r="I67" s="1">
        <f>SUM(I29:I66)</f>
        <v>8911</v>
      </c>
      <c r="K67" s="1">
        <f t="shared" ref="K67:P67" si="15">SUM(K29:K66)</f>
        <v>1158.4299999999996</v>
      </c>
      <c r="L67" s="1">
        <f t="shared" si="15"/>
        <v>430801.57000000012</v>
      </c>
      <c r="M67" s="1">
        <f t="shared" si="15"/>
        <v>0</v>
      </c>
      <c r="N67" s="1">
        <f t="shared" si="15"/>
        <v>430801.57000000012</v>
      </c>
      <c r="O67" s="1">
        <f t="shared" si="15"/>
        <v>30237.199999999993</v>
      </c>
      <c r="P67" s="1">
        <f t="shared" si="15"/>
        <v>693200</v>
      </c>
    </row>
  </sheetData>
  <mergeCells count="8">
    <mergeCell ref="A56:A62"/>
    <mergeCell ref="A48:A55"/>
    <mergeCell ref="A38:A47"/>
    <mergeCell ref="A9:A10"/>
    <mergeCell ref="A12:A15"/>
    <mergeCell ref="A16:A18"/>
    <mergeCell ref="A19:A20"/>
    <mergeCell ref="A30:A37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5:U71"/>
  <sheetViews>
    <sheetView topLeftCell="A49" zoomScale="85" zoomScaleNormal="85" workbookViewId="0">
      <selection activeCell="A72" sqref="A72"/>
    </sheetView>
  </sheetViews>
  <sheetFormatPr defaultRowHeight="14.4"/>
  <cols>
    <col min="1" max="1" width="8.88671875" style="1"/>
    <col min="2" max="2" width="24.77734375" style="1" customWidth="1"/>
    <col min="3" max="3" width="8.88671875" style="1"/>
    <col min="4" max="4" width="5.5546875" style="1" customWidth="1"/>
    <col min="5" max="5" width="9.7773437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0.399999999999999">
      <c r="A5" s="58" t="s">
        <v>3</v>
      </c>
      <c r="B5" s="58" t="s">
        <v>4</v>
      </c>
      <c r="C5" s="58" t="s">
        <v>5</v>
      </c>
      <c r="D5" s="58" t="s">
        <v>6</v>
      </c>
      <c r="E5" s="58" t="s">
        <v>37</v>
      </c>
      <c r="F5" s="59" t="s">
        <v>7</v>
      </c>
      <c r="G5" s="58" t="s">
        <v>8</v>
      </c>
      <c r="H5" s="58" t="s">
        <v>9</v>
      </c>
      <c r="I5" s="58" t="s">
        <v>10</v>
      </c>
      <c r="J5" s="59" t="s">
        <v>18</v>
      </c>
      <c r="K5" s="59" t="s">
        <v>17</v>
      </c>
      <c r="L5" s="58" t="s">
        <v>11</v>
      </c>
      <c r="M5" s="59" t="s">
        <v>36</v>
      </c>
      <c r="N5" s="58" t="s">
        <v>12</v>
      </c>
      <c r="O5" s="58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258</v>
      </c>
    </row>
    <row r="6" spans="1:21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 t="s">
        <v>804</v>
      </c>
      <c r="R6" s="62">
        <v>237</v>
      </c>
      <c r="S6" s="62" t="s">
        <v>939</v>
      </c>
      <c r="T6" s="62"/>
      <c r="U6" s="62">
        <v>24.5</v>
      </c>
    </row>
    <row r="7" spans="1:21">
      <c r="A7" s="62" t="s">
        <v>849</v>
      </c>
      <c r="B7" s="42" t="s">
        <v>684</v>
      </c>
      <c r="C7" s="42" t="s">
        <v>444</v>
      </c>
      <c r="D7" s="42" t="s">
        <v>16</v>
      </c>
      <c r="E7" s="42" t="s">
        <v>850</v>
      </c>
      <c r="F7" s="42">
        <v>951</v>
      </c>
      <c r="G7" s="42"/>
      <c r="H7" s="42">
        <v>11410</v>
      </c>
      <c r="I7" s="42">
        <v>228</v>
      </c>
      <c r="J7" s="42">
        <v>0.13</v>
      </c>
      <c r="K7" s="43">
        <f t="shared" ref="K7:K8" si="0">I7*J7</f>
        <v>29.64</v>
      </c>
      <c r="L7" s="43">
        <f t="shared" ref="L7:L9" si="1">H7-K7</f>
        <v>11380.36</v>
      </c>
      <c r="M7" s="43"/>
      <c r="N7" s="43">
        <f t="shared" ref="N7:N9" si="2">L7-M7</f>
        <v>11380.36</v>
      </c>
      <c r="O7" s="43">
        <f t="shared" ref="O7:O9" si="3">H7/1000*70</f>
        <v>798.7</v>
      </c>
      <c r="P7" s="42">
        <v>18500</v>
      </c>
      <c r="Q7" s="42">
        <v>24.5</v>
      </c>
      <c r="R7" s="42">
        <f t="shared" ref="R7:R9" si="4">L7*Q7</f>
        <v>278818.82</v>
      </c>
      <c r="S7" s="62"/>
      <c r="T7" s="62"/>
      <c r="U7" s="62"/>
    </row>
    <row r="8" spans="1:21">
      <c r="A8" s="1" t="s">
        <v>863</v>
      </c>
      <c r="B8" s="42" t="s">
        <v>864</v>
      </c>
      <c r="C8" s="42" t="s">
        <v>444</v>
      </c>
      <c r="D8" s="42" t="s">
        <v>16</v>
      </c>
      <c r="E8" s="42" t="s">
        <v>865</v>
      </c>
      <c r="F8" s="42">
        <v>780</v>
      </c>
      <c r="G8" s="42"/>
      <c r="H8" s="42">
        <v>14850</v>
      </c>
      <c r="I8" s="42">
        <v>271</v>
      </c>
      <c r="J8" s="42">
        <v>0.13</v>
      </c>
      <c r="K8" s="42">
        <f t="shared" si="0"/>
        <v>35.230000000000004</v>
      </c>
      <c r="L8" s="43">
        <f t="shared" si="1"/>
        <v>14814.77</v>
      </c>
      <c r="M8" s="43"/>
      <c r="N8" s="43">
        <f t="shared" si="2"/>
        <v>14814.77</v>
      </c>
      <c r="O8" s="43">
        <f t="shared" si="3"/>
        <v>1039.5</v>
      </c>
      <c r="P8" s="42">
        <v>28500</v>
      </c>
      <c r="Q8" s="42">
        <v>24.5</v>
      </c>
      <c r="R8" s="42">
        <f t="shared" si="4"/>
        <v>362961.86499999999</v>
      </c>
    </row>
    <row r="9" spans="1:21">
      <c r="A9" s="21" t="s">
        <v>866</v>
      </c>
      <c r="B9" s="42" t="s">
        <v>864</v>
      </c>
      <c r="C9" s="42" t="s">
        <v>444</v>
      </c>
      <c r="D9" s="42" t="s">
        <v>16</v>
      </c>
      <c r="E9" s="42" t="s">
        <v>789</v>
      </c>
      <c r="F9" s="42">
        <v>785</v>
      </c>
      <c r="G9" s="42"/>
      <c r="H9" s="42">
        <v>14590</v>
      </c>
      <c r="I9" s="42">
        <v>274</v>
      </c>
      <c r="J9" s="42">
        <v>0.13</v>
      </c>
      <c r="K9" s="42">
        <v>36</v>
      </c>
      <c r="L9" s="43">
        <f t="shared" si="1"/>
        <v>14554</v>
      </c>
      <c r="M9" s="43"/>
      <c r="N9" s="43">
        <f t="shared" si="2"/>
        <v>14554</v>
      </c>
      <c r="O9" s="43">
        <f t="shared" si="3"/>
        <v>1021.3</v>
      </c>
      <c r="P9" s="42">
        <v>27500</v>
      </c>
      <c r="Q9" s="42">
        <v>24.5</v>
      </c>
      <c r="R9" s="42">
        <f t="shared" si="4"/>
        <v>356573</v>
      </c>
    </row>
    <row r="10" spans="1:21">
      <c r="L10" s="16">
        <f>SUM(L7:L9)</f>
        <v>40749.130000000005</v>
      </c>
    </row>
    <row r="11" spans="1:21">
      <c r="Q11" s="1" t="s">
        <v>863</v>
      </c>
      <c r="R11" s="1">
        <v>242</v>
      </c>
      <c r="S11" s="1">
        <v>100000</v>
      </c>
      <c r="U11" s="1">
        <v>24</v>
      </c>
    </row>
    <row r="12" spans="1:21">
      <c r="A12" s="21" t="s">
        <v>897</v>
      </c>
      <c r="B12" s="42" t="s">
        <v>864</v>
      </c>
      <c r="C12" s="42" t="s">
        <v>444</v>
      </c>
      <c r="D12" s="42" t="s">
        <v>16</v>
      </c>
      <c r="E12" s="42" t="s">
        <v>898</v>
      </c>
      <c r="F12" s="42">
        <v>791</v>
      </c>
      <c r="G12" s="42"/>
      <c r="H12" s="42">
        <v>14830</v>
      </c>
      <c r="I12" s="42">
        <v>327</v>
      </c>
      <c r="J12" s="42">
        <v>0.13</v>
      </c>
      <c r="K12" s="42">
        <v>43</v>
      </c>
      <c r="L12" s="43">
        <f t="shared" ref="L12" si="5">H12-K12</f>
        <v>14787</v>
      </c>
      <c r="M12" s="43"/>
      <c r="N12" s="43">
        <f t="shared" ref="N12" si="6">L12-M12</f>
        <v>14787</v>
      </c>
      <c r="O12" s="43">
        <f t="shared" ref="O12" si="7">H12/1000*70</f>
        <v>1038.0999999999999</v>
      </c>
      <c r="P12" s="42">
        <v>26500</v>
      </c>
      <c r="Q12" s="42">
        <v>24</v>
      </c>
      <c r="R12" s="42">
        <f t="shared" ref="R12" si="8">L12*Q12</f>
        <v>354888</v>
      </c>
    </row>
    <row r="14" spans="1:21">
      <c r="A14" s="1" t="s">
        <v>916</v>
      </c>
      <c r="B14" s="42" t="s">
        <v>864</v>
      </c>
      <c r="C14" s="42" t="s">
        <v>444</v>
      </c>
      <c r="D14" s="42" t="s">
        <v>16</v>
      </c>
      <c r="E14" s="42" t="s">
        <v>918</v>
      </c>
      <c r="F14" s="42">
        <v>300</v>
      </c>
      <c r="G14" s="42"/>
      <c r="H14" s="42">
        <v>14280</v>
      </c>
      <c r="I14" s="42">
        <v>316</v>
      </c>
      <c r="J14" s="42">
        <v>0.13</v>
      </c>
      <c r="K14" s="42">
        <f t="shared" ref="K14" si="9">I14*J14</f>
        <v>41.08</v>
      </c>
      <c r="L14" s="43">
        <f t="shared" ref="L14" si="10">H14-K14</f>
        <v>14238.92</v>
      </c>
      <c r="M14" s="43"/>
      <c r="N14" s="43">
        <f t="shared" ref="N14" si="11">L14-M14</f>
        <v>14238.92</v>
      </c>
      <c r="O14" s="43">
        <f t="shared" ref="O14" si="12">H14/1000*70</f>
        <v>999.59999999999991</v>
      </c>
      <c r="P14" s="42">
        <v>26000</v>
      </c>
      <c r="Q14" s="42">
        <v>24</v>
      </c>
      <c r="R14" s="42">
        <f t="shared" ref="R14" si="13">L14*Q14</f>
        <v>341734.08</v>
      </c>
    </row>
    <row r="16" spans="1:21">
      <c r="A16" s="1" t="s">
        <v>945</v>
      </c>
      <c r="B16" s="42" t="s">
        <v>864</v>
      </c>
      <c r="C16" s="42" t="s">
        <v>444</v>
      </c>
      <c r="D16" s="42" t="s">
        <v>16</v>
      </c>
      <c r="E16" s="42" t="s">
        <v>946</v>
      </c>
      <c r="F16" s="42">
        <v>159</v>
      </c>
      <c r="G16" s="42"/>
      <c r="H16" s="42">
        <v>16630</v>
      </c>
      <c r="I16" s="42">
        <v>293</v>
      </c>
      <c r="J16" s="42">
        <v>0.13</v>
      </c>
      <c r="K16" s="42">
        <f t="shared" ref="K16" si="14">I16*J16</f>
        <v>38.090000000000003</v>
      </c>
      <c r="L16" s="43">
        <f t="shared" ref="L16" si="15">H16-K16</f>
        <v>16591.91</v>
      </c>
      <c r="M16" s="43"/>
      <c r="N16" s="43">
        <f t="shared" ref="N16" si="16">L16-M16</f>
        <v>16591.91</v>
      </c>
      <c r="O16" s="43">
        <f t="shared" ref="O16" si="17">H16/1000*70</f>
        <v>1164.0999999999999</v>
      </c>
      <c r="P16" s="42">
        <v>20500</v>
      </c>
      <c r="Q16" s="42">
        <v>24</v>
      </c>
      <c r="R16" s="42">
        <f t="shared" ref="R16" si="18">L16*Q16</f>
        <v>398205.83999999997</v>
      </c>
    </row>
    <row r="18" spans="1:21">
      <c r="Q18" s="1" t="s">
        <v>960</v>
      </c>
      <c r="R18" s="1">
        <v>266</v>
      </c>
      <c r="S18" s="1">
        <v>120000</v>
      </c>
      <c r="U18" s="1">
        <v>23.25</v>
      </c>
    </row>
    <row r="19" spans="1:21">
      <c r="A19" s="1" t="s">
        <v>968</v>
      </c>
      <c r="B19" s="42" t="s">
        <v>684</v>
      </c>
      <c r="C19" s="42" t="s">
        <v>444</v>
      </c>
      <c r="D19" s="42" t="s">
        <v>16</v>
      </c>
      <c r="E19" s="42" t="s">
        <v>969</v>
      </c>
      <c r="F19" s="42">
        <v>3935</v>
      </c>
      <c r="G19" s="42"/>
      <c r="H19" s="42">
        <v>12660</v>
      </c>
      <c r="I19" s="42">
        <v>260</v>
      </c>
      <c r="J19" s="42">
        <v>0.13</v>
      </c>
      <c r="K19" s="42">
        <v>34</v>
      </c>
      <c r="L19" s="43">
        <f t="shared" ref="L19:L22" si="19">H19-K19</f>
        <v>12626</v>
      </c>
      <c r="M19" s="43"/>
      <c r="N19" s="43">
        <f t="shared" ref="N19:N22" si="20">L19-M19</f>
        <v>12626</v>
      </c>
      <c r="O19" s="43">
        <f t="shared" ref="O19:O22" si="21">H19/1000*70</f>
        <v>886.2</v>
      </c>
      <c r="P19" s="42">
        <v>0</v>
      </c>
      <c r="Q19" s="42">
        <v>23.25</v>
      </c>
      <c r="R19" s="42">
        <f t="shared" ref="R19:R22" si="22">L19*Q19</f>
        <v>293554.5</v>
      </c>
    </row>
    <row r="20" spans="1:21">
      <c r="A20" s="1" t="s">
        <v>975</v>
      </c>
      <c r="B20" s="42" t="s">
        <v>684</v>
      </c>
      <c r="C20" s="42" t="s">
        <v>444</v>
      </c>
      <c r="D20" s="42" t="s">
        <v>16</v>
      </c>
      <c r="E20" s="92" t="s">
        <v>976</v>
      </c>
      <c r="F20" s="92">
        <v>3809</v>
      </c>
      <c r="G20" s="92"/>
      <c r="H20" s="92">
        <v>12530</v>
      </c>
      <c r="I20" s="92">
        <v>255</v>
      </c>
      <c r="J20" s="92">
        <v>0.13</v>
      </c>
      <c r="K20" s="42">
        <f t="shared" ref="K20" si="23">I20*J20</f>
        <v>33.15</v>
      </c>
      <c r="L20" s="43">
        <f t="shared" si="19"/>
        <v>12496.85</v>
      </c>
      <c r="M20" s="43"/>
      <c r="N20" s="43">
        <f t="shared" si="20"/>
        <v>12496.85</v>
      </c>
      <c r="O20" s="43">
        <f t="shared" si="21"/>
        <v>877.09999999999991</v>
      </c>
      <c r="P20" s="92">
        <v>0</v>
      </c>
      <c r="Q20" s="92">
        <v>23.25</v>
      </c>
      <c r="R20" s="92">
        <f t="shared" si="22"/>
        <v>290551.76250000001</v>
      </c>
    </row>
    <row r="21" spans="1:21">
      <c r="A21" s="21" t="s">
        <v>982</v>
      </c>
      <c r="B21" s="42" t="s">
        <v>684</v>
      </c>
      <c r="C21" s="42" t="s">
        <v>444</v>
      </c>
      <c r="D21" s="42" t="s">
        <v>16</v>
      </c>
      <c r="E21" s="42" t="s">
        <v>983</v>
      </c>
      <c r="F21" s="42">
        <v>3945</v>
      </c>
      <c r="G21" s="42"/>
      <c r="H21" s="42">
        <v>12660</v>
      </c>
      <c r="I21" s="42">
        <v>250</v>
      </c>
      <c r="J21" s="42">
        <v>0.13</v>
      </c>
      <c r="K21" s="42">
        <v>33</v>
      </c>
      <c r="L21" s="43">
        <f t="shared" si="19"/>
        <v>12627</v>
      </c>
      <c r="M21" s="43"/>
      <c r="N21" s="43">
        <f t="shared" si="20"/>
        <v>12627</v>
      </c>
      <c r="O21" s="43">
        <f t="shared" si="21"/>
        <v>886.2</v>
      </c>
      <c r="P21" s="42"/>
      <c r="Q21" s="42">
        <v>23.25</v>
      </c>
      <c r="R21" s="42">
        <f t="shared" si="22"/>
        <v>293577.75</v>
      </c>
    </row>
    <row r="22" spans="1:21">
      <c r="A22" s="21" t="s">
        <v>986</v>
      </c>
      <c r="B22" s="42" t="s">
        <v>684</v>
      </c>
      <c r="C22" s="42" t="s">
        <v>444</v>
      </c>
      <c r="D22" s="42" t="s">
        <v>16</v>
      </c>
      <c r="E22" s="92" t="s">
        <v>987</v>
      </c>
      <c r="F22" s="92">
        <v>3822</v>
      </c>
      <c r="G22" s="92"/>
      <c r="H22" s="92">
        <v>3160</v>
      </c>
      <c r="I22" s="92">
        <v>63</v>
      </c>
      <c r="J22" s="92">
        <v>0.13</v>
      </c>
      <c r="K22" s="42">
        <f t="shared" ref="K22" si="24">I22*J22</f>
        <v>8.19</v>
      </c>
      <c r="L22" s="43">
        <f t="shared" si="19"/>
        <v>3151.81</v>
      </c>
      <c r="M22" s="43"/>
      <c r="N22" s="43">
        <f t="shared" si="20"/>
        <v>3151.81</v>
      </c>
      <c r="O22" s="43">
        <f t="shared" si="21"/>
        <v>221.20000000000002</v>
      </c>
      <c r="P22" s="92">
        <v>0</v>
      </c>
      <c r="Q22" s="92">
        <v>23.25</v>
      </c>
      <c r="R22" s="92">
        <f t="shared" si="22"/>
        <v>73279.582500000004</v>
      </c>
    </row>
    <row r="23" spans="1:21">
      <c r="L23" s="16"/>
    </row>
    <row r="24" spans="1:21">
      <c r="A24" s="374" t="s">
        <v>990</v>
      </c>
      <c r="B24" s="42" t="s">
        <v>991</v>
      </c>
      <c r="C24" s="42" t="s">
        <v>444</v>
      </c>
      <c r="D24" s="42" t="s">
        <v>16</v>
      </c>
      <c r="E24" s="42" t="s">
        <v>995</v>
      </c>
      <c r="F24" s="42">
        <v>1973</v>
      </c>
      <c r="G24" s="42"/>
      <c r="H24" s="42">
        <v>12950</v>
      </c>
      <c r="I24" s="42">
        <v>333</v>
      </c>
      <c r="J24" s="42">
        <v>0.13</v>
      </c>
      <c r="K24" s="42">
        <f t="shared" ref="K24:K27" si="25">I24*J24</f>
        <v>43.29</v>
      </c>
      <c r="L24" s="43">
        <f t="shared" ref="L24:L27" si="26">H24-K24</f>
        <v>12906.71</v>
      </c>
      <c r="M24" s="43"/>
      <c r="N24" s="43">
        <f t="shared" ref="N24:N27" si="27">L24-M24</f>
        <v>12906.71</v>
      </c>
      <c r="O24" s="43">
        <f t="shared" ref="O24:O27" si="28">H24/1000*70</f>
        <v>906.5</v>
      </c>
      <c r="P24" s="42">
        <v>20070</v>
      </c>
      <c r="Q24" s="42">
        <v>23.25</v>
      </c>
      <c r="R24" s="42">
        <f t="shared" ref="R24:R27" si="29">L24*Q24</f>
        <v>300081.00750000001</v>
      </c>
    </row>
    <row r="25" spans="1:21">
      <c r="A25" s="374"/>
      <c r="B25" s="42" t="s">
        <v>991</v>
      </c>
      <c r="C25" s="42" t="s">
        <v>444</v>
      </c>
      <c r="D25" s="42" t="s">
        <v>16</v>
      </c>
      <c r="E25" s="42" t="s">
        <v>996</v>
      </c>
      <c r="F25" s="42">
        <v>1972</v>
      </c>
      <c r="G25" s="42"/>
      <c r="H25" s="42">
        <v>12952</v>
      </c>
      <c r="I25" s="42">
        <v>337</v>
      </c>
      <c r="J25" s="42">
        <v>0.13</v>
      </c>
      <c r="K25" s="42">
        <f t="shared" si="25"/>
        <v>43.81</v>
      </c>
      <c r="L25" s="43">
        <f t="shared" si="26"/>
        <v>12908.19</v>
      </c>
      <c r="M25" s="43"/>
      <c r="N25" s="43">
        <f t="shared" si="27"/>
        <v>12908.19</v>
      </c>
      <c r="O25" s="43">
        <f t="shared" si="28"/>
        <v>906.64</v>
      </c>
      <c r="P25" s="42">
        <v>20075</v>
      </c>
      <c r="Q25" s="42">
        <v>23.25</v>
      </c>
      <c r="R25" s="42">
        <f t="shared" si="29"/>
        <v>300115.41750000004</v>
      </c>
    </row>
    <row r="26" spans="1:21">
      <c r="A26" s="374" t="s">
        <v>1015</v>
      </c>
      <c r="B26" s="42" t="s">
        <v>1000</v>
      </c>
      <c r="C26" s="42" t="s">
        <v>444</v>
      </c>
      <c r="D26" s="42" t="s">
        <v>16</v>
      </c>
      <c r="E26" s="42" t="s">
        <v>995</v>
      </c>
      <c r="F26" s="42">
        <v>1950</v>
      </c>
      <c r="G26" s="42"/>
      <c r="H26" s="42">
        <v>12550</v>
      </c>
      <c r="I26" s="42">
        <v>316</v>
      </c>
      <c r="J26" s="42">
        <v>0.13</v>
      </c>
      <c r="K26" s="42">
        <f t="shared" si="25"/>
        <v>41.08</v>
      </c>
      <c r="L26" s="43">
        <f t="shared" si="26"/>
        <v>12508.92</v>
      </c>
      <c r="M26" s="43"/>
      <c r="N26" s="43">
        <f t="shared" si="27"/>
        <v>12508.92</v>
      </c>
      <c r="O26" s="43">
        <f t="shared" si="28"/>
        <v>878.5</v>
      </c>
      <c r="P26" s="42">
        <v>20080</v>
      </c>
      <c r="Q26" s="42">
        <v>24.5</v>
      </c>
      <c r="R26" s="42">
        <f t="shared" si="29"/>
        <v>306468.53999999998</v>
      </c>
      <c r="S26" s="42"/>
    </row>
    <row r="27" spans="1:21" ht="46.8">
      <c r="A27" s="374"/>
      <c r="B27" s="42" t="s">
        <v>1000</v>
      </c>
      <c r="C27" s="42" t="s">
        <v>444</v>
      </c>
      <c r="D27" s="42" t="s">
        <v>16</v>
      </c>
      <c r="E27" s="42" t="s">
        <v>992</v>
      </c>
      <c r="F27" s="42">
        <v>14949</v>
      </c>
      <c r="G27" s="42"/>
      <c r="H27" s="42">
        <v>13100</v>
      </c>
      <c r="I27" s="42">
        <v>372</v>
      </c>
      <c r="J27" s="42">
        <v>0.13</v>
      </c>
      <c r="K27" s="42">
        <f t="shared" si="25"/>
        <v>48.36</v>
      </c>
      <c r="L27" s="43">
        <f t="shared" si="26"/>
        <v>13051.64</v>
      </c>
      <c r="M27" s="43"/>
      <c r="N27" s="43">
        <f t="shared" si="27"/>
        <v>13051.64</v>
      </c>
      <c r="O27" s="43">
        <f t="shared" si="28"/>
        <v>917</v>
      </c>
      <c r="P27" s="42">
        <v>20800</v>
      </c>
      <c r="Q27" s="42"/>
      <c r="R27" s="42">
        <f t="shared" si="29"/>
        <v>0</v>
      </c>
      <c r="S27" s="85" t="s">
        <v>1016</v>
      </c>
    </row>
    <row r="29" spans="1:21" ht="46.8">
      <c r="A29" s="1" t="s">
        <v>1039</v>
      </c>
      <c r="B29" s="92" t="s">
        <v>1040</v>
      </c>
      <c r="C29" s="116" t="s">
        <v>1041</v>
      </c>
      <c r="D29" s="42" t="s">
        <v>16</v>
      </c>
      <c r="E29" s="92" t="s">
        <v>1042</v>
      </c>
      <c r="F29" s="92">
        <v>1938</v>
      </c>
      <c r="G29" s="92"/>
      <c r="H29" s="92">
        <v>4728</v>
      </c>
      <c r="I29" s="92">
        <v>160</v>
      </c>
      <c r="J29" s="92"/>
      <c r="K29" s="42">
        <f t="shared" ref="K29" si="30">I29*J29</f>
        <v>0</v>
      </c>
      <c r="L29" s="43">
        <f t="shared" ref="L29" si="31">H29-K29</f>
        <v>4728</v>
      </c>
      <c r="M29" s="43"/>
      <c r="N29" s="43">
        <f t="shared" ref="N29" si="32">L29-M29</f>
        <v>4728</v>
      </c>
      <c r="O29" s="43">
        <f t="shared" ref="O29" si="33">H29/1000*70</f>
        <v>330.96</v>
      </c>
      <c r="P29" s="92">
        <v>12000</v>
      </c>
      <c r="Q29" s="92"/>
      <c r="R29" s="92">
        <f t="shared" ref="R29" si="34">L29*Q29</f>
        <v>0</v>
      </c>
      <c r="S29" s="116" t="s">
        <v>1043</v>
      </c>
    </row>
    <row r="31" spans="1:21">
      <c r="A31" s="1" t="s">
        <v>1081</v>
      </c>
      <c r="B31" s="42" t="s">
        <v>684</v>
      </c>
      <c r="C31" s="42" t="s">
        <v>444</v>
      </c>
      <c r="D31" s="42" t="s">
        <v>16</v>
      </c>
      <c r="E31" s="42" t="s">
        <v>805</v>
      </c>
      <c r="F31" s="42">
        <v>260</v>
      </c>
      <c r="G31" s="42"/>
      <c r="H31" s="42">
        <v>14005</v>
      </c>
      <c r="I31" s="42">
        <v>280</v>
      </c>
      <c r="J31" s="42">
        <v>0.13</v>
      </c>
      <c r="K31" s="42">
        <f t="shared" ref="K31" si="35">I31*J31</f>
        <v>36.4</v>
      </c>
      <c r="L31" s="43">
        <f t="shared" ref="L31" si="36">H31-K31</f>
        <v>13968.6</v>
      </c>
      <c r="M31" s="43"/>
      <c r="N31" s="43">
        <f t="shared" ref="N31" si="37">L31-M31</f>
        <v>13968.6</v>
      </c>
      <c r="O31" s="43">
        <f t="shared" ref="O31" si="38">H31/1000*70</f>
        <v>980.35</v>
      </c>
      <c r="P31" s="42">
        <v>24500</v>
      </c>
      <c r="Q31" s="42"/>
      <c r="R31" s="42">
        <f t="shared" ref="R31" si="39">L31*Q31</f>
        <v>0</v>
      </c>
    </row>
    <row r="33" spans="1:18">
      <c r="A33" s="1" t="s">
        <v>1131</v>
      </c>
      <c r="B33" s="42" t="s">
        <v>684</v>
      </c>
      <c r="C33" s="42" t="s">
        <v>444</v>
      </c>
      <c r="D33" s="42" t="s">
        <v>16</v>
      </c>
      <c r="E33" s="42" t="s">
        <v>1132</v>
      </c>
      <c r="F33" s="42">
        <v>201</v>
      </c>
      <c r="G33" s="42"/>
      <c r="H33" s="42">
        <v>19250</v>
      </c>
      <c r="I33" s="42">
        <v>455</v>
      </c>
      <c r="J33" s="42">
        <v>0.13</v>
      </c>
      <c r="K33" s="42">
        <f t="shared" ref="K33" si="40">I33*J33</f>
        <v>59.15</v>
      </c>
      <c r="L33" s="43">
        <f t="shared" ref="L33" si="41">H33-K33</f>
        <v>19190.849999999999</v>
      </c>
      <c r="M33" s="43"/>
      <c r="N33" s="43">
        <f t="shared" ref="N33" si="42">L33-M33</f>
        <v>19190.849999999999</v>
      </c>
      <c r="O33" s="43">
        <f t="shared" ref="O33" si="43">H33/1000*70</f>
        <v>1347.5</v>
      </c>
      <c r="P33" s="42">
        <v>8600</v>
      </c>
      <c r="Q33" s="42">
        <v>26.5</v>
      </c>
      <c r="R33" s="42">
        <f t="shared" ref="R33" si="44">L33*Q33</f>
        <v>508557.52499999997</v>
      </c>
    </row>
    <row r="35" spans="1:18">
      <c r="A35" s="1" t="s">
        <v>1156</v>
      </c>
      <c r="B35" s="42" t="s">
        <v>684</v>
      </c>
      <c r="C35" s="42" t="s">
        <v>444</v>
      </c>
      <c r="D35" s="42" t="s">
        <v>16</v>
      </c>
      <c r="E35" s="42" t="s">
        <v>805</v>
      </c>
      <c r="F35" s="42">
        <v>289</v>
      </c>
      <c r="G35" s="42"/>
      <c r="H35" s="42">
        <v>12525</v>
      </c>
      <c r="I35" s="42">
        <v>252</v>
      </c>
      <c r="J35" s="42">
        <v>0.13</v>
      </c>
      <c r="K35" s="42">
        <v>33</v>
      </c>
      <c r="L35" s="43">
        <f t="shared" ref="L35:L36" si="45">H35-K35</f>
        <v>12492</v>
      </c>
      <c r="M35" s="43"/>
      <c r="N35" s="43">
        <f t="shared" ref="N35:N36" si="46">L35-M35</f>
        <v>12492</v>
      </c>
      <c r="O35" s="43">
        <f t="shared" ref="O35:O36" si="47">H35/1000*70</f>
        <v>876.75</v>
      </c>
      <c r="P35" s="42">
        <v>20000</v>
      </c>
      <c r="Q35" s="42">
        <v>26.5</v>
      </c>
      <c r="R35" s="42">
        <f t="shared" ref="R35:R36" si="48">L35*Q35</f>
        <v>331038</v>
      </c>
    </row>
    <row r="36" spans="1:18">
      <c r="A36" s="21" t="s">
        <v>1194</v>
      </c>
      <c r="B36" s="42" t="s">
        <v>684</v>
      </c>
      <c r="C36" s="92" t="s">
        <v>444</v>
      </c>
      <c r="D36" s="42" t="s">
        <v>16</v>
      </c>
      <c r="E36" s="42" t="s">
        <v>805</v>
      </c>
      <c r="F36" s="42">
        <v>298</v>
      </c>
      <c r="G36" s="42"/>
      <c r="H36" s="42">
        <v>13900</v>
      </c>
      <c r="I36" s="42">
        <v>278</v>
      </c>
      <c r="J36" s="42">
        <v>0.13</v>
      </c>
      <c r="K36" s="42">
        <f t="shared" ref="K36" si="49">I36*J36</f>
        <v>36.14</v>
      </c>
      <c r="L36" s="43">
        <f t="shared" si="45"/>
        <v>13863.86</v>
      </c>
      <c r="M36" s="43"/>
      <c r="N36" s="43">
        <f t="shared" si="46"/>
        <v>13863.86</v>
      </c>
      <c r="O36" s="43">
        <f t="shared" si="47"/>
        <v>973</v>
      </c>
      <c r="P36" s="42">
        <v>24000</v>
      </c>
      <c r="Q36" s="42"/>
      <c r="R36" s="42">
        <f t="shared" si="48"/>
        <v>0</v>
      </c>
    </row>
    <row r="38" spans="1:18">
      <c r="A38" s="21" t="s">
        <v>1245</v>
      </c>
      <c r="B38" s="42" t="s">
        <v>684</v>
      </c>
      <c r="C38" s="92" t="s">
        <v>444</v>
      </c>
      <c r="D38" s="42" t="s">
        <v>16</v>
      </c>
      <c r="E38" s="42" t="s">
        <v>805</v>
      </c>
      <c r="F38" s="42">
        <v>64</v>
      </c>
      <c r="G38" s="42"/>
      <c r="H38" s="42">
        <v>13745</v>
      </c>
      <c r="I38" s="42">
        <v>260</v>
      </c>
      <c r="J38" s="42">
        <v>0.13</v>
      </c>
      <c r="K38" s="42">
        <v>34</v>
      </c>
      <c r="L38" s="43">
        <f t="shared" ref="L38" si="50">H38-K38</f>
        <v>13711</v>
      </c>
      <c r="M38" s="43"/>
      <c r="N38" s="43">
        <f t="shared" ref="N38" si="51">L38-M38</f>
        <v>13711</v>
      </c>
      <c r="O38" s="43">
        <f t="shared" ref="O38" si="52">H38/1000*70</f>
        <v>962.15</v>
      </c>
      <c r="P38" s="42">
        <v>20000</v>
      </c>
    </row>
    <row r="40" spans="1:18">
      <c r="A40" s="21" t="s">
        <v>1295</v>
      </c>
      <c r="B40" s="42" t="s">
        <v>504</v>
      </c>
      <c r="C40" s="42" t="s">
        <v>444</v>
      </c>
      <c r="D40" s="42" t="s">
        <v>16</v>
      </c>
      <c r="E40" s="42" t="s">
        <v>359</v>
      </c>
      <c r="F40" s="42">
        <v>9</v>
      </c>
      <c r="G40" s="42"/>
      <c r="H40" s="42">
        <v>13000</v>
      </c>
      <c r="I40" s="42">
        <v>260</v>
      </c>
      <c r="J40" s="42">
        <v>0.13</v>
      </c>
      <c r="K40" s="42">
        <v>34</v>
      </c>
      <c r="L40" s="43">
        <f t="shared" ref="L40" si="53">H40-K40</f>
        <v>12966</v>
      </c>
      <c r="M40" s="43"/>
      <c r="N40" s="43">
        <f t="shared" ref="N40" si="54">L40-M40</f>
        <v>12966</v>
      </c>
      <c r="O40" s="43">
        <f t="shared" ref="O40" si="55">H40/1000*70</f>
        <v>910</v>
      </c>
      <c r="P40" s="42">
        <v>6000</v>
      </c>
      <c r="Q40" s="42">
        <v>27.5</v>
      </c>
      <c r="R40" s="42">
        <f t="shared" ref="R40" si="56">L40*Q40</f>
        <v>356565</v>
      </c>
    </row>
    <row r="42" spans="1:18">
      <c r="A42" s="1" t="s">
        <v>1394</v>
      </c>
      <c r="B42" s="42" t="s">
        <v>684</v>
      </c>
      <c r="C42" s="42" t="s">
        <v>444</v>
      </c>
      <c r="D42" s="42" t="s">
        <v>16</v>
      </c>
      <c r="E42" s="42" t="s">
        <v>777</v>
      </c>
      <c r="F42" s="42">
        <v>17909</v>
      </c>
      <c r="G42" s="42"/>
      <c r="H42" s="42">
        <v>10930</v>
      </c>
      <c r="I42" s="42">
        <v>270</v>
      </c>
      <c r="J42" s="42">
        <v>0.13</v>
      </c>
      <c r="K42" s="42">
        <f t="shared" ref="K42" si="57">I42*J42</f>
        <v>35.1</v>
      </c>
      <c r="L42" s="43">
        <f t="shared" ref="L42" si="58">H42-K42</f>
        <v>10894.9</v>
      </c>
      <c r="M42" s="43"/>
      <c r="N42" s="43">
        <f t="shared" ref="N42" si="59">L42-M42</f>
        <v>10894.9</v>
      </c>
      <c r="O42" s="43">
        <f t="shared" ref="O42" si="60">H42/1000*70</f>
        <v>765.1</v>
      </c>
      <c r="P42" s="42">
        <v>0</v>
      </c>
      <c r="Q42" s="42">
        <v>27.7</v>
      </c>
      <c r="R42" s="42">
        <f t="shared" ref="R42" si="61">L42*Q42</f>
        <v>301788.73</v>
      </c>
    </row>
    <row r="44" spans="1:18">
      <c r="A44" s="1" t="s">
        <v>1449</v>
      </c>
      <c r="B44" s="42" t="s">
        <v>684</v>
      </c>
      <c r="C44" s="42" t="s">
        <v>444</v>
      </c>
      <c r="D44" s="42" t="s">
        <v>16</v>
      </c>
      <c r="E44" s="42" t="s">
        <v>668</v>
      </c>
      <c r="F44" s="42">
        <v>50040</v>
      </c>
      <c r="G44" s="42"/>
      <c r="H44" s="42">
        <v>14970</v>
      </c>
      <c r="I44" s="42">
        <v>300</v>
      </c>
      <c r="J44" s="42">
        <v>0.13</v>
      </c>
      <c r="K44" s="42">
        <f t="shared" ref="K44" si="62">I44*J44</f>
        <v>39</v>
      </c>
      <c r="L44" s="43">
        <f t="shared" ref="L44" si="63">H44-K44</f>
        <v>14931</v>
      </c>
      <c r="M44" s="43"/>
      <c r="N44" s="43">
        <f t="shared" ref="N44" si="64">L44-M44</f>
        <v>14931</v>
      </c>
      <c r="O44" s="43">
        <f t="shared" ref="O44" si="65">H44/1000*70</f>
        <v>1047.9000000000001</v>
      </c>
      <c r="P44" s="42">
        <v>0</v>
      </c>
      <c r="Q44" s="42">
        <v>28</v>
      </c>
      <c r="R44" s="42">
        <f t="shared" ref="R44" si="66">L44*Q44</f>
        <v>418068</v>
      </c>
    </row>
    <row r="46" spans="1:18">
      <c r="A46" s="1" t="s">
        <v>1475</v>
      </c>
      <c r="B46" s="42" t="s">
        <v>864</v>
      </c>
      <c r="C46" s="42" t="s">
        <v>444</v>
      </c>
      <c r="D46" s="42" t="s">
        <v>16</v>
      </c>
      <c r="E46" s="42" t="s">
        <v>1477</v>
      </c>
      <c r="F46" s="42">
        <v>50154</v>
      </c>
      <c r="G46" s="42"/>
      <c r="H46" s="42">
        <v>14980</v>
      </c>
      <c r="I46" s="42">
        <v>300</v>
      </c>
      <c r="J46" s="42">
        <v>0.13</v>
      </c>
      <c r="K46" s="42">
        <f t="shared" ref="K46" si="67">I46*J46</f>
        <v>39</v>
      </c>
      <c r="L46" s="43">
        <f t="shared" ref="L46" si="68">H46-K46</f>
        <v>14941</v>
      </c>
      <c r="M46" s="43"/>
      <c r="N46" s="43">
        <f t="shared" ref="N46" si="69">L46-M46</f>
        <v>14941</v>
      </c>
      <c r="O46" s="43">
        <f t="shared" ref="O46" si="70">H46/1000*70</f>
        <v>1048.6000000000001</v>
      </c>
      <c r="P46" s="42">
        <v>7000</v>
      </c>
      <c r="Q46" s="42">
        <v>28</v>
      </c>
      <c r="R46" s="42">
        <f t="shared" ref="R46" si="71">L46*Q46</f>
        <v>418348</v>
      </c>
    </row>
    <row r="48" spans="1:18">
      <c r="A48" s="1" t="s">
        <v>1499</v>
      </c>
      <c r="B48" s="42" t="s">
        <v>1500</v>
      </c>
      <c r="C48" s="42" t="s">
        <v>444</v>
      </c>
      <c r="D48" s="42" t="s">
        <v>16</v>
      </c>
      <c r="E48" s="42" t="s">
        <v>1501</v>
      </c>
      <c r="F48" s="42">
        <v>50167</v>
      </c>
      <c r="G48" s="42"/>
      <c r="H48" s="42">
        <v>14990</v>
      </c>
      <c r="I48" s="42">
        <v>323</v>
      </c>
      <c r="J48" s="42">
        <v>0.13</v>
      </c>
      <c r="K48" s="42">
        <v>42</v>
      </c>
      <c r="L48" s="43">
        <f t="shared" ref="L48" si="72">H48-K48</f>
        <v>14948</v>
      </c>
      <c r="M48" s="43"/>
      <c r="N48" s="43">
        <f t="shared" ref="N48" si="73">L48-M48</f>
        <v>14948</v>
      </c>
      <c r="O48" s="43">
        <f t="shared" ref="O48" si="74">H48/1000*70</f>
        <v>1049.3</v>
      </c>
      <c r="P48" s="42">
        <v>0</v>
      </c>
      <c r="Q48" s="42"/>
      <c r="R48" s="42">
        <f t="shared" ref="R48" si="75">L48*Q48</f>
        <v>0</v>
      </c>
    </row>
    <row r="50" spans="1:18">
      <c r="A50" s="1" t="s">
        <v>1549</v>
      </c>
      <c r="B50" s="42" t="s">
        <v>1500</v>
      </c>
      <c r="C50" s="42" t="s">
        <v>444</v>
      </c>
      <c r="D50" s="42" t="s">
        <v>16</v>
      </c>
      <c r="E50" s="42" t="s">
        <v>1553</v>
      </c>
      <c r="F50" s="42">
        <v>47598</v>
      </c>
      <c r="G50" s="42"/>
      <c r="H50" s="42">
        <v>14980</v>
      </c>
      <c r="I50" s="42">
        <v>300</v>
      </c>
      <c r="J50" s="42">
        <v>0.13</v>
      </c>
      <c r="K50" s="42">
        <f t="shared" ref="K50" si="76">I50*J50</f>
        <v>39</v>
      </c>
      <c r="L50" s="43">
        <f t="shared" ref="L50" si="77">H50-K50</f>
        <v>14941</v>
      </c>
      <c r="M50" s="43"/>
      <c r="N50" s="43">
        <f t="shared" ref="N50" si="78">L50-M50</f>
        <v>14941</v>
      </c>
      <c r="O50" s="43">
        <f t="shared" ref="O50" si="79">H50/1000*70</f>
        <v>1048.6000000000001</v>
      </c>
      <c r="P50" s="42">
        <v>0</v>
      </c>
      <c r="Q50" s="42"/>
      <c r="R50" s="42">
        <f t="shared" ref="R50" si="80">L50*Q50</f>
        <v>0</v>
      </c>
    </row>
    <row r="52" spans="1:18">
      <c r="A52" s="374" t="s">
        <v>1606</v>
      </c>
      <c r="B52" s="42" t="s">
        <v>1607</v>
      </c>
      <c r="C52" s="42" t="s">
        <v>444</v>
      </c>
      <c r="D52" s="42" t="s">
        <v>16</v>
      </c>
      <c r="E52" s="42" t="s">
        <v>668</v>
      </c>
      <c r="F52" s="42">
        <v>47287</v>
      </c>
      <c r="G52" s="42"/>
      <c r="H52" s="42">
        <v>14880</v>
      </c>
      <c r="I52" s="42">
        <v>310</v>
      </c>
      <c r="J52" s="42">
        <v>0.13</v>
      </c>
      <c r="K52" s="42">
        <f t="shared" ref="K52:K53" si="81">I52*J52</f>
        <v>40.300000000000004</v>
      </c>
      <c r="L52" s="43">
        <f t="shared" ref="L52:L57" si="82">H52-K52</f>
        <v>14839.7</v>
      </c>
      <c r="M52" s="43"/>
      <c r="N52" s="43">
        <f t="shared" ref="N52:N57" si="83">L52-M52</f>
        <v>14839.7</v>
      </c>
      <c r="O52" s="43">
        <f t="shared" ref="O52:O57" si="84">H52/1000*70</f>
        <v>1041.6000000000001</v>
      </c>
      <c r="P52" s="42">
        <v>0</v>
      </c>
      <c r="Q52" s="42">
        <v>28</v>
      </c>
      <c r="R52" s="42">
        <f t="shared" ref="R52:R57" si="85">L52*Q52</f>
        <v>415511.60000000003</v>
      </c>
    </row>
    <row r="53" spans="1:18">
      <c r="A53" s="374"/>
      <c r="B53" s="42" t="s">
        <v>1608</v>
      </c>
      <c r="C53" s="42" t="s">
        <v>444</v>
      </c>
      <c r="D53" s="42" t="s">
        <v>16</v>
      </c>
      <c r="E53" s="42" t="s">
        <v>1609</v>
      </c>
      <c r="F53" s="42">
        <v>47279</v>
      </c>
      <c r="G53" s="42"/>
      <c r="H53" s="42">
        <v>14980</v>
      </c>
      <c r="I53" s="42">
        <v>300</v>
      </c>
      <c r="J53" s="42">
        <v>0.13</v>
      </c>
      <c r="K53" s="42">
        <f t="shared" si="81"/>
        <v>39</v>
      </c>
      <c r="L53" s="43">
        <f t="shared" si="82"/>
        <v>14941</v>
      </c>
      <c r="M53" s="43"/>
      <c r="N53" s="43">
        <f t="shared" si="83"/>
        <v>14941</v>
      </c>
      <c r="O53" s="43">
        <f t="shared" si="84"/>
        <v>1048.6000000000001</v>
      </c>
      <c r="P53" s="42">
        <v>13500</v>
      </c>
      <c r="Q53" s="42">
        <v>28</v>
      </c>
      <c r="R53" s="42">
        <f t="shared" si="85"/>
        <v>418348</v>
      </c>
    </row>
    <row r="54" spans="1:18">
      <c r="A54" s="374"/>
      <c r="B54" s="42" t="s">
        <v>1604</v>
      </c>
      <c r="C54" s="42" t="s">
        <v>444</v>
      </c>
      <c r="D54" s="42" t="s">
        <v>16</v>
      </c>
      <c r="E54" s="42" t="s">
        <v>1610</v>
      </c>
      <c r="F54" s="42">
        <v>859</v>
      </c>
      <c r="G54" s="42"/>
      <c r="H54" s="42">
        <v>12690</v>
      </c>
      <c r="I54" s="42">
        <v>245</v>
      </c>
      <c r="J54" s="42">
        <v>0.13</v>
      </c>
      <c r="K54" s="42">
        <v>32</v>
      </c>
      <c r="L54" s="43">
        <f t="shared" si="82"/>
        <v>12658</v>
      </c>
      <c r="M54" s="43"/>
      <c r="N54" s="43">
        <f t="shared" si="83"/>
        <v>12658</v>
      </c>
      <c r="O54" s="43">
        <f t="shared" si="84"/>
        <v>888.3</v>
      </c>
      <c r="P54" s="42">
        <v>0</v>
      </c>
      <c r="Q54" s="42">
        <v>28</v>
      </c>
      <c r="R54" s="42">
        <f t="shared" si="85"/>
        <v>354424</v>
      </c>
    </row>
    <row r="55" spans="1:18">
      <c r="A55" s="374"/>
      <c r="B55" s="42" t="s">
        <v>1604</v>
      </c>
      <c r="C55" s="42" t="s">
        <v>444</v>
      </c>
      <c r="D55" s="42" t="s">
        <v>16</v>
      </c>
      <c r="E55" s="42" t="s">
        <v>1611</v>
      </c>
      <c r="F55" s="42">
        <v>858</v>
      </c>
      <c r="G55" s="42"/>
      <c r="H55" s="42">
        <v>12510</v>
      </c>
      <c r="I55" s="42">
        <v>267</v>
      </c>
      <c r="J55" s="42">
        <v>0.13</v>
      </c>
      <c r="K55" s="42">
        <v>37</v>
      </c>
      <c r="L55" s="43">
        <f t="shared" si="82"/>
        <v>12473</v>
      </c>
      <c r="M55" s="43"/>
      <c r="N55" s="43">
        <f t="shared" si="83"/>
        <v>12473</v>
      </c>
      <c r="O55" s="43">
        <f t="shared" si="84"/>
        <v>875.69999999999993</v>
      </c>
      <c r="P55" s="42">
        <v>0</v>
      </c>
      <c r="Q55" s="42">
        <v>28</v>
      </c>
      <c r="R55" s="42">
        <f t="shared" si="85"/>
        <v>349244</v>
      </c>
    </row>
    <row r="56" spans="1:18">
      <c r="A56" s="374" t="s">
        <v>1615</v>
      </c>
      <c r="B56" s="42" t="s">
        <v>1604</v>
      </c>
      <c r="C56" s="42" t="s">
        <v>444</v>
      </c>
      <c r="D56" s="42" t="s">
        <v>16</v>
      </c>
      <c r="E56" s="42" t="s">
        <v>1619</v>
      </c>
      <c r="F56" s="42">
        <v>861</v>
      </c>
      <c r="G56" s="42"/>
      <c r="H56" s="42">
        <v>12670</v>
      </c>
      <c r="I56" s="42">
        <v>300</v>
      </c>
      <c r="J56" s="42">
        <v>0.13</v>
      </c>
      <c r="K56" s="42">
        <f t="shared" ref="K56" si="86">I56*J56</f>
        <v>39</v>
      </c>
      <c r="L56" s="43">
        <f t="shared" si="82"/>
        <v>12631</v>
      </c>
      <c r="M56" s="43"/>
      <c r="N56" s="43">
        <f t="shared" si="83"/>
        <v>12631</v>
      </c>
      <c r="O56" s="43">
        <f t="shared" si="84"/>
        <v>886.9</v>
      </c>
      <c r="P56" s="42">
        <v>0</v>
      </c>
      <c r="Q56" s="42">
        <v>28</v>
      </c>
      <c r="R56" s="42">
        <f t="shared" si="85"/>
        <v>353668</v>
      </c>
    </row>
    <row r="57" spans="1:18">
      <c r="A57" s="374"/>
      <c r="B57" s="42" t="s">
        <v>1604</v>
      </c>
      <c r="C57" s="42" t="s">
        <v>444</v>
      </c>
      <c r="D57" s="42" t="s">
        <v>16</v>
      </c>
      <c r="E57" s="42" t="s">
        <v>1620</v>
      </c>
      <c r="F57" s="42">
        <v>860</v>
      </c>
      <c r="G57" s="42"/>
      <c r="H57" s="42">
        <v>12480</v>
      </c>
      <c r="I57" s="42">
        <v>290</v>
      </c>
      <c r="J57" s="42">
        <v>0.13</v>
      </c>
      <c r="K57" s="42">
        <v>38</v>
      </c>
      <c r="L57" s="43">
        <f t="shared" si="82"/>
        <v>12442</v>
      </c>
      <c r="M57" s="43"/>
      <c r="N57" s="43">
        <f t="shared" si="83"/>
        <v>12442</v>
      </c>
      <c r="O57" s="43">
        <f t="shared" si="84"/>
        <v>873.6</v>
      </c>
      <c r="P57" s="42">
        <v>0</v>
      </c>
      <c r="Q57" s="42">
        <v>28</v>
      </c>
      <c r="R57" s="42">
        <f t="shared" si="85"/>
        <v>348376</v>
      </c>
    </row>
    <row r="59" spans="1:18">
      <c r="A59" s="1" t="s">
        <v>2608</v>
      </c>
      <c r="B59" s="42" t="s">
        <v>1607</v>
      </c>
      <c r="C59" s="42" t="s">
        <v>444</v>
      </c>
      <c r="D59" s="42" t="s">
        <v>16</v>
      </c>
      <c r="E59" s="42" t="s">
        <v>2609</v>
      </c>
      <c r="F59" s="42">
        <v>48917</v>
      </c>
      <c r="G59" s="42"/>
      <c r="H59" s="42">
        <v>15865</v>
      </c>
      <c r="I59" s="42">
        <v>310</v>
      </c>
      <c r="J59" s="42">
        <v>0.13</v>
      </c>
      <c r="K59" s="43">
        <f t="shared" ref="K59:K60" si="87">I59*J59</f>
        <v>40.300000000000004</v>
      </c>
      <c r="L59" s="43">
        <f t="shared" ref="L59:L60" si="88">H59-K59</f>
        <v>15824.7</v>
      </c>
      <c r="M59" s="43"/>
      <c r="N59" s="43">
        <f t="shared" ref="N59:N60" si="89">L59-M59</f>
        <v>15824.7</v>
      </c>
      <c r="O59" s="43">
        <f t="shared" ref="O59:O60" si="90">H59/1000*70</f>
        <v>1110.55</v>
      </c>
      <c r="P59" s="42">
        <v>11050</v>
      </c>
      <c r="Q59" s="42">
        <v>27.5</v>
      </c>
      <c r="R59" s="42">
        <f t="shared" ref="R59:R60" si="91">L59*Q59</f>
        <v>435179.25</v>
      </c>
    </row>
    <row r="60" spans="1:18">
      <c r="A60" s="1" t="s">
        <v>2867</v>
      </c>
      <c r="B60" s="42" t="s">
        <v>1607</v>
      </c>
      <c r="C60" s="42" t="s">
        <v>444</v>
      </c>
      <c r="D60" s="42" t="s">
        <v>16</v>
      </c>
      <c r="E60" s="42" t="s">
        <v>2868</v>
      </c>
      <c r="F60" s="42">
        <v>48160</v>
      </c>
      <c r="G60" s="42"/>
      <c r="H60" s="42">
        <v>15280</v>
      </c>
      <c r="I60" s="42">
        <v>204</v>
      </c>
      <c r="J60" s="42">
        <v>0.13</v>
      </c>
      <c r="K60" s="43">
        <f t="shared" si="87"/>
        <v>26.52</v>
      </c>
      <c r="L60" s="43">
        <f t="shared" si="88"/>
        <v>15253.48</v>
      </c>
      <c r="M60" s="43"/>
      <c r="N60" s="43">
        <f t="shared" si="89"/>
        <v>15253.48</v>
      </c>
      <c r="O60" s="43">
        <f t="shared" si="90"/>
        <v>1069.5999999999999</v>
      </c>
      <c r="P60" s="42">
        <v>14800</v>
      </c>
      <c r="Q60" s="42">
        <v>27.5</v>
      </c>
      <c r="R60" s="42">
        <f t="shared" si="91"/>
        <v>419470.7</v>
      </c>
    </row>
    <row r="62" spans="1:18">
      <c r="A62" s="374" t="s">
        <v>2985</v>
      </c>
      <c r="B62" s="42" t="s">
        <v>2956</v>
      </c>
      <c r="C62" s="42" t="s">
        <v>444</v>
      </c>
      <c r="D62" s="42" t="s">
        <v>16</v>
      </c>
      <c r="E62" s="42" t="s">
        <v>2982</v>
      </c>
      <c r="F62" s="42">
        <v>7017</v>
      </c>
      <c r="G62" s="42"/>
      <c r="H62" s="42">
        <v>12840</v>
      </c>
      <c r="I62" s="42">
        <v>330</v>
      </c>
      <c r="J62" s="42">
        <v>0.13</v>
      </c>
      <c r="K62" s="43">
        <f t="shared" ref="K62:K63" si="92">I62*J62</f>
        <v>42.9</v>
      </c>
      <c r="L62" s="43">
        <f t="shared" ref="L62:L63" si="93">H62-K62</f>
        <v>12797.1</v>
      </c>
      <c r="M62" s="43"/>
      <c r="N62" s="43">
        <f t="shared" ref="N62:N63" si="94">L62-M62</f>
        <v>12797.1</v>
      </c>
      <c r="O62" s="43">
        <f t="shared" ref="O62:O63" si="95">H62/1000*70</f>
        <v>898.8</v>
      </c>
      <c r="P62" s="42">
        <v>15300</v>
      </c>
      <c r="Q62" s="42">
        <v>27.5</v>
      </c>
      <c r="R62" s="42">
        <f t="shared" ref="R62:R63" si="96">L62*Q62</f>
        <v>351920.25</v>
      </c>
    </row>
    <row r="63" spans="1:18">
      <c r="A63" s="374"/>
      <c r="B63" s="42" t="s">
        <v>2956</v>
      </c>
      <c r="C63" s="42" t="s">
        <v>444</v>
      </c>
      <c r="D63" s="42" t="s">
        <v>16</v>
      </c>
      <c r="E63" s="42" t="s">
        <v>2983</v>
      </c>
      <c r="F63" s="42">
        <v>7016</v>
      </c>
      <c r="G63" s="42"/>
      <c r="H63" s="42">
        <v>12950</v>
      </c>
      <c r="I63" s="42">
        <v>330</v>
      </c>
      <c r="J63" s="42">
        <v>0.13</v>
      </c>
      <c r="K63" s="43">
        <f t="shared" si="92"/>
        <v>42.9</v>
      </c>
      <c r="L63" s="43">
        <f t="shared" si="93"/>
        <v>12907.1</v>
      </c>
      <c r="M63" s="43"/>
      <c r="N63" s="43">
        <f t="shared" si="94"/>
        <v>12907.1</v>
      </c>
      <c r="O63" s="43">
        <f t="shared" si="95"/>
        <v>906.5</v>
      </c>
      <c r="P63" s="42">
        <v>17000</v>
      </c>
      <c r="Q63" s="42">
        <v>27.5</v>
      </c>
      <c r="R63" s="42">
        <f t="shared" si="96"/>
        <v>354945.25</v>
      </c>
    </row>
    <row r="65" spans="1:18">
      <c r="A65" s="1" t="s">
        <v>3007</v>
      </c>
      <c r="B65" s="42" t="s">
        <v>3011</v>
      </c>
      <c r="C65" s="42" t="s">
        <v>444</v>
      </c>
      <c r="D65" s="42" t="s">
        <v>16</v>
      </c>
      <c r="E65" s="42" t="s">
        <v>3009</v>
      </c>
      <c r="F65" s="42">
        <v>263</v>
      </c>
      <c r="G65" s="42"/>
      <c r="H65" s="42">
        <v>11455</v>
      </c>
      <c r="I65" s="42">
        <v>252</v>
      </c>
      <c r="J65" s="42">
        <v>0.13</v>
      </c>
      <c r="K65" s="43">
        <f t="shared" ref="K65:K67" si="97">I65*J65</f>
        <v>32.76</v>
      </c>
      <c r="L65" s="43">
        <f t="shared" ref="L65:L67" si="98">H65-K65</f>
        <v>11422.24</v>
      </c>
      <c r="M65" s="43"/>
      <c r="N65" s="43">
        <f t="shared" ref="N65:N67" si="99">L65-M65</f>
        <v>11422.24</v>
      </c>
      <c r="O65" s="43">
        <f t="shared" ref="O65:O67" si="100">H65/1000*70</f>
        <v>801.85</v>
      </c>
      <c r="P65" s="42">
        <v>12500</v>
      </c>
      <c r="Q65" s="42">
        <v>27.5</v>
      </c>
      <c r="R65" s="42">
        <f t="shared" ref="R65:R67" si="101">L65*Q65</f>
        <v>314111.59999999998</v>
      </c>
    </row>
    <row r="66" spans="1:18">
      <c r="A66" s="374" t="s">
        <v>3366</v>
      </c>
      <c r="B66" s="42" t="s">
        <v>3045</v>
      </c>
      <c r="C66" s="42" t="s">
        <v>444</v>
      </c>
      <c r="D66" s="42" t="s">
        <v>16</v>
      </c>
      <c r="E66" s="47" t="s">
        <v>3189</v>
      </c>
      <c r="F66" s="47">
        <v>4144</v>
      </c>
      <c r="G66" s="47"/>
      <c r="H66" s="47">
        <v>12550</v>
      </c>
      <c r="I66" s="47">
        <v>305</v>
      </c>
      <c r="J66" s="47">
        <v>0.13</v>
      </c>
      <c r="K66" s="43">
        <f t="shared" si="97"/>
        <v>39.65</v>
      </c>
      <c r="L66" s="43">
        <f t="shared" si="98"/>
        <v>12510.35</v>
      </c>
      <c r="M66" s="43"/>
      <c r="N66" s="43">
        <f t="shared" si="99"/>
        <v>12510.35</v>
      </c>
      <c r="O66" s="43">
        <f t="shared" si="100"/>
        <v>878.5</v>
      </c>
      <c r="P66" s="42">
        <v>20200</v>
      </c>
      <c r="Q66" s="42">
        <v>29.5</v>
      </c>
      <c r="R66" s="42">
        <f t="shared" si="101"/>
        <v>369055.32500000001</v>
      </c>
    </row>
    <row r="67" spans="1:18">
      <c r="A67" s="374"/>
      <c r="B67" s="42" t="s">
        <v>3045</v>
      </c>
      <c r="C67" s="42" t="s">
        <v>444</v>
      </c>
      <c r="D67" s="42" t="s">
        <v>16</v>
      </c>
      <c r="E67" s="47" t="s">
        <v>3367</v>
      </c>
      <c r="F67" s="47">
        <v>4143</v>
      </c>
      <c r="G67" s="47"/>
      <c r="H67" s="47">
        <v>12960</v>
      </c>
      <c r="I67" s="47">
        <v>325</v>
      </c>
      <c r="J67" s="47">
        <v>0.13</v>
      </c>
      <c r="K67" s="43">
        <f t="shared" si="97"/>
        <v>42.25</v>
      </c>
      <c r="L67" s="43">
        <f t="shared" si="98"/>
        <v>12917.75</v>
      </c>
      <c r="M67" s="43"/>
      <c r="N67" s="43">
        <f t="shared" si="99"/>
        <v>12917.75</v>
      </c>
      <c r="O67" s="43">
        <f t="shared" si="100"/>
        <v>907.2</v>
      </c>
      <c r="P67" s="42">
        <v>20700</v>
      </c>
      <c r="Q67" s="42">
        <v>29.5</v>
      </c>
      <c r="R67" s="42">
        <f t="shared" si="101"/>
        <v>381073.625</v>
      </c>
    </row>
    <row r="69" spans="1:18">
      <c r="A69" s="374" t="s">
        <v>3548</v>
      </c>
      <c r="B69" s="42" t="s">
        <v>696</v>
      </c>
      <c r="C69" s="42" t="s">
        <v>444</v>
      </c>
      <c r="D69" s="42" t="s">
        <v>16</v>
      </c>
      <c r="E69" s="47" t="s">
        <v>3555</v>
      </c>
      <c r="F69" s="47">
        <v>4231</v>
      </c>
      <c r="G69" s="47"/>
      <c r="H69" s="47">
        <v>13030</v>
      </c>
      <c r="I69" s="47">
        <v>273</v>
      </c>
      <c r="J69" s="47">
        <v>0.13</v>
      </c>
      <c r="K69" s="43">
        <f t="shared" ref="K69:K71" si="102">I69*J69</f>
        <v>35.49</v>
      </c>
      <c r="L69" s="43">
        <f t="shared" ref="L69:L71" si="103">H69-K69</f>
        <v>12994.51</v>
      </c>
      <c r="M69" s="43"/>
      <c r="N69" s="43">
        <f t="shared" ref="N69:N71" si="104">L69-M69</f>
        <v>12994.51</v>
      </c>
      <c r="O69" s="43">
        <f t="shared" ref="O69:O71" si="105">H69/1000*70</f>
        <v>912.09999999999991</v>
      </c>
      <c r="P69" s="42">
        <v>22000</v>
      </c>
      <c r="Q69" s="42">
        <v>34</v>
      </c>
      <c r="R69" s="42">
        <f t="shared" ref="R69:R71" si="106">L69*Q69</f>
        <v>441813.34</v>
      </c>
    </row>
    <row r="70" spans="1:18">
      <c r="A70" s="374"/>
      <c r="B70" s="42" t="s">
        <v>696</v>
      </c>
      <c r="C70" s="42" t="s">
        <v>444</v>
      </c>
      <c r="D70" s="42" t="s">
        <v>16</v>
      </c>
      <c r="E70" s="47" t="s">
        <v>3556</v>
      </c>
      <c r="F70" s="47">
        <v>4233</v>
      </c>
      <c r="G70" s="47"/>
      <c r="H70" s="47">
        <v>12680</v>
      </c>
      <c r="I70" s="47">
        <v>283</v>
      </c>
      <c r="J70" s="47">
        <v>0.13</v>
      </c>
      <c r="K70" s="43">
        <f t="shared" si="102"/>
        <v>36.79</v>
      </c>
      <c r="L70" s="43">
        <f t="shared" si="103"/>
        <v>12643.21</v>
      </c>
      <c r="M70" s="43"/>
      <c r="N70" s="43">
        <f t="shared" si="104"/>
        <v>12643.21</v>
      </c>
      <c r="O70" s="43">
        <f t="shared" si="105"/>
        <v>887.6</v>
      </c>
      <c r="P70" s="42">
        <v>22000</v>
      </c>
      <c r="Q70" s="42">
        <v>34</v>
      </c>
      <c r="R70" s="42">
        <f t="shared" si="106"/>
        <v>429869.13999999996</v>
      </c>
    </row>
    <row r="71" spans="1:18">
      <c r="A71" s="374"/>
      <c r="B71" s="42" t="s">
        <v>696</v>
      </c>
      <c r="C71" s="42" t="s">
        <v>444</v>
      </c>
      <c r="D71" s="42" t="s">
        <v>16</v>
      </c>
      <c r="E71" s="47" t="s">
        <v>3557</v>
      </c>
      <c r="F71" s="47">
        <v>4234</v>
      </c>
      <c r="G71" s="47"/>
      <c r="H71" s="47">
        <v>13760</v>
      </c>
      <c r="I71" s="47">
        <v>290</v>
      </c>
      <c r="J71" s="47">
        <v>0.13</v>
      </c>
      <c r="K71" s="43">
        <f t="shared" si="102"/>
        <v>37.700000000000003</v>
      </c>
      <c r="L71" s="43">
        <f t="shared" si="103"/>
        <v>13722.3</v>
      </c>
      <c r="M71" s="43"/>
      <c r="N71" s="43">
        <f t="shared" si="104"/>
        <v>13722.3</v>
      </c>
      <c r="O71" s="43">
        <f t="shared" si="105"/>
        <v>963.19999999999993</v>
      </c>
      <c r="P71" s="42">
        <v>22500</v>
      </c>
      <c r="Q71" s="42">
        <v>34</v>
      </c>
      <c r="R71" s="42">
        <f t="shared" si="106"/>
        <v>466558.19999999995</v>
      </c>
    </row>
  </sheetData>
  <mergeCells count="7">
    <mergeCell ref="A69:A71"/>
    <mergeCell ref="A66:A67"/>
    <mergeCell ref="A24:A25"/>
    <mergeCell ref="A26:A27"/>
    <mergeCell ref="A52:A55"/>
    <mergeCell ref="A56:A57"/>
    <mergeCell ref="A62:A63"/>
  </mergeCells>
  <pageMargins left="0.7" right="0.7" top="0.75" bottom="0.75" header="0.3" footer="0.3"/>
  <pageSetup paperSize="9" orientation="portrait" verticalDpi="0" r:id="rId1"/>
</worksheet>
</file>

<file path=xl/worksheets/sheet104.xml><?xml version="1.0" encoding="utf-8"?>
<worksheet xmlns="http://schemas.openxmlformats.org/spreadsheetml/2006/main" xmlns:r="http://schemas.openxmlformats.org/officeDocument/2006/relationships">
  <dimension ref="A5:V40"/>
  <sheetViews>
    <sheetView zoomScale="85" zoomScaleNormal="85" workbookViewId="0">
      <selection activeCell="A27" sqref="A27"/>
    </sheetView>
  </sheetViews>
  <sheetFormatPr defaultRowHeight="14.4"/>
  <cols>
    <col min="1" max="1" width="8.88671875" style="1"/>
    <col min="2" max="2" width="24.77734375" style="1" customWidth="1"/>
    <col min="3" max="3" width="8.88671875" style="1"/>
    <col min="4" max="4" width="5.5546875" style="1" customWidth="1"/>
    <col min="5" max="5" width="9.7773437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2" ht="20.399999999999999">
      <c r="A5" s="58" t="s">
        <v>3</v>
      </c>
      <c r="B5" s="58" t="s">
        <v>4</v>
      </c>
      <c r="C5" s="58" t="s">
        <v>5</v>
      </c>
      <c r="D5" s="58" t="s">
        <v>6</v>
      </c>
      <c r="E5" s="58" t="s">
        <v>37</v>
      </c>
      <c r="F5" s="59" t="s">
        <v>7</v>
      </c>
      <c r="G5" s="58" t="s">
        <v>8</v>
      </c>
      <c r="H5" s="58" t="s">
        <v>9</v>
      </c>
      <c r="I5" s="58" t="s">
        <v>10</v>
      </c>
      <c r="J5" s="59" t="s">
        <v>18</v>
      </c>
      <c r="K5" s="59" t="s">
        <v>17</v>
      </c>
      <c r="L5" s="58" t="s">
        <v>11</v>
      </c>
      <c r="M5" s="59" t="s">
        <v>36</v>
      </c>
      <c r="N5" s="58" t="s">
        <v>12</v>
      </c>
      <c r="O5" s="58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258</v>
      </c>
    </row>
    <row r="6" spans="1:22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</row>
    <row r="7" spans="1:22">
      <c r="A7" s="62" t="s">
        <v>1303</v>
      </c>
      <c r="B7" s="42" t="s">
        <v>1304</v>
      </c>
      <c r="C7" s="42" t="s">
        <v>444</v>
      </c>
      <c r="D7" s="42" t="s">
        <v>16</v>
      </c>
      <c r="E7" s="42" t="s">
        <v>1305</v>
      </c>
      <c r="F7" s="42">
        <v>1169</v>
      </c>
      <c r="G7" s="42"/>
      <c r="H7" s="42">
        <v>12370</v>
      </c>
      <c r="I7" s="42">
        <v>290</v>
      </c>
      <c r="J7" s="42">
        <v>0.13</v>
      </c>
      <c r="K7" s="42">
        <v>38</v>
      </c>
      <c r="L7" s="43">
        <f t="shared" ref="L7" si="0">H7-K7</f>
        <v>12332</v>
      </c>
      <c r="M7" s="43"/>
      <c r="N7" s="43">
        <f t="shared" ref="N7" si="1">L7-M7</f>
        <v>12332</v>
      </c>
      <c r="O7" s="43">
        <f t="shared" ref="O7" si="2">H7/1000*70</f>
        <v>865.9</v>
      </c>
      <c r="P7" s="42">
        <v>26000</v>
      </c>
      <c r="Q7" s="42">
        <v>27.7</v>
      </c>
      <c r="R7" s="42">
        <f t="shared" ref="R7" si="3">L7*Q7</f>
        <v>341596.39999999997</v>
      </c>
      <c r="S7" s="42"/>
      <c r="T7" s="62"/>
      <c r="U7" s="62"/>
      <c r="V7" s="62"/>
    </row>
    <row r="8" spans="1:22">
      <c r="A8" s="62"/>
      <c r="B8" s="67"/>
      <c r="C8" s="67"/>
      <c r="D8" s="67"/>
      <c r="E8" s="67"/>
      <c r="F8" s="67"/>
      <c r="G8" s="67"/>
      <c r="H8" s="67"/>
      <c r="I8" s="67"/>
      <c r="J8" s="67"/>
      <c r="K8" s="67"/>
      <c r="L8" s="68"/>
      <c r="M8" s="68"/>
      <c r="N8" s="68"/>
      <c r="O8" s="68"/>
      <c r="P8" s="67"/>
      <c r="Q8" s="67"/>
      <c r="R8" s="67"/>
      <c r="S8" s="62"/>
      <c r="T8" s="62"/>
      <c r="U8" s="62"/>
      <c r="V8" s="62"/>
    </row>
    <row r="9" spans="1:22">
      <c r="A9" s="21" t="s">
        <v>1326</v>
      </c>
      <c r="B9" s="42" t="s">
        <v>681</v>
      </c>
      <c r="C9" s="42" t="s">
        <v>444</v>
      </c>
      <c r="D9" s="42" t="s">
        <v>16</v>
      </c>
      <c r="E9" s="42" t="s">
        <v>1329</v>
      </c>
      <c r="F9" s="42">
        <v>7985</v>
      </c>
      <c r="G9" s="42"/>
      <c r="H9" s="42">
        <v>12790</v>
      </c>
      <c r="I9" s="42">
        <v>295</v>
      </c>
      <c r="J9" s="42">
        <v>0.13</v>
      </c>
      <c r="K9" s="42">
        <v>38</v>
      </c>
      <c r="L9" s="43">
        <f t="shared" ref="L9:L10" si="4">H9-K9</f>
        <v>12752</v>
      </c>
      <c r="M9" s="43"/>
      <c r="N9" s="43">
        <f t="shared" ref="N9:N10" si="5">L9-M9</f>
        <v>12752</v>
      </c>
      <c r="O9" s="43">
        <f t="shared" ref="O9:O10" si="6">H9/1000*70</f>
        <v>895.3</v>
      </c>
      <c r="P9" s="42">
        <v>0</v>
      </c>
      <c r="Q9" s="42">
        <v>27.7</v>
      </c>
      <c r="R9" s="42">
        <f t="shared" ref="R9:R10" si="7">L9*Q9</f>
        <v>353230.39999999997</v>
      </c>
      <c r="S9" s="62"/>
      <c r="T9" s="62"/>
      <c r="U9" s="62"/>
      <c r="V9" s="62"/>
    </row>
    <row r="10" spans="1:22">
      <c r="A10" s="21" t="s">
        <v>1330</v>
      </c>
      <c r="B10" s="42" t="s">
        <v>1304</v>
      </c>
      <c r="C10" s="42" t="s">
        <v>444</v>
      </c>
      <c r="D10" s="42" t="s">
        <v>16</v>
      </c>
      <c r="E10" s="42" t="s">
        <v>1331</v>
      </c>
      <c r="F10" s="42">
        <v>7987</v>
      </c>
      <c r="G10" s="42"/>
      <c r="H10" s="42">
        <v>12570</v>
      </c>
      <c r="I10" s="42">
        <v>294</v>
      </c>
      <c r="J10" s="42">
        <v>0.13</v>
      </c>
      <c r="K10" s="42">
        <f t="shared" ref="K10" si="8">I10*J10</f>
        <v>38.22</v>
      </c>
      <c r="L10" s="43">
        <f t="shared" si="4"/>
        <v>12531.78</v>
      </c>
      <c r="M10" s="43"/>
      <c r="N10" s="43">
        <f t="shared" si="5"/>
        <v>12531.78</v>
      </c>
      <c r="O10" s="43">
        <f t="shared" si="6"/>
        <v>879.9</v>
      </c>
      <c r="P10" s="42">
        <v>0</v>
      </c>
      <c r="Q10" s="42">
        <v>27.7</v>
      </c>
      <c r="R10" s="42">
        <f t="shared" si="7"/>
        <v>347130.30599999998</v>
      </c>
      <c r="S10" s="62"/>
      <c r="T10" s="62"/>
      <c r="U10" s="62"/>
      <c r="V10" s="62"/>
    </row>
    <row r="11" spans="1:22">
      <c r="A11" s="62"/>
      <c r="B11" s="62"/>
      <c r="C11" s="62"/>
      <c r="D11" s="62"/>
      <c r="E11" s="62"/>
      <c r="F11" s="62"/>
      <c r="G11" s="62"/>
      <c r="H11" s="62"/>
      <c r="I11" s="62"/>
      <c r="J11" s="62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</row>
    <row r="12" spans="1:22">
      <c r="A12" s="21" t="s">
        <v>2174</v>
      </c>
      <c r="B12" s="42" t="s">
        <v>1782</v>
      </c>
      <c r="C12" s="42" t="s">
        <v>444</v>
      </c>
      <c r="D12" s="42" t="s">
        <v>16</v>
      </c>
      <c r="E12" s="42" t="s">
        <v>2176</v>
      </c>
      <c r="F12" s="42">
        <v>9750</v>
      </c>
      <c r="G12" s="42"/>
      <c r="H12" s="42">
        <v>12360</v>
      </c>
      <c r="I12" s="42">
        <v>270</v>
      </c>
      <c r="J12" s="42"/>
      <c r="K12" s="43">
        <f t="shared" ref="K12" si="9">I12*J12</f>
        <v>0</v>
      </c>
      <c r="L12" s="43">
        <f t="shared" ref="L12" si="10">H12-K12</f>
        <v>12360</v>
      </c>
      <c r="M12" s="43"/>
      <c r="N12" s="43">
        <f t="shared" ref="N12" si="11">L12-M12</f>
        <v>12360</v>
      </c>
      <c r="O12" s="43">
        <v>0</v>
      </c>
      <c r="P12" s="42">
        <v>26000</v>
      </c>
      <c r="Q12" s="42">
        <v>27.5</v>
      </c>
      <c r="R12" s="42">
        <f t="shared" ref="R12" si="12">L12*Q12</f>
        <v>339900</v>
      </c>
      <c r="S12" s="62"/>
      <c r="T12" s="62"/>
      <c r="U12" s="62"/>
      <c r="V12" s="62"/>
    </row>
    <row r="13" spans="1:22">
      <c r="A13" s="62"/>
      <c r="B13" s="67"/>
      <c r="C13" s="67"/>
      <c r="D13" s="67"/>
      <c r="E13" s="67"/>
      <c r="F13" s="67"/>
      <c r="G13" s="67"/>
      <c r="H13" s="67"/>
      <c r="I13" s="67"/>
      <c r="J13" s="67"/>
      <c r="K13" s="67"/>
      <c r="L13" s="68"/>
      <c r="M13" s="68"/>
      <c r="N13" s="68"/>
      <c r="O13" s="68"/>
      <c r="P13" s="67"/>
      <c r="Q13" s="67"/>
      <c r="R13" s="67"/>
      <c r="S13" s="62"/>
      <c r="T13" s="62"/>
      <c r="U13" s="62"/>
      <c r="V13" s="62"/>
    </row>
    <row r="14" spans="1:22">
      <c r="A14" s="21" t="s">
        <v>2262</v>
      </c>
      <c r="B14" s="42" t="s">
        <v>2248</v>
      </c>
      <c r="C14" s="42" t="s">
        <v>444</v>
      </c>
      <c r="D14" s="42" t="s">
        <v>16</v>
      </c>
      <c r="E14" s="42" t="s">
        <v>2215</v>
      </c>
      <c r="F14" s="42">
        <v>25050</v>
      </c>
      <c r="G14" s="42"/>
      <c r="H14" s="42">
        <v>12890</v>
      </c>
      <c r="I14" s="42">
        <v>268</v>
      </c>
      <c r="J14" s="42">
        <v>0.13</v>
      </c>
      <c r="K14" s="43">
        <f t="shared" ref="K14" si="13">I14*J14</f>
        <v>34.840000000000003</v>
      </c>
      <c r="L14" s="43">
        <f t="shared" ref="L14" si="14">H14-K14</f>
        <v>12855.16</v>
      </c>
      <c r="M14" s="43"/>
      <c r="N14" s="43">
        <f t="shared" ref="N14" si="15">L14-M14</f>
        <v>12855.16</v>
      </c>
      <c r="O14" s="43">
        <f t="shared" ref="O14" si="16">H14/1000*70</f>
        <v>902.30000000000007</v>
      </c>
      <c r="P14" s="42"/>
      <c r="Q14" s="42">
        <v>28</v>
      </c>
      <c r="R14" s="42">
        <f t="shared" ref="R14" si="17">L14*Q14</f>
        <v>359944.48</v>
      </c>
      <c r="S14" s="62"/>
      <c r="T14" s="62"/>
      <c r="U14" s="62"/>
      <c r="V14" s="62"/>
    </row>
    <row r="15" spans="1:22">
      <c r="A15" s="62"/>
      <c r="B15" s="67"/>
      <c r="C15" s="67"/>
      <c r="D15" s="67"/>
      <c r="E15" s="67"/>
      <c r="F15" s="67"/>
      <c r="G15" s="67"/>
      <c r="H15" s="67"/>
      <c r="I15" s="67"/>
      <c r="J15" s="67"/>
      <c r="K15" s="67"/>
      <c r="L15" s="68"/>
      <c r="M15" s="68"/>
      <c r="N15" s="68"/>
      <c r="O15" s="68"/>
      <c r="P15" s="67"/>
      <c r="Q15" s="67"/>
      <c r="R15" s="67"/>
      <c r="S15" s="62"/>
      <c r="T15" s="62"/>
      <c r="U15" s="62"/>
      <c r="V15" s="62"/>
    </row>
    <row r="16" spans="1:22">
      <c r="A16" s="62" t="s">
        <v>2883</v>
      </c>
      <c r="B16" s="42" t="s">
        <v>1782</v>
      </c>
      <c r="C16" s="42" t="s">
        <v>444</v>
      </c>
      <c r="D16" s="42" t="s">
        <v>16</v>
      </c>
      <c r="E16" s="42" t="s">
        <v>2885</v>
      </c>
      <c r="F16" s="42">
        <v>83386</v>
      </c>
      <c r="G16" s="42"/>
      <c r="H16" s="42">
        <v>12650</v>
      </c>
      <c r="I16" s="42">
        <v>290</v>
      </c>
      <c r="J16" s="42">
        <v>0.13</v>
      </c>
      <c r="K16" s="43">
        <f t="shared" ref="K16" si="18">I16*J16</f>
        <v>37.700000000000003</v>
      </c>
      <c r="L16" s="43">
        <f t="shared" ref="L16" si="19">H16-K16</f>
        <v>12612.3</v>
      </c>
      <c r="M16" s="43"/>
      <c r="N16" s="43">
        <f t="shared" ref="N16" si="20">L16-M16</f>
        <v>12612.3</v>
      </c>
      <c r="O16" s="43">
        <f t="shared" ref="O16" si="21">H16/1000*70</f>
        <v>885.5</v>
      </c>
      <c r="P16" s="42">
        <v>14000</v>
      </c>
      <c r="Q16" s="42">
        <v>27</v>
      </c>
      <c r="R16" s="42">
        <f t="shared" ref="R16" si="22">L16*Q16</f>
        <v>340532.1</v>
      </c>
      <c r="S16" s="62"/>
      <c r="T16" s="62"/>
      <c r="U16" s="62"/>
      <c r="V16" s="62"/>
    </row>
    <row r="17" spans="1:22">
      <c r="A17" s="62"/>
      <c r="B17" s="62"/>
      <c r="C17" s="62"/>
      <c r="D17" s="62"/>
      <c r="E17" s="62"/>
      <c r="F17" s="62"/>
      <c r="G17" s="62"/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</row>
    <row r="18" spans="1:22">
      <c r="A18" s="62" t="s">
        <v>2887</v>
      </c>
      <c r="B18" s="42" t="s">
        <v>1782</v>
      </c>
      <c r="C18" s="42" t="s">
        <v>444</v>
      </c>
      <c r="D18" s="42" t="s">
        <v>16</v>
      </c>
      <c r="E18" s="42" t="s">
        <v>2888</v>
      </c>
      <c r="F18" s="42">
        <v>25193</v>
      </c>
      <c r="G18" s="42"/>
      <c r="H18" s="42">
        <v>12880</v>
      </c>
      <c r="I18" s="42">
        <v>295</v>
      </c>
      <c r="J18" s="42">
        <v>0.13</v>
      </c>
      <c r="K18" s="43">
        <f t="shared" ref="K18" si="23">I18*J18</f>
        <v>38.35</v>
      </c>
      <c r="L18" s="43">
        <f t="shared" ref="L18" si="24">H18-K18</f>
        <v>12841.65</v>
      </c>
      <c r="M18" s="43"/>
      <c r="N18" s="43">
        <f t="shared" ref="N18" si="25">L18-M18</f>
        <v>12841.65</v>
      </c>
      <c r="O18" s="43">
        <f t="shared" ref="O18" si="26">H18/1000*70</f>
        <v>901.6</v>
      </c>
      <c r="P18" s="42">
        <v>14000</v>
      </c>
      <c r="Q18" s="42">
        <v>27</v>
      </c>
      <c r="R18" s="42">
        <f t="shared" ref="R18" si="27">L18*Q18</f>
        <v>346724.55</v>
      </c>
      <c r="S18" s="62"/>
      <c r="T18" s="62"/>
      <c r="U18" s="62"/>
      <c r="V18" s="62"/>
    </row>
    <row r="19" spans="1:22">
      <c r="A19" s="62"/>
      <c r="B19" s="67"/>
      <c r="C19" s="67"/>
      <c r="D19" s="67"/>
      <c r="E19" s="142"/>
      <c r="F19" s="142"/>
      <c r="G19" s="142"/>
      <c r="H19" s="142"/>
      <c r="I19" s="142"/>
      <c r="J19" s="142"/>
      <c r="K19" s="67"/>
      <c r="L19" s="68"/>
      <c r="M19" s="68"/>
      <c r="N19" s="68"/>
      <c r="O19" s="68"/>
      <c r="P19" s="142"/>
      <c r="Q19" s="142"/>
      <c r="R19" s="142"/>
      <c r="S19" s="62"/>
      <c r="T19" s="62"/>
      <c r="U19" s="62"/>
      <c r="V19" s="62"/>
    </row>
    <row r="20" spans="1:22">
      <c r="A20" s="21" t="s">
        <v>2889</v>
      </c>
      <c r="B20" s="42" t="s">
        <v>1782</v>
      </c>
      <c r="C20" s="42" t="s">
        <v>444</v>
      </c>
      <c r="D20" s="42" t="s">
        <v>16</v>
      </c>
      <c r="E20" s="42" t="s">
        <v>2891</v>
      </c>
      <c r="F20" s="42">
        <v>83389</v>
      </c>
      <c r="G20" s="42"/>
      <c r="H20" s="42">
        <v>12560</v>
      </c>
      <c r="I20" s="42">
        <v>285</v>
      </c>
      <c r="J20" s="42">
        <v>0.13</v>
      </c>
      <c r="K20" s="43">
        <f t="shared" ref="K20" si="28">I20*J20</f>
        <v>37.050000000000004</v>
      </c>
      <c r="L20" s="43">
        <f t="shared" ref="L20" si="29">H20-K20</f>
        <v>12522.95</v>
      </c>
      <c r="M20" s="43"/>
      <c r="N20" s="43">
        <f t="shared" ref="N20" si="30">L20-M20</f>
        <v>12522.95</v>
      </c>
      <c r="O20" s="43">
        <f t="shared" ref="O20" si="31">H20/1000*70</f>
        <v>879.2</v>
      </c>
      <c r="P20" s="42">
        <v>14500</v>
      </c>
      <c r="Q20" s="42">
        <v>27</v>
      </c>
      <c r="R20" s="42">
        <f t="shared" ref="R20" si="32">L20*Q20</f>
        <v>338119.65</v>
      </c>
      <c r="S20" s="62"/>
      <c r="T20" s="62"/>
      <c r="U20" s="62"/>
      <c r="V20" s="62"/>
    </row>
    <row r="21" spans="1:22">
      <c r="A21" s="21"/>
      <c r="B21" s="67"/>
      <c r="C21" s="67"/>
      <c r="D21" s="67"/>
      <c r="E21" s="142"/>
      <c r="F21" s="142"/>
      <c r="G21" s="142"/>
      <c r="H21" s="142"/>
      <c r="I21" s="142"/>
      <c r="J21" s="142"/>
      <c r="K21" s="67"/>
      <c r="L21" s="68"/>
      <c r="M21" s="68"/>
      <c r="N21" s="68"/>
      <c r="O21" s="68"/>
      <c r="P21" s="142"/>
      <c r="Q21" s="142"/>
      <c r="R21" s="142"/>
      <c r="S21" s="62"/>
      <c r="T21" s="62"/>
      <c r="U21" s="62"/>
      <c r="V21" s="62"/>
    </row>
    <row r="22" spans="1:22">
      <c r="A22" s="62" t="s">
        <v>2894</v>
      </c>
      <c r="B22" s="42" t="s">
        <v>1782</v>
      </c>
      <c r="C22" s="42" t="s">
        <v>444</v>
      </c>
      <c r="D22" s="42" t="s">
        <v>16</v>
      </c>
      <c r="E22" s="42" t="s">
        <v>2896</v>
      </c>
      <c r="F22" s="42">
        <v>83393</v>
      </c>
      <c r="G22" s="42"/>
      <c r="H22" s="42">
        <v>12730</v>
      </c>
      <c r="I22" s="42">
        <v>290</v>
      </c>
      <c r="J22" s="42">
        <v>0.13</v>
      </c>
      <c r="K22" s="43">
        <f t="shared" ref="K22" si="33">I22*J22</f>
        <v>37.700000000000003</v>
      </c>
      <c r="L22" s="43">
        <f t="shared" ref="L22" si="34">H22-K22</f>
        <v>12692.3</v>
      </c>
      <c r="M22" s="43"/>
      <c r="N22" s="43">
        <f t="shared" ref="N22" si="35">L22-M22</f>
        <v>12692.3</v>
      </c>
      <c r="O22" s="43">
        <f t="shared" ref="O22" si="36">H22/1000*70</f>
        <v>891.1</v>
      </c>
      <c r="P22" s="42">
        <v>15500</v>
      </c>
      <c r="Q22" s="42">
        <v>27</v>
      </c>
      <c r="R22" s="42">
        <f t="shared" ref="R22" si="37">L22*Q22</f>
        <v>342692.1</v>
      </c>
      <c r="S22" s="62"/>
      <c r="T22" s="62"/>
      <c r="U22" s="62"/>
      <c r="V22" s="62"/>
    </row>
    <row r="23" spans="1:22">
      <c r="A23" s="63"/>
      <c r="B23" s="67"/>
      <c r="C23" s="67"/>
      <c r="D23" s="67"/>
      <c r="E23" s="67"/>
      <c r="F23" s="67"/>
      <c r="G23" s="67"/>
      <c r="H23" s="67"/>
      <c r="I23" s="67"/>
      <c r="J23" s="67"/>
      <c r="K23" s="67"/>
      <c r="L23" s="68"/>
      <c r="M23" s="68"/>
      <c r="N23" s="68"/>
      <c r="O23" s="68"/>
      <c r="P23" s="67"/>
      <c r="Q23" s="67"/>
      <c r="R23" s="67"/>
      <c r="S23" s="62"/>
      <c r="T23" s="62"/>
      <c r="U23" s="62"/>
      <c r="V23" s="62"/>
    </row>
    <row r="24" spans="1:22">
      <c r="A24" s="63" t="s">
        <v>2901</v>
      </c>
      <c r="B24" s="42" t="s">
        <v>1782</v>
      </c>
      <c r="C24" s="42" t="s">
        <v>444</v>
      </c>
      <c r="D24" s="42" t="s">
        <v>16</v>
      </c>
      <c r="E24" s="42" t="s">
        <v>2902</v>
      </c>
      <c r="F24" s="42">
        <v>83399</v>
      </c>
      <c r="G24" s="42"/>
      <c r="H24" s="42">
        <v>12310</v>
      </c>
      <c r="I24" s="42">
        <v>285</v>
      </c>
      <c r="J24" s="42">
        <v>0.13</v>
      </c>
      <c r="K24" s="43">
        <f t="shared" ref="K24" si="38">I24*J24</f>
        <v>37.050000000000004</v>
      </c>
      <c r="L24" s="43">
        <f t="shared" ref="L24" si="39">H24-K24</f>
        <v>12272.95</v>
      </c>
      <c r="M24" s="43"/>
      <c r="N24" s="43">
        <f t="shared" ref="N24" si="40">L24-M24</f>
        <v>12272.95</v>
      </c>
      <c r="O24" s="43">
        <f t="shared" ref="O24" si="41">H24/1000*70</f>
        <v>861.7</v>
      </c>
      <c r="P24" s="42">
        <v>14500</v>
      </c>
      <c r="Q24" s="42">
        <v>27</v>
      </c>
      <c r="R24" s="42">
        <f t="shared" ref="R24" si="42">L24*Q24</f>
        <v>331369.65000000002</v>
      </c>
      <c r="S24" s="62"/>
      <c r="T24" s="62"/>
      <c r="U24" s="62"/>
      <c r="V24" s="62"/>
    </row>
    <row r="25" spans="1:22">
      <c r="A25" s="63"/>
      <c r="B25" s="67"/>
      <c r="C25" s="67"/>
      <c r="D25" s="67"/>
      <c r="E25" s="67"/>
      <c r="F25" s="67"/>
      <c r="G25" s="67"/>
      <c r="H25" s="67"/>
      <c r="I25" s="67"/>
      <c r="J25" s="67"/>
      <c r="K25" s="67"/>
      <c r="L25" s="68"/>
      <c r="M25" s="68"/>
      <c r="N25" s="68"/>
      <c r="O25" s="68"/>
      <c r="P25" s="67"/>
      <c r="Q25" s="67"/>
      <c r="R25" s="67"/>
      <c r="S25" s="67"/>
      <c r="T25" s="62"/>
      <c r="U25" s="62"/>
      <c r="V25" s="62"/>
    </row>
    <row r="26" spans="1:22">
      <c r="A26" s="63" t="s">
        <v>2950</v>
      </c>
      <c r="B26" s="42" t="s">
        <v>1782</v>
      </c>
      <c r="C26" s="42" t="s">
        <v>444</v>
      </c>
      <c r="D26" s="42" t="s">
        <v>16</v>
      </c>
      <c r="E26" s="42" t="s">
        <v>2951</v>
      </c>
      <c r="F26" s="42">
        <v>33421</v>
      </c>
      <c r="G26" s="42"/>
      <c r="H26" s="42">
        <v>12720</v>
      </c>
      <c r="I26" s="42">
        <v>280</v>
      </c>
      <c r="J26" s="42">
        <v>0.13</v>
      </c>
      <c r="K26" s="43">
        <f t="shared" ref="K26" si="43">I26*J26</f>
        <v>36.4</v>
      </c>
      <c r="L26" s="43">
        <f t="shared" ref="L26" si="44">H26-K26</f>
        <v>12683.6</v>
      </c>
      <c r="M26" s="43"/>
      <c r="N26" s="43">
        <f t="shared" ref="N26" si="45">L26-M26</f>
        <v>12683.6</v>
      </c>
      <c r="O26" s="43">
        <f t="shared" ref="O26" si="46">H26/1000*70</f>
        <v>890.40000000000009</v>
      </c>
      <c r="P26" s="42">
        <v>14500</v>
      </c>
      <c r="Q26" s="42">
        <v>27</v>
      </c>
      <c r="R26" s="42">
        <f t="shared" ref="R26" si="47">L26*Q26</f>
        <v>342457.2</v>
      </c>
      <c r="S26" s="160"/>
      <c r="T26" s="62"/>
      <c r="U26" s="62"/>
      <c r="V26" s="62"/>
    </row>
    <row r="27" spans="1:22">
      <c r="A27" s="62"/>
      <c r="B27" s="62"/>
      <c r="C27" s="62"/>
      <c r="D27" s="62"/>
      <c r="E27" s="62"/>
      <c r="F27" s="62"/>
      <c r="G27" s="62"/>
      <c r="H27" s="62"/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</row>
    <row r="28" spans="1:22">
      <c r="A28" s="62"/>
      <c r="B28" s="142"/>
      <c r="C28" s="161"/>
      <c r="D28" s="67"/>
      <c r="E28" s="142"/>
      <c r="F28" s="142"/>
      <c r="G28" s="142"/>
      <c r="H28" s="142"/>
      <c r="I28" s="142"/>
      <c r="J28" s="142"/>
      <c r="K28" s="67"/>
      <c r="L28" s="68"/>
      <c r="M28" s="68"/>
      <c r="N28" s="68"/>
      <c r="O28" s="68"/>
      <c r="P28" s="142"/>
      <c r="Q28" s="142"/>
      <c r="R28" s="142"/>
      <c r="S28" s="161"/>
      <c r="T28" s="62"/>
      <c r="U28" s="62"/>
      <c r="V28" s="62"/>
    </row>
    <row r="29" spans="1:22">
      <c r="A29" s="62"/>
      <c r="B29" s="62"/>
      <c r="C29" s="62"/>
      <c r="D29" s="62"/>
      <c r="E29" s="62"/>
      <c r="F29" s="62"/>
      <c r="G29" s="62"/>
      <c r="H29" s="62"/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</row>
    <row r="30" spans="1:22">
      <c r="A30" s="62"/>
      <c r="B30" s="67"/>
      <c r="C30" s="67"/>
      <c r="D30" s="67"/>
      <c r="E30" s="67"/>
      <c r="F30" s="67"/>
      <c r="G30" s="67"/>
      <c r="H30" s="67"/>
      <c r="I30" s="67"/>
      <c r="J30" s="67"/>
      <c r="K30" s="67"/>
      <c r="L30" s="68"/>
      <c r="M30" s="68"/>
      <c r="N30" s="68"/>
      <c r="O30" s="68"/>
      <c r="P30" s="67"/>
      <c r="Q30" s="67"/>
      <c r="R30" s="67"/>
      <c r="S30" s="62"/>
      <c r="T30" s="62"/>
      <c r="U30" s="62"/>
      <c r="V30" s="62"/>
    </row>
    <row r="31" spans="1:22">
      <c r="A31" s="62"/>
      <c r="B31" s="62"/>
      <c r="C31" s="62"/>
      <c r="D31" s="62"/>
      <c r="E31" s="62"/>
      <c r="F31" s="62"/>
      <c r="G31" s="62"/>
      <c r="H31" s="62"/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</row>
    <row r="32" spans="1:22">
      <c r="A32" s="62"/>
      <c r="B32" s="67"/>
      <c r="C32" s="67"/>
      <c r="D32" s="67"/>
      <c r="E32" s="67"/>
      <c r="F32" s="67"/>
      <c r="G32" s="67"/>
      <c r="H32" s="67"/>
      <c r="I32" s="67"/>
      <c r="J32" s="67"/>
      <c r="K32" s="67"/>
      <c r="L32" s="68"/>
      <c r="M32" s="68"/>
      <c r="N32" s="68"/>
      <c r="O32" s="68"/>
      <c r="P32" s="67"/>
      <c r="Q32" s="67"/>
      <c r="R32" s="67"/>
      <c r="S32" s="62"/>
      <c r="T32" s="62"/>
      <c r="U32" s="62"/>
      <c r="V32" s="62"/>
    </row>
    <row r="33" spans="1:22">
      <c r="A33" s="62"/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</row>
    <row r="34" spans="1:22">
      <c r="A34" s="62"/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8"/>
      <c r="M34" s="68"/>
      <c r="N34" s="68"/>
      <c r="O34" s="68"/>
      <c r="P34" s="67"/>
      <c r="Q34" s="67"/>
      <c r="R34" s="67"/>
      <c r="S34" s="62"/>
      <c r="T34" s="62"/>
      <c r="U34" s="62"/>
      <c r="V34" s="62"/>
    </row>
    <row r="35" spans="1:22">
      <c r="A35" s="21"/>
      <c r="B35" s="67"/>
      <c r="C35" s="142"/>
      <c r="D35" s="67"/>
      <c r="E35" s="67"/>
      <c r="F35" s="67"/>
      <c r="G35" s="67"/>
      <c r="H35" s="67"/>
      <c r="I35" s="67"/>
      <c r="J35" s="67"/>
      <c r="K35" s="67"/>
      <c r="L35" s="68"/>
      <c r="M35" s="68"/>
      <c r="N35" s="68"/>
      <c r="O35" s="68"/>
      <c r="P35" s="67"/>
      <c r="Q35" s="67"/>
      <c r="R35" s="67"/>
      <c r="S35" s="62"/>
      <c r="T35" s="62"/>
      <c r="U35" s="62"/>
      <c r="V35" s="62"/>
    </row>
    <row r="36" spans="1:22">
      <c r="A36" s="62"/>
      <c r="B36" s="62"/>
      <c r="C36" s="62"/>
      <c r="D36" s="62"/>
      <c r="E36" s="62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</row>
    <row r="37" spans="1:22">
      <c r="A37" s="21"/>
      <c r="B37" s="67"/>
      <c r="C37" s="142"/>
      <c r="D37" s="67"/>
      <c r="E37" s="67"/>
      <c r="F37" s="67"/>
      <c r="G37" s="67"/>
      <c r="H37" s="67"/>
      <c r="I37" s="67"/>
      <c r="J37" s="67"/>
      <c r="K37" s="67"/>
      <c r="L37" s="68"/>
      <c r="M37" s="68"/>
      <c r="N37" s="68"/>
      <c r="O37" s="68"/>
      <c r="P37" s="67"/>
      <c r="Q37" s="62"/>
      <c r="R37" s="62"/>
      <c r="S37" s="62"/>
      <c r="T37" s="62"/>
      <c r="U37" s="62"/>
      <c r="V37" s="62"/>
    </row>
    <row r="38" spans="1:22">
      <c r="A38" s="62"/>
      <c r="B38" s="62"/>
      <c r="C38" s="62"/>
      <c r="D38" s="62"/>
      <c r="E38" s="62"/>
      <c r="F38" s="62"/>
      <c r="G38" s="62"/>
      <c r="H38" s="62"/>
      <c r="I38" s="62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</row>
    <row r="39" spans="1:22">
      <c r="A39" s="21"/>
      <c r="B39" s="67"/>
      <c r="C39" s="67"/>
      <c r="D39" s="67"/>
      <c r="E39" s="67"/>
      <c r="F39" s="67"/>
      <c r="G39" s="67"/>
      <c r="H39" s="67"/>
      <c r="I39" s="67"/>
      <c r="J39" s="67"/>
      <c r="K39" s="67"/>
      <c r="L39" s="68"/>
      <c r="M39" s="68"/>
      <c r="N39" s="68"/>
      <c r="O39" s="68"/>
      <c r="P39" s="67"/>
      <c r="Q39" s="67"/>
      <c r="R39" s="67"/>
      <c r="S39" s="62"/>
      <c r="T39" s="62"/>
      <c r="U39" s="62"/>
      <c r="V39" s="62"/>
    </row>
    <row r="40" spans="1:22">
      <c r="A40" s="62"/>
      <c r="B40" s="62"/>
      <c r="C40" s="62"/>
      <c r="D40" s="62"/>
      <c r="E40" s="62"/>
      <c r="F40" s="62"/>
      <c r="G40" s="62"/>
      <c r="H40" s="62"/>
      <c r="I40" s="62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</row>
  </sheetData>
  <pageMargins left="0.7" right="0.7" top="0.75" bottom="0.75" header="0.3" footer="0.3"/>
  <pageSetup paperSize="9" orientation="portrait" verticalDpi="0" r:id="rId1"/>
</worksheet>
</file>

<file path=xl/worksheets/sheet105.xml><?xml version="1.0" encoding="utf-8"?>
<worksheet xmlns="http://schemas.openxmlformats.org/spreadsheetml/2006/main" xmlns:r="http://schemas.openxmlformats.org/officeDocument/2006/relationships">
  <dimension ref="A5:V36"/>
  <sheetViews>
    <sheetView zoomScale="85" zoomScaleNormal="85" workbookViewId="0">
      <selection activeCell="B10" sqref="B10"/>
    </sheetView>
  </sheetViews>
  <sheetFormatPr defaultRowHeight="14.4"/>
  <cols>
    <col min="1" max="1" width="8.88671875" style="1"/>
    <col min="2" max="2" width="24.77734375" style="1" customWidth="1"/>
    <col min="3" max="3" width="8.88671875" style="1"/>
    <col min="4" max="4" width="5.5546875" style="1" customWidth="1"/>
    <col min="5" max="5" width="9.7773437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2" ht="20.399999999999999">
      <c r="A5" s="58" t="s">
        <v>3</v>
      </c>
      <c r="B5" s="58" t="s">
        <v>4</v>
      </c>
      <c r="C5" s="58" t="s">
        <v>5</v>
      </c>
      <c r="D5" s="58" t="s">
        <v>6</v>
      </c>
      <c r="E5" s="58" t="s">
        <v>37</v>
      </c>
      <c r="F5" s="59" t="s">
        <v>7</v>
      </c>
      <c r="G5" s="58" t="s">
        <v>8</v>
      </c>
      <c r="H5" s="58" t="s">
        <v>9</v>
      </c>
      <c r="I5" s="58" t="s">
        <v>10</v>
      </c>
      <c r="J5" s="59" t="s">
        <v>18</v>
      </c>
      <c r="K5" s="59" t="s">
        <v>17</v>
      </c>
      <c r="L5" s="58" t="s">
        <v>11</v>
      </c>
      <c r="M5" s="59" t="s">
        <v>36</v>
      </c>
      <c r="N5" s="58" t="s">
        <v>12</v>
      </c>
      <c r="O5" s="58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258</v>
      </c>
    </row>
    <row r="6" spans="1:22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</row>
    <row r="7" spans="1:22">
      <c r="A7" s="21"/>
      <c r="B7" s="67"/>
      <c r="C7" s="67"/>
      <c r="D7" s="67"/>
      <c r="E7" s="67"/>
      <c r="F7" s="67"/>
      <c r="G7" s="67"/>
      <c r="H7" s="67"/>
      <c r="I7" s="67"/>
      <c r="J7" s="67"/>
      <c r="K7" s="67"/>
      <c r="L7" s="68"/>
      <c r="M7" s="68"/>
      <c r="N7" s="68"/>
      <c r="O7" s="68"/>
      <c r="P7" s="67"/>
      <c r="Q7" s="67"/>
      <c r="R7" s="67"/>
      <c r="S7" s="62"/>
      <c r="T7" s="62"/>
      <c r="U7" s="62"/>
      <c r="V7" s="62"/>
    </row>
    <row r="8" spans="1:22">
      <c r="A8" s="62" t="s">
        <v>1974</v>
      </c>
      <c r="B8" s="42" t="s">
        <v>1203</v>
      </c>
      <c r="C8" s="42" t="s">
        <v>444</v>
      </c>
      <c r="D8" s="42" t="s">
        <v>16</v>
      </c>
      <c r="E8" s="42" t="s">
        <v>1976</v>
      </c>
      <c r="F8" s="42">
        <v>90</v>
      </c>
      <c r="G8" s="42"/>
      <c r="H8" s="42">
        <v>4980</v>
      </c>
      <c r="I8" s="42">
        <v>94</v>
      </c>
      <c r="J8" s="42">
        <v>0.13</v>
      </c>
      <c r="K8" s="43">
        <f t="shared" ref="K8" si="0">I8*J8</f>
        <v>12.22</v>
      </c>
      <c r="L8" s="43">
        <f t="shared" ref="L8" si="1">H8-K8</f>
        <v>4967.78</v>
      </c>
      <c r="M8" s="43"/>
      <c r="N8" s="43">
        <f t="shared" ref="N8" si="2">L8-M8</f>
        <v>4967.78</v>
      </c>
      <c r="O8" s="43">
        <f t="shared" ref="O8" si="3">H8/1000*70</f>
        <v>348.6</v>
      </c>
      <c r="P8" s="42">
        <v>0</v>
      </c>
      <c r="Q8" s="42">
        <v>29.5</v>
      </c>
      <c r="R8" s="42">
        <f t="shared" ref="R8" si="4">L8*Q8</f>
        <v>146549.50999999998</v>
      </c>
      <c r="S8" s="62"/>
      <c r="T8" s="62"/>
      <c r="U8" s="62"/>
      <c r="V8" s="62"/>
    </row>
    <row r="9" spans="1:22">
      <c r="A9" s="62"/>
      <c r="B9" s="67"/>
      <c r="C9" s="67"/>
      <c r="D9" s="67"/>
      <c r="E9" s="67"/>
      <c r="F9" s="67"/>
      <c r="G9" s="67"/>
      <c r="H9" s="67"/>
      <c r="I9" s="67"/>
      <c r="J9" s="67"/>
      <c r="K9" s="67"/>
      <c r="L9" s="68"/>
      <c r="M9" s="68"/>
      <c r="N9" s="68"/>
      <c r="O9" s="68"/>
      <c r="P9" s="67"/>
      <c r="Q9" s="67"/>
      <c r="R9" s="67"/>
      <c r="S9" s="62"/>
      <c r="T9" s="62"/>
      <c r="U9" s="62"/>
      <c r="V9" s="62"/>
    </row>
    <row r="10" spans="1:22">
      <c r="A10" s="62"/>
      <c r="B10" s="62"/>
      <c r="C10" s="62"/>
      <c r="D10" s="62"/>
      <c r="E10" s="62"/>
      <c r="F10" s="62"/>
      <c r="G10" s="62"/>
      <c r="H10" s="62"/>
      <c r="I10" s="62"/>
      <c r="J10" s="62"/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</row>
    <row r="11" spans="1:22">
      <c r="A11" s="62"/>
      <c r="B11" s="67"/>
      <c r="C11" s="67"/>
      <c r="D11" s="67"/>
      <c r="E11" s="67"/>
      <c r="F11" s="67"/>
      <c r="G11" s="67"/>
      <c r="H11" s="67"/>
      <c r="I11" s="67"/>
      <c r="J11" s="67"/>
      <c r="K11" s="67"/>
      <c r="L11" s="68"/>
      <c r="M11" s="68"/>
      <c r="N11" s="68"/>
      <c r="O11" s="68"/>
      <c r="P11" s="67"/>
      <c r="Q11" s="67"/>
      <c r="R11" s="67"/>
      <c r="S11" s="62"/>
      <c r="T11" s="62"/>
      <c r="U11" s="62"/>
      <c r="V11" s="62"/>
    </row>
    <row r="12" spans="1:22">
      <c r="A12" s="62"/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</row>
    <row r="13" spans="1:22">
      <c r="A13" s="62"/>
      <c r="B13" s="62"/>
      <c r="C13" s="62"/>
      <c r="D13" s="62"/>
      <c r="E13" s="62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</row>
    <row r="14" spans="1:22">
      <c r="A14" s="62"/>
      <c r="B14" s="67"/>
      <c r="C14" s="67"/>
      <c r="D14" s="67"/>
      <c r="E14" s="67"/>
      <c r="F14" s="67"/>
      <c r="G14" s="67"/>
      <c r="H14" s="67"/>
      <c r="I14" s="67"/>
      <c r="J14" s="67"/>
      <c r="K14" s="67"/>
      <c r="L14" s="68"/>
      <c r="M14" s="68"/>
      <c r="N14" s="68"/>
      <c r="O14" s="68"/>
      <c r="P14" s="67"/>
      <c r="Q14" s="67"/>
      <c r="R14" s="67"/>
      <c r="S14" s="62"/>
      <c r="T14" s="62"/>
      <c r="U14" s="62"/>
      <c r="V14" s="62"/>
    </row>
    <row r="15" spans="1:22">
      <c r="A15" s="62"/>
      <c r="B15" s="67"/>
      <c r="C15" s="67"/>
      <c r="D15" s="67"/>
      <c r="E15" s="142"/>
      <c r="F15" s="142"/>
      <c r="G15" s="142"/>
      <c r="H15" s="142"/>
      <c r="I15" s="142"/>
      <c r="J15" s="142"/>
      <c r="K15" s="67"/>
      <c r="L15" s="68"/>
      <c r="M15" s="68"/>
      <c r="N15" s="68"/>
      <c r="O15" s="68"/>
      <c r="P15" s="142"/>
      <c r="Q15" s="142"/>
      <c r="R15" s="142"/>
      <c r="S15" s="62"/>
      <c r="T15" s="62"/>
      <c r="U15" s="62"/>
      <c r="V15" s="62"/>
    </row>
    <row r="16" spans="1:22">
      <c r="A16" s="21"/>
      <c r="B16" s="67"/>
      <c r="C16" s="67"/>
      <c r="D16" s="67"/>
      <c r="E16" s="67"/>
      <c r="F16" s="67"/>
      <c r="G16" s="67"/>
      <c r="H16" s="67"/>
      <c r="I16" s="67"/>
      <c r="J16" s="67"/>
      <c r="K16" s="67"/>
      <c r="L16" s="68"/>
      <c r="M16" s="68"/>
      <c r="N16" s="68"/>
      <c r="O16" s="68"/>
      <c r="P16" s="67"/>
      <c r="Q16" s="67"/>
      <c r="R16" s="67"/>
      <c r="S16" s="62"/>
      <c r="T16" s="62"/>
      <c r="U16" s="62"/>
      <c r="V16" s="62"/>
    </row>
    <row r="17" spans="1:22">
      <c r="A17" s="21"/>
      <c r="B17" s="67"/>
      <c r="C17" s="67"/>
      <c r="D17" s="67"/>
      <c r="E17" s="142"/>
      <c r="F17" s="142"/>
      <c r="G17" s="142"/>
      <c r="H17" s="142"/>
      <c r="I17" s="142"/>
      <c r="J17" s="142"/>
      <c r="K17" s="67"/>
      <c r="L17" s="68"/>
      <c r="M17" s="68"/>
      <c r="N17" s="68"/>
      <c r="O17" s="68"/>
      <c r="P17" s="142"/>
      <c r="Q17" s="142"/>
      <c r="R17" s="142"/>
      <c r="S17" s="62"/>
      <c r="T17" s="62"/>
      <c r="U17" s="62"/>
      <c r="V17" s="62"/>
    </row>
    <row r="18" spans="1:22">
      <c r="A18" s="62"/>
      <c r="B18" s="62"/>
      <c r="C18" s="62"/>
      <c r="D18" s="62"/>
      <c r="E18" s="62"/>
      <c r="F18" s="62"/>
      <c r="G18" s="62"/>
      <c r="H18" s="62"/>
      <c r="I18" s="62"/>
      <c r="J18" s="62"/>
      <c r="K18" s="62"/>
      <c r="L18" s="66"/>
      <c r="M18" s="62"/>
      <c r="N18" s="62"/>
      <c r="O18" s="62"/>
      <c r="P18" s="62"/>
      <c r="Q18" s="62"/>
      <c r="R18" s="62"/>
      <c r="S18" s="62"/>
      <c r="T18" s="62"/>
      <c r="U18" s="62"/>
      <c r="V18" s="62"/>
    </row>
    <row r="19" spans="1:22">
      <c r="A19" s="380"/>
      <c r="B19" s="67"/>
      <c r="C19" s="67"/>
      <c r="D19" s="67"/>
      <c r="E19" s="67"/>
      <c r="F19" s="67"/>
      <c r="G19" s="67"/>
      <c r="H19" s="67"/>
      <c r="I19" s="67"/>
      <c r="J19" s="67"/>
      <c r="K19" s="67"/>
      <c r="L19" s="68"/>
      <c r="M19" s="68"/>
      <c r="N19" s="68"/>
      <c r="O19" s="68"/>
      <c r="P19" s="67"/>
      <c r="Q19" s="67"/>
      <c r="R19" s="67"/>
      <c r="S19" s="62"/>
      <c r="T19" s="62"/>
      <c r="U19" s="62"/>
      <c r="V19" s="62"/>
    </row>
    <row r="20" spans="1:22">
      <c r="A20" s="380"/>
      <c r="B20" s="67"/>
      <c r="C20" s="67"/>
      <c r="D20" s="67"/>
      <c r="E20" s="67"/>
      <c r="F20" s="67"/>
      <c r="G20" s="67"/>
      <c r="H20" s="67"/>
      <c r="I20" s="67"/>
      <c r="J20" s="67"/>
      <c r="K20" s="67"/>
      <c r="L20" s="68"/>
      <c r="M20" s="68"/>
      <c r="N20" s="68"/>
      <c r="O20" s="68"/>
      <c r="P20" s="67"/>
      <c r="Q20" s="67"/>
      <c r="R20" s="67"/>
      <c r="S20" s="62"/>
      <c r="T20" s="62"/>
      <c r="U20" s="62"/>
      <c r="V20" s="62"/>
    </row>
    <row r="21" spans="1:22">
      <c r="A21" s="380"/>
      <c r="B21" s="67"/>
      <c r="C21" s="67"/>
      <c r="D21" s="67"/>
      <c r="E21" s="67"/>
      <c r="F21" s="67"/>
      <c r="G21" s="67"/>
      <c r="H21" s="67"/>
      <c r="I21" s="67"/>
      <c r="J21" s="67"/>
      <c r="K21" s="67"/>
      <c r="L21" s="68"/>
      <c r="M21" s="68"/>
      <c r="N21" s="68"/>
      <c r="O21" s="68"/>
      <c r="P21" s="67"/>
      <c r="Q21" s="67"/>
      <c r="R21" s="67"/>
      <c r="S21" s="67"/>
      <c r="T21" s="62"/>
      <c r="U21" s="62"/>
      <c r="V21" s="62"/>
    </row>
    <row r="22" spans="1:22">
      <c r="A22" s="380"/>
      <c r="B22" s="67"/>
      <c r="C22" s="67"/>
      <c r="D22" s="67"/>
      <c r="E22" s="67"/>
      <c r="F22" s="67"/>
      <c r="G22" s="67"/>
      <c r="H22" s="67"/>
      <c r="I22" s="67"/>
      <c r="J22" s="67"/>
      <c r="K22" s="67"/>
      <c r="L22" s="68"/>
      <c r="M22" s="68"/>
      <c r="N22" s="68"/>
      <c r="O22" s="68"/>
      <c r="P22" s="67"/>
      <c r="Q22" s="67"/>
      <c r="R22" s="67"/>
      <c r="S22" s="160"/>
      <c r="T22" s="62"/>
      <c r="U22" s="62"/>
      <c r="V22" s="62"/>
    </row>
    <row r="23" spans="1:22">
      <c r="A23" s="62"/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</row>
    <row r="24" spans="1:22">
      <c r="A24" s="62"/>
      <c r="B24" s="142"/>
      <c r="C24" s="161"/>
      <c r="D24" s="67"/>
      <c r="E24" s="142"/>
      <c r="F24" s="142"/>
      <c r="G24" s="142"/>
      <c r="H24" s="142"/>
      <c r="I24" s="142"/>
      <c r="J24" s="142"/>
      <c r="K24" s="67"/>
      <c r="L24" s="68"/>
      <c r="M24" s="68"/>
      <c r="N24" s="68"/>
      <c r="O24" s="68"/>
      <c r="P24" s="142"/>
      <c r="Q24" s="142"/>
      <c r="R24" s="142"/>
      <c r="S24" s="161"/>
      <c r="T24" s="62"/>
      <c r="U24" s="62"/>
      <c r="V24" s="62"/>
    </row>
    <row r="25" spans="1:22">
      <c r="A25" s="62"/>
      <c r="B25" s="62"/>
      <c r="C25" s="62"/>
      <c r="D25" s="62"/>
      <c r="E25" s="62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</row>
    <row r="26" spans="1:22">
      <c r="A26" s="62"/>
      <c r="B26" s="67"/>
      <c r="C26" s="67"/>
      <c r="D26" s="67"/>
      <c r="E26" s="67"/>
      <c r="F26" s="67"/>
      <c r="G26" s="67"/>
      <c r="H26" s="67"/>
      <c r="I26" s="67"/>
      <c r="J26" s="67"/>
      <c r="K26" s="67"/>
      <c r="L26" s="68"/>
      <c r="M26" s="68"/>
      <c r="N26" s="68"/>
      <c r="O26" s="68"/>
      <c r="P26" s="67"/>
      <c r="Q26" s="67"/>
      <c r="R26" s="67"/>
      <c r="S26" s="62"/>
      <c r="T26" s="62"/>
      <c r="U26" s="62"/>
      <c r="V26" s="62"/>
    </row>
    <row r="27" spans="1:22">
      <c r="A27" s="62"/>
      <c r="B27" s="62"/>
      <c r="C27" s="62"/>
      <c r="D27" s="62"/>
      <c r="E27" s="62"/>
      <c r="F27" s="62"/>
      <c r="G27" s="62"/>
      <c r="H27" s="62"/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</row>
    <row r="28" spans="1:22">
      <c r="A28" s="62"/>
      <c r="B28" s="67"/>
      <c r="C28" s="67"/>
      <c r="D28" s="67"/>
      <c r="E28" s="67"/>
      <c r="F28" s="67"/>
      <c r="G28" s="67"/>
      <c r="H28" s="67"/>
      <c r="I28" s="67"/>
      <c r="J28" s="67"/>
      <c r="K28" s="67"/>
      <c r="L28" s="68"/>
      <c r="M28" s="68"/>
      <c r="N28" s="68"/>
      <c r="O28" s="68"/>
      <c r="P28" s="67"/>
      <c r="Q28" s="67"/>
      <c r="R28" s="67"/>
      <c r="S28" s="62"/>
      <c r="T28" s="62"/>
      <c r="U28" s="62"/>
      <c r="V28" s="62"/>
    </row>
    <row r="29" spans="1:22">
      <c r="A29" s="62"/>
      <c r="B29" s="62"/>
      <c r="C29" s="62"/>
      <c r="D29" s="62"/>
      <c r="E29" s="62"/>
      <c r="F29" s="62"/>
      <c r="G29" s="62"/>
      <c r="H29" s="62"/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</row>
    <row r="30" spans="1:22">
      <c r="A30" s="62"/>
      <c r="B30" s="67"/>
      <c r="C30" s="67"/>
      <c r="D30" s="67"/>
      <c r="E30" s="67"/>
      <c r="F30" s="67"/>
      <c r="G30" s="67"/>
      <c r="H30" s="67"/>
      <c r="I30" s="67"/>
      <c r="J30" s="67"/>
      <c r="K30" s="67"/>
      <c r="L30" s="68"/>
      <c r="M30" s="68"/>
      <c r="N30" s="68"/>
      <c r="O30" s="68"/>
      <c r="P30" s="67"/>
      <c r="Q30" s="67"/>
      <c r="R30" s="67"/>
      <c r="S30" s="62"/>
      <c r="T30" s="62"/>
      <c r="U30" s="62"/>
      <c r="V30" s="62"/>
    </row>
    <row r="31" spans="1:22">
      <c r="A31" s="21"/>
      <c r="B31" s="67"/>
      <c r="C31" s="142"/>
      <c r="D31" s="67"/>
      <c r="E31" s="67"/>
      <c r="F31" s="67"/>
      <c r="G31" s="67"/>
      <c r="H31" s="67"/>
      <c r="I31" s="67"/>
      <c r="J31" s="67"/>
      <c r="K31" s="67"/>
      <c r="L31" s="68"/>
      <c r="M31" s="68"/>
      <c r="N31" s="68"/>
      <c r="O31" s="68"/>
      <c r="P31" s="67"/>
      <c r="Q31" s="67"/>
      <c r="R31" s="67"/>
      <c r="S31" s="62"/>
      <c r="T31" s="62"/>
      <c r="U31" s="62"/>
      <c r="V31" s="62"/>
    </row>
    <row r="32" spans="1:22">
      <c r="A32" s="62"/>
      <c r="B32" s="62"/>
      <c r="C32" s="62"/>
      <c r="D32" s="62"/>
      <c r="E32" s="62"/>
      <c r="F32" s="62"/>
      <c r="G32" s="62"/>
      <c r="H32" s="62"/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</row>
    <row r="33" spans="1:22">
      <c r="A33" s="21"/>
      <c r="B33" s="67"/>
      <c r="C33" s="142"/>
      <c r="D33" s="67"/>
      <c r="E33" s="67"/>
      <c r="F33" s="67"/>
      <c r="G33" s="67"/>
      <c r="H33" s="67"/>
      <c r="I33" s="67"/>
      <c r="J33" s="67"/>
      <c r="K33" s="67"/>
      <c r="L33" s="68"/>
      <c r="M33" s="68"/>
      <c r="N33" s="68"/>
      <c r="O33" s="68"/>
      <c r="P33" s="67"/>
      <c r="Q33" s="62"/>
      <c r="R33" s="62"/>
      <c r="S33" s="62"/>
      <c r="T33" s="62"/>
      <c r="U33" s="62"/>
      <c r="V33" s="62"/>
    </row>
    <row r="34" spans="1:22">
      <c r="A34" s="62"/>
      <c r="B34" s="62"/>
      <c r="C34" s="62"/>
      <c r="D34" s="62"/>
      <c r="E34" s="62"/>
      <c r="F34" s="62"/>
      <c r="G34" s="62"/>
      <c r="H34" s="62"/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</row>
    <row r="35" spans="1:22">
      <c r="A35" s="21"/>
      <c r="B35" s="67"/>
      <c r="C35" s="67"/>
      <c r="D35" s="67"/>
      <c r="E35" s="67"/>
      <c r="F35" s="67"/>
      <c r="G35" s="67"/>
      <c r="H35" s="67"/>
      <c r="I35" s="67"/>
      <c r="J35" s="67"/>
      <c r="K35" s="67"/>
      <c r="L35" s="68"/>
      <c r="M35" s="68"/>
      <c r="N35" s="68"/>
      <c r="O35" s="68"/>
      <c r="P35" s="67"/>
      <c r="Q35" s="67"/>
      <c r="R35" s="67"/>
      <c r="S35" s="62"/>
      <c r="T35" s="62"/>
      <c r="U35" s="62"/>
      <c r="V35" s="62"/>
    </row>
    <row r="36" spans="1:22">
      <c r="A36" s="62"/>
      <c r="B36" s="62"/>
      <c r="C36" s="62"/>
      <c r="D36" s="62"/>
      <c r="E36" s="62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</row>
  </sheetData>
  <mergeCells count="2">
    <mergeCell ref="A19:A20"/>
    <mergeCell ref="A21:A22"/>
  </mergeCells>
  <pageMargins left="0.7" right="0.7" top="0.75" bottom="0.75" header="0.3" footer="0.3"/>
  <pageSetup paperSize="9" orientation="portrait" verticalDpi="0" r:id="rId1"/>
</worksheet>
</file>

<file path=xl/worksheets/sheet106.xml><?xml version="1.0" encoding="utf-8"?>
<worksheet xmlns="http://schemas.openxmlformats.org/spreadsheetml/2006/main" xmlns:r="http://schemas.openxmlformats.org/officeDocument/2006/relationships">
  <dimension ref="A5:V41"/>
  <sheetViews>
    <sheetView zoomScale="85" zoomScaleNormal="85" workbookViewId="0">
      <selection activeCell="B18" sqref="B18"/>
    </sheetView>
  </sheetViews>
  <sheetFormatPr defaultRowHeight="14.4"/>
  <cols>
    <col min="1" max="1" width="8.88671875" style="1"/>
    <col min="2" max="2" width="24.77734375" style="1" customWidth="1"/>
    <col min="3" max="3" width="8.88671875" style="1"/>
    <col min="4" max="4" width="5.5546875" style="1" customWidth="1"/>
    <col min="5" max="5" width="9.7773437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2" ht="20.399999999999999">
      <c r="A5" s="58" t="s">
        <v>3</v>
      </c>
      <c r="B5" s="58" t="s">
        <v>4</v>
      </c>
      <c r="C5" s="58" t="s">
        <v>5</v>
      </c>
      <c r="D5" s="58" t="s">
        <v>6</v>
      </c>
      <c r="E5" s="58" t="s">
        <v>37</v>
      </c>
      <c r="F5" s="59" t="s">
        <v>7</v>
      </c>
      <c r="G5" s="58" t="s">
        <v>8</v>
      </c>
      <c r="H5" s="58" t="s">
        <v>9</v>
      </c>
      <c r="I5" s="58" t="s">
        <v>10</v>
      </c>
      <c r="J5" s="59" t="s">
        <v>18</v>
      </c>
      <c r="K5" s="59" t="s">
        <v>17</v>
      </c>
      <c r="L5" s="58" t="s">
        <v>11</v>
      </c>
      <c r="M5" s="59" t="s">
        <v>36</v>
      </c>
      <c r="N5" s="58" t="s">
        <v>12</v>
      </c>
      <c r="O5" s="58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258</v>
      </c>
    </row>
    <row r="6" spans="1:22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</row>
    <row r="7" spans="1:22">
      <c r="A7" s="375" t="s">
        <v>1587</v>
      </c>
      <c r="B7" s="42" t="s">
        <v>1597</v>
      </c>
      <c r="C7" s="42" t="s">
        <v>444</v>
      </c>
      <c r="D7" s="42" t="s">
        <v>16</v>
      </c>
      <c r="E7" s="42" t="s">
        <v>1598</v>
      </c>
      <c r="F7" s="42">
        <v>4</v>
      </c>
      <c r="G7" s="42"/>
      <c r="H7" s="42">
        <v>12930</v>
      </c>
      <c r="I7" s="42">
        <v>245</v>
      </c>
      <c r="J7" s="42">
        <v>0.13</v>
      </c>
      <c r="K7" s="42">
        <v>32</v>
      </c>
      <c r="L7" s="43">
        <f t="shared" ref="L7:L10" si="0">H7-K7</f>
        <v>12898</v>
      </c>
      <c r="M7" s="43"/>
      <c r="N7" s="43">
        <f t="shared" ref="N7:N10" si="1">L7-M7</f>
        <v>12898</v>
      </c>
      <c r="O7" s="43">
        <f t="shared" ref="O7:O10" si="2">H7/1000*70</f>
        <v>905.1</v>
      </c>
      <c r="P7" s="42">
        <v>31000</v>
      </c>
      <c r="Q7" s="42"/>
      <c r="R7" s="42">
        <f t="shared" ref="R7:R10" si="3">L7*Q7</f>
        <v>0</v>
      </c>
      <c r="S7" s="42"/>
      <c r="T7" s="62"/>
      <c r="U7" s="62"/>
      <c r="V7" s="62"/>
    </row>
    <row r="8" spans="1:22">
      <c r="A8" s="375"/>
      <c r="B8" s="42" t="s">
        <v>1597</v>
      </c>
      <c r="C8" s="42" t="s">
        <v>444</v>
      </c>
      <c r="D8" s="42" t="s">
        <v>16</v>
      </c>
      <c r="E8" s="42" t="s">
        <v>1599</v>
      </c>
      <c r="F8" s="42">
        <v>3</v>
      </c>
      <c r="G8" s="42"/>
      <c r="H8" s="42">
        <v>13010</v>
      </c>
      <c r="I8" s="42">
        <v>290</v>
      </c>
      <c r="J8" s="42">
        <v>0.13</v>
      </c>
      <c r="K8" s="42">
        <v>38</v>
      </c>
      <c r="L8" s="43">
        <f t="shared" si="0"/>
        <v>12972</v>
      </c>
      <c r="M8" s="43"/>
      <c r="N8" s="43">
        <f t="shared" si="1"/>
        <v>12972</v>
      </c>
      <c r="O8" s="43">
        <f t="shared" si="2"/>
        <v>910.69999999999993</v>
      </c>
      <c r="P8" s="42">
        <v>31000</v>
      </c>
      <c r="Q8" s="42"/>
      <c r="R8" s="42">
        <f t="shared" si="3"/>
        <v>0</v>
      </c>
      <c r="S8" s="62"/>
      <c r="T8" s="62"/>
      <c r="U8" s="62"/>
      <c r="V8" s="62"/>
    </row>
    <row r="9" spans="1:22">
      <c r="A9" s="375"/>
      <c r="B9" s="42" t="s">
        <v>1597</v>
      </c>
      <c r="C9" s="42" t="s">
        <v>444</v>
      </c>
      <c r="D9" s="42" t="s">
        <v>16</v>
      </c>
      <c r="E9" s="42" t="s">
        <v>1600</v>
      </c>
      <c r="F9" s="42">
        <v>2</v>
      </c>
      <c r="G9" s="42"/>
      <c r="H9" s="42">
        <v>12630</v>
      </c>
      <c r="I9" s="42">
        <v>270</v>
      </c>
      <c r="J9" s="42">
        <v>0.13</v>
      </c>
      <c r="K9" s="42">
        <f t="shared" ref="K9:K10" si="4">I9*J9</f>
        <v>35.1</v>
      </c>
      <c r="L9" s="43">
        <f t="shared" si="0"/>
        <v>12594.9</v>
      </c>
      <c r="M9" s="43"/>
      <c r="N9" s="43">
        <f t="shared" si="1"/>
        <v>12594.9</v>
      </c>
      <c r="O9" s="43">
        <f t="shared" si="2"/>
        <v>884.1</v>
      </c>
      <c r="P9" s="42">
        <v>31000</v>
      </c>
      <c r="Q9" s="42"/>
      <c r="R9" s="42">
        <f t="shared" si="3"/>
        <v>0</v>
      </c>
      <c r="S9" s="62"/>
      <c r="T9" s="62"/>
      <c r="U9" s="62"/>
      <c r="V9" s="62"/>
    </row>
    <row r="10" spans="1:22">
      <c r="A10" s="375"/>
      <c r="B10" s="42" t="s">
        <v>1597</v>
      </c>
      <c r="C10" s="42" t="s">
        <v>444</v>
      </c>
      <c r="D10" s="42" t="s">
        <v>16</v>
      </c>
      <c r="E10" s="42" t="s">
        <v>1601</v>
      </c>
      <c r="F10" s="42">
        <v>1</v>
      </c>
      <c r="G10" s="42"/>
      <c r="H10" s="42">
        <v>12630</v>
      </c>
      <c r="I10" s="42">
        <v>270</v>
      </c>
      <c r="J10" s="42">
        <v>0.13</v>
      </c>
      <c r="K10" s="42">
        <f t="shared" si="4"/>
        <v>35.1</v>
      </c>
      <c r="L10" s="43">
        <f t="shared" si="0"/>
        <v>12594.9</v>
      </c>
      <c r="M10" s="43"/>
      <c r="N10" s="43">
        <f t="shared" si="1"/>
        <v>12594.9</v>
      </c>
      <c r="O10" s="43">
        <f t="shared" si="2"/>
        <v>884.1</v>
      </c>
      <c r="P10" s="42">
        <v>31000</v>
      </c>
      <c r="Q10" s="42"/>
      <c r="R10" s="42">
        <f t="shared" si="3"/>
        <v>0</v>
      </c>
      <c r="S10" s="62"/>
      <c r="T10" s="62"/>
      <c r="U10" s="62"/>
      <c r="V10" s="62"/>
    </row>
    <row r="11" spans="1:22">
      <c r="A11" s="62"/>
      <c r="B11" s="62"/>
      <c r="C11" s="62"/>
      <c r="D11" s="62"/>
      <c r="E11" s="62"/>
      <c r="F11" s="62"/>
      <c r="G11" s="62"/>
      <c r="H11" s="62"/>
      <c r="I11" s="62"/>
      <c r="J11" s="62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</row>
    <row r="12" spans="1:22">
      <c r="A12" s="21"/>
      <c r="B12" s="67"/>
      <c r="C12" s="67"/>
      <c r="D12" s="67"/>
      <c r="E12" s="67"/>
      <c r="F12" s="67"/>
      <c r="G12" s="67"/>
      <c r="H12" s="67"/>
      <c r="I12" s="67"/>
      <c r="J12" s="67"/>
      <c r="K12" s="67"/>
      <c r="L12" s="68"/>
      <c r="M12" s="68"/>
      <c r="N12" s="68"/>
      <c r="O12" s="68"/>
      <c r="P12" s="67"/>
      <c r="Q12" s="67"/>
      <c r="R12" s="67"/>
      <c r="S12" s="62"/>
      <c r="T12" s="62"/>
      <c r="U12" s="62"/>
      <c r="V12" s="62"/>
    </row>
    <row r="13" spans="1:22">
      <c r="A13" s="62"/>
      <c r="B13" s="62"/>
      <c r="C13" s="62"/>
      <c r="D13" s="62"/>
      <c r="E13" s="62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</row>
    <row r="14" spans="1:22">
      <c r="A14" s="62"/>
      <c r="B14" s="67"/>
      <c r="C14" s="67"/>
      <c r="D14" s="67"/>
      <c r="E14" s="67"/>
      <c r="F14" s="67"/>
      <c r="G14" s="67"/>
      <c r="H14" s="67"/>
      <c r="I14" s="67"/>
      <c r="J14" s="67"/>
      <c r="K14" s="67"/>
      <c r="L14" s="68"/>
      <c r="M14" s="68"/>
      <c r="N14" s="68"/>
      <c r="O14" s="68"/>
      <c r="P14" s="67"/>
      <c r="Q14" s="67"/>
      <c r="R14" s="67"/>
      <c r="S14" s="62"/>
      <c r="T14" s="62"/>
      <c r="U14" s="62"/>
      <c r="V14" s="62"/>
    </row>
    <row r="15" spans="1:22">
      <c r="A15" s="62"/>
      <c r="B15" s="62"/>
      <c r="C15" s="62"/>
      <c r="D15" s="62"/>
      <c r="E15" s="62"/>
      <c r="F15" s="62"/>
      <c r="G15" s="62"/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</row>
    <row r="16" spans="1:22">
      <c r="A16" s="62"/>
      <c r="B16" s="67"/>
      <c r="C16" s="67"/>
      <c r="D16" s="67"/>
      <c r="E16" s="67"/>
      <c r="F16" s="67"/>
      <c r="G16" s="67"/>
      <c r="H16" s="67"/>
      <c r="I16" s="67"/>
      <c r="J16" s="67"/>
      <c r="K16" s="67"/>
      <c r="L16" s="68"/>
      <c r="M16" s="68"/>
      <c r="N16" s="68"/>
      <c r="O16" s="68"/>
      <c r="P16" s="67"/>
      <c r="Q16" s="67"/>
      <c r="R16" s="67"/>
      <c r="S16" s="62"/>
      <c r="T16" s="62"/>
      <c r="U16" s="62"/>
      <c r="V16" s="62"/>
    </row>
    <row r="17" spans="1:22">
      <c r="A17" s="62"/>
      <c r="B17" s="62"/>
      <c r="C17" s="62"/>
      <c r="D17" s="62"/>
      <c r="E17" s="62"/>
      <c r="F17" s="62"/>
      <c r="G17" s="62"/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</row>
    <row r="18" spans="1:22">
      <c r="A18" s="62"/>
      <c r="B18" s="62"/>
      <c r="C18" s="62"/>
      <c r="D18" s="62"/>
      <c r="E18" s="62"/>
      <c r="F18" s="62"/>
      <c r="G18" s="62"/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</row>
    <row r="19" spans="1:22">
      <c r="A19" s="62"/>
      <c r="B19" s="67"/>
      <c r="C19" s="67"/>
      <c r="D19" s="67"/>
      <c r="E19" s="67"/>
      <c r="F19" s="67"/>
      <c r="G19" s="67"/>
      <c r="H19" s="67"/>
      <c r="I19" s="67"/>
      <c r="J19" s="67"/>
      <c r="K19" s="67"/>
      <c r="L19" s="68"/>
      <c r="M19" s="68"/>
      <c r="N19" s="68"/>
      <c r="O19" s="68"/>
      <c r="P19" s="67"/>
      <c r="Q19" s="67"/>
      <c r="R19" s="67"/>
      <c r="S19" s="62"/>
      <c r="T19" s="62"/>
      <c r="U19" s="62"/>
      <c r="V19" s="62"/>
    </row>
    <row r="20" spans="1:22">
      <c r="A20" s="62"/>
      <c r="B20" s="67"/>
      <c r="C20" s="67"/>
      <c r="D20" s="67"/>
      <c r="E20" s="142"/>
      <c r="F20" s="142"/>
      <c r="G20" s="142"/>
      <c r="H20" s="142"/>
      <c r="I20" s="142"/>
      <c r="J20" s="142"/>
      <c r="K20" s="67"/>
      <c r="L20" s="68"/>
      <c r="M20" s="68"/>
      <c r="N20" s="68"/>
      <c r="O20" s="68"/>
      <c r="P20" s="142"/>
      <c r="Q20" s="142"/>
      <c r="R20" s="142"/>
      <c r="S20" s="62"/>
      <c r="T20" s="62"/>
      <c r="U20" s="62"/>
      <c r="V20" s="62"/>
    </row>
    <row r="21" spans="1:22">
      <c r="A21" s="21"/>
      <c r="B21" s="67"/>
      <c r="C21" s="67"/>
      <c r="D21" s="67"/>
      <c r="E21" s="67"/>
      <c r="F21" s="67"/>
      <c r="G21" s="67"/>
      <c r="H21" s="67"/>
      <c r="I21" s="67"/>
      <c r="J21" s="67"/>
      <c r="K21" s="67"/>
      <c r="L21" s="68"/>
      <c r="M21" s="68"/>
      <c r="N21" s="68"/>
      <c r="O21" s="68"/>
      <c r="P21" s="67"/>
      <c r="Q21" s="67"/>
      <c r="R21" s="67"/>
      <c r="S21" s="62"/>
      <c r="T21" s="62"/>
      <c r="U21" s="62"/>
      <c r="V21" s="62"/>
    </row>
    <row r="22" spans="1:22">
      <c r="A22" s="21"/>
      <c r="B22" s="67"/>
      <c r="C22" s="67"/>
      <c r="D22" s="67"/>
      <c r="E22" s="142"/>
      <c r="F22" s="142"/>
      <c r="G22" s="142"/>
      <c r="H22" s="142"/>
      <c r="I22" s="142"/>
      <c r="J22" s="142"/>
      <c r="K22" s="67"/>
      <c r="L22" s="68"/>
      <c r="M22" s="68"/>
      <c r="N22" s="68"/>
      <c r="O22" s="68"/>
      <c r="P22" s="142"/>
      <c r="Q22" s="142"/>
      <c r="R22" s="142"/>
      <c r="S22" s="62"/>
      <c r="T22" s="62"/>
      <c r="U22" s="62"/>
      <c r="V22" s="62"/>
    </row>
    <row r="23" spans="1:22">
      <c r="A23" s="62"/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6"/>
      <c r="M23" s="62"/>
      <c r="N23" s="62"/>
      <c r="O23" s="62"/>
      <c r="P23" s="62"/>
      <c r="Q23" s="62"/>
      <c r="R23" s="62"/>
      <c r="S23" s="62"/>
      <c r="T23" s="62"/>
      <c r="U23" s="62"/>
      <c r="V23" s="62"/>
    </row>
    <row r="24" spans="1:22">
      <c r="A24" s="380"/>
      <c r="B24" s="67"/>
      <c r="C24" s="67"/>
      <c r="D24" s="67"/>
      <c r="E24" s="67"/>
      <c r="F24" s="67"/>
      <c r="G24" s="67"/>
      <c r="H24" s="67"/>
      <c r="I24" s="67"/>
      <c r="J24" s="67"/>
      <c r="K24" s="67"/>
      <c r="L24" s="68"/>
      <c r="M24" s="68"/>
      <c r="N24" s="68"/>
      <c r="O24" s="68"/>
      <c r="P24" s="67"/>
      <c r="Q24" s="67"/>
      <c r="R24" s="67"/>
      <c r="S24" s="62"/>
      <c r="T24" s="62"/>
      <c r="U24" s="62"/>
      <c r="V24" s="62"/>
    </row>
    <row r="25" spans="1:22">
      <c r="A25" s="380"/>
      <c r="B25" s="67"/>
      <c r="C25" s="67"/>
      <c r="D25" s="67"/>
      <c r="E25" s="67"/>
      <c r="F25" s="67"/>
      <c r="G25" s="67"/>
      <c r="H25" s="67"/>
      <c r="I25" s="67"/>
      <c r="J25" s="67"/>
      <c r="K25" s="67"/>
      <c r="L25" s="68"/>
      <c r="M25" s="68"/>
      <c r="N25" s="68"/>
      <c r="O25" s="68"/>
      <c r="P25" s="67"/>
      <c r="Q25" s="67"/>
      <c r="R25" s="67"/>
      <c r="S25" s="62"/>
      <c r="T25" s="62"/>
      <c r="U25" s="62"/>
      <c r="V25" s="62"/>
    </row>
    <row r="26" spans="1:22">
      <c r="A26" s="380"/>
      <c r="B26" s="67"/>
      <c r="C26" s="67"/>
      <c r="D26" s="67"/>
      <c r="E26" s="67"/>
      <c r="F26" s="67"/>
      <c r="G26" s="67"/>
      <c r="H26" s="67"/>
      <c r="I26" s="67"/>
      <c r="J26" s="67"/>
      <c r="K26" s="67"/>
      <c r="L26" s="68"/>
      <c r="M26" s="68"/>
      <c r="N26" s="68"/>
      <c r="O26" s="68"/>
      <c r="P26" s="67"/>
      <c r="Q26" s="67"/>
      <c r="R26" s="67"/>
      <c r="S26" s="67"/>
      <c r="T26" s="62"/>
      <c r="U26" s="62"/>
      <c r="V26" s="62"/>
    </row>
    <row r="27" spans="1:22">
      <c r="A27" s="380"/>
      <c r="B27" s="67"/>
      <c r="C27" s="67"/>
      <c r="D27" s="67"/>
      <c r="E27" s="67"/>
      <c r="F27" s="67"/>
      <c r="G27" s="67"/>
      <c r="H27" s="67"/>
      <c r="I27" s="67"/>
      <c r="J27" s="67"/>
      <c r="K27" s="67"/>
      <c r="L27" s="68"/>
      <c r="M27" s="68"/>
      <c r="N27" s="68"/>
      <c r="O27" s="68"/>
      <c r="P27" s="67"/>
      <c r="Q27" s="67"/>
      <c r="R27" s="67"/>
      <c r="S27" s="160"/>
      <c r="T27" s="62"/>
      <c r="U27" s="62"/>
      <c r="V27" s="62"/>
    </row>
    <row r="28" spans="1:22">
      <c r="A28" s="62"/>
      <c r="B28" s="62"/>
      <c r="C28" s="62"/>
      <c r="D28" s="62"/>
      <c r="E28" s="62"/>
      <c r="F28" s="62"/>
      <c r="G28" s="62"/>
      <c r="H28" s="62"/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</row>
    <row r="29" spans="1:22">
      <c r="A29" s="62"/>
      <c r="B29" s="142"/>
      <c r="C29" s="161"/>
      <c r="D29" s="67"/>
      <c r="E29" s="142"/>
      <c r="F29" s="142"/>
      <c r="G29" s="142"/>
      <c r="H29" s="142"/>
      <c r="I29" s="142"/>
      <c r="J29" s="142"/>
      <c r="K29" s="67"/>
      <c r="L29" s="68"/>
      <c r="M29" s="68"/>
      <c r="N29" s="68"/>
      <c r="O29" s="68"/>
      <c r="P29" s="142"/>
      <c r="Q29" s="142"/>
      <c r="R29" s="142"/>
      <c r="S29" s="161"/>
      <c r="T29" s="62"/>
      <c r="U29" s="62"/>
      <c r="V29" s="62"/>
    </row>
    <row r="30" spans="1:22">
      <c r="A30" s="62"/>
      <c r="B30" s="62"/>
      <c r="C30" s="62"/>
      <c r="D30" s="62"/>
      <c r="E30" s="62"/>
      <c r="F30" s="62"/>
      <c r="G30" s="62"/>
      <c r="H30" s="62"/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</row>
    <row r="31" spans="1:22">
      <c r="A31" s="62"/>
      <c r="B31" s="67"/>
      <c r="C31" s="67"/>
      <c r="D31" s="67"/>
      <c r="E31" s="67"/>
      <c r="F31" s="67"/>
      <c r="G31" s="67"/>
      <c r="H31" s="67"/>
      <c r="I31" s="67"/>
      <c r="J31" s="67"/>
      <c r="K31" s="67"/>
      <c r="L31" s="68"/>
      <c r="M31" s="68"/>
      <c r="N31" s="68"/>
      <c r="O31" s="68"/>
      <c r="P31" s="67"/>
      <c r="Q31" s="67"/>
      <c r="R31" s="67"/>
      <c r="S31" s="62"/>
      <c r="T31" s="62"/>
      <c r="U31" s="62"/>
      <c r="V31" s="62"/>
    </row>
    <row r="32" spans="1:22">
      <c r="A32" s="62"/>
      <c r="B32" s="62"/>
      <c r="C32" s="62"/>
      <c r="D32" s="62"/>
      <c r="E32" s="62"/>
      <c r="F32" s="62"/>
      <c r="G32" s="62"/>
      <c r="H32" s="62"/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</row>
    <row r="33" spans="1:22">
      <c r="A33" s="62"/>
      <c r="B33" s="67"/>
      <c r="C33" s="67"/>
      <c r="D33" s="67"/>
      <c r="E33" s="67"/>
      <c r="F33" s="67"/>
      <c r="G33" s="67"/>
      <c r="H33" s="67"/>
      <c r="I33" s="67"/>
      <c r="J33" s="67"/>
      <c r="K33" s="67"/>
      <c r="L33" s="68"/>
      <c r="M33" s="68"/>
      <c r="N33" s="68"/>
      <c r="O33" s="68"/>
      <c r="P33" s="67"/>
      <c r="Q33" s="67"/>
      <c r="R33" s="67"/>
      <c r="S33" s="62"/>
      <c r="T33" s="62"/>
      <c r="U33" s="62"/>
      <c r="V33" s="62"/>
    </row>
    <row r="34" spans="1:22">
      <c r="A34" s="62"/>
      <c r="B34" s="62"/>
      <c r="C34" s="62"/>
      <c r="D34" s="62"/>
      <c r="E34" s="62"/>
      <c r="F34" s="62"/>
      <c r="G34" s="62"/>
      <c r="H34" s="62"/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</row>
    <row r="35" spans="1:22">
      <c r="A35" s="62"/>
      <c r="B35" s="67"/>
      <c r="C35" s="67"/>
      <c r="D35" s="67"/>
      <c r="E35" s="67"/>
      <c r="F35" s="67"/>
      <c r="G35" s="67"/>
      <c r="H35" s="67"/>
      <c r="I35" s="67"/>
      <c r="J35" s="67"/>
      <c r="K35" s="67"/>
      <c r="L35" s="68"/>
      <c r="M35" s="68"/>
      <c r="N35" s="68"/>
      <c r="O35" s="68"/>
      <c r="P35" s="67"/>
      <c r="Q35" s="67"/>
      <c r="R35" s="67"/>
      <c r="S35" s="62"/>
      <c r="T35" s="62"/>
      <c r="U35" s="62"/>
      <c r="V35" s="62"/>
    </row>
    <row r="36" spans="1:22">
      <c r="A36" s="21"/>
      <c r="B36" s="67"/>
      <c r="C36" s="142"/>
      <c r="D36" s="67"/>
      <c r="E36" s="67"/>
      <c r="F36" s="67"/>
      <c r="G36" s="67"/>
      <c r="H36" s="67"/>
      <c r="I36" s="67"/>
      <c r="J36" s="67"/>
      <c r="K36" s="67"/>
      <c r="L36" s="68"/>
      <c r="M36" s="68"/>
      <c r="N36" s="68"/>
      <c r="O36" s="68"/>
      <c r="P36" s="67"/>
      <c r="Q36" s="67"/>
      <c r="R36" s="67"/>
      <c r="S36" s="62"/>
      <c r="T36" s="62"/>
      <c r="U36" s="62"/>
      <c r="V36" s="62"/>
    </row>
    <row r="37" spans="1:22">
      <c r="A37" s="62"/>
      <c r="B37" s="62"/>
      <c r="C37" s="62"/>
      <c r="D37" s="62"/>
      <c r="E37" s="62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</row>
    <row r="38" spans="1:22">
      <c r="A38" s="21"/>
      <c r="B38" s="67"/>
      <c r="C38" s="142"/>
      <c r="D38" s="67"/>
      <c r="E38" s="67"/>
      <c r="F38" s="67"/>
      <c r="G38" s="67"/>
      <c r="H38" s="67"/>
      <c r="I38" s="67"/>
      <c r="J38" s="67"/>
      <c r="K38" s="67"/>
      <c r="L38" s="68"/>
      <c r="M38" s="68"/>
      <c r="N38" s="68"/>
      <c r="O38" s="68"/>
      <c r="P38" s="67"/>
      <c r="Q38" s="62"/>
      <c r="R38" s="62"/>
      <c r="S38" s="62"/>
      <c r="T38" s="62"/>
      <c r="U38" s="62"/>
      <c r="V38" s="62"/>
    </row>
    <row r="39" spans="1:22">
      <c r="A39" s="62"/>
      <c r="B39" s="62"/>
      <c r="C39" s="62"/>
      <c r="D39" s="62"/>
      <c r="E39" s="62"/>
      <c r="F39" s="62"/>
      <c r="G39" s="62"/>
      <c r="H39" s="62"/>
      <c r="I39" s="62"/>
      <c r="J39" s="62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</row>
    <row r="40" spans="1:22">
      <c r="A40" s="21"/>
      <c r="B40" s="67"/>
      <c r="C40" s="67"/>
      <c r="D40" s="67"/>
      <c r="E40" s="67"/>
      <c r="F40" s="67"/>
      <c r="G40" s="67"/>
      <c r="H40" s="67"/>
      <c r="I40" s="67"/>
      <c r="J40" s="67"/>
      <c r="K40" s="67"/>
      <c r="L40" s="68"/>
      <c r="M40" s="68"/>
      <c r="N40" s="68"/>
      <c r="O40" s="68"/>
      <c r="P40" s="67"/>
      <c r="Q40" s="67"/>
      <c r="R40" s="67"/>
      <c r="S40" s="62"/>
      <c r="T40" s="62"/>
      <c r="U40" s="62"/>
      <c r="V40" s="62"/>
    </row>
    <row r="41" spans="1:22">
      <c r="A41" s="62"/>
      <c r="B41" s="62"/>
      <c r="C41" s="62"/>
      <c r="D41" s="62"/>
      <c r="E41" s="62"/>
      <c r="F41" s="62"/>
      <c r="G41" s="62"/>
      <c r="H41" s="62"/>
      <c r="I41" s="62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</row>
  </sheetData>
  <mergeCells count="3">
    <mergeCell ref="A24:A25"/>
    <mergeCell ref="A26:A27"/>
    <mergeCell ref="A7:A10"/>
  </mergeCells>
  <pageMargins left="0.7" right="0.7" top="0.75" bottom="0.75" header="0.3" footer="0.3"/>
  <pageSetup paperSize="9" orientation="portrait" verticalDpi="0" r:id="rId1"/>
</worksheet>
</file>

<file path=xl/worksheets/sheet107.xml><?xml version="1.0" encoding="utf-8"?>
<worksheet xmlns="http://schemas.openxmlformats.org/spreadsheetml/2006/main" xmlns:r="http://schemas.openxmlformats.org/officeDocument/2006/relationships">
  <dimension ref="A5:V41"/>
  <sheetViews>
    <sheetView zoomScale="85" zoomScaleNormal="85" workbookViewId="0">
      <selection activeCell="C23" sqref="C23"/>
    </sheetView>
  </sheetViews>
  <sheetFormatPr defaultRowHeight="14.4"/>
  <cols>
    <col min="1" max="1" width="8.88671875" style="1"/>
    <col min="2" max="2" width="24.77734375" style="1" customWidth="1"/>
    <col min="3" max="3" width="8.88671875" style="1"/>
    <col min="4" max="4" width="5.5546875" style="1" customWidth="1"/>
    <col min="5" max="5" width="9.7773437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2" ht="20.399999999999999">
      <c r="A5" s="58" t="s">
        <v>3</v>
      </c>
      <c r="B5" s="58" t="s">
        <v>4</v>
      </c>
      <c r="C5" s="58" t="s">
        <v>5</v>
      </c>
      <c r="D5" s="58" t="s">
        <v>6</v>
      </c>
      <c r="E5" s="58" t="s">
        <v>37</v>
      </c>
      <c r="F5" s="59" t="s">
        <v>7</v>
      </c>
      <c r="G5" s="58" t="s">
        <v>8</v>
      </c>
      <c r="H5" s="58" t="s">
        <v>9</v>
      </c>
      <c r="I5" s="58" t="s">
        <v>10</v>
      </c>
      <c r="J5" s="59" t="s">
        <v>18</v>
      </c>
      <c r="K5" s="59" t="s">
        <v>17</v>
      </c>
      <c r="L5" s="58" t="s">
        <v>11</v>
      </c>
      <c r="M5" s="59" t="s">
        <v>36</v>
      </c>
      <c r="N5" s="58" t="s">
        <v>12</v>
      </c>
      <c r="O5" s="58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258</v>
      </c>
    </row>
    <row r="6" spans="1:22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</row>
    <row r="7" spans="1:22">
      <c r="A7" s="10" t="s">
        <v>1981</v>
      </c>
      <c r="B7" s="231" t="s">
        <v>1819</v>
      </c>
      <c r="C7" s="231" t="s">
        <v>444</v>
      </c>
      <c r="D7" s="232" t="s">
        <v>16</v>
      </c>
      <c r="E7" s="232" t="s">
        <v>1982</v>
      </c>
      <c r="F7" s="232">
        <v>308</v>
      </c>
      <c r="G7" s="232"/>
      <c r="H7" s="232">
        <v>17290</v>
      </c>
      <c r="I7" s="232">
        <v>400</v>
      </c>
      <c r="J7" s="232">
        <v>0.13</v>
      </c>
      <c r="K7" s="5">
        <f t="shared" ref="K7:K8" si="0">I7*J7</f>
        <v>52</v>
      </c>
      <c r="L7" s="19">
        <f t="shared" ref="L7:L9" si="1">H7-K7</f>
        <v>17238</v>
      </c>
      <c r="M7" s="19"/>
      <c r="N7" s="43">
        <f t="shared" ref="N7:N9" si="2">L7-M7</f>
        <v>17238</v>
      </c>
      <c r="O7" s="5">
        <f t="shared" ref="O7:O9" si="3">H7/1000*70</f>
        <v>1210.3</v>
      </c>
      <c r="P7" s="232">
        <v>0</v>
      </c>
      <c r="Q7" s="232">
        <v>28.1</v>
      </c>
      <c r="R7" s="42">
        <f t="shared" ref="R7:R9" si="4">L7*Q7</f>
        <v>484387.80000000005</v>
      </c>
      <c r="S7" s="42"/>
      <c r="T7" s="62"/>
      <c r="U7" s="62"/>
      <c r="V7" s="62"/>
    </row>
    <row r="8" spans="1:22">
      <c r="A8" s="96" t="s">
        <v>1993</v>
      </c>
      <c r="B8" s="235" t="s">
        <v>1819</v>
      </c>
      <c r="C8" s="235" t="s">
        <v>444</v>
      </c>
      <c r="D8" s="235" t="s">
        <v>16</v>
      </c>
      <c r="E8" s="235" t="s">
        <v>1994</v>
      </c>
      <c r="F8" s="235">
        <v>2375</v>
      </c>
      <c r="G8" s="235"/>
      <c r="H8" s="235">
        <v>12550</v>
      </c>
      <c r="I8" s="235">
        <v>330</v>
      </c>
      <c r="J8" s="235">
        <v>0.13</v>
      </c>
      <c r="K8" s="5">
        <f t="shared" si="0"/>
        <v>42.9</v>
      </c>
      <c r="L8" s="19">
        <f t="shared" si="1"/>
        <v>12507.1</v>
      </c>
      <c r="M8" s="19"/>
      <c r="N8" s="43">
        <f t="shared" si="2"/>
        <v>12507.1</v>
      </c>
      <c r="O8" s="5">
        <f t="shared" si="3"/>
        <v>878.5</v>
      </c>
      <c r="P8" s="235">
        <v>25500</v>
      </c>
      <c r="Q8" s="235">
        <v>28.1</v>
      </c>
      <c r="R8" s="42">
        <f t="shared" si="4"/>
        <v>351449.51</v>
      </c>
      <c r="S8" s="62"/>
      <c r="T8" s="62"/>
      <c r="U8" s="62"/>
      <c r="V8" s="62"/>
    </row>
    <row r="9" spans="1:22">
      <c r="A9" s="96" t="s">
        <v>2008</v>
      </c>
      <c r="B9" s="241" t="s">
        <v>1819</v>
      </c>
      <c r="C9" s="241" t="s">
        <v>444</v>
      </c>
      <c r="D9" s="241" t="s">
        <v>16</v>
      </c>
      <c r="E9" s="241" t="s">
        <v>2012</v>
      </c>
      <c r="F9" s="241">
        <v>258</v>
      </c>
      <c r="G9" s="241"/>
      <c r="H9" s="241">
        <v>11740</v>
      </c>
      <c r="I9" s="241">
        <v>250</v>
      </c>
      <c r="J9" s="241">
        <v>0.13</v>
      </c>
      <c r="K9" s="5">
        <v>33</v>
      </c>
      <c r="L9" s="19">
        <f t="shared" si="1"/>
        <v>11707</v>
      </c>
      <c r="M9" s="19"/>
      <c r="N9" s="43">
        <f t="shared" si="2"/>
        <v>11707</v>
      </c>
      <c r="O9" s="5">
        <f t="shared" si="3"/>
        <v>821.80000000000007</v>
      </c>
      <c r="P9" s="241">
        <v>15000</v>
      </c>
      <c r="Q9" s="241">
        <v>28.1</v>
      </c>
      <c r="R9" s="241">
        <f t="shared" si="4"/>
        <v>328966.7</v>
      </c>
      <c r="S9" s="62"/>
      <c r="T9" s="62"/>
      <c r="U9" s="62"/>
      <c r="V9" s="62"/>
    </row>
    <row r="10" spans="1:22">
      <c r="A10" s="11"/>
      <c r="B10" s="42"/>
      <c r="C10" s="42"/>
      <c r="D10" s="42"/>
      <c r="E10" s="42"/>
      <c r="F10" s="42"/>
      <c r="G10" s="42"/>
      <c r="H10" s="42"/>
      <c r="I10" s="42"/>
      <c r="J10" s="42"/>
      <c r="K10" s="42"/>
      <c r="L10" s="43"/>
      <c r="M10" s="43"/>
      <c r="N10" s="43"/>
      <c r="O10" s="43"/>
      <c r="P10" s="42"/>
      <c r="Q10" s="42"/>
      <c r="R10" s="42"/>
      <c r="S10" s="62"/>
      <c r="T10" s="62"/>
      <c r="U10" s="62"/>
      <c r="V10" s="62"/>
    </row>
    <row r="11" spans="1:22">
      <c r="A11" s="150" t="s">
        <v>2094</v>
      </c>
      <c r="B11" s="42" t="s">
        <v>1819</v>
      </c>
      <c r="C11" s="42" t="s">
        <v>444</v>
      </c>
      <c r="D11" s="42" t="s">
        <v>16</v>
      </c>
      <c r="E11" s="42" t="s">
        <v>2096</v>
      </c>
      <c r="F11" s="42">
        <v>379</v>
      </c>
      <c r="G11" s="42"/>
      <c r="H11" s="42">
        <v>11990</v>
      </c>
      <c r="I11" s="42">
        <v>268</v>
      </c>
      <c r="J11" s="42">
        <v>0.13</v>
      </c>
      <c r="K11" s="43">
        <f t="shared" ref="K11" si="5">I11*J11</f>
        <v>34.840000000000003</v>
      </c>
      <c r="L11" s="43">
        <f t="shared" ref="L11" si="6">H11-K11</f>
        <v>11955.16</v>
      </c>
      <c r="M11" s="43">
        <f>L11*2%</f>
        <v>239.10320000000002</v>
      </c>
      <c r="N11" s="43">
        <f t="shared" ref="N11" si="7">L11-M11</f>
        <v>11716.0568</v>
      </c>
      <c r="O11" s="43">
        <f t="shared" ref="O11" si="8">H11/1000*70</f>
        <v>839.30000000000007</v>
      </c>
      <c r="P11" s="42">
        <v>23000</v>
      </c>
      <c r="Q11" s="42">
        <v>28.6</v>
      </c>
      <c r="R11" s="42">
        <f t="shared" ref="R11" si="9">L11*Q11</f>
        <v>341917.576</v>
      </c>
      <c r="S11" s="62"/>
      <c r="T11" s="62"/>
      <c r="U11" s="62"/>
      <c r="V11" s="62"/>
    </row>
    <row r="12" spans="1:22">
      <c r="A12" s="21"/>
      <c r="B12" s="42"/>
      <c r="C12" s="42"/>
      <c r="D12" s="42"/>
      <c r="E12" s="42"/>
      <c r="F12" s="42"/>
      <c r="G12" s="42"/>
      <c r="H12" s="42"/>
      <c r="I12" s="42"/>
      <c r="J12" s="42"/>
      <c r="K12" s="43"/>
      <c r="L12" s="43"/>
      <c r="M12" s="43"/>
      <c r="N12" s="43"/>
      <c r="O12" s="43"/>
      <c r="P12" s="42"/>
      <c r="Q12" s="42"/>
      <c r="R12" s="42"/>
      <c r="S12" s="62"/>
      <c r="T12" s="62"/>
      <c r="U12" s="62"/>
      <c r="V12" s="62"/>
    </row>
    <row r="13" spans="1:22">
      <c r="A13" s="21" t="s">
        <v>2198</v>
      </c>
      <c r="B13" s="42" t="s">
        <v>1819</v>
      </c>
      <c r="C13" s="42" t="s">
        <v>444</v>
      </c>
      <c r="D13" s="42" t="s">
        <v>16</v>
      </c>
      <c r="E13" s="42" t="s">
        <v>2205</v>
      </c>
      <c r="F13" s="42">
        <v>20488</v>
      </c>
      <c r="G13" s="42"/>
      <c r="H13" s="42">
        <v>12990</v>
      </c>
      <c r="I13" s="42">
        <v>330</v>
      </c>
      <c r="J13" s="42">
        <v>0.13</v>
      </c>
      <c r="K13" s="43">
        <f t="shared" ref="K13" si="10">I13*J13</f>
        <v>42.9</v>
      </c>
      <c r="L13" s="43">
        <f t="shared" ref="L13" si="11">H13-K13</f>
        <v>12947.1</v>
      </c>
      <c r="M13" s="43"/>
      <c r="N13" s="43">
        <f t="shared" ref="N13" si="12">L13-M13</f>
        <v>12947.1</v>
      </c>
      <c r="O13" s="43">
        <f t="shared" ref="O13" si="13">H13/1000*70</f>
        <v>909.30000000000007</v>
      </c>
      <c r="P13" s="42">
        <v>28500</v>
      </c>
      <c r="Q13" s="42"/>
      <c r="R13" s="42">
        <f t="shared" ref="R13" si="14">L13*Q13</f>
        <v>0</v>
      </c>
      <c r="S13" s="62"/>
      <c r="T13" s="62"/>
      <c r="U13" s="62"/>
      <c r="V13" s="62"/>
    </row>
    <row r="14" spans="1:22">
      <c r="A14" s="62"/>
      <c r="B14" s="67"/>
      <c r="C14" s="67"/>
      <c r="D14" s="67"/>
      <c r="E14" s="67"/>
      <c r="F14" s="67"/>
      <c r="G14" s="67"/>
      <c r="H14" s="67"/>
      <c r="I14" s="67"/>
      <c r="J14" s="67"/>
      <c r="K14" s="67"/>
      <c r="L14" s="68"/>
      <c r="M14" s="68"/>
      <c r="N14" s="68"/>
      <c r="O14" s="68"/>
      <c r="P14" s="67"/>
      <c r="Q14" s="67"/>
      <c r="R14" s="67"/>
      <c r="S14" s="62"/>
      <c r="T14" s="62"/>
      <c r="U14" s="62"/>
      <c r="V14" s="62"/>
    </row>
    <row r="15" spans="1:22">
      <c r="A15" s="62" t="s">
        <v>2212</v>
      </c>
      <c r="B15" s="42" t="s">
        <v>1819</v>
      </c>
      <c r="C15" s="42" t="s">
        <v>444</v>
      </c>
      <c r="D15" s="42" t="s">
        <v>16</v>
      </c>
      <c r="E15" s="42" t="s">
        <v>2214</v>
      </c>
      <c r="F15" s="42">
        <v>22268</v>
      </c>
      <c r="G15" s="42"/>
      <c r="H15" s="42">
        <v>13500</v>
      </c>
      <c r="I15" s="42">
        <v>320</v>
      </c>
      <c r="J15" s="42">
        <v>0.13</v>
      </c>
      <c r="K15" s="43">
        <f t="shared" ref="K15:K17" si="15">I15*J15</f>
        <v>41.6</v>
      </c>
      <c r="L15" s="43">
        <f t="shared" ref="L15:L17" si="16">H15-K15</f>
        <v>13458.4</v>
      </c>
      <c r="M15" s="43"/>
      <c r="N15" s="43">
        <f t="shared" ref="N15:N17" si="17">L15-M15</f>
        <v>13458.4</v>
      </c>
      <c r="O15" s="43">
        <f t="shared" ref="O15:O17" si="18">H15/1000*70</f>
        <v>945</v>
      </c>
      <c r="P15" s="42">
        <v>26135</v>
      </c>
      <c r="Q15" s="42">
        <v>28.8</v>
      </c>
      <c r="R15" s="42">
        <f t="shared" ref="R15:R17" si="19">L15*Q15</f>
        <v>387601.91999999998</v>
      </c>
      <c r="S15" s="62"/>
      <c r="T15" s="62"/>
      <c r="U15" s="62"/>
      <c r="V15" s="62"/>
    </row>
    <row r="16" spans="1:22">
      <c r="A16" s="374" t="s">
        <v>2225</v>
      </c>
      <c r="B16" s="42" t="s">
        <v>1819</v>
      </c>
      <c r="C16" s="42" t="s">
        <v>444</v>
      </c>
      <c r="D16" s="42" t="s">
        <v>16</v>
      </c>
      <c r="E16" s="42" t="s">
        <v>2226</v>
      </c>
      <c r="F16" s="42">
        <v>14439</v>
      </c>
      <c r="G16" s="42"/>
      <c r="H16" s="42">
        <v>12760</v>
      </c>
      <c r="I16" s="42">
        <v>300</v>
      </c>
      <c r="J16" s="42">
        <v>0.13</v>
      </c>
      <c r="K16" s="43">
        <f t="shared" si="15"/>
        <v>39</v>
      </c>
      <c r="L16" s="43">
        <f t="shared" si="16"/>
        <v>12721</v>
      </c>
      <c r="M16" s="43"/>
      <c r="N16" s="43">
        <f t="shared" si="17"/>
        <v>12721</v>
      </c>
      <c r="O16" s="43">
        <f t="shared" si="18"/>
        <v>893.19999999999993</v>
      </c>
      <c r="P16" s="42">
        <v>22000</v>
      </c>
      <c r="Q16" s="42">
        <v>28.8</v>
      </c>
      <c r="R16" s="42">
        <f t="shared" si="19"/>
        <v>366364.8</v>
      </c>
      <c r="S16" s="62"/>
      <c r="T16" s="62"/>
      <c r="U16" s="62"/>
      <c r="V16" s="62"/>
    </row>
    <row r="17" spans="1:22">
      <c r="A17" s="374"/>
      <c r="B17" s="42" t="s">
        <v>1819</v>
      </c>
      <c r="C17" s="42" t="s">
        <v>444</v>
      </c>
      <c r="D17" s="42" t="s">
        <v>16</v>
      </c>
      <c r="E17" s="42" t="s">
        <v>2227</v>
      </c>
      <c r="F17" s="42">
        <v>14440</v>
      </c>
      <c r="G17" s="42"/>
      <c r="H17" s="42">
        <v>12890</v>
      </c>
      <c r="I17" s="42">
        <v>290</v>
      </c>
      <c r="J17" s="42">
        <v>0.13</v>
      </c>
      <c r="K17" s="43">
        <f t="shared" si="15"/>
        <v>37.700000000000003</v>
      </c>
      <c r="L17" s="43">
        <f t="shared" si="16"/>
        <v>12852.3</v>
      </c>
      <c r="M17" s="43"/>
      <c r="N17" s="43">
        <f t="shared" si="17"/>
        <v>12852.3</v>
      </c>
      <c r="O17" s="43">
        <f t="shared" si="18"/>
        <v>902.30000000000007</v>
      </c>
      <c r="P17" s="42">
        <v>22000</v>
      </c>
      <c r="Q17" s="42">
        <v>28.8</v>
      </c>
      <c r="R17" s="42">
        <f t="shared" si="19"/>
        <v>370146.24</v>
      </c>
      <c r="S17" s="62"/>
      <c r="T17" s="62"/>
      <c r="U17" s="62"/>
      <c r="V17" s="62"/>
    </row>
    <row r="18" spans="1:22">
      <c r="A18" s="62"/>
      <c r="B18" s="62"/>
      <c r="C18" s="62"/>
      <c r="D18" s="62"/>
      <c r="E18" s="62"/>
      <c r="F18" s="62"/>
      <c r="G18" s="62"/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</row>
    <row r="19" spans="1:22">
      <c r="A19" s="62"/>
      <c r="B19" s="67"/>
      <c r="C19" s="67"/>
      <c r="D19" s="67"/>
      <c r="E19" s="67"/>
      <c r="F19" s="67"/>
      <c r="G19" s="67"/>
      <c r="H19" s="67"/>
      <c r="I19" s="67"/>
      <c r="J19" s="67"/>
      <c r="K19" s="67"/>
      <c r="L19" s="68"/>
      <c r="M19" s="68"/>
      <c r="N19" s="68"/>
      <c r="O19" s="68"/>
      <c r="P19" s="67"/>
      <c r="Q19" s="67"/>
      <c r="R19" s="67"/>
      <c r="S19" s="62"/>
      <c r="T19" s="62"/>
      <c r="U19" s="62"/>
      <c r="V19" s="62"/>
    </row>
    <row r="20" spans="1:22">
      <c r="A20" s="62"/>
      <c r="B20" s="67"/>
      <c r="C20" s="67"/>
      <c r="D20" s="67"/>
      <c r="E20" s="142"/>
      <c r="F20" s="142"/>
      <c r="G20" s="142"/>
      <c r="H20" s="142"/>
      <c r="I20" s="142"/>
      <c r="J20" s="142"/>
      <c r="K20" s="67"/>
      <c r="L20" s="68"/>
      <c r="M20" s="68"/>
      <c r="N20" s="68"/>
      <c r="O20" s="68"/>
      <c r="P20" s="142"/>
      <c r="Q20" s="142"/>
      <c r="R20" s="142"/>
      <c r="S20" s="62"/>
      <c r="T20" s="62"/>
      <c r="U20" s="62"/>
      <c r="V20" s="62"/>
    </row>
    <row r="21" spans="1:22">
      <c r="A21" s="21"/>
      <c r="B21" s="67"/>
      <c r="C21" s="67"/>
      <c r="D21" s="67"/>
      <c r="E21" s="67"/>
      <c r="F21" s="67"/>
      <c r="G21" s="67"/>
      <c r="H21" s="67"/>
      <c r="I21" s="67"/>
      <c r="J21" s="67"/>
      <c r="K21" s="67"/>
      <c r="L21" s="68"/>
      <c r="M21" s="68"/>
      <c r="N21" s="68"/>
      <c r="O21" s="68"/>
      <c r="P21" s="67"/>
      <c r="Q21" s="67"/>
      <c r="R21" s="67"/>
      <c r="S21" s="62"/>
      <c r="T21" s="62"/>
      <c r="U21" s="62"/>
      <c r="V21" s="62"/>
    </row>
    <row r="22" spans="1:22">
      <c r="A22" s="21"/>
      <c r="B22" s="67"/>
      <c r="C22" s="67"/>
      <c r="D22" s="67"/>
      <c r="E22" s="142"/>
      <c r="F22" s="142"/>
      <c r="G22" s="142"/>
      <c r="H22" s="142"/>
      <c r="I22" s="142"/>
      <c r="J22" s="142"/>
      <c r="K22" s="67"/>
      <c r="L22" s="68"/>
      <c r="M22" s="68"/>
      <c r="N22" s="68"/>
      <c r="O22" s="68"/>
      <c r="P22" s="142"/>
      <c r="Q22" s="142"/>
      <c r="R22" s="142"/>
      <c r="S22" s="62"/>
      <c r="T22" s="62"/>
      <c r="U22" s="62"/>
      <c r="V22" s="62"/>
    </row>
    <row r="23" spans="1:22">
      <c r="A23" s="62"/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6"/>
      <c r="M23" s="62"/>
      <c r="N23" s="62"/>
      <c r="O23" s="62"/>
      <c r="P23" s="62"/>
      <c r="Q23" s="62"/>
      <c r="R23" s="62"/>
      <c r="S23" s="62"/>
      <c r="T23" s="62"/>
      <c r="U23" s="62"/>
      <c r="V23" s="62"/>
    </row>
    <row r="24" spans="1:22">
      <c r="A24" s="380"/>
      <c r="B24" s="67"/>
      <c r="C24" s="67"/>
      <c r="D24" s="67"/>
      <c r="E24" s="67"/>
      <c r="F24" s="67"/>
      <c r="G24" s="67"/>
      <c r="H24" s="67"/>
      <c r="I24" s="67"/>
      <c r="J24" s="67"/>
      <c r="K24" s="67"/>
      <c r="L24" s="68"/>
      <c r="M24" s="68"/>
      <c r="N24" s="68"/>
      <c r="O24" s="68"/>
      <c r="P24" s="67"/>
      <c r="Q24" s="67"/>
      <c r="R24" s="67"/>
      <c r="S24" s="62"/>
      <c r="T24" s="62"/>
      <c r="U24" s="62"/>
      <c r="V24" s="62"/>
    </row>
    <row r="25" spans="1:22">
      <c r="A25" s="380"/>
      <c r="B25" s="67"/>
      <c r="C25" s="67"/>
      <c r="D25" s="67"/>
      <c r="E25" s="67"/>
      <c r="F25" s="67"/>
      <c r="G25" s="67"/>
      <c r="H25" s="67"/>
      <c r="I25" s="67"/>
      <c r="J25" s="67"/>
      <c r="K25" s="67"/>
      <c r="L25" s="68"/>
      <c r="M25" s="68"/>
      <c r="N25" s="68"/>
      <c r="O25" s="68"/>
      <c r="P25" s="67"/>
      <c r="Q25" s="67"/>
      <c r="R25" s="67"/>
      <c r="S25" s="62"/>
      <c r="T25" s="62"/>
      <c r="U25" s="62"/>
      <c r="V25" s="62"/>
    </row>
    <row r="26" spans="1:22">
      <c r="A26" s="380"/>
      <c r="B26" s="67"/>
      <c r="C26" s="67"/>
      <c r="D26" s="67"/>
      <c r="E26" s="67"/>
      <c r="F26" s="67"/>
      <c r="G26" s="67"/>
      <c r="H26" s="67"/>
      <c r="I26" s="67"/>
      <c r="J26" s="67"/>
      <c r="K26" s="67"/>
      <c r="L26" s="68"/>
      <c r="M26" s="68"/>
      <c r="N26" s="68"/>
      <c r="O26" s="68"/>
      <c r="P26" s="67"/>
      <c r="Q26" s="67"/>
      <c r="R26" s="67"/>
      <c r="S26" s="67"/>
      <c r="T26" s="62"/>
      <c r="U26" s="62"/>
      <c r="V26" s="62"/>
    </row>
    <row r="27" spans="1:22">
      <c r="A27" s="380"/>
      <c r="B27" s="67"/>
      <c r="C27" s="67"/>
      <c r="D27" s="67"/>
      <c r="E27" s="67"/>
      <c r="F27" s="67"/>
      <c r="G27" s="67"/>
      <c r="H27" s="67"/>
      <c r="I27" s="67"/>
      <c r="J27" s="67"/>
      <c r="K27" s="67"/>
      <c r="L27" s="68"/>
      <c r="M27" s="68"/>
      <c r="N27" s="68"/>
      <c r="O27" s="68"/>
      <c r="P27" s="67"/>
      <c r="Q27" s="67"/>
      <c r="R27" s="67"/>
      <c r="S27" s="160"/>
      <c r="T27" s="62"/>
      <c r="U27" s="62"/>
      <c r="V27" s="62"/>
    </row>
    <row r="28" spans="1:22">
      <c r="A28" s="62"/>
      <c r="B28" s="62"/>
      <c r="C28" s="62"/>
      <c r="D28" s="62"/>
      <c r="E28" s="62"/>
      <c r="F28" s="62"/>
      <c r="G28" s="62"/>
      <c r="H28" s="62"/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</row>
    <row r="29" spans="1:22">
      <c r="A29" s="62"/>
      <c r="B29" s="142"/>
      <c r="C29" s="161"/>
      <c r="D29" s="67"/>
      <c r="E29" s="142"/>
      <c r="F29" s="142"/>
      <c r="G29" s="142"/>
      <c r="H29" s="142"/>
      <c r="I29" s="142"/>
      <c r="J29" s="142"/>
      <c r="K29" s="67"/>
      <c r="L29" s="68"/>
      <c r="M29" s="68"/>
      <c r="N29" s="68"/>
      <c r="O29" s="68"/>
      <c r="P29" s="142"/>
      <c r="Q29" s="142"/>
      <c r="R29" s="142"/>
      <c r="S29" s="161"/>
      <c r="T29" s="62"/>
      <c r="U29" s="62"/>
      <c r="V29" s="62"/>
    </row>
    <row r="30" spans="1:22">
      <c r="A30" s="62"/>
      <c r="B30" s="62"/>
      <c r="C30" s="62"/>
      <c r="D30" s="62"/>
      <c r="E30" s="62"/>
      <c r="F30" s="62"/>
      <c r="G30" s="62"/>
      <c r="H30" s="62"/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</row>
    <row r="31" spans="1:22">
      <c r="A31" s="62"/>
      <c r="B31" s="67"/>
      <c r="C31" s="67"/>
      <c r="D31" s="67"/>
      <c r="E31" s="67"/>
      <c r="F31" s="67"/>
      <c r="G31" s="67"/>
      <c r="H31" s="67"/>
      <c r="I31" s="67"/>
      <c r="J31" s="67"/>
      <c r="K31" s="67"/>
      <c r="L31" s="68"/>
      <c r="M31" s="68"/>
      <c r="N31" s="68"/>
      <c r="O31" s="68"/>
      <c r="P31" s="67"/>
      <c r="Q31" s="67"/>
      <c r="R31" s="67"/>
      <c r="S31" s="62"/>
      <c r="T31" s="62"/>
      <c r="U31" s="62"/>
      <c r="V31" s="62"/>
    </row>
    <row r="32" spans="1:22">
      <c r="A32" s="62"/>
      <c r="B32" s="62"/>
      <c r="C32" s="62"/>
      <c r="D32" s="62"/>
      <c r="E32" s="62"/>
      <c r="F32" s="62"/>
      <c r="G32" s="62"/>
      <c r="H32" s="62"/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</row>
    <row r="33" spans="1:22">
      <c r="A33" s="62"/>
      <c r="B33" s="67"/>
      <c r="C33" s="67"/>
      <c r="D33" s="67"/>
      <c r="E33" s="67"/>
      <c r="F33" s="67"/>
      <c r="G33" s="67"/>
      <c r="H33" s="67"/>
      <c r="I33" s="67"/>
      <c r="J33" s="67"/>
      <c r="K33" s="67"/>
      <c r="L33" s="68"/>
      <c r="M33" s="68"/>
      <c r="N33" s="68"/>
      <c r="O33" s="68"/>
      <c r="P33" s="67"/>
      <c r="Q33" s="67"/>
      <c r="R33" s="67"/>
      <c r="S33" s="62"/>
      <c r="T33" s="62"/>
      <c r="U33" s="62"/>
      <c r="V33" s="62"/>
    </row>
    <row r="34" spans="1:22">
      <c r="A34" s="62"/>
      <c r="B34" s="62"/>
      <c r="C34" s="62"/>
      <c r="D34" s="62"/>
      <c r="E34" s="62"/>
      <c r="F34" s="62"/>
      <c r="G34" s="62"/>
      <c r="H34" s="62"/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</row>
    <row r="35" spans="1:22">
      <c r="A35" s="62"/>
      <c r="B35" s="67"/>
      <c r="C35" s="67"/>
      <c r="D35" s="67"/>
      <c r="E35" s="67"/>
      <c r="F35" s="67"/>
      <c r="G35" s="67"/>
      <c r="H35" s="67"/>
      <c r="I35" s="67"/>
      <c r="J35" s="67"/>
      <c r="K35" s="67"/>
      <c r="L35" s="68"/>
      <c r="M35" s="68"/>
      <c r="N35" s="68"/>
      <c r="O35" s="68"/>
      <c r="P35" s="67"/>
      <c r="Q35" s="67"/>
      <c r="R35" s="67"/>
      <c r="S35" s="62"/>
      <c r="T35" s="62"/>
      <c r="U35" s="62"/>
      <c r="V35" s="62"/>
    </row>
    <row r="36" spans="1:22">
      <c r="A36" s="21"/>
      <c r="B36" s="67"/>
      <c r="C36" s="142"/>
      <c r="D36" s="67"/>
      <c r="E36" s="67"/>
      <c r="F36" s="67"/>
      <c r="G36" s="67"/>
      <c r="H36" s="67"/>
      <c r="I36" s="67"/>
      <c r="J36" s="67"/>
      <c r="K36" s="67"/>
      <c r="L36" s="68"/>
      <c r="M36" s="68"/>
      <c r="N36" s="68"/>
      <c r="O36" s="68"/>
      <c r="P36" s="67"/>
      <c r="Q36" s="67"/>
      <c r="R36" s="67"/>
      <c r="S36" s="62"/>
      <c r="T36" s="62"/>
      <c r="U36" s="62"/>
      <c r="V36" s="62"/>
    </row>
    <row r="37" spans="1:22">
      <c r="A37" s="62"/>
      <c r="B37" s="62"/>
      <c r="C37" s="62"/>
      <c r="D37" s="62"/>
      <c r="E37" s="62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</row>
    <row r="38" spans="1:22">
      <c r="A38" s="21"/>
      <c r="B38" s="67"/>
      <c r="C38" s="142"/>
      <c r="D38" s="67"/>
      <c r="E38" s="67"/>
      <c r="F38" s="67"/>
      <c r="G38" s="67"/>
      <c r="H38" s="67"/>
      <c r="I38" s="67"/>
      <c r="J38" s="67"/>
      <c r="K38" s="67"/>
      <c r="L38" s="68"/>
      <c r="M38" s="68"/>
      <c r="N38" s="68"/>
      <c r="O38" s="68"/>
      <c r="P38" s="67"/>
      <c r="Q38" s="62"/>
      <c r="R38" s="62"/>
      <c r="S38" s="62"/>
      <c r="T38" s="62"/>
      <c r="U38" s="62"/>
      <c r="V38" s="62"/>
    </row>
    <row r="39" spans="1:22">
      <c r="A39" s="62"/>
      <c r="B39" s="62"/>
      <c r="C39" s="62"/>
      <c r="D39" s="62"/>
      <c r="E39" s="62"/>
      <c r="F39" s="62"/>
      <c r="G39" s="62"/>
      <c r="H39" s="62"/>
      <c r="I39" s="62"/>
      <c r="J39" s="62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</row>
    <row r="40" spans="1:22">
      <c r="A40" s="21"/>
      <c r="B40" s="67"/>
      <c r="C40" s="67"/>
      <c r="D40" s="67"/>
      <c r="E40" s="67"/>
      <c r="F40" s="67"/>
      <c r="G40" s="67"/>
      <c r="H40" s="67"/>
      <c r="I40" s="67"/>
      <c r="J40" s="67"/>
      <c r="K40" s="67"/>
      <c r="L40" s="68"/>
      <c r="M40" s="68"/>
      <c r="N40" s="68"/>
      <c r="O40" s="68"/>
      <c r="P40" s="67"/>
      <c r="Q40" s="67"/>
      <c r="R40" s="67"/>
      <c r="S40" s="62"/>
      <c r="T40" s="62"/>
      <c r="U40" s="62"/>
      <c r="V40" s="62"/>
    </row>
    <row r="41" spans="1:22">
      <c r="A41" s="62"/>
      <c r="B41" s="62"/>
      <c r="C41" s="62"/>
      <c r="D41" s="62"/>
      <c r="E41" s="62"/>
      <c r="F41" s="62"/>
      <c r="G41" s="62"/>
      <c r="H41" s="62"/>
      <c r="I41" s="62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</row>
  </sheetData>
  <mergeCells count="3">
    <mergeCell ref="A24:A25"/>
    <mergeCell ref="A26:A27"/>
    <mergeCell ref="A16:A17"/>
  </mergeCells>
  <pageMargins left="0.7" right="0.7" top="0.75" bottom="0.75" header="0.3" footer="0.3"/>
  <pageSetup paperSize="9" orientation="portrait" verticalDpi="0" r:id="rId1"/>
</worksheet>
</file>

<file path=xl/worksheets/sheet108.xml><?xml version="1.0" encoding="utf-8"?>
<worksheet xmlns="http://schemas.openxmlformats.org/spreadsheetml/2006/main" xmlns:r="http://schemas.openxmlformats.org/officeDocument/2006/relationships">
  <dimension ref="A5:V37"/>
  <sheetViews>
    <sheetView zoomScale="85" zoomScaleNormal="85" workbookViewId="0">
      <selection activeCell="Q27" sqref="Q27"/>
    </sheetView>
  </sheetViews>
  <sheetFormatPr defaultRowHeight="14.4"/>
  <cols>
    <col min="1" max="1" width="8.88671875" style="1"/>
    <col min="2" max="2" width="24.77734375" style="1" customWidth="1"/>
    <col min="3" max="3" width="8.88671875" style="1"/>
    <col min="4" max="4" width="5.5546875" style="1" customWidth="1"/>
    <col min="5" max="5" width="9.7773437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2" ht="20.399999999999999">
      <c r="A5" s="58" t="s">
        <v>3</v>
      </c>
      <c r="B5" s="58" t="s">
        <v>4</v>
      </c>
      <c r="C5" s="58" t="s">
        <v>5</v>
      </c>
      <c r="D5" s="58" t="s">
        <v>6</v>
      </c>
      <c r="E5" s="58" t="s">
        <v>37</v>
      </c>
      <c r="F5" s="59" t="s">
        <v>7</v>
      </c>
      <c r="G5" s="58" t="s">
        <v>8</v>
      </c>
      <c r="H5" s="58" t="s">
        <v>9</v>
      </c>
      <c r="I5" s="58" t="s">
        <v>10</v>
      </c>
      <c r="J5" s="59" t="s">
        <v>18</v>
      </c>
      <c r="K5" s="59" t="s">
        <v>17</v>
      </c>
      <c r="L5" s="58" t="s">
        <v>11</v>
      </c>
      <c r="M5" s="59" t="s">
        <v>36</v>
      </c>
      <c r="N5" s="58" t="s">
        <v>12</v>
      </c>
      <c r="O5" s="58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258</v>
      </c>
    </row>
    <row r="6" spans="1:22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</row>
    <row r="7" spans="1:22">
      <c r="A7" s="62"/>
      <c r="B7" s="62"/>
      <c r="C7" s="62"/>
      <c r="D7" s="62"/>
      <c r="E7" s="62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</row>
    <row r="8" spans="1:22">
      <c r="A8" s="21" t="s">
        <v>2069</v>
      </c>
      <c r="B8" s="42" t="s">
        <v>1186</v>
      </c>
      <c r="C8" s="42" t="s">
        <v>444</v>
      </c>
      <c r="D8" s="42" t="s">
        <v>16</v>
      </c>
      <c r="E8" s="42" t="s">
        <v>2071</v>
      </c>
      <c r="F8" s="42">
        <v>129</v>
      </c>
      <c r="G8" s="42"/>
      <c r="H8" s="42">
        <v>15020</v>
      </c>
      <c r="I8" s="42">
        <v>318</v>
      </c>
      <c r="J8" s="42">
        <v>0.13</v>
      </c>
      <c r="K8" s="43">
        <f t="shared" ref="K8" si="0">I8*J8</f>
        <v>41.34</v>
      </c>
      <c r="L8" s="43">
        <f t="shared" ref="L8" si="1">H8-K8</f>
        <v>14978.66</v>
      </c>
      <c r="M8" s="43">
        <f>L8*4%</f>
        <v>599.14639999999997</v>
      </c>
      <c r="N8" s="43">
        <f t="shared" ref="N8" si="2">L8-M8</f>
        <v>14379.5136</v>
      </c>
      <c r="O8" s="43">
        <f t="shared" ref="O8" si="3">H8/1000*70</f>
        <v>1051.3999999999999</v>
      </c>
      <c r="P8" s="42">
        <v>26500</v>
      </c>
      <c r="Q8" s="42">
        <v>28</v>
      </c>
      <c r="R8" s="42">
        <f t="shared" ref="R8" si="4">L8*Q8</f>
        <v>419402.48</v>
      </c>
      <c r="S8" s="62"/>
      <c r="T8" s="62"/>
      <c r="U8" s="62"/>
      <c r="V8" s="62"/>
    </row>
    <row r="9" spans="1:22">
      <c r="A9" s="62"/>
      <c r="B9" s="62"/>
      <c r="C9" s="62"/>
      <c r="D9" s="62"/>
      <c r="E9" s="62"/>
      <c r="F9" s="62"/>
      <c r="G9" s="62"/>
      <c r="H9" s="62"/>
      <c r="I9" s="62"/>
      <c r="J9" s="62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</row>
    <row r="10" spans="1:22">
      <c r="A10" s="62"/>
      <c r="B10" s="42" t="s">
        <v>2601</v>
      </c>
      <c r="C10" s="42" t="s">
        <v>444</v>
      </c>
      <c r="D10" s="42" t="s">
        <v>16</v>
      </c>
      <c r="E10" s="42" t="s">
        <v>359</v>
      </c>
      <c r="F10" s="42">
        <v>165</v>
      </c>
      <c r="G10" s="42"/>
      <c r="H10" s="42">
        <v>12910</v>
      </c>
      <c r="I10" s="42">
        <v>360</v>
      </c>
      <c r="J10" s="42">
        <v>0.13</v>
      </c>
      <c r="K10" s="43">
        <f t="shared" ref="K10" si="5">I10*J10</f>
        <v>46.800000000000004</v>
      </c>
      <c r="L10" s="43">
        <f t="shared" ref="L10" si="6">H10-K10</f>
        <v>12863.2</v>
      </c>
      <c r="M10" s="43"/>
      <c r="N10" s="43">
        <f t="shared" ref="N10" si="7">L10-M10</f>
        <v>12863.2</v>
      </c>
      <c r="O10" s="43">
        <f t="shared" ref="O10" si="8">H10/1000*70</f>
        <v>903.7</v>
      </c>
      <c r="P10" s="42">
        <v>7000</v>
      </c>
      <c r="Q10" s="42">
        <v>27</v>
      </c>
      <c r="R10" s="42">
        <f t="shared" ref="R10" si="9">L10*Q10</f>
        <v>347306.4</v>
      </c>
      <c r="S10" s="62"/>
      <c r="T10" s="62"/>
      <c r="U10" s="62"/>
      <c r="V10" s="62"/>
    </row>
    <row r="11" spans="1:22">
      <c r="A11" s="62"/>
      <c r="B11" s="62"/>
      <c r="C11" s="62"/>
      <c r="D11" s="62"/>
      <c r="E11" s="62"/>
      <c r="F11" s="62"/>
      <c r="G11" s="62"/>
      <c r="H11" s="62"/>
      <c r="I11" s="62"/>
      <c r="J11" s="62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</row>
    <row r="12" spans="1:22">
      <c r="A12" s="62"/>
      <c r="B12" s="67"/>
      <c r="C12" s="67"/>
      <c r="D12" s="67"/>
      <c r="E12" s="67"/>
      <c r="F12" s="67"/>
      <c r="G12" s="67"/>
      <c r="H12" s="67"/>
      <c r="I12" s="67"/>
      <c r="J12" s="67"/>
      <c r="K12" s="67"/>
      <c r="L12" s="68"/>
      <c r="M12" s="68"/>
      <c r="N12" s="68"/>
      <c r="O12" s="68"/>
      <c r="P12" s="67"/>
      <c r="Q12" s="67"/>
      <c r="R12" s="67"/>
      <c r="S12" s="62"/>
      <c r="T12" s="62"/>
      <c r="U12" s="62"/>
      <c r="V12" s="62"/>
    </row>
    <row r="13" spans="1:22">
      <c r="A13" s="62"/>
      <c r="B13" s="62"/>
      <c r="C13" s="62"/>
      <c r="D13" s="62"/>
      <c r="E13" s="62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</row>
    <row r="14" spans="1:22">
      <c r="A14" s="62"/>
      <c r="B14" s="62"/>
      <c r="C14" s="62"/>
      <c r="D14" s="62"/>
      <c r="E14" s="62"/>
      <c r="F14" s="62"/>
      <c r="G14" s="62"/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</row>
    <row r="15" spans="1:22">
      <c r="A15" s="62"/>
      <c r="B15" s="67"/>
      <c r="C15" s="67"/>
      <c r="D15" s="67"/>
      <c r="E15" s="67"/>
      <c r="F15" s="67"/>
      <c r="G15" s="67"/>
      <c r="H15" s="67"/>
      <c r="I15" s="67"/>
      <c r="J15" s="67"/>
      <c r="K15" s="67"/>
      <c r="L15" s="68"/>
      <c r="M15" s="68"/>
      <c r="N15" s="68"/>
      <c r="O15" s="68"/>
      <c r="P15" s="67"/>
      <c r="Q15" s="67"/>
      <c r="R15" s="67"/>
      <c r="S15" s="62"/>
      <c r="T15" s="62"/>
      <c r="U15" s="62"/>
      <c r="V15" s="62"/>
    </row>
    <row r="16" spans="1:22">
      <c r="A16" s="62"/>
      <c r="B16" s="67"/>
      <c r="C16" s="67"/>
      <c r="D16" s="67"/>
      <c r="E16" s="142"/>
      <c r="F16" s="142"/>
      <c r="G16" s="142"/>
      <c r="H16" s="142"/>
      <c r="I16" s="142"/>
      <c r="J16" s="142"/>
      <c r="K16" s="67"/>
      <c r="L16" s="68"/>
      <c r="M16" s="68"/>
      <c r="N16" s="68"/>
      <c r="O16" s="68"/>
      <c r="P16" s="142"/>
      <c r="Q16" s="142"/>
      <c r="R16" s="142"/>
      <c r="S16" s="62"/>
      <c r="T16" s="62"/>
      <c r="U16" s="62"/>
      <c r="V16" s="62"/>
    </row>
    <row r="17" spans="1:22">
      <c r="A17" s="21"/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8"/>
      <c r="M17" s="68"/>
      <c r="N17" s="68"/>
      <c r="O17" s="68"/>
      <c r="P17" s="67"/>
      <c r="Q17" s="67"/>
      <c r="R17" s="67"/>
      <c r="S17" s="62"/>
      <c r="T17" s="62"/>
      <c r="U17" s="62"/>
      <c r="V17" s="62"/>
    </row>
    <row r="18" spans="1:22">
      <c r="A18" s="21"/>
      <c r="B18" s="67"/>
      <c r="C18" s="67"/>
      <c r="D18" s="67"/>
      <c r="E18" s="142"/>
      <c r="F18" s="142"/>
      <c r="G18" s="142"/>
      <c r="H18" s="142"/>
      <c r="I18" s="142"/>
      <c r="J18" s="142"/>
      <c r="K18" s="67"/>
      <c r="L18" s="68"/>
      <c r="M18" s="68"/>
      <c r="N18" s="68"/>
      <c r="O18" s="68"/>
      <c r="P18" s="142"/>
      <c r="Q18" s="142"/>
      <c r="R18" s="142"/>
      <c r="S18" s="62"/>
      <c r="T18" s="62"/>
      <c r="U18" s="62"/>
      <c r="V18" s="62"/>
    </row>
    <row r="19" spans="1:22">
      <c r="A19" s="62"/>
      <c r="B19" s="62"/>
      <c r="C19" s="62"/>
      <c r="D19" s="62"/>
      <c r="E19" s="62"/>
      <c r="F19" s="62"/>
      <c r="G19" s="62"/>
      <c r="H19" s="62"/>
      <c r="I19" s="62"/>
      <c r="J19" s="62"/>
      <c r="K19" s="62"/>
      <c r="L19" s="66"/>
      <c r="M19" s="62"/>
      <c r="N19" s="62"/>
      <c r="O19" s="62"/>
      <c r="P19" s="62"/>
      <c r="Q19" s="62"/>
      <c r="R19" s="62"/>
      <c r="S19" s="62"/>
      <c r="T19" s="62"/>
      <c r="U19" s="62"/>
      <c r="V19" s="62"/>
    </row>
    <row r="20" spans="1:22">
      <c r="A20" s="380"/>
      <c r="B20" s="67"/>
      <c r="C20" s="67"/>
      <c r="D20" s="67"/>
      <c r="E20" s="67"/>
      <c r="F20" s="67"/>
      <c r="G20" s="67"/>
      <c r="H20" s="67"/>
      <c r="I20" s="67"/>
      <c r="J20" s="67"/>
      <c r="K20" s="67"/>
      <c r="L20" s="68"/>
      <c r="M20" s="68"/>
      <c r="N20" s="68"/>
      <c r="O20" s="68"/>
      <c r="P20" s="67"/>
      <c r="Q20" s="67"/>
      <c r="R20" s="67"/>
      <c r="S20" s="62"/>
      <c r="T20" s="62"/>
      <c r="U20" s="62"/>
      <c r="V20" s="62"/>
    </row>
    <row r="21" spans="1:22">
      <c r="A21" s="380"/>
      <c r="B21" s="67"/>
      <c r="C21" s="67"/>
      <c r="D21" s="67"/>
      <c r="E21" s="67"/>
      <c r="F21" s="67"/>
      <c r="G21" s="67"/>
      <c r="H21" s="67"/>
      <c r="I21" s="67"/>
      <c r="J21" s="67"/>
      <c r="K21" s="67"/>
      <c r="L21" s="68"/>
      <c r="M21" s="68"/>
      <c r="N21" s="68"/>
      <c r="O21" s="68"/>
      <c r="P21" s="67"/>
      <c r="Q21" s="67"/>
      <c r="R21" s="67"/>
      <c r="S21" s="62"/>
      <c r="T21" s="62"/>
      <c r="U21" s="62"/>
      <c r="V21" s="62"/>
    </row>
    <row r="22" spans="1:22">
      <c r="A22" s="380"/>
      <c r="B22" s="67"/>
      <c r="C22" s="67"/>
      <c r="D22" s="67"/>
      <c r="E22" s="67"/>
      <c r="F22" s="67"/>
      <c r="G22" s="67"/>
      <c r="H22" s="67"/>
      <c r="I22" s="67"/>
      <c r="J22" s="67"/>
      <c r="K22" s="67"/>
      <c r="L22" s="68"/>
      <c r="M22" s="68"/>
      <c r="N22" s="68"/>
      <c r="O22" s="68"/>
      <c r="P22" s="67"/>
      <c r="Q22" s="67"/>
      <c r="R22" s="67"/>
      <c r="S22" s="67"/>
      <c r="T22" s="62"/>
      <c r="U22" s="62"/>
      <c r="V22" s="62"/>
    </row>
    <row r="23" spans="1:22">
      <c r="A23" s="380"/>
      <c r="B23" s="67"/>
      <c r="C23" s="67"/>
      <c r="D23" s="67"/>
      <c r="E23" s="67"/>
      <c r="F23" s="67"/>
      <c r="G23" s="67"/>
      <c r="H23" s="67"/>
      <c r="I23" s="67"/>
      <c r="J23" s="67"/>
      <c r="K23" s="67"/>
      <c r="L23" s="68"/>
      <c r="M23" s="68"/>
      <c r="N23" s="68"/>
      <c r="O23" s="68"/>
      <c r="P23" s="67"/>
      <c r="Q23" s="67"/>
      <c r="R23" s="67"/>
      <c r="S23" s="160"/>
      <c r="T23" s="62"/>
      <c r="U23" s="62"/>
      <c r="V23" s="62"/>
    </row>
    <row r="24" spans="1:22">
      <c r="A24" s="62"/>
      <c r="B24" s="62"/>
      <c r="C24" s="62"/>
      <c r="D24" s="62"/>
      <c r="E24" s="6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</row>
    <row r="25" spans="1:22">
      <c r="A25" s="62"/>
      <c r="B25" s="142"/>
      <c r="C25" s="161"/>
      <c r="D25" s="67"/>
      <c r="E25" s="142"/>
      <c r="F25" s="142"/>
      <c r="G25" s="142"/>
      <c r="H25" s="142"/>
      <c r="I25" s="142"/>
      <c r="J25" s="142"/>
      <c r="K25" s="67"/>
      <c r="L25" s="68"/>
      <c r="M25" s="68"/>
      <c r="N25" s="68"/>
      <c r="O25" s="68"/>
      <c r="P25" s="142"/>
      <c r="Q25" s="142"/>
      <c r="R25" s="142"/>
      <c r="S25" s="161"/>
      <c r="T25" s="62"/>
      <c r="U25" s="62"/>
      <c r="V25" s="62"/>
    </row>
    <row r="26" spans="1:22">
      <c r="A26" s="62"/>
      <c r="B26" s="62"/>
      <c r="C26" s="62"/>
      <c r="D26" s="62"/>
      <c r="E26" s="62"/>
      <c r="F26" s="62"/>
      <c r="G26" s="62"/>
      <c r="H26" s="62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</row>
    <row r="27" spans="1:22">
      <c r="A27" s="62"/>
      <c r="B27" s="67"/>
      <c r="C27" s="67"/>
      <c r="D27" s="67"/>
      <c r="E27" s="67"/>
      <c r="F27" s="67"/>
      <c r="G27" s="67"/>
      <c r="H27" s="67"/>
      <c r="I27" s="67"/>
      <c r="J27" s="67"/>
      <c r="K27" s="67"/>
      <c r="L27" s="68"/>
      <c r="M27" s="68"/>
      <c r="N27" s="68"/>
      <c r="O27" s="68"/>
      <c r="P27" s="67"/>
      <c r="Q27" s="67"/>
      <c r="R27" s="67"/>
      <c r="S27" s="62"/>
      <c r="T27" s="62"/>
      <c r="U27" s="62"/>
      <c r="V27" s="62"/>
    </row>
    <row r="28" spans="1:22">
      <c r="A28" s="62"/>
      <c r="B28" s="62"/>
      <c r="C28" s="62"/>
      <c r="D28" s="62"/>
      <c r="E28" s="62"/>
      <c r="F28" s="62"/>
      <c r="G28" s="62"/>
      <c r="H28" s="62"/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</row>
    <row r="29" spans="1:22">
      <c r="A29" s="62"/>
      <c r="B29" s="67"/>
      <c r="C29" s="67"/>
      <c r="D29" s="67"/>
      <c r="E29" s="67"/>
      <c r="F29" s="67"/>
      <c r="G29" s="67"/>
      <c r="H29" s="67"/>
      <c r="I29" s="67"/>
      <c r="J29" s="67"/>
      <c r="K29" s="67"/>
      <c r="L29" s="68"/>
      <c r="M29" s="68"/>
      <c r="N29" s="68"/>
      <c r="O29" s="68"/>
      <c r="P29" s="67"/>
      <c r="Q29" s="67"/>
      <c r="R29" s="67"/>
      <c r="S29" s="62"/>
      <c r="T29" s="62"/>
      <c r="U29" s="62"/>
      <c r="V29" s="62"/>
    </row>
    <row r="30" spans="1:22">
      <c r="A30" s="62"/>
      <c r="B30" s="62"/>
      <c r="C30" s="62"/>
      <c r="D30" s="62"/>
      <c r="E30" s="62"/>
      <c r="F30" s="62"/>
      <c r="G30" s="62"/>
      <c r="H30" s="62"/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</row>
    <row r="31" spans="1:22">
      <c r="A31" s="62"/>
      <c r="B31" s="67"/>
      <c r="C31" s="67"/>
      <c r="D31" s="67"/>
      <c r="E31" s="67"/>
      <c r="F31" s="67"/>
      <c r="G31" s="67"/>
      <c r="H31" s="67"/>
      <c r="I31" s="67"/>
      <c r="J31" s="67"/>
      <c r="K31" s="67"/>
      <c r="L31" s="68"/>
      <c r="M31" s="68"/>
      <c r="N31" s="68"/>
      <c r="O31" s="68"/>
      <c r="P31" s="67"/>
      <c r="Q31" s="67"/>
      <c r="R31" s="67"/>
      <c r="S31" s="62"/>
      <c r="T31" s="62"/>
      <c r="U31" s="62"/>
      <c r="V31" s="62"/>
    </row>
    <row r="32" spans="1:22">
      <c r="A32" s="21"/>
      <c r="B32" s="67"/>
      <c r="C32" s="142"/>
      <c r="D32" s="67"/>
      <c r="E32" s="67"/>
      <c r="F32" s="67"/>
      <c r="G32" s="67"/>
      <c r="H32" s="67"/>
      <c r="I32" s="67"/>
      <c r="J32" s="67"/>
      <c r="K32" s="67"/>
      <c r="L32" s="68"/>
      <c r="M32" s="68"/>
      <c r="N32" s="68"/>
      <c r="O32" s="68"/>
      <c r="P32" s="67"/>
      <c r="Q32" s="67"/>
      <c r="R32" s="67"/>
      <c r="S32" s="62"/>
      <c r="T32" s="62"/>
      <c r="U32" s="62"/>
      <c r="V32" s="62"/>
    </row>
    <row r="33" spans="1:22">
      <c r="A33" s="62"/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</row>
    <row r="34" spans="1:22">
      <c r="A34" s="21"/>
      <c r="B34" s="67"/>
      <c r="C34" s="142"/>
      <c r="D34" s="67"/>
      <c r="E34" s="67"/>
      <c r="F34" s="67"/>
      <c r="G34" s="67"/>
      <c r="H34" s="67"/>
      <c r="I34" s="67"/>
      <c r="J34" s="67"/>
      <c r="K34" s="67"/>
      <c r="L34" s="68"/>
      <c r="M34" s="68"/>
      <c r="N34" s="68"/>
      <c r="O34" s="68"/>
      <c r="P34" s="67"/>
      <c r="Q34" s="62"/>
      <c r="R34" s="62"/>
      <c r="S34" s="62"/>
      <c r="T34" s="62"/>
      <c r="U34" s="62"/>
      <c r="V34" s="62"/>
    </row>
    <row r="35" spans="1:22">
      <c r="A35" s="62"/>
      <c r="B35" s="62"/>
      <c r="C35" s="62"/>
      <c r="D35" s="62"/>
      <c r="E35" s="62"/>
      <c r="F35" s="62"/>
      <c r="G35" s="62"/>
      <c r="H35" s="62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</row>
    <row r="36" spans="1:22">
      <c r="A36" s="21"/>
      <c r="B36" s="67"/>
      <c r="C36" s="67"/>
      <c r="D36" s="67"/>
      <c r="E36" s="67"/>
      <c r="F36" s="67"/>
      <c r="G36" s="67"/>
      <c r="H36" s="67"/>
      <c r="I36" s="67"/>
      <c r="J36" s="67"/>
      <c r="K36" s="67"/>
      <c r="L36" s="68"/>
      <c r="M36" s="68"/>
      <c r="N36" s="68"/>
      <c r="O36" s="68"/>
      <c r="P36" s="67"/>
      <c r="Q36" s="67"/>
      <c r="R36" s="67"/>
      <c r="S36" s="62"/>
      <c r="T36" s="62"/>
      <c r="U36" s="62"/>
      <c r="V36" s="62"/>
    </row>
    <row r="37" spans="1:22">
      <c r="A37" s="62"/>
      <c r="B37" s="62"/>
      <c r="C37" s="62"/>
      <c r="D37" s="62"/>
      <c r="E37" s="62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</row>
  </sheetData>
  <mergeCells count="2">
    <mergeCell ref="A20:A21"/>
    <mergeCell ref="A22:A23"/>
  </mergeCells>
  <pageMargins left="0.7" right="0.7" top="0.75" bottom="0.75" header="0.3" footer="0.3"/>
  <pageSetup paperSize="9" orientation="portrait" verticalDpi="0" r:id="rId1"/>
</worksheet>
</file>

<file path=xl/worksheets/sheet109.xml><?xml version="1.0" encoding="utf-8"?>
<worksheet xmlns="http://schemas.openxmlformats.org/spreadsheetml/2006/main" xmlns:r="http://schemas.openxmlformats.org/officeDocument/2006/relationships">
  <dimension ref="A5:V27"/>
  <sheetViews>
    <sheetView zoomScale="85" zoomScaleNormal="85" workbookViewId="0">
      <selection activeCell="C16" sqref="C16"/>
    </sheetView>
  </sheetViews>
  <sheetFormatPr defaultRowHeight="14.4"/>
  <cols>
    <col min="1" max="1" width="8.88671875" style="1"/>
    <col min="2" max="2" width="24.77734375" style="1" customWidth="1"/>
    <col min="3" max="3" width="8.88671875" style="1"/>
    <col min="4" max="4" width="5.5546875" style="1" customWidth="1"/>
    <col min="5" max="5" width="9.7773437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2" ht="20.399999999999999">
      <c r="A5" s="58" t="s">
        <v>3</v>
      </c>
      <c r="B5" s="58" t="s">
        <v>4</v>
      </c>
      <c r="C5" s="58" t="s">
        <v>5</v>
      </c>
      <c r="D5" s="58" t="s">
        <v>6</v>
      </c>
      <c r="E5" s="58" t="s">
        <v>37</v>
      </c>
      <c r="F5" s="59" t="s">
        <v>7</v>
      </c>
      <c r="G5" s="58" t="s">
        <v>8</v>
      </c>
      <c r="H5" s="58" t="s">
        <v>9</v>
      </c>
      <c r="I5" s="58" t="s">
        <v>10</v>
      </c>
      <c r="J5" s="59" t="s">
        <v>18</v>
      </c>
      <c r="K5" s="59" t="s">
        <v>17</v>
      </c>
      <c r="L5" s="58" t="s">
        <v>11</v>
      </c>
      <c r="M5" s="59" t="s">
        <v>36</v>
      </c>
      <c r="N5" s="58" t="s">
        <v>12</v>
      </c>
      <c r="O5" s="58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258</v>
      </c>
    </row>
    <row r="6" spans="1:22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</row>
    <row r="7" spans="1:22">
      <c r="A7" s="62"/>
      <c r="B7" s="62"/>
      <c r="C7" s="62"/>
      <c r="D7" s="62"/>
      <c r="E7" s="62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</row>
    <row r="8" spans="1:22">
      <c r="A8" s="62"/>
      <c r="B8" s="62"/>
      <c r="C8" s="62"/>
      <c r="D8" s="62"/>
      <c r="E8" s="62"/>
      <c r="F8" s="62"/>
      <c r="G8" s="62"/>
      <c r="H8" s="62"/>
      <c r="I8" s="62"/>
      <c r="J8" s="62"/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</row>
    <row r="9" spans="1:22">
      <c r="A9" s="62" t="s">
        <v>2600</v>
      </c>
      <c r="B9" s="42" t="s">
        <v>2601</v>
      </c>
      <c r="C9" s="42" t="s">
        <v>444</v>
      </c>
      <c r="D9" s="42" t="s">
        <v>16</v>
      </c>
      <c r="E9" s="42" t="s">
        <v>359</v>
      </c>
      <c r="F9" s="42">
        <v>165</v>
      </c>
      <c r="G9" s="42"/>
      <c r="H9" s="42">
        <v>12910</v>
      </c>
      <c r="I9" s="42">
        <v>360</v>
      </c>
      <c r="J9" s="42">
        <v>0.13</v>
      </c>
      <c r="K9" s="43">
        <f t="shared" ref="K9" si="0">I9*J9</f>
        <v>46.800000000000004</v>
      </c>
      <c r="L9" s="43">
        <f t="shared" ref="L9" si="1">H9-K9</f>
        <v>12863.2</v>
      </c>
      <c r="M9" s="43"/>
      <c r="N9" s="43">
        <f t="shared" ref="N9" si="2">L9-M9</f>
        <v>12863.2</v>
      </c>
      <c r="O9" s="43">
        <f t="shared" ref="O9" si="3">H9/1000*70</f>
        <v>903.7</v>
      </c>
      <c r="P9" s="42">
        <v>7000</v>
      </c>
      <c r="Q9" s="42">
        <v>27</v>
      </c>
      <c r="R9" s="42">
        <f t="shared" ref="R9" si="4">L9*Q9</f>
        <v>347306.4</v>
      </c>
      <c r="S9" s="62"/>
      <c r="T9" s="62"/>
      <c r="U9" s="62"/>
      <c r="V9" s="62"/>
    </row>
    <row r="10" spans="1:22">
      <c r="A10" s="62"/>
      <c r="B10" s="62"/>
      <c r="C10" s="62"/>
      <c r="D10" s="62"/>
      <c r="E10" s="62"/>
      <c r="F10" s="62"/>
      <c r="G10" s="62"/>
      <c r="H10" s="62"/>
      <c r="I10" s="62"/>
      <c r="J10" s="62"/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</row>
    <row r="11" spans="1:22">
      <c r="A11" s="62" t="s">
        <v>2710</v>
      </c>
      <c r="B11" s="42" t="s">
        <v>2712</v>
      </c>
      <c r="C11" s="42" t="s">
        <v>444</v>
      </c>
      <c r="D11" s="42" t="s">
        <v>16</v>
      </c>
      <c r="E11" s="42" t="s">
        <v>2711</v>
      </c>
      <c r="F11" s="42">
        <v>284</v>
      </c>
      <c r="G11" s="42"/>
      <c r="H11" s="42">
        <v>1900</v>
      </c>
      <c r="I11" s="42">
        <v>40</v>
      </c>
      <c r="J11" s="42"/>
      <c r="K11" s="43">
        <f t="shared" ref="K11" si="5">I11*J11</f>
        <v>0</v>
      </c>
      <c r="L11" s="43">
        <f t="shared" ref="L11" si="6">H11-K11</f>
        <v>1900</v>
      </c>
      <c r="M11" s="43"/>
      <c r="N11" s="43">
        <f t="shared" ref="N11" si="7">L11-M11</f>
        <v>1900</v>
      </c>
      <c r="O11" s="43">
        <v>0</v>
      </c>
      <c r="P11" s="42">
        <v>1200</v>
      </c>
      <c r="Q11" s="42">
        <v>27</v>
      </c>
      <c r="R11" s="42">
        <f t="shared" ref="R11" si="8">L11*Q11</f>
        <v>51300</v>
      </c>
      <c r="S11" s="62"/>
      <c r="T11" s="62"/>
      <c r="U11" s="62"/>
      <c r="V11" s="62"/>
    </row>
    <row r="12" spans="1:22">
      <c r="A12" s="277"/>
      <c r="B12" s="67"/>
      <c r="C12" s="67"/>
      <c r="D12" s="67"/>
      <c r="E12" s="67"/>
      <c r="F12" s="67"/>
      <c r="G12" s="67"/>
      <c r="H12" s="67"/>
      <c r="I12" s="67"/>
      <c r="J12" s="67"/>
      <c r="K12" s="67"/>
      <c r="L12" s="68"/>
      <c r="M12" s="68"/>
      <c r="N12" s="68"/>
      <c r="O12" s="68"/>
      <c r="P12" s="67"/>
      <c r="Q12" s="67"/>
      <c r="R12" s="67"/>
      <c r="S12" s="62"/>
      <c r="T12" s="62"/>
      <c r="U12" s="62"/>
      <c r="V12" s="62"/>
    </row>
    <row r="13" spans="1:22">
      <c r="A13" s="63" t="s">
        <v>2941</v>
      </c>
      <c r="B13" s="42" t="s">
        <v>2944</v>
      </c>
      <c r="C13" s="42" t="s">
        <v>444</v>
      </c>
      <c r="D13" s="42" t="s">
        <v>16</v>
      </c>
      <c r="E13" s="42" t="s">
        <v>666</v>
      </c>
      <c r="F13" s="42">
        <v>3763</v>
      </c>
      <c r="G13" s="42"/>
      <c r="H13" s="42">
        <v>13100</v>
      </c>
      <c r="I13" s="42">
        <v>326</v>
      </c>
      <c r="J13" s="42"/>
      <c r="K13" s="43">
        <f t="shared" ref="K13" si="9">I13*J13</f>
        <v>0</v>
      </c>
      <c r="L13" s="43">
        <f t="shared" ref="L13" si="10">H13-K13</f>
        <v>13100</v>
      </c>
      <c r="M13" s="43"/>
      <c r="N13" s="43">
        <f t="shared" ref="N13" si="11">L13-M13</f>
        <v>13100</v>
      </c>
      <c r="O13" s="43">
        <v>0</v>
      </c>
      <c r="P13" s="42">
        <v>7000</v>
      </c>
      <c r="Q13" s="42">
        <v>27.53</v>
      </c>
      <c r="R13" s="42">
        <f t="shared" ref="R13" si="12">L13*Q13</f>
        <v>360643</v>
      </c>
      <c r="S13" s="67"/>
      <c r="T13" s="62"/>
      <c r="U13" s="62"/>
      <c r="V13" s="62"/>
    </row>
    <row r="14" spans="1:22">
      <c r="A14" s="63"/>
      <c r="B14" s="67"/>
      <c r="C14" s="67"/>
      <c r="D14" s="67"/>
      <c r="E14" s="67"/>
      <c r="F14" s="67"/>
      <c r="G14" s="67"/>
      <c r="H14" s="67"/>
      <c r="I14" s="67"/>
      <c r="J14" s="67"/>
      <c r="K14" s="67"/>
      <c r="L14" s="68"/>
      <c r="M14" s="68"/>
      <c r="N14" s="68"/>
      <c r="O14" s="68"/>
      <c r="P14" s="67"/>
      <c r="Q14" s="67"/>
      <c r="R14" s="67"/>
      <c r="S14" s="160"/>
      <c r="T14" s="62"/>
      <c r="U14" s="62"/>
      <c r="V14" s="62"/>
    </row>
    <row r="15" spans="1:22">
      <c r="A15" s="62"/>
      <c r="B15" s="62"/>
      <c r="C15" s="62"/>
      <c r="D15" s="62"/>
      <c r="E15" s="62"/>
      <c r="F15" s="62"/>
      <c r="G15" s="62"/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</row>
    <row r="16" spans="1:22">
      <c r="A16" s="62"/>
      <c r="B16" s="62"/>
      <c r="C16" s="62"/>
      <c r="D16" s="62"/>
      <c r="E16" s="62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</row>
    <row r="17" spans="1:22">
      <c r="A17" s="62"/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8"/>
      <c r="M17" s="68"/>
      <c r="N17" s="68"/>
      <c r="O17" s="68"/>
      <c r="P17" s="67"/>
      <c r="Q17" s="67"/>
      <c r="R17" s="67"/>
      <c r="S17" s="62"/>
      <c r="T17" s="62"/>
      <c r="U17" s="62"/>
      <c r="V17" s="62"/>
    </row>
    <row r="18" spans="1:22">
      <c r="A18" s="62"/>
      <c r="B18" s="62"/>
      <c r="C18" s="62"/>
      <c r="D18" s="62"/>
      <c r="E18" s="62"/>
      <c r="F18" s="62"/>
      <c r="G18" s="62"/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</row>
    <row r="19" spans="1:22">
      <c r="A19" s="62"/>
      <c r="B19" s="67"/>
      <c r="C19" s="67"/>
      <c r="D19" s="67"/>
      <c r="E19" s="67"/>
      <c r="F19" s="67"/>
      <c r="G19" s="67"/>
      <c r="H19" s="67"/>
      <c r="I19" s="67"/>
      <c r="J19" s="67"/>
      <c r="K19" s="67"/>
      <c r="L19" s="68"/>
      <c r="M19" s="68"/>
      <c r="N19" s="68"/>
      <c r="O19" s="68"/>
      <c r="P19" s="67"/>
      <c r="Q19" s="67"/>
      <c r="R19" s="67"/>
      <c r="S19" s="62"/>
      <c r="T19" s="62"/>
      <c r="U19" s="62"/>
      <c r="V19" s="62"/>
    </row>
    <row r="20" spans="1:22">
      <c r="A20" s="62"/>
      <c r="B20" s="62"/>
      <c r="C20" s="62"/>
      <c r="D20" s="62"/>
      <c r="E20" s="62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</row>
    <row r="21" spans="1:22">
      <c r="A21" s="62"/>
      <c r="B21" s="67"/>
      <c r="C21" s="67"/>
      <c r="D21" s="67"/>
      <c r="E21" s="67"/>
      <c r="F21" s="67"/>
      <c r="G21" s="67"/>
      <c r="H21" s="67"/>
      <c r="I21" s="67"/>
      <c r="J21" s="67"/>
      <c r="K21" s="67"/>
      <c r="L21" s="68"/>
      <c r="M21" s="68"/>
      <c r="N21" s="68"/>
      <c r="O21" s="68"/>
      <c r="P21" s="67"/>
      <c r="Q21" s="67"/>
      <c r="R21" s="67"/>
      <c r="S21" s="62"/>
      <c r="T21" s="62"/>
      <c r="U21" s="62"/>
      <c r="V21" s="62"/>
    </row>
    <row r="22" spans="1:22">
      <c r="A22" s="21"/>
      <c r="B22" s="67"/>
      <c r="C22" s="142"/>
      <c r="D22" s="67"/>
      <c r="E22" s="67"/>
      <c r="F22" s="67"/>
      <c r="G22" s="67"/>
      <c r="H22" s="67"/>
      <c r="I22" s="67"/>
      <c r="J22" s="67"/>
      <c r="K22" s="67"/>
      <c r="L22" s="68"/>
      <c r="M22" s="68"/>
      <c r="N22" s="68"/>
      <c r="O22" s="68"/>
      <c r="P22" s="67"/>
      <c r="Q22" s="67"/>
      <c r="R22" s="67"/>
      <c r="S22" s="62"/>
      <c r="T22" s="62"/>
      <c r="U22" s="62"/>
      <c r="V22" s="62"/>
    </row>
    <row r="23" spans="1:22">
      <c r="A23" s="62"/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</row>
    <row r="24" spans="1:22">
      <c r="A24" s="21"/>
      <c r="B24" s="67"/>
      <c r="C24" s="142"/>
      <c r="D24" s="67"/>
      <c r="E24" s="67"/>
      <c r="F24" s="67"/>
      <c r="G24" s="67"/>
      <c r="H24" s="67"/>
      <c r="I24" s="67"/>
      <c r="J24" s="67"/>
      <c r="K24" s="67"/>
      <c r="L24" s="68"/>
      <c r="M24" s="68"/>
      <c r="N24" s="68"/>
      <c r="O24" s="68"/>
      <c r="P24" s="67"/>
      <c r="Q24" s="62"/>
      <c r="R24" s="62"/>
      <c r="S24" s="62"/>
      <c r="T24" s="62"/>
      <c r="U24" s="62"/>
      <c r="V24" s="62"/>
    </row>
    <row r="25" spans="1:22">
      <c r="A25" s="62"/>
      <c r="B25" s="62"/>
      <c r="C25" s="62"/>
      <c r="D25" s="62"/>
      <c r="E25" s="62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</row>
    <row r="26" spans="1:22">
      <c r="A26" s="21"/>
      <c r="B26" s="67"/>
      <c r="C26" s="67"/>
      <c r="D26" s="67"/>
      <c r="E26" s="67"/>
      <c r="F26" s="67"/>
      <c r="G26" s="67"/>
      <c r="H26" s="67"/>
      <c r="I26" s="67"/>
      <c r="J26" s="67"/>
      <c r="K26" s="67"/>
      <c r="L26" s="68"/>
      <c r="M26" s="68"/>
      <c r="N26" s="68"/>
      <c r="O26" s="68"/>
      <c r="P26" s="67"/>
      <c r="Q26" s="67"/>
      <c r="R26" s="67"/>
      <c r="S26" s="62"/>
      <c r="T26" s="62"/>
      <c r="U26" s="62"/>
      <c r="V26" s="62"/>
    </row>
    <row r="27" spans="1:22">
      <c r="A27" s="62"/>
      <c r="B27" s="62"/>
      <c r="C27" s="62"/>
      <c r="D27" s="62"/>
      <c r="E27" s="62"/>
      <c r="F27" s="62"/>
      <c r="G27" s="62"/>
      <c r="H27" s="62"/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</row>
  </sheetData>
  <pageMargins left="0.7" right="0.7" top="0.75" bottom="0.75" header="0.3" footer="0.3"/>
  <pageSetup paperSize="9" orientation="portrait" verticalDpi="0" r:id="rId1"/>
</worksheet>
</file>

<file path=xl/worksheets/sheet110.xml><?xml version="1.0" encoding="utf-8"?>
<worksheet xmlns="http://schemas.openxmlformats.org/spreadsheetml/2006/main" xmlns:r="http://schemas.openxmlformats.org/officeDocument/2006/relationships">
  <dimension ref="A5:V23"/>
  <sheetViews>
    <sheetView zoomScale="85" zoomScaleNormal="85" workbookViewId="0">
      <selection activeCell="O26" sqref="O26"/>
    </sheetView>
  </sheetViews>
  <sheetFormatPr defaultRowHeight="14.4"/>
  <cols>
    <col min="1" max="1" width="8.88671875" style="1"/>
    <col min="2" max="2" width="24.77734375" style="1" customWidth="1"/>
    <col min="3" max="3" width="8.88671875" style="1"/>
    <col min="4" max="4" width="5.5546875" style="1" customWidth="1"/>
    <col min="5" max="5" width="9.7773437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2" ht="20.399999999999999">
      <c r="A5" s="58" t="s">
        <v>3</v>
      </c>
      <c r="B5" s="58" t="s">
        <v>4</v>
      </c>
      <c r="C5" s="58" t="s">
        <v>5</v>
      </c>
      <c r="D5" s="58" t="s">
        <v>6</v>
      </c>
      <c r="E5" s="58" t="s">
        <v>37</v>
      </c>
      <c r="F5" s="59" t="s">
        <v>7</v>
      </c>
      <c r="G5" s="58" t="s">
        <v>8</v>
      </c>
      <c r="H5" s="58" t="s">
        <v>9</v>
      </c>
      <c r="I5" s="58" t="s">
        <v>10</v>
      </c>
      <c r="J5" s="59" t="s">
        <v>18</v>
      </c>
      <c r="K5" s="59" t="s">
        <v>17</v>
      </c>
      <c r="L5" s="58" t="s">
        <v>11</v>
      </c>
      <c r="M5" s="59" t="s">
        <v>36</v>
      </c>
      <c r="N5" s="58" t="s">
        <v>12</v>
      </c>
      <c r="O5" s="58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258</v>
      </c>
    </row>
    <row r="6" spans="1:22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</row>
    <row r="7" spans="1:22">
      <c r="A7" s="62"/>
      <c r="B7" s="62"/>
      <c r="C7" s="62"/>
      <c r="D7" s="62"/>
      <c r="E7" s="62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</row>
    <row r="8" spans="1:22">
      <c r="A8" s="62"/>
      <c r="B8" s="62"/>
      <c r="C8" s="62"/>
      <c r="D8" s="62"/>
      <c r="E8" s="62"/>
      <c r="F8" s="62"/>
      <c r="G8" s="62"/>
      <c r="H8" s="62"/>
      <c r="I8" s="62"/>
      <c r="J8" s="62"/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</row>
    <row r="9" spans="1:22">
      <c r="A9" s="63"/>
      <c r="B9" s="67"/>
      <c r="C9" s="67"/>
      <c r="D9" s="67"/>
      <c r="E9" s="67"/>
      <c r="F9" s="67"/>
      <c r="G9" s="67"/>
      <c r="H9" s="67"/>
      <c r="I9" s="67"/>
      <c r="J9" s="67"/>
      <c r="K9" s="67"/>
      <c r="L9" s="68"/>
      <c r="M9" s="68"/>
      <c r="N9" s="68"/>
      <c r="O9" s="68"/>
      <c r="P9" s="67"/>
      <c r="Q9" s="67"/>
      <c r="R9" s="67"/>
      <c r="S9" s="160"/>
      <c r="T9" s="62"/>
      <c r="U9" s="62"/>
      <c r="V9" s="62"/>
    </row>
    <row r="10" spans="1:22">
      <c r="A10" s="62"/>
      <c r="B10" s="62"/>
      <c r="C10" s="62"/>
      <c r="D10" s="62"/>
      <c r="E10" s="62"/>
      <c r="F10" s="62"/>
      <c r="G10" s="62"/>
      <c r="H10" s="62"/>
      <c r="I10" s="62"/>
      <c r="J10" s="62"/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</row>
    <row r="11" spans="1:22">
      <c r="A11" s="62" t="s">
        <v>2972</v>
      </c>
      <c r="B11" s="42" t="s">
        <v>2974</v>
      </c>
      <c r="C11" s="42" t="s">
        <v>444</v>
      </c>
      <c r="D11" s="42" t="s">
        <v>16</v>
      </c>
      <c r="E11" s="42" t="s">
        <v>637</v>
      </c>
      <c r="F11" s="42">
        <v>381</v>
      </c>
      <c r="G11" s="42"/>
      <c r="H11" s="42">
        <v>12480</v>
      </c>
      <c r="I11" s="42">
        <v>320</v>
      </c>
      <c r="J11" s="42"/>
      <c r="K11" s="43">
        <f t="shared" ref="K11" si="0">I11*J11</f>
        <v>0</v>
      </c>
      <c r="L11" s="43">
        <f t="shared" ref="L11" si="1">H11-K11</f>
        <v>12480</v>
      </c>
      <c r="M11" s="43"/>
      <c r="N11" s="43">
        <f t="shared" ref="N11" si="2">L11-M11</f>
        <v>12480</v>
      </c>
      <c r="O11" s="43">
        <v>0</v>
      </c>
      <c r="P11" s="42">
        <v>0</v>
      </c>
      <c r="Q11" s="42">
        <v>28</v>
      </c>
      <c r="R11" s="42">
        <f t="shared" ref="R11" si="3">L11*Q11</f>
        <v>349440</v>
      </c>
      <c r="S11" s="161"/>
      <c r="T11" s="62"/>
      <c r="U11" s="62"/>
      <c r="V11" s="62"/>
    </row>
    <row r="12" spans="1:22">
      <c r="A12" s="62"/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</row>
    <row r="13" spans="1:22">
      <c r="A13" s="62" t="s">
        <v>2981</v>
      </c>
      <c r="B13" s="42" t="s">
        <v>2976</v>
      </c>
      <c r="C13" s="42" t="s">
        <v>444</v>
      </c>
      <c r="D13" s="42" t="s">
        <v>16</v>
      </c>
      <c r="E13" s="42" t="s">
        <v>2984</v>
      </c>
      <c r="F13" s="42">
        <v>4972</v>
      </c>
      <c r="G13" s="42"/>
      <c r="H13" s="42">
        <v>17350</v>
      </c>
      <c r="I13" s="42">
        <f>H13/50</f>
        <v>347</v>
      </c>
      <c r="J13" s="42">
        <v>0.13</v>
      </c>
      <c r="K13" s="43">
        <f t="shared" ref="K13" si="4">I13*J13</f>
        <v>45.11</v>
      </c>
      <c r="L13" s="43">
        <f t="shared" ref="L13" si="5">H13-K13</f>
        <v>17304.89</v>
      </c>
      <c r="M13" s="43"/>
      <c r="N13" s="43">
        <f t="shared" ref="N13" si="6">L13-M13</f>
        <v>17304.89</v>
      </c>
      <c r="O13" s="43">
        <f t="shared" ref="O13" si="7">H13/1000*70</f>
        <v>1214.5</v>
      </c>
      <c r="P13" s="42">
        <v>0</v>
      </c>
      <c r="Q13" s="42">
        <v>28.3</v>
      </c>
      <c r="R13" s="42">
        <f t="shared" ref="R13" si="8">L13*Q13</f>
        <v>489728.38699999999</v>
      </c>
      <c r="S13" s="62"/>
      <c r="T13" s="62"/>
      <c r="U13" s="62"/>
      <c r="V13" s="62"/>
    </row>
    <row r="14" spans="1:22">
      <c r="A14" s="62"/>
      <c r="B14" s="62"/>
      <c r="C14" s="62"/>
      <c r="D14" s="62"/>
      <c r="E14" s="62"/>
      <c r="F14" s="62"/>
      <c r="G14" s="62"/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</row>
    <row r="15" spans="1:22">
      <c r="A15" s="62"/>
      <c r="B15" s="67"/>
      <c r="C15" s="67"/>
      <c r="D15" s="67"/>
      <c r="E15" s="67"/>
      <c r="F15" s="67"/>
      <c r="G15" s="67"/>
      <c r="H15" s="67"/>
      <c r="I15" s="67"/>
      <c r="J15" s="67"/>
      <c r="K15" s="67"/>
      <c r="L15" s="68"/>
      <c r="M15" s="68"/>
      <c r="N15" s="68"/>
      <c r="O15" s="68"/>
      <c r="P15" s="67"/>
      <c r="Q15" s="67"/>
      <c r="R15" s="67"/>
      <c r="S15" s="62"/>
      <c r="T15" s="62"/>
      <c r="U15" s="62"/>
      <c r="V15" s="62"/>
    </row>
    <row r="16" spans="1:22">
      <c r="A16" s="62"/>
      <c r="B16" s="42" t="s">
        <v>2999</v>
      </c>
      <c r="C16" s="42" t="s">
        <v>444</v>
      </c>
      <c r="D16" s="42" t="s">
        <v>16</v>
      </c>
      <c r="E16" s="42" t="s">
        <v>972</v>
      </c>
      <c r="F16" s="42"/>
      <c r="G16" s="42"/>
      <c r="H16" s="42">
        <v>9760</v>
      </c>
      <c r="I16" s="42">
        <f>H16/50</f>
        <v>195.2</v>
      </c>
      <c r="J16" s="42"/>
      <c r="K16" s="43">
        <f t="shared" ref="K16" si="9">I16*J16</f>
        <v>0</v>
      </c>
      <c r="L16" s="43">
        <f t="shared" ref="L16" si="10">H16-K16</f>
        <v>9760</v>
      </c>
      <c r="M16" s="43"/>
      <c r="N16" s="43">
        <f t="shared" ref="N16" si="11">L16-M16</f>
        <v>9760</v>
      </c>
      <c r="O16" s="43">
        <v>0</v>
      </c>
      <c r="P16" s="42">
        <v>0</v>
      </c>
      <c r="Q16" s="42"/>
      <c r="R16" s="42">
        <f t="shared" ref="R16" si="12">L16*Q16</f>
        <v>0</v>
      </c>
      <c r="S16" s="62"/>
      <c r="T16" s="62"/>
      <c r="U16" s="62"/>
      <c r="V16" s="62"/>
    </row>
    <row r="17" spans="1:22">
      <c r="A17" s="62"/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8"/>
      <c r="M17" s="68"/>
      <c r="N17" s="68"/>
      <c r="O17" s="68"/>
      <c r="P17" s="67"/>
      <c r="Q17" s="67"/>
      <c r="R17" s="67"/>
      <c r="S17" s="62"/>
      <c r="T17" s="62"/>
      <c r="U17" s="62"/>
      <c r="V17" s="62"/>
    </row>
    <row r="18" spans="1:22">
      <c r="A18" s="21"/>
      <c r="B18" s="67"/>
      <c r="C18" s="142"/>
      <c r="D18" s="67"/>
      <c r="E18" s="67"/>
      <c r="F18" s="67"/>
      <c r="G18" s="67"/>
      <c r="H18" s="67"/>
      <c r="I18" s="67"/>
      <c r="J18" s="67"/>
      <c r="K18" s="67"/>
      <c r="L18" s="68"/>
      <c r="M18" s="68"/>
      <c r="N18" s="68"/>
      <c r="O18" s="68"/>
      <c r="P18" s="67"/>
      <c r="Q18" s="67"/>
      <c r="R18" s="67"/>
      <c r="S18" s="62"/>
      <c r="T18" s="62"/>
      <c r="U18" s="62"/>
      <c r="V18" s="62"/>
    </row>
    <row r="19" spans="1:22">
      <c r="A19" s="62"/>
      <c r="B19" s="62"/>
      <c r="C19" s="62"/>
      <c r="D19" s="62"/>
      <c r="E19" s="62"/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</row>
    <row r="20" spans="1:22">
      <c r="A20" s="21"/>
      <c r="B20" s="67"/>
      <c r="C20" s="142"/>
      <c r="D20" s="67"/>
      <c r="E20" s="67"/>
      <c r="F20" s="67"/>
      <c r="G20" s="67"/>
      <c r="H20" s="67"/>
      <c r="I20" s="67"/>
      <c r="J20" s="67"/>
      <c r="K20" s="67"/>
      <c r="L20" s="68"/>
      <c r="M20" s="68"/>
      <c r="N20" s="68"/>
      <c r="O20" s="68"/>
      <c r="P20" s="67"/>
      <c r="Q20" s="62"/>
      <c r="R20" s="62"/>
      <c r="S20" s="62"/>
      <c r="T20" s="62"/>
      <c r="U20" s="62"/>
      <c r="V20" s="62"/>
    </row>
    <row r="21" spans="1:22">
      <c r="A21" s="62"/>
      <c r="B21" s="62"/>
      <c r="C21" s="62"/>
      <c r="D21" s="62"/>
      <c r="E21" s="62"/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</row>
    <row r="22" spans="1:22">
      <c r="A22" s="21"/>
      <c r="B22" s="67"/>
      <c r="C22" s="67"/>
      <c r="D22" s="67"/>
      <c r="E22" s="67"/>
      <c r="F22" s="67"/>
      <c r="G22" s="67"/>
      <c r="H22" s="67"/>
      <c r="I22" s="67"/>
      <c r="J22" s="67"/>
      <c r="K22" s="67"/>
      <c r="L22" s="68"/>
      <c r="M22" s="68"/>
      <c r="N22" s="68"/>
      <c r="O22" s="68"/>
      <c r="P22" s="67"/>
      <c r="Q22" s="67"/>
      <c r="R22" s="67"/>
      <c r="S22" s="62"/>
      <c r="T22" s="62"/>
      <c r="U22" s="62"/>
      <c r="V22" s="62"/>
    </row>
    <row r="23" spans="1:22">
      <c r="A23" s="62"/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</row>
  </sheetData>
  <pageMargins left="0.7" right="0.7" top="0.75" bottom="0.75" header="0.3" footer="0.3"/>
  <pageSetup paperSize="9" orientation="portrait" verticalDpi="0" r:id="rId1"/>
</worksheet>
</file>

<file path=xl/worksheets/sheet111.xml><?xml version="1.0" encoding="utf-8"?>
<worksheet xmlns="http://schemas.openxmlformats.org/spreadsheetml/2006/main" xmlns:r="http://schemas.openxmlformats.org/officeDocument/2006/relationships">
  <dimension ref="A5:V21"/>
  <sheetViews>
    <sheetView zoomScale="85" zoomScaleNormal="85" workbookViewId="0">
      <selection activeCell="A22" sqref="A22"/>
    </sheetView>
  </sheetViews>
  <sheetFormatPr defaultRowHeight="14.4"/>
  <cols>
    <col min="1" max="1" width="8.88671875" style="1"/>
    <col min="2" max="2" width="24.77734375" style="1" customWidth="1"/>
    <col min="3" max="3" width="8.88671875" style="1"/>
    <col min="4" max="4" width="5.5546875" style="1" customWidth="1"/>
    <col min="5" max="5" width="9.7773437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2" ht="20.399999999999999">
      <c r="A5" s="58" t="s">
        <v>3</v>
      </c>
      <c r="B5" s="58" t="s">
        <v>4</v>
      </c>
      <c r="C5" s="58" t="s">
        <v>5</v>
      </c>
      <c r="D5" s="58" t="s">
        <v>6</v>
      </c>
      <c r="E5" s="58" t="s">
        <v>37</v>
      </c>
      <c r="F5" s="59" t="s">
        <v>7</v>
      </c>
      <c r="G5" s="58" t="s">
        <v>8</v>
      </c>
      <c r="H5" s="58" t="s">
        <v>9</v>
      </c>
      <c r="I5" s="58" t="s">
        <v>10</v>
      </c>
      <c r="J5" s="59" t="s">
        <v>18</v>
      </c>
      <c r="K5" s="59" t="s">
        <v>17</v>
      </c>
      <c r="L5" s="58" t="s">
        <v>11</v>
      </c>
      <c r="M5" s="59" t="s">
        <v>36</v>
      </c>
      <c r="N5" s="58" t="s">
        <v>12</v>
      </c>
      <c r="O5" s="58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258</v>
      </c>
    </row>
    <row r="6" spans="1:22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</row>
    <row r="7" spans="1:22">
      <c r="A7" s="62"/>
      <c r="B7" s="62"/>
      <c r="C7" s="62"/>
      <c r="D7" s="62"/>
      <c r="E7" s="62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</row>
    <row r="8" spans="1:22">
      <c r="A8" s="62"/>
      <c r="B8" s="62"/>
      <c r="C8" s="62"/>
      <c r="D8" s="62"/>
      <c r="E8" s="62"/>
      <c r="F8" s="62"/>
      <c r="G8" s="62"/>
      <c r="H8" s="62"/>
      <c r="I8" s="62"/>
      <c r="J8" s="62"/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</row>
    <row r="9" spans="1:22">
      <c r="A9" s="63"/>
      <c r="B9" s="67"/>
      <c r="C9" s="67"/>
      <c r="D9" s="67"/>
      <c r="E9" s="67"/>
      <c r="F9" s="67"/>
      <c r="G9" s="67"/>
      <c r="H9" s="67"/>
      <c r="I9" s="67"/>
      <c r="J9" s="67"/>
      <c r="K9" s="67"/>
      <c r="L9" s="68"/>
      <c r="M9" s="68"/>
      <c r="N9" s="68"/>
      <c r="O9" s="68"/>
      <c r="P9" s="67"/>
      <c r="Q9" s="67"/>
      <c r="R9" s="67"/>
      <c r="S9" s="160"/>
      <c r="T9" s="62"/>
      <c r="U9" s="62"/>
      <c r="V9" s="62"/>
    </row>
    <row r="10" spans="1:22">
      <c r="A10" s="62"/>
      <c r="B10" s="62"/>
      <c r="C10" s="62"/>
      <c r="D10" s="62"/>
      <c r="E10" s="62"/>
      <c r="F10" s="62"/>
      <c r="G10" s="62"/>
      <c r="H10" s="62"/>
      <c r="I10" s="62"/>
      <c r="J10" s="62"/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</row>
    <row r="11" spans="1:22">
      <c r="A11" s="62"/>
      <c r="B11" s="62"/>
      <c r="C11" s="62"/>
      <c r="D11" s="62"/>
      <c r="E11" s="62"/>
      <c r="F11" s="62"/>
      <c r="G11" s="62"/>
      <c r="H11" s="62"/>
      <c r="I11" s="62"/>
      <c r="J11" s="62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</row>
    <row r="12" spans="1:22">
      <c r="A12" s="62"/>
      <c r="B12" s="67"/>
      <c r="C12" s="67"/>
      <c r="D12" s="67"/>
      <c r="E12" s="67"/>
      <c r="F12" s="67"/>
      <c r="G12" s="67"/>
      <c r="H12" s="67"/>
      <c r="I12" s="67"/>
      <c r="J12" s="67"/>
      <c r="K12" s="67"/>
      <c r="L12" s="68"/>
      <c r="M12" s="68"/>
      <c r="N12" s="68"/>
      <c r="O12" s="68"/>
      <c r="P12" s="67"/>
      <c r="Q12" s="67"/>
      <c r="R12" s="67"/>
      <c r="S12" s="62"/>
      <c r="T12" s="62"/>
      <c r="U12" s="62"/>
      <c r="V12" s="62"/>
    </row>
    <row r="13" spans="1:22">
      <c r="A13" s="62" t="s">
        <v>3075</v>
      </c>
      <c r="B13" s="42" t="s">
        <v>2999</v>
      </c>
      <c r="C13" s="42" t="s">
        <v>444</v>
      </c>
      <c r="D13" s="42" t="s">
        <v>16</v>
      </c>
      <c r="E13" s="42" t="s">
        <v>972</v>
      </c>
      <c r="F13" s="42"/>
      <c r="G13" s="42"/>
      <c r="H13" s="42">
        <v>9760</v>
      </c>
      <c r="I13" s="42">
        <f>H13/50</f>
        <v>195.2</v>
      </c>
      <c r="J13" s="42"/>
      <c r="K13" s="43">
        <f t="shared" ref="K13" si="0">I13*J13</f>
        <v>0</v>
      </c>
      <c r="L13" s="43">
        <f t="shared" ref="L13" si="1">H13-K13</f>
        <v>9760</v>
      </c>
      <c r="M13" s="43"/>
      <c r="N13" s="43">
        <f t="shared" ref="N13" si="2">L13-M13</f>
        <v>9760</v>
      </c>
      <c r="O13" s="43">
        <v>0</v>
      </c>
      <c r="P13" s="42">
        <v>0</v>
      </c>
      <c r="Q13" s="42"/>
      <c r="R13" s="42">
        <f t="shared" ref="R13" si="3">L13*Q13</f>
        <v>0</v>
      </c>
      <c r="S13" s="62"/>
      <c r="T13" s="62"/>
      <c r="U13" s="62"/>
      <c r="V13" s="62"/>
    </row>
    <row r="14" spans="1:22">
      <c r="A14" s="62"/>
      <c r="B14" s="67"/>
      <c r="C14" s="67"/>
      <c r="D14" s="67"/>
      <c r="E14" s="67"/>
      <c r="F14" s="67"/>
      <c r="G14" s="67"/>
      <c r="H14" s="67"/>
      <c r="I14" s="67"/>
      <c r="J14" s="67"/>
      <c r="K14" s="67"/>
      <c r="L14" s="68"/>
      <c r="M14" s="68"/>
      <c r="N14" s="68"/>
      <c r="O14" s="68"/>
      <c r="P14" s="67"/>
      <c r="Q14" s="67"/>
      <c r="R14" s="67"/>
      <c r="S14" s="62"/>
      <c r="T14" s="62"/>
      <c r="U14" s="62"/>
      <c r="V14" s="62"/>
    </row>
    <row r="15" spans="1:22">
      <c r="A15" s="21"/>
      <c r="B15" s="67"/>
      <c r="C15" s="142"/>
      <c r="D15" s="67"/>
      <c r="E15" s="67"/>
      <c r="F15" s="67"/>
      <c r="G15" s="67"/>
      <c r="H15" s="67"/>
      <c r="I15" s="67"/>
      <c r="J15" s="67"/>
      <c r="K15" s="67"/>
      <c r="L15" s="68"/>
      <c r="M15" s="68"/>
      <c r="N15" s="68"/>
      <c r="O15" s="68"/>
      <c r="P15" s="67"/>
      <c r="Q15" s="67"/>
      <c r="R15" s="67"/>
      <c r="S15" s="62"/>
      <c r="T15" s="62"/>
      <c r="U15" s="62"/>
      <c r="V15" s="62"/>
    </row>
    <row r="16" spans="1:22">
      <c r="A16" s="62" t="s">
        <v>3110</v>
      </c>
      <c r="B16" s="42" t="s">
        <v>2999</v>
      </c>
      <c r="C16" s="42" t="s">
        <v>444</v>
      </c>
      <c r="D16" s="42" t="s">
        <v>16</v>
      </c>
      <c r="E16" s="42" t="s">
        <v>3114</v>
      </c>
      <c r="F16" s="42">
        <v>981</v>
      </c>
      <c r="G16" s="42"/>
      <c r="H16" s="42">
        <v>5000</v>
      </c>
      <c r="I16" s="42">
        <v>131</v>
      </c>
      <c r="J16" s="42"/>
      <c r="K16" s="43">
        <f t="shared" ref="K16" si="4">I16*J16</f>
        <v>0</v>
      </c>
      <c r="L16" s="43">
        <f t="shared" ref="L16" si="5">H16-K16</f>
        <v>5000</v>
      </c>
      <c r="M16" s="43"/>
      <c r="N16" s="43">
        <f t="shared" ref="N16" si="6">L16-M16</f>
        <v>5000</v>
      </c>
      <c r="O16" s="43">
        <v>0</v>
      </c>
      <c r="P16" s="42">
        <v>0</v>
      </c>
      <c r="Q16" s="42">
        <v>30.5</v>
      </c>
      <c r="R16" s="42">
        <f t="shared" ref="R16" si="7">L16*Q16</f>
        <v>152500</v>
      </c>
      <c r="S16" s="62"/>
      <c r="T16" s="62"/>
      <c r="U16" s="62"/>
      <c r="V16" s="62"/>
    </row>
    <row r="17" spans="1:22">
      <c r="A17" s="21"/>
      <c r="B17" s="67"/>
      <c r="C17" s="142"/>
      <c r="D17" s="67"/>
      <c r="E17" s="67"/>
      <c r="F17" s="67"/>
      <c r="G17" s="67"/>
      <c r="H17" s="67"/>
      <c r="I17" s="67"/>
      <c r="J17" s="67"/>
      <c r="K17" s="67"/>
      <c r="L17" s="68"/>
      <c r="M17" s="68"/>
      <c r="N17" s="68"/>
      <c r="O17" s="68"/>
      <c r="P17" s="67"/>
      <c r="Q17" s="62"/>
      <c r="R17" s="62"/>
      <c r="S17" s="62"/>
      <c r="T17" s="62"/>
      <c r="U17" s="62"/>
      <c r="V17" s="62"/>
    </row>
    <row r="18" spans="1:22">
      <c r="A18" s="62" t="s">
        <v>3239</v>
      </c>
      <c r="B18" s="42" t="s">
        <v>2999</v>
      </c>
      <c r="C18" s="42" t="s">
        <v>444</v>
      </c>
      <c r="D18" s="42" t="s">
        <v>16</v>
      </c>
      <c r="E18" s="42" t="s">
        <v>3244</v>
      </c>
      <c r="F18" s="42">
        <v>6</v>
      </c>
      <c r="G18" s="42"/>
      <c r="H18" s="42">
        <v>8000</v>
      </c>
      <c r="I18" s="42">
        <v>160</v>
      </c>
      <c r="J18" s="42"/>
      <c r="K18" s="43">
        <f t="shared" ref="K18" si="8">I18*J18</f>
        <v>0</v>
      </c>
      <c r="L18" s="43">
        <f t="shared" ref="L18" si="9">H18-K18</f>
        <v>8000</v>
      </c>
      <c r="M18" s="43"/>
      <c r="N18" s="43">
        <f t="shared" ref="N18" si="10">L18-M18</f>
        <v>8000</v>
      </c>
      <c r="O18" s="43">
        <v>0</v>
      </c>
      <c r="P18" s="42">
        <v>0</v>
      </c>
      <c r="Q18" s="42">
        <v>30</v>
      </c>
      <c r="R18" s="42">
        <f t="shared" ref="R18" si="11">L18*Q18</f>
        <v>240000</v>
      </c>
      <c r="S18" s="62"/>
      <c r="T18" s="62"/>
      <c r="U18" s="62"/>
      <c r="V18" s="62"/>
    </row>
    <row r="19" spans="1:22">
      <c r="A19" s="62"/>
      <c r="B19" s="62"/>
      <c r="C19" s="62"/>
      <c r="D19" s="62"/>
      <c r="E19" s="62"/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</row>
    <row r="20" spans="1:22">
      <c r="A20" s="374" t="s">
        <v>3503</v>
      </c>
      <c r="B20" s="42" t="s">
        <v>2999</v>
      </c>
      <c r="C20" s="42" t="s">
        <v>444</v>
      </c>
      <c r="D20" s="42" t="s">
        <v>16</v>
      </c>
      <c r="E20" s="47" t="s">
        <v>3508</v>
      </c>
      <c r="F20" s="47">
        <v>8728</v>
      </c>
      <c r="G20" s="47"/>
      <c r="H20" s="47">
        <v>12690</v>
      </c>
      <c r="I20" s="47">
        <v>270</v>
      </c>
      <c r="J20" s="47">
        <v>0.13</v>
      </c>
      <c r="K20" s="43">
        <f t="shared" ref="K20:K21" si="12">I20*J20</f>
        <v>35.1</v>
      </c>
      <c r="L20" s="43">
        <f t="shared" ref="L20:L21" si="13">H20-K20</f>
        <v>12654.9</v>
      </c>
      <c r="M20" s="43"/>
      <c r="N20" s="43">
        <f t="shared" ref="N20:N21" si="14">L20-M20</f>
        <v>12654.9</v>
      </c>
      <c r="O20" s="43">
        <f t="shared" ref="O20:O21" si="15">H20/1000*70</f>
        <v>888.3</v>
      </c>
      <c r="P20" s="42">
        <v>19000</v>
      </c>
      <c r="Q20" s="42">
        <v>33.1</v>
      </c>
      <c r="R20" s="42">
        <f t="shared" ref="R20:R21" si="16">L20*Q20</f>
        <v>418877.19</v>
      </c>
    </row>
    <row r="21" spans="1:22">
      <c r="A21" s="374"/>
      <c r="B21" s="42" t="s">
        <v>2999</v>
      </c>
      <c r="C21" s="42" t="s">
        <v>444</v>
      </c>
      <c r="D21" s="42" t="s">
        <v>16</v>
      </c>
      <c r="E21" s="47" t="s">
        <v>3509</v>
      </c>
      <c r="F21" s="47">
        <v>8732</v>
      </c>
      <c r="G21" s="47"/>
      <c r="H21" s="47">
        <v>12730</v>
      </c>
      <c r="I21" s="47">
        <v>280</v>
      </c>
      <c r="J21" s="47">
        <v>0.13</v>
      </c>
      <c r="K21" s="43">
        <f t="shared" si="12"/>
        <v>36.4</v>
      </c>
      <c r="L21" s="43">
        <f t="shared" si="13"/>
        <v>12693.6</v>
      </c>
      <c r="M21" s="43"/>
      <c r="N21" s="43">
        <f t="shared" si="14"/>
        <v>12693.6</v>
      </c>
      <c r="O21" s="43">
        <f t="shared" si="15"/>
        <v>891.1</v>
      </c>
      <c r="P21" s="42">
        <v>19000</v>
      </c>
      <c r="Q21" s="42">
        <v>33.1</v>
      </c>
      <c r="R21" s="42">
        <f t="shared" si="16"/>
        <v>420158.16000000003</v>
      </c>
    </row>
  </sheetData>
  <mergeCells count="1">
    <mergeCell ref="A20:A21"/>
  </mergeCells>
  <pageMargins left="0.7" right="0.7" top="0.75" bottom="0.75" header="0.3" footer="0.3"/>
  <pageSetup paperSize="9" orientation="portrait" verticalDpi="0" r:id="rId1"/>
</worksheet>
</file>

<file path=xl/worksheets/sheet112.xml><?xml version="1.0" encoding="utf-8"?>
<worksheet xmlns="http://schemas.openxmlformats.org/spreadsheetml/2006/main" xmlns:r="http://schemas.openxmlformats.org/officeDocument/2006/relationships">
  <dimension ref="A5:V16"/>
  <sheetViews>
    <sheetView zoomScale="85" zoomScaleNormal="85" workbookViewId="0">
      <selection activeCell="D17" sqref="D17"/>
    </sheetView>
  </sheetViews>
  <sheetFormatPr defaultRowHeight="14.4"/>
  <cols>
    <col min="1" max="1" width="8.88671875" style="1"/>
    <col min="2" max="2" width="24.77734375" style="1" customWidth="1"/>
    <col min="3" max="3" width="8.88671875" style="1"/>
    <col min="4" max="4" width="5.5546875" style="1" customWidth="1"/>
    <col min="5" max="5" width="9.7773437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2" ht="20.399999999999999">
      <c r="A5" s="58" t="s">
        <v>3</v>
      </c>
      <c r="B5" s="58" t="s">
        <v>4</v>
      </c>
      <c r="C5" s="58" t="s">
        <v>5</v>
      </c>
      <c r="D5" s="58" t="s">
        <v>6</v>
      </c>
      <c r="E5" s="58" t="s">
        <v>37</v>
      </c>
      <c r="F5" s="59" t="s">
        <v>7</v>
      </c>
      <c r="G5" s="58" t="s">
        <v>8</v>
      </c>
      <c r="H5" s="58" t="s">
        <v>9</v>
      </c>
      <c r="I5" s="58" t="s">
        <v>10</v>
      </c>
      <c r="J5" s="59" t="s">
        <v>18</v>
      </c>
      <c r="K5" s="59" t="s">
        <v>17</v>
      </c>
      <c r="L5" s="58" t="s">
        <v>11</v>
      </c>
      <c r="M5" s="59" t="s">
        <v>36</v>
      </c>
      <c r="N5" s="58" t="s">
        <v>12</v>
      </c>
      <c r="O5" s="58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258</v>
      </c>
    </row>
    <row r="6" spans="1:22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</row>
    <row r="7" spans="1:22">
      <c r="A7" s="62"/>
      <c r="B7" s="62"/>
      <c r="C7" s="62"/>
      <c r="D7" s="62"/>
      <c r="E7" s="62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</row>
    <row r="8" spans="1:22">
      <c r="A8" s="62"/>
      <c r="B8" s="62"/>
      <c r="C8" s="62"/>
      <c r="D8" s="62"/>
      <c r="E8" s="62"/>
      <c r="F8" s="62"/>
      <c r="G8" s="62"/>
      <c r="H8" s="62"/>
      <c r="I8" s="62"/>
      <c r="J8" s="62"/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</row>
    <row r="9" spans="1:22">
      <c r="A9" s="63"/>
      <c r="B9" s="67"/>
      <c r="C9" s="67"/>
      <c r="D9" s="67"/>
      <c r="E9" s="67"/>
      <c r="F9" s="67"/>
      <c r="G9" s="67"/>
      <c r="H9" s="67"/>
      <c r="I9" s="67"/>
      <c r="J9" s="67"/>
      <c r="K9" s="67"/>
      <c r="L9" s="68"/>
      <c r="M9" s="68"/>
      <c r="N9" s="68"/>
      <c r="O9" s="68"/>
      <c r="P9" s="67"/>
      <c r="Q9" s="67"/>
      <c r="R9" s="67"/>
      <c r="S9" s="160"/>
      <c r="T9" s="62"/>
      <c r="U9" s="62"/>
      <c r="V9" s="62"/>
    </row>
    <row r="10" spans="1:22">
      <c r="A10" s="62"/>
      <c r="B10" s="62"/>
      <c r="C10" s="62"/>
      <c r="D10" s="62"/>
      <c r="E10" s="62"/>
      <c r="F10" s="62"/>
      <c r="G10" s="62"/>
      <c r="H10" s="62"/>
      <c r="I10" s="62"/>
      <c r="J10" s="62"/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</row>
    <row r="11" spans="1:22">
      <c r="A11" s="62"/>
      <c r="B11" s="62"/>
      <c r="C11" s="62"/>
      <c r="D11" s="62"/>
      <c r="E11" s="62"/>
      <c r="F11" s="62"/>
      <c r="G11" s="62"/>
      <c r="H11" s="62"/>
      <c r="I11" s="62"/>
      <c r="J11" s="62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</row>
    <row r="12" spans="1:22">
      <c r="A12" s="62"/>
      <c r="B12" s="67"/>
      <c r="C12" s="67"/>
      <c r="D12" s="67"/>
      <c r="E12" s="67"/>
      <c r="F12" s="67"/>
      <c r="G12" s="67"/>
      <c r="H12" s="67"/>
      <c r="I12" s="67"/>
      <c r="J12" s="67"/>
      <c r="K12" s="67"/>
      <c r="L12" s="68"/>
      <c r="M12" s="68"/>
      <c r="N12" s="68"/>
      <c r="O12" s="68"/>
      <c r="P12" s="67"/>
      <c r="Q12" s="67"/>
      <c r="R12" s="67"/>
      <c r="S12" s="62"/>
      <c r="T12" s="62"/>
      <c r="U12" s="62"/>
      <c r="V12" s="62"/>
    </row>
    <row r="13" spans="1:22">
      <c r="A13" s="21"/>
      <c r="B13" s="67"/>
      <c r="C13" s="142"/>
      <c r="D13" s="67"/>
      <c r="E13" s="67"/>
      <c r="F13" s="67"/>
      <c r="G13" s="67"/>
      <c r="H13" s="67"/>
      <c r="I13" s="67"/>
      <c r="J13" s="67"/>
      <c r="K13" s="67"/>
      <c r="L13" s="68"/>
      <c r="M13" s="68"/>
      <c r="N13" s="68"/>
      <c r="O13" s="68"/>
      <c r="P13" s="67"/>
      <c r="Q13" s="62"/>
      <c r="R13" s="62"/>
      <c r="S13" s="62"/>
      <c r="T13" s="62"/>
      <c r="U13" s="62"/>
      <c r="V13" s="62"/>
    </row>
    <row r="14" spans="1:22">
      <c r="A14" s="62"/>
      <c r="B14" s="62"/>
      <c r="C14" s="62"/>
      <c r="D14" s="62"/>
      <c r="E14" s="62"/>
      <c r="F14" s="62"/>
      <c r="G14" s="62"/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</row>
    <row r="15" spans="1:22">
      <c r="A15" s="21" t="s">
        <v>3117</v>
      </c>
      <c r="B15" s="42" t="s">
        <v>632</v>
      </c>
      <c r="C15" s="42" t="s">
        <v>444</v>
      </c>
      <c r="D15" s="42" t="s">
        <v>16</v>
      </c>
      <c r="E15" s="42" t="s">
        <v>698</v>
      </c>
      <c r="F15" s="42">
        <v>29695</v>
      </c>
      <c r="G15" s="42"/>
      <c r="H15" s="42">
        <v>13010</v>
      </c>
      <c r="I15" s="42">
        <v>240</v>
      </c>
      <c r="J15" s="42">
        <v>0.13</v>
      </c>
      <c r="K15" s="43">
        <f t="shared" ref="K15" si="0">I15*J15</f>
        <v>31.200000000000003</v>
      </c>
      <c r="L15" s="43">
        <f t="shared" ref="L15" si="1">H15-K15</f>
        <v>12978.8</v>
      </c>
      <c r="M15" s="43"/>
      <c r="N15" s="43">
        <f t="shared" ref="N15" si="2">L15-M15</f>
        <v>12978.8</v>
      </c>
      <c r="O15" s="43">
        <f t="shared" ref="O15" si="3">H15/1000*70</f>
        <v>910.69999999999993</v>
      </c>
      <c r="P15" s="42">
        <v>0</v>
      </c>
      <c r="Q15" s="42">
        <v>29</v>
      </c>
      <c r="R15" s="42">
        <f t="shared" ref="R15" si="4">L15*Q15</f>
        <v>376385.19999999995</v>
      </c>
      <c r="S15" s="62"/>
      <c r="T15" s="62"/>
      <c r="U15" s="62"/>
      <c r="V15" s="62"/>
    </row>
    <row r="16" spans="1:22">
      <c r="A16" s="62"/>
      <c r="B16" s="62"/>
      <c r="C16" s="62"/>
      <c r="D16" s="62"/>
      <c r="E16" s="62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</row>
  </sheetData>
  <pageMargins left="0.7" right="0.7" top="0.75" bottom="0.75" header="0.3" footer="0.3"/>
  <pageSetup paperSize="9" orientation="portrait" verticalDpi="0" r:id="rId1"/>
</worksheet>
</file>

<file path=xl/worksheets/sheet113.xml><?xml version="1.0" encoding="utf-8"?>
<worksheet xmlns="http://schemas.openxmlformats.org/spreadsheetml/2006/main" xmlns:r="http://schemas.openxmlformats.org/officeDocument/2006/relationships">
  <dimension ref="A5:V21"/>
  <sheetViews>
    <sheetView zoomScale="85" zoomScaleNormal="85" workbookViewId="0">
      <selection activeCell="B21" sqref="B21:S21"/>
    </sheetView>
  </sheetViews>
  <sheetFormatPr defaultRowHeight="14.4"/>
  <cols>
    <col min="1" max="1" width="8.88671875" style="1"/>
    <col min="2" max="2" width="24.77734375" style="1" customWidth="1"/>
    <col min="3" max="3" width="8.88671875" style="1"/>
    <col min="4" max="4" width="5.5546875" style="1" customWidth="1"/>
    <col min="5" max="5" width="9.7773437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2" ht="20.399999999999999">
      <c r="A5" s="58" t="s">
        <v>3</v>
      </c>
      <c r="B5" s="58" t="s">
        <v>4</v>
      </c>
      <c r="C5" s="58" t="s">
        <v>5</v>
      </c>
      <c r="D5" s="58" t="s">
        <v>6</v>
      </c>
      <c r="E5" s="58" t="s">
        <v>37</v>
      </c>
      <c r="F5" s="59" t="s">
        <v>7</v>
      </c>
      <c r="G5" s="58" t="s">
        <v>8</v>
      </c>
      <c r="H5" s="58" t="s">
        <v>9</v>
      </c>
      <c r="I5" s="58" t="s">
        <v>10</v>
      </c>
      <c r="J5" s="59" t="s">
        <v>18</v>
      </c>
      <c r="K5" s="59" t="s">
        <v>17</v>
      </c>
      <c r="L5" s="58" t="s">
        <v>11</v>
      </c>
      <c r="M5" s="59" t="s">
        <v>36</v>
      </c>
      <c r="N5" s="58" t="s">
        <v>12</v>
      </c>
      <c r="O5" s="58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258</v>
      </c>
    </row>
    <row r="6" spans="1:22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</row>
    <row r="7" spans="1:22">
      <c r="A7" s="62"/>
      <c r="B7" s="62"/>
      <c r="C7" s="62"/>
      <c r="D7" s="62"/>
      <c r="E7" s="62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</row>
    <row r="8" spans="1:22">
      <c r="A8" s="62"/>
      <c r="B8" s="62"/>
      <c r="C8" s="62"/>
      <c r="D8" s="62"/>
      <c r="E8" s="62"/>
      <c r="F8" s="62"/>
      <c r="G8" s="62"/>
      <c r="H8" s="62"/>
      <c r="I8" s="62"/>
      <c r="J8" s="62"/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</row>
    <row r="9" spans="1:22">
      <c r="A9" s="63"/>
      <c r="B9" s="67"/>
      <c r="C9" s="67"/>
      <c r="D9" s="67"/>
      <c r="E9" s="67"/>
      <c r="F9" s="67"/>
      <c r="G9" s="67"/>
      <c r="H9" s="67"/>
      <c r="I9" s="67"/>
      <c r="J9" s="67"/>
      <c r="K9" s="67"/>
      <c r="L9" s="68"/>
      <c r="M9" s="68"/>
      <c r="N9" s="68"/>
      <c r="O9" s="68"/>
      <c r="P9" s="67"/>
      <c r="Q9" s="67"/>
      <c r="R9" s="67"/>
      <c r="S9" s="160"/>
      <c r="T9" s="62"/>
      <c r="U9" s="62"/>
      <c r="V9" s="62"/>
    </row>
    <row r="10" spans="1:22">
      <c r="A10" s="62"/>
      <c r="B10" s="62"/>
      <c r="C10" s="62"/>
      <c r="D10" s="62"/>
      <c r="E10" s="62"/>
      <c r="F10" s="62"/>
      <c r="G10" s="62"/>
      <c r="H10" s="62"/>
      <c r="I10" s="62"/>
      <c r="J10" s="62"/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</row>
    <row r="11" spans="1:22">
      <c r="A11" s="62"/>
      <c r="B11" s="62"/>
      <c r="C11" s="62"/>
      <c r="D11" s="62"/>
      <c r="E11" s="62"/>
      <c r="F11" s="62"/>
      <c r="G11" s="62"/>
      <c r="H11" s="62"/>
      <c r="I11" s="62"/>
      <c r="J11" s="62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</row>
    <row r="12" spans="1:22">
      <c r="A12" s="62"/>
      <c r="B12" s="67"/>
      <c r="C12" s="67"/>
      <c r="D12" s="67"/>
      <c r="E12" s="67"/>
      <c r="F12" s="67"/>
      <c r="G12" s="67"/>
      <c r="H12" s="67"/>
      <c r="I12" s="67"/>
      <c r="J12" s="67"/>
      <c r="K12" s="67"/>
      <c r="L12" s="68"/>
      <c r="M12" s="68"/>
      <c r="N12" s="68"/>
      <c r="O12" s="68"/>
      <c r="P12" s="67"/>
      <c r="Q12" s="67"/>
      <c r="R12" s="67"/>
      <c r="S12" s="62"/>
      <c r="T12" s="62"/>
      <c r="U12" s="62"/>
      <c r="V12" s="62"/>
    </row>
    <row r="13" spans="1:22">
      <c r="A13" s="21"/>
      <c r="B13" s="67"/>
      <c r="C13" s="142"/>
      <c r="D13" s="67"/>
      <c r="E13" s="67"/>
      <c r="F13" s="67"/>
      <c r="G13" s="67"/>
      <c r="H13" s="67"/>
      <c r="I13" s="67"/>
      <c r="J13" s="67"/>
      <c r="K13" s="67"/>
      <c r="L13" s="68"/>
      <c r="M13" s="68"/>
      <c r="N13" s="68"/>
      <c r="O13" s="68"/>
      <c r="P13" s="67"/>
      <c r="Q13" s="62"/>
      <c r="R13" s="62"/>
      <c r="S13" s="62"/>
      <c r="T13" s="62"/>
      <c r="U13" s="62"/>
      <c r="V13" s="62"/>
    </row>
    <row r="14" spans="1:22">
      <c r="A14" s="62"/>
      <c r="B14" s="62"/>
      <c r="C14" s="62"/>
      <c r="D14" s="62"/>
      <c r="E14" s="62"/>
      <c r="F14" s="62"/>
      <c r="G14" s="62"/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</row>
    <row r="15" spans="1:22">
      <c r="A15" s="62"/>
      <c r="B15" s="62"/>
      <c r="C15" s="62"/>
      <c r="D15" s="62"/>
      <c r="E15" s="62"/>
      <c r="F15" s="62"/>
      <c r="G15" s="62"/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</row>
    <row r="16" spans="1:22">
      <c r="A16" s="1" t="s">
        <v>3284</v>
      </c>
      <c r="B16" s="42" t="s">
        <v>3285</v>
      </c>
      <c r="C16" s="42" t="s">
        <v>444</v>
      </c>
      <c r="D16" s="42" t="s">
        <v>16</v>
      </c>
      <c r="E16" s="47" t="s">
        <v>1452</v>
      </c>
      <c r="F16" s="47">
        <v>919</v>
      </c>
      <c r="G16" s="47"/>
      <c r="H16" s="47">
        <v>6780</v>
      </c>
      <c r="I16" s="47">
        <v>183</v>
      </c>
      <c r="J16" s="47"/>
      <c r="K16" s="43">
        <f t="shared" ref="K16" si="0">I16*J16</f>
        <v>0</v>
      </c>
      <c r="L16" s="43">
        <f t="shared" ref="L16" si="1">H16-K16</f>
        <v>6780</v>
      </c>
      <c r="M16" s="43"/>
      <c r="N16" s="43">
        <f t="shared" ref="N16" si="2">L16-M16</f>
        <v>6780</v>
      </c>
      <c r="O16" s="43">
        <v>0</v>
      </c>
      <c r="P16" s="42">
        <v>7000</v>
      </c>
      <c r="Q16" s="42">
        <v>29.5</v>
      </c>
      <c r="R16" s="42">
        <f t="shared" ref="R16" si="3">L16*Q16</f>
        <v>200010</v>
      </c>
      <c r="S16" s="42"/>
    </row>
    <row r="18" spans="1:19">
      <c r="A18" s="1" t="s">
        <v>3535</v>
      </c>
      <c r="B18" s="42" t="s">
        <v>3536</v>
      </c>
      <c r="C18" s="42" t="s">
        <v>444</v>
      </c>
      <c r="D18" s="42" t="s">
        <v>16</v>
      </c>
      <c r="E18" s="47" t="s">
        <v>1670</v>
      </c>
      <c r="F18" s="47">
        <v>888</v>
      </c>
      <c r="G18" s="47"/>
      <c r="H18" s="47">
        <v>10000</v>
      </c>
      <c r="I18" s="47">
        <v>187</v>
      </c>
      <c r="J18" s="47"/>
      <c r="K18" s="43">
        <f t="shared" ref="K18" si="4">I18*J18</f>
        <v>0</v>
      </c>
      <c r="L18" s="43">
        <f t="shared" ref="L18" si="5">H18-K18</f>
        <v>10000</v>
      </c>
      <c r="M18" s="43"/>
      <c r="N18" s="43">
        <f t="shared" ref="N18" si="6">L18-M18</f>
        <v>10000</v>
      </c>
      <c r="O18" s="43">
        <v>0</v>
      </c>
      <c r="P18" s="42">
        <v>5500</v>
      </c>
      <c r="Q18" s="42">
        <f>33.75+0.55</f>
        <v>34.299999999999997</v>
      </c>
      <c r="R18" s="42">
        <f t="shared" ref="R18" si="7">L18*Q18</f>
        <v>343000</v>
      </c>
    </row>
    <row r="21" spans="1:19">
      <c r="B21" s="42" t="s">
        <v>3752</v>
      </c>
      <c r="C21" s="42" t="s">
        <v>444</v>
      </c>
      <c r="D21" s="42" t="s">
        <v>16</v>
      </c>
      <c r="E21" s="47" t="s">
        <v>3753</v>
      </c>
      <c r="F21" s="47">
        <v>3020</v>
      </c>
      <c r="G21" s="47"/>
      <c r="H21" s="47">
        <v>13110</v>
      </c>
      <c r="I21" s="47">
        <v>262</v>
      </c>
      <c r="J21" s="47">
        <v>0.13</v>
      </c>
      <c r="K21" s="43">
        <f t="shared" ref="K21" si="8">I21*J21</f>
        <v>34.06</v>
      </c>
      <c r="L21" s="43">
        <f t="shared" ref="L21" si="9">H21-K21</f>
        <v>13075.94</v>
      </c>
      <c r="M21" s="43"/>
      <c r="N21" s="43">
        <f t="shared" ref="N21" si="10">L21-M21</f>
        <v>13075.94</v>
      </c>
      <c r="O21" s="43">
        <f t="shared" ref="O21" si="11">H21/1000*70</f>
        <v>917.69999999999993</v>
      </c>
      <c r="P21" s="42">
        <v>6500</v>
      </c>
      <c r="Q21" s="42"/>
      <c r="R21" s="42">
        <f t="shared" ref="R21" si="12">L21*Q21</f>
        <v>0</v>
      </c>
      <c r="S21" s="85"/>
    </row>
  </sheetData>
  <pageMargins left="0.7" right="0.7" top="0.75" bottom="0.75" header="0.3" footer="0.3"/>
  <pageSetup paperSize="9" orientation="portrait" verticalDpi="0" r:id="rId1"/>
</worksheet>
</file>

<file path=xl/worksheets/sheet114.xml><?xml version="1.0" encoding="utf-8"?>
<worksheet xmlns="http://schemas.openxmlformats.org/spreadsheetml/2006/main" xmlns:r="http://schemas.openxmlformats.org/officeDocument/2006/relationships">
  <dimension ref="A5:V30"/>
  <sheetViews>
    <sheetView zoomScale="85" zoomScaleNormal="85" workbookViewId="0">
      <selection activeCell="A5" sqref="A5:O5"/>
    </sheetView>
  </sheetViews>
  <sheetFormatPr defaultRowHeight="14.4"/>
  <cols>
    <col min="1" max="1" width="8.88671875" style="1"/>
    <col min="2" max="2" width="24.77734375" style="1" customWidth="1"/>
    <col min="3" max="3" width="8.88671875" style="1"/>
    <col min="4" max="4" width="5.5546875" style="1" customWidth="1"/>
    <col min="5" max="5" width="9.7773437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2" ht="20.399999999999999">
      <c r="A5" s="58" t="s">
        <v>3</v>
      </c>
      <c r="B5" s="58" t="s">
        <v>4</v>
      </c>
      <c r="C5" s="58" t="s">
        <v>5</v>
      </c>
      <c r="D5" s="58" t="s">
        <v>6</v>
      </c>
      <c r="E5" s="58" t="s">
        <v>37</v>
      </c>
      <c r="F5" s="59" t="s">
        <v>7</v>
      </c>
      <c r="G5" s="58" t="s">
        <v>8</v>
      </c>
      <c r="H5" s="58" t="s">
        <v>9</v>
      </c>
      <c r="I5" s="58" t="s">
        <v>10</v>
      </c>
      <c r="J5" s="59" t="s">
        <v>18</v>
      </c>
      <c r="K5" s="59" t="s">
        <v>17</v>
      </c>
      <c r="L5" s="58" t="s">
        <v>11</v>
      </c>
      <c r="M5" s="59" t="s">
        <v>36</v>
      </c>
      <c r="N5" s="58" t="s">
        <v>12</v>
      </c>
      <c r="O5" s="58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258</v>
      </c>
    </row>
    <row r="6" spans="1:22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</row>
    <row r="7" spans="1:22">
      <c r="A7" s="62"/>
      <c r="B7" s="62"/>
      <c r="C7" s="62"/>
      <c r="D7" s="62"/>
      <c r="E7" s="62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</row>
    <row r="8" spans="1:22">
      <c r="A8" s="62"/>
      <c r="B8" s="62"/>
      <c r="C8" s="62"/>
      <c r="D8" s="62"/>
      <c r="E8" s="62"/>
      <c r="F8" s="62"/>
      <c r="G8" s="62"/>
      <c r="H8" s="62"/>
      <c r="I8" s="62"/>
      <c r="J8" s="62"/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</row>
    <row r="9" spans="1:22">
      <c r="A9" s="63"/>
      <c r="B9" s="67"/>
      <c r="C9" s="67"/>
      <c r="D9" s="67"/>
      <c r="E9" s="67"/>
      <c r="F9" s="67"/>
      <c r="G9" s="67"/>
      <c r="H9" s="67"/>
      <c r="I9" s="67"/>
      <c r="J9" s="67"/>
      <c r="K9" s="67"/>
      <c r="L9" s="68"/>
      <c r="M9" s="68"/>
      <c r="N9" s="68"/>
      <c r="O9" s="68"/>
      <c r="P9" s="67"/>
      <c r="Q9" s="67"/>
      <c r="R9" s="67"/>
      <c r="S9" s="160"/>
      <c r="T9" s="62"/>
      <c r="U9" s="62"/>
      <c r="V9" s="62"/>
    </row>
    <row r="10" spans="1:22">
      <c r="A10" s="62"/>
      <c r="B10" s="62"/>
      <c r="C10" s="62"/>
      <c r="D10" s="62"/>
      <c r="E10" s="62"/>
      <c r="F10" s="62"/>
      <c r="G10" s="62"/>
      <c r="H10" s="62"/>
      <c r="I10" s="62"/>
      <c r="J10" s="62"/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</row>
    <row r="11" spans="1:22">
      <c r="A11" s="62"/>
      <c r="B11" s="62"/>
      <c r="C11" s="62"/>
      <c r="D11" s="62"/>
      <c r="E11" s="62"/>
      <c r="F11" s="62"/>
      <c r="G11" s="62"/>
      <c r="H11" s="62"/>
      <c r="I11" s="62"/>
      <c r="J11" s="62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</row>
    <row r="12" spans="1:22">
      <c r="A12" s="62"/>
      <c r="B12" s="67"/>
      <c r="C12" s="67"/>
      <c r="D12" s="67"/>
      <c r="E12" s="67"/>
      <c r="F12" s="67"/>
      <c r="G12" s="67"/>
      <c r="H12" s="67"/>
      <c r="I12" s="67"/>
      <c r="J12" s="67"/>
      <c r="K12" s="67"/>
      <c r="L12" s="68"/>
      <c r="M12" s="68"/>
      <c r="N12" s="68"/>
      <c r="O12" s="68"/>
      <c r="P12" s="67"/>
      <c r="Q12" s="67"/>
      <c r="R12" s="67"/>
      <c r="S12" s="62"/>
      <c r="T12" s="62"/>
      <c r="U12" s="62"/>
      <c r="V12" s="62"/>
    </row>
    <row r="13" spans="1:22">
      <c r="A13" s="21"/>
      <c r="B13" s="67"/>
      <c r="C13" s="142"/>
      <c r="D13" s="67"/>
      <c r="E13" s="67"/>
      <c r="F13" s="67"/>
      <c r="G13" s="67"/>
      <c r="H13" s="67"/>
      <c r="I13" s="67"/>
      <c r="J13" s="67"/>
      <c r="K13" s="67"/>
      <c r="L13" s="68"/>
      <c r="M13" s="68"/>
      <c r="N13" s="68"/>
      <c r="O13" s="68"/>
      <c r="P13" s="67"/>
      <c r="Q13" s="62"/>
      <c r="R13" s="62"/>
      <c r="S13" s="62"/>
      <c r="T13" s="62"/>
      <c r="U13" s="62"/>
      <c r="V13" s="62"/>
    </row>
    <row r="14" spans="1:22">
      <c r="A14" s="62"/>
      <c r="B14" s="62"/>
      <c r="C14" s="62"/>
      <c r="D14" s="62"/>
      <c r="E14" s="62"/>
      <c r="F14" s="62"/>
      <c r="G14" s="62"/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</row>
    <row r="15" spans="1:22">
      <c r="A15" s="62"/>
      <c r="B15" s="62"/>
      <c r="C15" s="62"/>
      <c r="D15" s="62"/>
      <c r="E15" s="62"/>
      <c r="F15" s="62"/>
      <c r="G15" s="62"/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</row>
    <row r="18" spans="1:19">
      <c r="A18" s="1" t="s">
        <v>3751</v>
      </c>
      <c r="B18" s="42" t="s">
        <v>3752</v>
      </c>
      <c r="C18" s="42" t="s">
        <v>444</v>
      </c>
      <c r="D18" s="42" t="s">
        <v>16</v>
      </c>
      <c r="E18" s="47" t="s">
        <v>3753</v>
      </c>
      <c r="F18" s="47">
        <v>3020</v>
      </c>
      <c r="G18" s="47"/>
      <c r="H18" s="47">
        <v>13110</v>
      </c>
      <c r="I18" s="47">
        <v>262</v>
      </c>
      <c r="J18" s="47">
        <v>0.13</v>
      </c>
      <c r="K18" s="43">
        <f t="shared" ref="K18" si="0">I18*J18</f>
        <v>34.06</v>
      </c>
      <c r="L18" s="43">
        <f t="shared" ref="L18" si="1">H18-K18</f>
        <v>13075.94</v>
      </c>
      <c r="M18" s="43"/>
      <c r="N18" s="43">
        <f t="shared" ref="N18" si="2">L18-M18</f>
        <v>13075.94</v>
      </c>
      <c r="O18" s="43">
        <f t="shared" ref="O18" si="3">H18/1000*70</f>
        <v>917.69999999999993</v>
      </c>
      <c r="P18" s="42">
        <v>6500</v>
      </c>
      <c r="Q18" s="42"/>
      <c r="R18" s="42">
        <f t="shared" ref="R18" si="4">L18*Q18</f>
        <v>0</v>
      </c>
      <c r="S18" s="85"/>
    </row>
    <row r="20" spans="1:19">
      <c r="B20" s="42" t="s">
        <v>3667</v>
      </c>
      <c r="C20" s="42" t="s">
        <v>444</v>
      </c>
      <c r="D20" s="42" t="s">
        <v>16</v>
      </c>
      <c r="E20" s="47" t="s">
        <v>3879</v>
      </c>
      <c r="F20" s="47">
        <v>26779</v>
      </c>
      <c r="G20" s="47"/>
      <c r="H20" s="47">
        <v>12910</v>
      </c>
      <c r="I20" s="47">
        <v>285</v>
      </c>
      <c r="J20" s="47">
        <v>0.13</v>
      </c>
      <c r="K20" s="43">
        <f t="shared" ref="K20:K30" si="5">I20*J20</f>
        <v>37.050000000000004</v>
      </c>
      <c r="L20" s="43">
        <f t="shared" ref="L20:L30" si="6">H20-K20</f>
        <v>12872.95</v>
      </c>
      <c r="M20" s="43"/>
      <c r="N20" s="43">
        <f t="shared" ref="N20:N30" si="7">L20-M20</f>
        <v>12872.95</v>
      </c>
      <c r="O20" s="43">
        <f t="shared" ref="O20:O30" si="8">H20/1000*70</f>
        <v>903.7</v>
      </c>
      <c r="P20" s="42">
        <v>18500</v>
      </c>
      <c r="Q20" s="42"/>
      <c r="R20" s="42">
        <f t="shared" ref="R20:R30" si="9">L20*Q20</f>
        <v>0</v>
      </c>
      <c r="S20" s="42"/>
    </row>
    <row r="21" spans="1:19">
      <c r="B21" s="42" t="s">
        <v>3667</v>
      </c>
      <c r="C21" s="42" t="s">
        <v>444</v>
      </c>
      <c r="D21" s="42" t="s">
        <v>16</v>
      </c>
      <c r="E21" s="47" t="s">
        <v>3880</v>
      </c>
      <c r="F21" s="47">
        <v>26780</v>
      </c>
      <c r="G21" s="47"/>
      <c r="H21" s="47">
        <v>13060</v>
      </c>
      <c r="I21" s="47">
        <v>290</v>
      </c>
      <c r="J21" s="47">
        <v>0.13</v>
      </c>
      <c r="K21" s="43">
        <f t="shared" si="5"/>
        <v>37.700000000000003</v>
      </c>
      <c r="L21" s="43">
        <f t="shared" si="6"/>
        <v>13022.3</v>
      </c>
      <c r="M21" s="43"/>
      <c r="N21" s="43">
        <f t="shared" si="7"/>
        <v>13022.3</v>
      </c>
      <c r="O21" s="43">
        <f t="shared" si="8"/>
        <v>914.2</v>
      </c>
      <c r="P21" s="42">
        <v>18500</v>
      </c>
      <c r="Q21" s="42"/>
      <c r="R21" s="42">
        <f t="shared" si="9"/>
        <v>0</v>
      </c>
      <c r="S21" s="42"/>
    </row>
    <row r="22" spans="1:19">
      <c r="B22" s="42" t="s">
        <v>3667</v>
      </c>
      <c r="C22" s="42" t="s">
        <v>444</v>
      </c>
      <c r="D22" s="42" t="s">
        <v>16</v>
      </c>
      <c r="E22" s="47" t="s">
        <v>3881</v>
      </c>
      <c r="F22" s="47">
        <v>26781</v>
      </c>
      <c r="G22" s="47"/>
      <c r="H22" s="47">
        <v>12920</v>
      </c>
      <c r="I22" s="47">
        <v>300</v>
      </c>
      <c r="J22" s="47">
        <v>0.13</v>
      </c>
      <c r="K22" s="43">
        <f t="shared" si="5"/>
        <v>39</v>
      </c>
      <c r="L22" s="43">
        <f t="shared" si="6"/>
        <v>12881</v>
      </c>
      <c r="M22" s="43"/>
      <c r="N22" s="43">
        <f t="shared" si="7"/>
        <v>12881</v>
      </c>
      <c r="O22" s="43">
        <f t="shared" si="8"/>
        <v>904.4</v>
      </c>
      <c r="P22" s="42">
        <v>18500</v>
      </c>
      <c r="Q22" s="42"/>
      <c r="R22" s="42">
        <f t="shared" si="9"/>
        <v>0</v>
      </c>
      <c r="S22" s="47"/>
    </row>
    <row r="23" spans="1:19">
      <c r="B23" s="42" t="s">
        <v>3667</v>
      </c>
      <c r="C23" s="42" t="s">
        <v>444</v>
      </c>
      <c r="D23" s="42" t="s">
        <v>16</v>
      </c>
      <c r="E23" s="47" t="s">
        <v>3882</v>
      </c>
      <c r="F23" s="47">
        <v>26788</v>
      </c>
      <c r="G23" s="47"/>
      <c r="H23" s="47">
        <v>13090</v>
      </c>
      <c r="I23" s="47">
        <v>305</v>
      </c>
      <c r="J23" s="47">
        <v>0.13</v>
      </c>
      <c r="K23" s="43">
        <f t="shared" si="5"/>
        <v>39.65</v>
      </c>
      <c r="L23" s="43">
        <f t="shared" si="6"/>
        <v>13050.35</v>
      </c>
      <c r="M23" s="43"/>
      <c r="N23" s="43">
        <f t="shared" si="7"/>
        <v>13050.35</v>
      </c>
      <c r="O23" s="43">
        <f t="shared" si="8"/>
        <v>916.3</v>
      </c>
      <c r="P23" s="42">
        <v>18500</v>
      </c>
      <c r="Q23" s="42"/>
      <c r="R23" s="42">
        <f t="shared" si="9"/>
        <v>0</v>
      </c>
      <c r="S23" s="47"/>
    </row>
    <row r="24" spans="1:19">
      <c r="B24" s="42" t="s">
        <v>3667</v>
      </c>
      <c r="C24" s="42" t="s">
        <v>444</v>
      </c>
      <c r="D24" s="42" t="s">
        <v>16</v>
      </c>
      <c r="E24" s="47" t="s">
        <v>3883</v>
      </c>
      <c r="F24" s="47">
        <v>26782</v>
      </c>
      <c r="G24" s="47"/>
      <c r="H24" s="47">
        <v>12860</v>
      </c>
      <c r="I24" s="47">
        <v>286</v>
      </c>
      <c r="J24" s="47">
        <v>0.13</v>
      </c>
      <c r="K24" s="43">
        <f t="shared" si="5"/>
        <v>37.18</v>
      </c>
      <c r="L24" s="43">
        <f t="shared" si="6"/>
        <v>12822.82</v>
      </c>
      <c r="M24" s="43"/>
      <c r="N24" s="43">
        <f t="shared" si="7"/>
        <v>12822.82</v>
      </c>
      <c r="O24" s="43">
        <f t="shared" si="8"/>
        <v>900.19999999999993</v>
      </c>
      <c r="P24" s="42">
        <v>18500</v>
      </c>
      <c r="Q24" s="42"/>
      <c r="R24" s="42">
        <f t="shared" si="9"/>
        <v>0</v>
      </c>
      <c r="S24" s="47"/>
    </row>
    <row r="25" spans="1:19">
      <c r="B25" s="42" t="s">
        <v>3667</v>
      </c>
      <c r="C25" s="42" t="s">
        <v>444</v>
      </c>
      <c r="D25" s="42" t="s">
        <v>16</v>
      </c>
      <c r="E25" s="47" t="s">
        <v>3884</v>
      </c>
      <c r="F25" s="47">
        <v>26783</v>
      </c>
      <c r="G25" s="47"/>
      <c r="H25" s="47">
        <v>13050</v>
      </c>
      <c r="I25" s="47">
        <v>296</v>
      </c>
      <c r="J25" s="47">
        <v>0.13</v>
      </c>
      <c r="K25" s="43">
        <f t="shared" si="5"/>
        <v>38.480000000000004</v>
      </c>
      <c r="L25" s="43">
        <f t="shared" si="6"/>
        <v>13011.52</v>
      </c>
      <c r="M25" s="43"/>
      <c r="N25" s="43">
        <f t="shared" si="7"/>
        <v>13011.52</v>
      </c>
      <c r="O25" s="43">
        <f t="shared" si="8"/>
        <v>913.5</v>
      </c>
      <c r="P25" s="42">
        <v>18500</v>
      </c>
      <c r="Q25" s="42"/>
      <c r="R25" s="42">
        <f t="shared" si="9"/>
        <v>0</v>
      </c>
      <c r="S25" s="47"/>
    </row>
    <row r="26" spans="1:19">
      <c r="B26" s="42" t="s">
        <v>3667</v>
      </c>
      <c r="C26" s="42" t="s">
        <v>444</v>
      </c>
      <c r="D26" s="42" t="s">
        <v>16</v>
      </c>
      <c r="E26" s="42" t="s">
        <v>3219</v>
      </c>
      <c r="F26" s="42">
        <v>26777</v>
      </c>
      <c r="G26" s="42"/>
      <c r="H26" s="42">
        <v>13420</v>
      </c>
      <c r="I26" s="42">
        <v>290</v>
      </c>
      <c r="J26" s="42">
        <v>0.13</v>
      </c>
      <c r="K26" s="43">
        <f t="shared" si="5"/>
        <v>37.700000000000003</v>
      </c>
      <c r="L26" s="43">
        <f t="shared" si="6"/>
        <v>13382.3</v>
      </c>
      <c r="M26" s="43"/>
      <c r="N26" s="43">
        <f t="shared" si="7"/>
        <v>13382.3</v>
      </c>
      <c r="O26" s="43">
        <f t="shared" si="8"/>
        <v>939.4</v>
      </c>
      <c r="P26" s="42">
        <v>18500</v>
      </c>
      <c r="Q26" s="42"/>
      <c r="R26" s="42">
        <f t="shared" si="9"/>
        <v>0</v>
      </c>
      <c r="S26" s="42"/>
    </row>
    <row r="27" spans="1:19">
      <c r="B27" s="42" t="s">
        <v>3667</v>
      </c>
      <c r="C27" s="42" t="s">
        <v>444</v>
      </c>
      <c r="D27" s="42" t="s">
        <v>16</v>
      </c>
      <c r="E27" s="47" t="s">
        <v>3885</v>
      </c>
      <c r="F27" s="47">
        <v>26778</v>
      </c>
      <c r="G27" s="47"/>
      <c r="H27" s="47">
        <v>12600</v>
      </c>
      <c r="I27" s="47">
        <v>281</v>
      </c>
      <c r="J27" s="47">
        <v>0.13</v>
      </c>
      <c r="K27" s="43">
        <f t="shared" si="5"/>
        <v>36.53</v>
      </c>
      <c r="L27" s="43">
        <f t="shared" si="6"/>
        <v>12563.47</v>
      </c>
      <c r="M27" s="43"/>
      <c r="N27" s="43">
        <f t="shared" si="7"/>
        <v>12563.47</v>
      </c>
      <c r="O27" s="43">
        <f t="shared" si="8"/>
        <v>882</v>
      </c>
      <c r="P27" s="42">
        <v>18500</v>
      </c>
      <c r="Q27" s="42"/>
      <c r="R27" s="42">
        <f t="shared" si="9"/>
        <v>0</v>
      </c>
      <c r="S27" s="47"/>
    </row>
    <row r="28" spans="1:19">
      <c r="B28" s="42" t="s">
        <v>3667</v>
      </c>
      <c r="C28" s="42" t="s">
        <v>444</v>
      </c>
      <c r="D28" s="42" t="s">
        <v>16</v>
      </c>
      <c r="E28" s="47" t="s">
        <v>3886</v>
      </c>
      <c r="F28" s="47">
        <v>26785</v>
      </c>
      <c r="G28" s="47"/>
      <c r="H28" s="47">
        <v>13260</v>
      </c>
      <c r="I28" s="47">
        <v>280</v>
      </c>
      <c r="J28" s="47">
        <v>0.13</v>
      </c>
      <c r="K28" s="43">
        <f t="shared" si="5"/>
        <v>36.4</v>
      </c>
      <c r="L28" s="43">
        <f t="shared" si="6"/>
        <v>13223.6</v>
      </c>
      <c r="M28" s="43"/>
      <c r="N28" s="43">
        <f t="shared" si="7"/>
        <v>13223.6</v>
      </c>
      <c r="O28" s="43">
        <f t="shared" si="8"/>
        <v>928.19999999999993</v>
      </c>
      <c r="P28" s="42">
        <v>18500</v>
      </c>
      <c r="Q28" s="42"/>
      <c r="R28" s="42">
        <f t="shared" si="9"/>
        <v>0</v>
      </c>
      <c r="S28" s="47"/>
    </row>
    <row r="29" spans="1:19">
      <c r="B29" s="42" t="s">
        <v>3667</v>
      </c>
      <c r="C29" s="42" t="s">
        <v>444</v>
      </c>
      <c r="D29" s="42" t="s">
        <v>16</v>
      </c>
      <c r="E29" s="47" t="s">
        <v>3887</v>
      </c>
      <c r="F29" s="47">
        <v>26786</v>
      </c>
      <c r="G29" s="47"/>
      <c r="H29" s="47">
        <v>13430</v>
      </c>
      <c r="I29" s="47">
        <v>300</v>
      </c>
      <c r="J29" s="47">
        <v>0.13</v>
      </c>
      <c r="K29" s="43">
        <f t="shared" si="5"/>
        <v>39</v>
      </c>
      <c r="L29" s="43">
        <f t="shared" si="6"/>
        <v>13391</v>
      </c>
      <c r="M29" s="43"/>
      <c r="N29" s="43">
        <f t="shared" si="7"/>
        <v>13391</v>
      </c>
      <c r="O29" s="43">
        <f t="shared" si="8"/>
        <v>940.1</v>
      </c>
      <c r="P29" s="42">
        <v>18500</v>
      </c>
      <c r="Q29" s="42"/>
      <c r="R29" s="42">
        <f t="shared" si="9"/>
        <v>0</v>
      </c>
      <c r="S29" s="47"/>
    </row>
    <row r="30" spans="1:19">
      <c r="B30" s="42" t="s">
        <v>3667</v>
      </c>
      <c r="C30" s="42" t="s">
        <v>444</v>
      </c>
      <c r="D30" s="42" t="s">
        <v>16</v>
      </c>
      <c r="E30" s="47" t="s">
        <v>3888</v>
      </c>
      <c r="F30" s="47">
        <v>26784</v>
      </c>
      <c r="G30" s="47"/>
      <c r="H30" s="47">
        <v>12920</v>
      </c>
      <c r="I30" s="47">
        <v>291</v>
      </c>
      <c r="J30" s="47">
        <v>0.13</v>
      </c>
      <c r="K30" s="43">
        <f t="shared" si="5"/>
        <v>37.83</v>
      </c>
      <c r="L30" s="43">
        <f t="shared" si="6"/>
        <v>12882.17</v>
      </c>
      <c r="M30" s="43"/>
      <c r="N30" s="43">
        <f t="shared" si="7"/>
        <v>12882.17</v>
      </c>
      <c r="O30" s="43">
        <f t="shared" si="8"/>
        <v>904.4</v>
      </c>
      <c r="P30" s="42">
        <v>18500</v>
      </c>
      <c r="Q30" s="42"/>
      <c r="R30" s="42">
        <f t="shared" si="9"/>
        <v>0</v>
      </c>
      <c r="S30" s="47"/>
    </row>
  </sheetData>
  <pageMargins left="0.7" right="0.7" top="0.75" bottom="0.75" header="0.3" footer="0.3"/>
  <pageSetup paperSize="9" orientation="portrait" verticalDpi="0" r:id="rId1"/>
</worksheet>
</file>

<file path=xl/worksheets/sheet115.xml><?xml version="1.0" encoding="utf-8"?>
<worksheet xmlns="http://schemas.openxmlformats.org/spreadsheetml/2006/main" xmlns:r="http://schemas.openxmlformats.org/officeDocument/2006/relationships">
  <dimension ref="A5:U103"/>
  <sheetViews>
    <sheetView topLeftCell="A84" zoomScale="85" zoomScaleNormal="85" workbookViewId="0">
      <selection activeCell="A73" sqref="A73:R103"/>
    </sheetView>
  </sheetViews>
  <sheetFormatPr defaultRowHeight="14.4"/>
  <cols>
    <col min="1" max="1" width="8.88671875" style="1"/>
    <col min="2" max="2" width="13.6640625" style="1" customWidth="1"/>
    <col min="3" max="3" width="8.88671875" style="1"/>
    <col min="4" max="4" width="5.5546875" style="1" customWidth="1"/>
    <col min="5" max="5" width="9.7773437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>
      <c r="A5" s="67"/>
      <c r="B5" s="67"/>
      <c r="C5" s="67"/>
      <c r="D5" s="67"/>
      <c r="E5" s="67"/>
      <c r="F5" s="326"/>
      <c r="G5" s="67"/>
      <c r="H5" s="67"/>
      <c r="I5" s="67"/>
      <c r="J5" s="326"/>
      <c r="K5" s="326"/>
      <c r="L5" s="67"/>
      <c r="M5" s="326"/>
      <c r="N5" s="67"/>
      <c r="O5" s="67"/>
      <c r="P5" s="21"/>
      <c r="Q5" s="67"/>
      <c r="R5" s="67"/>
      <c r="S5" s="67"/>
      <c r="T5" s="67"/>
      <c r="U5" s="67"/>
    </row>
    <row r="6" spans="1:21">
      <c r="A6" s="21"/>
      <c r="B6" s="21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</row>
    <row r="8" spans="1:21" ht="23.4">
      <c r="A8" s="3" t="s">
        <v>3</v>
      </c>
      <c r="B8" s="3" t="s">
        <v>4</v>
      </c>
      <c r="C8" s="3" t="s">
        <v>5</v>
      </c>
      <c r="D8" s="3" t="s">
        <v>6</v>
      </c>
      <c r="E8" s="3" t="s">
        <v>37</v>
      </c>
      <c r="F8" s="3" t="s">
        <v>7</v>
      </c>
      <c r="G8" s="3" t="s">
        <v>8</v>
      </c>
      <c r="H8" s="3" t="s">
        <v>9</v>
      </c>
      <c r="I8" s="4" t="s">
        <v>10</v>
      </c>
      <c r="J8" s="4" t="s">
        <v>18</v>
      </c>
      <c r="K8" s="4" t="s">
        <v>17</v>
      </c>
      <c r="L8" s="3" t="s">
        <v>676</v>
      </c>
      <c r="M8" s="95" t="s">
        <v>677</v>
      </c>
      <c r="N8" s="3" t="s">
        <v>11</v>
      </c>
      <c r="O8" s="3" t="s">
        <v>36</v>
      </c>
      <c r="P8" s="3" t="s">
        <v>12</v>
      </c>
      <c r="Q8" s="3" t="s">
        <v>256</v>
      </c>
      <c r="R8" s="3" t="s">
        <v>257</v>
      </c>
      <c r="S8" s="3" t="s">
        <v>2</v>
      </c>
    </row>
    <row r="9" spans="1:21">
      <c r="A9" s="374" t="s">
        <v>3876</v>
      </c>
      <c r="B9" s="42" t="s">
        <v>3667</v>
      </c>
      <c r="C9" s="42" t="s">
        <v>444</v>
      </c>
      <c r="D9" s="42" t="s">
        <v>16</v>
      </c>
      <c r="E9" s="47" t="s">
        <v>3879</v>
      </c>
      <c r="F9" s="47">
        <v>26779</v>
      </c>
      <c r="G9" s="47"/>
      <c r="H9" s="47">
        <v>12910</v>
      </c>
      <c r="I9" s="47">
        <v>285</v>
      </c>
      <c r="J9" s="47">
        <v>0.13</v>
      </c>
      <c r="K9" s="43">
        <f t="shared" ref="K9:K20" si="0">I9*J9</f>
        <v>37.050000000000004</v>
      </c>
      <c r="L9" s="43">
        <f t="shared" ref="L9:L20" si="1">H9-K9</f>
        <v>12872.95</v>
      </c>
      <c r="M9" s="43"/>
      <c r="N9" s="43">
        <f t="shared" ref="N9:N20" si="2">L9-M9</f>
        <v>12872.95</v>
      </c>
      <c r="O9" s="43">
        <f t="shared" ref="O9:O20" si="3">H9/1000*70</f>
        <v>903.7</v>
      </c>
      <c r="P9" s="42">
        <v>18500</v>
      </c>
      <c r="Q9" s="42"/>
      <c r="R9" s="42">
        <f t="shared" ref="R9:R19" si="4">L9*Q9</f>
        <v>0</v>
      </c>
      <c r="S9" s="42"/>
      <c r="T9" s="1">
        <v>1</v>
      </c>
    </row>
    <row r="10" spans="1:21">
      <c r="A10" s="374"/>
      <c r="B10" s="42" t="s">
        <v>3667</v>
      </c>
      <c r="C10" s="42" t="s">
        <v>444</v>
      </c>
      <c r="D10" s="42" t="s">
        <v>16</v>
      </c>
      <c r="E10" s="47" t="s">
        <v>3880</v>
      </c>
      <c r="F10" s="47">
        <v>26780</v>
      </c>
      <c r="G10" s="47"/>
      <c r="H10" s="47">
        <v>13060</v>
      </c>
      <c r="I10" s="47">
        <v>290</v>
      </c>
      <c r="J10" s="47">
        <v>0.13</v>
      </c>
      <c r="K10" s="43">
        <f t="shared" si="0"/>
        <v>37.700000000000003</v>
      </c>
      <c r="L10" s="43">
        <f t="shared" si="1"/>
        <v>13022.3</v>
      </c>
      <c r="M10" s="43"/>
      <c r="N10" s="43">
        <f t="shared" si="2"/>
        <v>13022.3</v>
      </c>
      <c r="O10" s="43">
        <f t="shared" si="3"/>
        <v>914.2</v>
      </c>
      <c r="P10" s="42">
        <v>18500</v>
      </c>
      <c r="Q10" s="42"/>
      <c r="R10" s="42">
        <f t="shared" si="4"/>
        <v>0</v>
      </c>
      <c r="S10" s="42"/>
      <c r="T10" s="1">
        <v>2</v>
      </c>
    </row>
    <row r="11" spans="1:21">
      <c r="A11" s="374"/>
      <c r="B11" s="42" t="s">
        <v>3667</v>
      </c>
      <c r="C11" s="42" t="s">
        <v>444</v>
      </c>
      <c r="D11" s="42" t="s">
        <v>16</v>
      </c>
      <c r="E11" s="47" t="s">
        <v>3881</v>
      </c>
      <c r="F11" s="47">
        <v>26781</v>
      </c>
      <c r="G11" s="47"/>
      <c r="H11" s="47">
        <v>12920</v>
      </c>
      <c r="I11" s="47">
        <v>300</v>
      </c>
      <c r="J11" s="47">
        <v>0.13</v>
      </c>
      <c r="K11" s="43">
        <f t="shared" si="0"/>
        <v>39</v>
      </c>
      <c r="L11" s="43">
        <f t="shared" si="1"/>
        <v>12881</v>
      </c>
      <c r="M11" s="43"/>
      <c r="N11" s="43">
        <f t="shared" si="2"/>
        <v>12881</v>
      </c>
      <c r="O11" s="43">
        <f t="shared" si="3"/>
        <v>904.4</v>
      </c>
      <c r="P11" s="42">
        <v>18500</v>
      </c>
      <c r="Q11" s="42"/>
      <c r="R11" s="42">
        <f t="shared" si="4"/>
        <v>0</v>
      </c>
      <c r="S11" s="47"/>
      <c r="T11" s="1">
        <v>3</v>
      </c>
    </row>
    <row r="12" spans="1:21">
      <c r="A12" s="374"/>
      <c r="B12" s="42" t="s">
        <v>3667</v>
      </c>
      <c r="C12" s="42" t="s">
        <v>444</v>
      </c>
      <c r="D12" s="42" t="s">
        <v>16</v>
      </c>
      <c r="E12" s="47" t="s">
        <v>3882</v>
      </c>
      <c r="F12" s="47">
        <v>26788</v>
      </c>
      <c r="G12" s="47"/>
      <c r="H12" s="47">
        <v>13090</v>
      </c>
      <c r="I12" s="47">
        <v>305</v>
      </c>
      <c r="J12" s="47">
        <v>0.13</v>
      </c>
      <c r="K12" s="43">
        <f t="shared" si="0"/>
        <v>39.65</v>
      </c>
      <c r="L12" s="43">
        <f t="shared" si="1"/>
        <v>13050.35</v>
      </c>
      <c r="M12" s="43"/>
      <c r="N12" s="43">
        <f t="shared" si="2"/>
        <v>13050.35</v>
      </c>
      <c r="O12" s="43">
        <f t="shared" si="3"/>
        <v>916.3</v>
      </c>
      <c r="P12" s="42">
        <v>18500</v>
      </c>
      <c r="Q12" s="42"/>
      <c r="R12" s="42">
        <f t="shared" si="4"/>
        <v>0</v>
      </c>
      <c r="S12" s="47"/>
      <c r="T12" s="1">
        <v>4</v>
      </c>
    </row>
    <row r="13" spans="1:21">
      <c r="A13" s="374"/>
      <c r="B13" s="42" t="s">
        <v>3667</v>
      </c>
      <c r="C13" s="42" t="s">
        <v>444</v>
      </c>
      <c r="D13" s="42" t="s">
        <v>16</v>
      </c>
      <c r="E13" s="47" t="s">
        <v>3883</v>
      </c>
      <c r="F13" s="47">
        <v>26782</v>
      </c>
      <c r="G13" s="47"/>
      <c r="H13" s="47">
        <v>12860</v>
      </c>
      <c r="I13" s="47">
        <v>286</v>
      </c>
      <c r="J13" s="47">
        <v>0.13</v>
      </c>
      <c r="K13" s="43">
        <f t="shared" si="0"/>
        <v>37.18</v>
      </c>
      <c r="L13" s="43">
        <f t="shared" si="1"/>
        <v>12822.82</v>
      </c>
      <c r="M13" s="43"/>
      <c r="N13" s="43">
        <f t="shared" si="2"/>
        <v>12822.82</v>
      </c>
      <c r="O13" s="43">
        <f t="shared" si="3"/>
        <v>900.19999999999993</v>
      </c>
      <c r="P13" s="42">
        <v>18500</v>
      </c>
      <c r="Q13" s="42"/>
      <c r="R13" s="42">
        <f t="shared" si="4"/>
        <v>0</v>
      </c>
      <c r="S13" s="47"/>
      <c r="T13" s="1">
        <v>5</v>
      </c>
    </row>
    <row r="14" spans="1:21">
      <c r="A14" s="374"/>
      <c r="B14" s="42" t="s">
        <v>3667</v>
      </c>
      <c r="C14" s="42" t="s">
        <v>444</v>
      </c>
      <c r="D14" s="42" t="s">
        <v>16</v>
      </c>
      <c r="E14" s="47" t="s">
        <v>3884</v>
      </c>
      <c r="F14" s="47">
        <v>26783</v>
      </c>
      <c r="G14" s="47"/>
      <c r="H14" s="47">
        <v>13050</v>
      </c>
      <c r="I14" s="47">
        <v>296</v>
      </c>
      <c r="J14" s="47">
        <v>0.13</v>
      </c>
      <c r="K14" s="43">
        <f t="shared" si="0"/>
        <v>38.480000000000004</v>
      </c>
      <c r="L14" s="43">
        <f t="shared" si="1"/>
        <v>13011.52</v>
      </c>
      <c r="M14" s="43"/>
      <c r="N14" s="43">
        <f t="shared" si="2"/>
        <v>13011.52</v>
      </c>
      <c r="O14" s="43">
        <f t="shared" si="3"/>
        <v>913.5</v>
      </c>
      <c r="P14" s="42">
        <v>18500</v>
      </c>
      <c r="Q14" s="42"/>
      <c r="R14" s="42">
        <f t="shared" si="4"/>
        <v>0</v>
      </c>
      <c r="S14" s="47"/>
      <c r="T14" s="1">
        <v>6</v>
      </c>
    </row>
    <row r="15" spans="1:21">
      <c r="A15" s="374"/>
      <c r="B15" s="42" t="s">
        <v>3667</v>
      </c>
      <c r="C15" s="42" t="s">
        <v>444</v>
      </c>
      <c r="D15" s="42" t="s">
        <v>16</v>
      </c>
      <c r="E15" s="42" t="s">
        <v>3219</v>
      </c>
      <c r="F15" s="42">
        <v>26777</v>
      </c>
      <c r="G15" s="42"/>
      <c r="H15" s="42">
        <v>13420</v>
      </c>
      <c r="I15" s="42">
        <v>290</v>
      </c>
      <c r="J15" s="42">
        <v>0.13</v>
      </c>
      <c r="K15" s="43">
        <f t="shared" si="0"/>
        <v>37.700000000000003</v>
      </c>
      <c r="L15" s="43">
        <f t="shared" si="1"/>
        <v>13382.3</v>
      </c>
      <c r="M15" s="43"/>
      <c r="N15" s="43">
        <f t="shared" si="2"/>
        <v>13382.3</v>
      </c>
      <c r="O15" s="43">
        <f t="shared" si="3"/>
        <v>939.4</v>
      </c>
      <c r="P15" s="42">
        <v>18500</v>
      </c>
      <c r="Q15" s="42"/>
      <c r="R15" s="42">
        <f t="shared" si="4"/>
        <v>0</v>
      </c>
      <c r="S15" s="42"/>
      <c r="T15" s="1">
        <v>7</v>
      </c>
    </row>
    <row r="16" spans="1:21">
      <c r="A16" s="374"/>
      <c r="B16" s="42" t="s">
        <v>3667</v>
      </c>
      <c r="C16" s="42" t="s">
        <v>444</v>
      </c>
      <c r="D16" s="42" t="s">
        <v>16</v>
      </c>
      <c r="E16" s="47" t="s">
        <v>3885</v>
      </c>
      <c r="F16" s="47">
        <v>26778</v>
      </c>
      <c r="G16" s="47"/>
      <c r="H16" s="47">
        <v>12600</v>
      </c>
      <c r="I16" s="47">
        <v>281</v>
      </c>
      <c r="J16" s="47">
        <v>0.13</v>
      </c>
      <c r="K16" s="43">
        <f t="shared" si="0"/>
        <v>36.53</v>
      </c>
      <c r="L16" s="43">
        <f t="shared" si="1"/>
        <v>12563.47</v>
      </c>
      <c r="M16" s="43"/>
      <c r="N16" s="43">
        <f t="shared" si="2"/>
        <v>12563.47</v>
      </c>
      <c r="O16" s="43">
        <f t="shared" si="3"/>
        <v>882</v>
      </c>
      <c r="P16" s="42">
        <v>18500</v>
      </c>
      <c r="Q16" s="42"/>
      <c r="R16" s="42">
        <f t="shared" si="4"/>
        <v>0</v>
      </c>
      <c r="S16" s="47"/>
      <c r="T16" s="1">
        <v>8</v>
      </c>
    </row>
    <row r="17" spans="1:20">
      <c r="A17" s="374"/>
      <c r="B17" s="42" t="s">
        <v>3667</v>
      </c>
      <c r="C17" s="42" t="s">
        <v>444</v>
      </c>
      <c r="D17" s="42" t="s">
        <v>16</v>
      </c>
      <c r="E17" s="47" t="s">
        <v>3886</v>
      </c>
      <c r="F17" s="47">
        <v>26785</v>
      </c>
      <c r="G17" s="47"/>
      <c r="H17" s="47">
        <v>13260</v>
      </c>
      <c r="I17" s="47">
        <v>280</v>
      </c>
      <c r="J17" s="47">
        <v>0.13</v>
      </c>
      <c r="K17" s="43">
        <f t="shared" si="0"/>
        <v>36.4</v>
      </c>
      <c r="L17" s="43">
        <f t="shared" si="1"/>
        <v>13223.6</v>
      </c>
      <c r="M17" s="43"/>
      <c r="N17" s="43">
        <f t="shared" si="2"/>
        <v>13223.6</v>
      </c>
      <c r="O17" s="43">
        <f t="shared" si="3"/>
        <v>928.19999999999993</v>
      </c>
      <c r="P17" s="42">
        <v>18500</v>
      </c>
      <c r="Q17" s="42"/>
      <c r="R17" s="42">
        <f t="shared" si="4"/>
        <v>0</v>
      </c>
      <c r="S17" s="47"/>
      <c r="T17" s="1">
        <v>9</v>
      </c>
    </row>
    <row r="18" spans="1:20">
      <c r="A18" s="374"/>
      <c r="B18" s="42" t="s">
        <v>3667</v>
      </c>
      <c r="C18" s="42" t="s">
        <v>444</v>
      </c>
      <c r="D18" s="42" t="s">
        <v>16</v>
      </c>
      <c r="E18" s="47" t="s">
        <v>3887</v>
      </c>
      <c r="F18" s="47">
        <v>26786</v>
      </c>
      <c r="G18" s="47"/>
      <c r="H18" s="47">
        <v>13430</v>
      </c>
      <c r="I18" s="47">
        <v>300</v>
      </c>
      <c r="J18" s="47">
        <v>0.13</v>
      </c>
      <c r="K18" s="43">
        <f t="shared" si="0"/>
        <v>39</v>
      </c>
      <c r="L18" s="43">
        <f t="shared" si="1"/>
        <v>13391</v>
      </c>
      <c r="M18" s="43"/>
      <c r="N18" s="43">
        <f t="shared" si="2"/>
        <v>13391</v>
      </c>
      <c r="O18" s="43">
        <f t="shared" si="3"/>
        <v>940.1</v>
      </c>
      <c r="P18" s="42">
        <v>18500</v>
      </c>
      <c r="Q18" s="42"/>
      <c r="R18" s="42">
        <f t="shared" si="4"/>
        <v>0</v>
      </c>
      <c r="S18" s="47"/>
      <c r="T18" s="1">
        <v>10</v>
      </c>
    </row>
    <row r="19" spans="1:20">
      <c r="A19" s="374"/>
      <c r="B19" s="42" t="s">
        <v>3667</v>
      </c>
      <c r="C19" s="42" t="s">
        <v>444</v>
      </c>
      <c r="D19" s="42" t="s">
        <v>16</v>
      </c>
      <c r="E19" s="47" t="s">
        <v>3888</v>
      </c>
      <c r="F19" s="47">
        <v>26784</v>
      </c>
      <c r="G19" s="47"/>
      <c r="H19" s="47">
        <v>12920</v>
      </c>
      <c r="I19" s="47">
        <v>291</v>
      </c>
      <c r="J19" s="47">
        <v>0.13</v>
      </c>
      <c r="K19" s="43">
        <f t="shared" si="0"/>
        <v>37.83</v>
      </c>
      <c r="L19" s="43">
        <f t="shared" si="1"/>
        <v>12882.17</v>
      </c>
      <c r="M19" s="43"/>
      <c r="N19" s="43">
        <f t="shared" si="2"/>
        <v>12882.17</v>
      </c>
      <c r="O19" s="43">
        <f t="shared" si="3"/>
        <v>904.4</v>
      </c>
      <c r="P19" s="42">
        <v>18500</v>
      </c>
      <c r="Q19" s="42"/>
      <c r="R19" s="42">
        <f t="shared" si="4"/>
        <v>0</v>
      </c>
      <c r="S19" s="47"/>
      <c r="T19" s="1">
        <v>11</v>
      </c>
    </row>
    <row r="20" spans="1:20">
      <c r="A20" s="1" t="s">
        <v>3889</v>
      </c>
      <c r="B20" s="42" t="s">
        <v>3667</v>
      </c>
      <c r="C20" s="42" t="s">
        <v>444</v>
      </c>
      <c r="D20" s="42" t="s">
        <v>16</v>
      </c>
      <c r="E20" s="47" t="s">
        <v>3890</v>
      </c>
      <c r="F20" s="47">
        <v>26787</v>
      </c>
      <c r="G20" s="47"/>
      <c r="H20" s="47">
        <v>13220</v>
      </c>
      <c r="I20" s="47">
        <v>290</v>
      </c>
      <c r="J20" s="47">
        <v>0.13</v>
      </c>
      <c r="K20" s="43">
        <f t="shared" si="0"/>
        <v>37.700000000000003</v>
      </c>
      <c r="L20" s="43">
        <f t="shared" si="1"/>
        <v>13182.3</v>
      </c>
      <c r="M20" s="43"/>
      <c r="N20" s="43">
        <f t="shared" si="2"/>
        <v>13182.3</v>
      </c>
      <c r="O20" s="43">
        <f t="shared" si="3"/>
        <v>925.40000000000009</v>
      </c>
      <c r="P20" s="42">
        <v>18500</v>
      </c>
      <c r="T20" s="1">
        <v>12</v>
      </c>
    </row>
    <row r="23" spans="1:20">
      <c r="H23" s="1">
        <f>SUM(H9:H22)</f>
        <v>156740</v>
      </c>
      <c r="I23" s="1">
        <f t="shared" ref="I23:Q23" si="5">SUM(I9:I22)</f>
        <v>3494</v>
      </c>
      <c r="K23" s="1">
        <f t="shared" si="5"/>
        <v>454.21999999999991</v>
      </c>
      <c r="L23" s="1">
        <f t="shared" si="5"/>
        <v>156285.78</v>
      </c>
      <c r="M23" s="1">
        <f t="shared" si="5"/>
        <v>0</v>
      </c>
      <c r="N23" s="1">
        <f t="shared" si="5"/>
        <v>156285.78</v>
      </c>
      <c r="O23" s="1">
        <f t="shared" si="5"/>
        <v>10971.8</v>
      </c>
      <c r="P23" s="1">
        <f t="shared" si="5"/>
        <v>222000</v>
      </c>
      <c r="Q23" s="1">
        <f t="shared" si="5"/>
        <v>0</v>
      </c>
    </row>
    <row r="25" spans="1:20">
      <c r="A25" s="374" t="s">
        <v>3896</v>
      </c>
      <c r="B25" s="42" t="s">
        <v>3667</v>
      </c>
      <c r="C25" s="42" t="s">
        <v>444</v>
      </c>
      <c r="D25" s="42" t="s">
        <v>16</v>
      </c>
      <c r="E25" s="327" t="s">
        <v>3900</v>
      </c>
      <c r="F25" s="327">
        <v>26797</v>
      </c>
      <c r="G25" s="327"/>
      <c r="H25" s="327">
        <v>12790</v>
      </c>
      <c r="I25" s="327">
        <v>280</v>
      </c>
      <c r="J25" s="327">
        <v>0.13</v>
      </c>
      <c r="K25" s="43">
        <f t="shared" ref="K25:K67" si="6">I25*J25</f>
        <v>36.4</v>
      </c>
      <c r="L25" s="43">
        <f t="shared" ref="L25:L67" si="7">H25-K25</f>
        <v>12753.6</v>
      </c>
      <c r="M25" s="43"/>
      <c r="N25" s="43">
        <f t="shared" ref="N25:N67" si="8">L25-M25</f>
        <v>12753.6</v>
      </c>
      <c r="O25" s="43">
        <f t="shared" ref="O25:O67" si="9">H25/1000*70</f>
        <v>895.3</v>
      </c>
      <c r="P25" s="42">
        <v>19500</v>
      </c>
      <c r="Q25" s="42"/>
      <c r="R25" s="42">
        <f t="shared" ref="R25:R65" si="10">L25*Q25</f>
        <v>0</v>
      </c>
      <c r="S25" s="1">
        <v>1</v>
      </c>
    </row>
    <row r="26" spans="1:20">
      <c r="A26" s="374"/>
      <c r="B26" s="42" t="s">
        <v>3667</v>
      </c>
      <c r="C26" s="42" t="s">
        <v>444</v>
      </c>
      <c r="D26" s="42" t="s">
        <v>16</v>
      </c>
      <c r="E26" s="327" t="s">
        <v>3901</v>
      </c>
      <c r="F26" s="327">
        <v>26789</v>
      </c>
      <c r="G26" s="327"/>
      <c r="H26" s="327">
        <v>12740</v>
      </c>
      <c r="I26" s="327">
        <v>291</v>
      </c>
      <c r="J26" s="327">
        <v>0.13</v>
      </c>
      <c r="K26" s="43">
        <f t="shared" si="6"/>
        <v>37.83</v>
      </c>
      <c r="L26" s="43">
        <f t="shared" si="7"/>
        <v>12702.17</v>
      </c>
      <c r="M26" s="43"/>
      <c r="N26" s="43">
        <f t="shared" si="8"/>
        <v>12702.17</v>
      </c>
      <c r="O26" s="43">
        <f t="shared" si="9"/>
        <v>891.80000000000007</v>
      </c>
      <c r="P26" s="42">
        <v>19500</v>
      </c>
      <c r="Q26" s="42"/>
      <c r="R26" s="42">
        <f t="shared" si="10"/>
        <v>0</v>
      </c>
      <c r="S26" s="1">
        <v>2</v>
      </c>
    </row>
    <row r="27" spans="1:20">
      <c r="A27" s="374"/>
      <c r="B27" s="42" t="s">
        <v>3667</v>
      </c>
      <c r="C27" s="42" t="s">
        <v>444</v>
      </c>
      <c r="D27" s="42" t="s">
        <v>16</v>
      </c>
      <c r="E27" s="327" t="s">
        <v>3902</v>
      </c>
      <c r="F27" s="327">
        <v>26799</v>
      </c>
      <c r="G27" s="327"/>
      <c r="H27" s="327">
        <v>12990</v>
      </c>
      <c r="I27" s="327">
        <v>268</v>
      </c>
      <c r="J27" s="327">
        <v>0.13</v>
      </c>
      <c r="K27" s="43">
        <f t="shared" si="6"/>
        <v>34.840000000000003</v>
      </c>
      <c r="L27" s="43">
        <f t="shared" si="7"/>
        <v>12955.16</v>
      </c>
      <c r="M27" s="43"/>
      <c r="N27" s="43">
        <f t="shared" si="8"/>
        <v>12955.16</v>
      </c>
      <c r="O27" s="43">
        <f t="shared" si="9"/>
        <v>909.30000000000007</v>
      </c>
      <c r="P27" s="42">
        <v>19500</v>
      </c>
      <c r="Q27" s="42"/>
      <c r="R27" s="42">
        <f t="shared" si="10"/>
        <v>0</v>
      </c>
      <c r="S27" s="1">
        <v>3</v>
      </c>
    </row>
    <row r="28" spans="1:20">
      <c r="A28" s="374"/>
      <c r="B28" s="42" t="s">
        <v>3667</v>
      </c>
      <c r="C28" s="42" t="s">
        <v>444</v>
      </c>
      <c r="D28" s="42" t="s">
        <v>16</v>
      </c>
      <c r="E28" s="327" t="s">
        <v>3903</v>
      </c>
      <c r="F28" s="327">
        <v>26793</v>
      </c>
      <c r="G28" s="327"/>
      <c r="H28" s="327">
        <v>12830</v>
      </c>
      <c r="I28" s="327">
        <v>280</v>
      </c>
      <c r="J28" s="327">
        <v>0.13</v>
      </c>
      <c r="K28" s="43">
        <f t="shared" si="6"/>
        <v>36.4</v>
      </c>
      <c r="L28" s="43">
        <f t="shared" si="7"/>
        <v>12793.6</v>
      </c>
      <c r="M28" s="43"/>
      <c r="N28" s="43">
        <f t="shared" si="8"/>
        <v>12793.6</v>
      </c>
      <c r="O28" s="43">
        <f t="shared" si="9"/>
        <v>898.1</v>
      </c>
      <c r="P28" s="42">
        <v>19500</v>
      </c>
      <c r="Q28" s="42"/>
      <c r="R28" s="42">
        <f t="shared" si="10"/>
        <v>0</v>
      </c>
      <c r="S28" s="1">
        <v>4</v>
      </c>
    </row>
    <row r="29" spans="1:20">
      <c r="A29" s="374"/>
      <c r="B29" s="42" t="s">
        <v>3667</v>
      </c>
      <c r="C29" s="42" t="s">
        <v>444</v>
      </c>
      <c r="D29" s="42" t="s">
        <v>16</v>
      </c>
      <c r="E29" s="327" t="s">
        <v>3904</v>
      </c>
      <c r="F29" s="327">
        <v>26796</v>
      </c>
      <c r="G29" s="327"/>
      <c r="H29" s="327">
        <v>12810</v>
      </c>
      <c r="I29" s="327">
        <v>290</v>
      </c>
      <c r="J29" s="327">
        <v>0.13</v>
      </c>
      <c r="K29" s="43">
        <f t="shared" si="6"/>
        <v>37.700000000000003</v>
      </c>
      <c r="L29" s="43">
        <f t="shared" si="7"/>
        <v>12772.3</v>
      </c>
      <c r="M29" s="43"/>
      <c r="N29" s="43">
        <f t="shared" si="8"/>
        <v>12772.3</v>
      </c>
      <c r="O29" s="43">
        <f t="shared" si="9"/>
        <v>896.7</v>
      </c>
      <c r="P29" s="42">
        <v>19500</v>
      </c>
      <c r="Q29" s="42"/>
      <c r="R29" s="42">
        <f t="shared" si="10"/>
        <v>0</v>
      </c>
      <c r="S29" s="1">
        <v>5</v>
      </c>
    </row>
    <row r="30" spans="1:20">
      <c r="A30" s="374"/>
      <c r="B30" s="42" t="s">
        <v>3667</v>
      </c>
      <c r="C30" s="42" t="s">
        <v>444</v>
      </c>
      <c r="D30" s="42" t="s">
        <v>16</v>
      </c>
      <c r="E30" s="327" t="s">
        <v>3905</v>
      </c>
      <c r="F30" s="327">
        <v>26790</v>
      </c>
      <c r="G30" s="327"/>
      <c r="H30" s="327">
        <v>12900</v>
      </c>
      <c r="I30" s="327">
        <v>280</v>
      </c>
      <c r="J30" s="327">
        <v>0.13</v>
      </c>
      <c r="K30" s="43">
        <f t="shared" si="6"/>
        <v>36.4</v>
      </c>
      <c r="L30" s="43">
        <f t="shared" si="7"/>
        <v>12863.6</v>
      </c>
      <c r="M30" s="43"/>
      <c r="N30" s="43">
        <f t="shared" si="8"/>
        <v>12863.6</v>
      </c>
      <c r="O30" s="43">
        <f t="shared" si="9"/>
        <v>903</v>
      </c>
      <c r="P30" s="42">
        <v>19500</v>
      </c>
      <c r="Q30" s="42"/>
      <c r="R30" s="42">
        <f t="shared" si="10"/>
        <v>0</v>
      </c>
      <c r="S30" s="1">
        <v>6</v>
      </c>
    </row>
    <row r="31" spans="1:20">
      <c r="A31" s="374"/>
      <c r="B31" s="42" t="s">
        <v>3667</v>
      </c>
      <c r="C31" s="42" t="s">
        <v>444</v>
      </c>
      <c r="D31" s="42" t="s">
        <v>16</v>
      </c>
      <c r="E31" s="327" t="s">
        <v>3906</v>
      </c>
      <c r="F31" s="327">
        <v>26794</v>
      </c>
      <c r="G31" s="327"/>
      <c r="H31" s="327">
        <v>12630</v>
      </c>
      <c r="I31" s="327">
        <v>297</v>
      </c>
      <c r="J31" s="327">
        <v>0.13</v>
      </c>
      <c r="K31" s="43">
        <f t="shared" si="6"/>
        <v>38.61</v>
      </c>
      <c r="L31" s="43">
        <f t="shared" si="7"/>
        <v>12591.39</v>
      </c>
      <c r="M31" s="43"/>
      <c r="N31" s="43">
        <f t="shared" si="8"/>
        <v>12591.39</v>
      </c>
      <c r="O31" s="43">
        <f t="shared" si="9"/>
        <v>884.1</v>
      </c>
      <c r="P31" s="42">
        <v>19500</v>
      </c>
      <c r="Q31" s="42"/>
      <c r="R31" s="42">
        <f t="shared" si="10"/>
        <v>0</v>
      </c>
      <c r="S31" s="1">
        <v>7</v>
      </c>
    </row>
    <row r="32" spans="1:20">
      <c r="A32" s="374"/>
      <c r="B32" s="42" t="s">
        <v>3667</v>
      </c>
      <c r="C32" s="42" t="s">
        <v>444</v>
      </c>
      <c r="D32" s="42" t="s">
        <v>16</v>
      </c>
      <c r="E32" s="327" t="s">
        <v>3907</v>
      </c>
      <c r="F32" s="327">
        <v>26800</v>
      </c>
      <c r="G32" s="327"/>
      <c r="H32" s="327">
        <v>12740</v>
      </c>
      <c r="I32" s="327">
        <v>261</v>
      </c>
      <c r="J32" s="327">
        <v>0.13</v>
      </c>
      <c r="K32" s="43">
        <f t="shared" si="6"/>
        <v>33.93</v>
      </c>
      <c r="L32" s="43">
        <f t="shared" si="7"/>
        <v>12706.07</v>
      </c>
      <c r="M32" s="43"/>
      <c r="N32" s="43">
        <f t="shared" si="8"/>
        <v>12706.07</v>
      </c>
      <c r="O32" s="43">
        <f t="shared" si="9"/>
        <v>891.80000000000007</v>
      </c>
      <c r="P32" s="42">
        <v>19500</v>
      </c>
      <c r="Q32" s="42"/>
      <c r="R32" s="42">
        <f t="shared" si="10"/>
        <v>0</v>
      </c>
      <c r="S32" s="1">
        <v>8</v>
      </c>
    </row>
    <row r="33" spans="1:19">
      <c r="A33" s="374" t="s">
        <v>3908</v>
      </c>
      <c r="B33" s="328" t="s">
        <v>3667</v>
      </c>
      <c r="C33" s="328" t="s">
        <v>444</v>
      </c>
      <c r="D33" s="42" t="s">
        <v>16</v>
      </c>
      <c r="E33" s="328" t="s">
        <v>3911</v>
      </c>
      <c r="F33" s="328">
        <v>26792</v>
      </c>
      <c r="G33" s="328"/>
      <c r="H33" s="328">
        <v>12650</v>
      </c>
      <c r="I33" s="328">
        <v>274</v>
      </c>
      <c r="J33" s="328">
        <v>0.13</v>
      </c>
      <c r="K33" s="43">
        <f t="shared" si="6"/>
        <v>35.620000000000005</v>
      </c>
      <c r="L33" s="43">
        <f t="shared" si="7"/>
        <v>12614.38</v>
      </c>
      <c r="M33" s="43"/>
      <c r="N33" s="43">
        <f t="shared" si="8"/>
        <v>12614.38</v>
      </c>
      <c r="O33" s="43">
        <f t="shared" si="9"/>
        <v>885.5</v>
      </c>
      <c r="P33" s="42">
        <v>19500</v>
      </c>
      <c r="Q33" s="42"/>
      <c r="R33" s="42">
        <f t="shared" si="10"/>
        <v>0</v>
      </c>
      <c r="S33" s="1">
        <v>9</v>
      </c>
    </row>
    <row r="34" spans="1:19">
      <c r="A34" s="374"/>
      <c r="B34" s="328" t="s">
        <v>3667</v>
      </c>
      <c r="C34" s="328" t="s">
        <v>444</v>
      </c>
      <c r="D34" s="42" t="s">
        <v>16</v>
      </c>
      <c r="E34" s="328" t="s">
        <v>3912</v>
      </c>
      <c r="F34" s="328">
        <v>26802</v>
      </c>
      <c r="G34" s="328"/>
      <c r="H34" s="328">
        <v>12700</v>
      </c>
      <c r="I34" s="328">
        <v>280</v>
      </c>
      <c r="J34" s="328">
        <v>0.13</v>
      </c>
      <c r="K34" s="43">
        <f t="shared" si="6"/>
        <v>36.4</v>
      </c>
      <c r="L34" s="43">
        <f t="shared" si="7"/>
        <v>12663.6</v>
      </c>
      <c r="M34" s="43"/>
      <c r="N34" s="43">
        <f t="shared" si="8"/>
        <v>12663.6</v>
      </c>
      <c r="O34" s="43">
        <f t="shared" si="9"/>
        <v>889</v>
      </c>
      <c r="P34" s="42">
        <v>19500</v>
      </c>
      <c r="Q34" s="42"/>
      <c r="R34" s="42">
        <f t="shared" si="10"/>
        <v>0</v>
      </c>
      <c r="S34" s="1">
        <v>10</v>
      </c>
    </row>
    <row r="35" spans="1:19">
      <c r="A35" s="374"/>
      <c r="B35" s="328" t="s">
        <v>3667</v>
      </c>
      <c r="C35" s="328" t="s">
        <v>444</v>
      </c>
      <c r="D35" s="42" t="s">
        <v>16</v>
      </c>
      <c r="E35" s="328" t="s">
        <v>3913</v>
      </c>
      <c r="F35" s="328">
        <v>26795</v>
      </c>
      <c r="G35" s="328"/>
      <c r="H35" s="328">
        <v>13280</v>
      </c>
      <c r="I35" s="328">
        <v>307</v>
      </c>
      <c r="J35" s="328">
        <v>0.13</v>
      </c>
      <c r="K35" s="43">
        <f t="shared" si="6"/>
        <v>39.910000000000004</v>
      </c>
      <c r="L35" s="43">
        <f t="shared" si="7"/>
        <v>13240.09</v>
      </c>
      <c r="M35" s="43"/>
      <c r="N35" s="43">
        <f t="shared" si="8"/>
        <v>13240.09</v>
      </c>
      <c r="O35" s="43">
        <f t="shared" si="9"/>
        <v>929.59999999999991</v>
      </c>
      <c r="P35" s="42">
        <v>19500</v>
      </c>
      <c r="Q35" s="42"/>
      <c r="R35" s="42">
        <f t="shared" si="10"/>
        <v>0</v>
      </c>
      <c r="S35" s="1">
        <v>11</v>
      </c>
    </row>
    <row r="36" spans="1:19">
      <c r="A36" s="374"/>
      <c r="B36" s="328" t="s">
        <v>3667</v>
      </c>
      <c r="C36" s="328" t="s">
        <v>444</v>
      </c>
      <c r="D36" s="42" t="s">
        <v>16</v>
      </c>
      <c r="E36" s="328" t="s">
        <v>3914</v>
      </c>
      <c r="F36" s="328">
        <v>26806</v>
      </c>
      <c r="G36" s="328"/>
      <c r="H36" s="328">
        <v>12550</v>
      </c>
      <c r="I36" s="328">
        <v>272</v>
      </c>
      <c r="J36" s="328">
        <v>0.13</v>
      </c>
      <c r="K36" s="43">
        <f t="shared" si="6"/>
        <v>35.36</v>
      </c>
      <c r="L36" s="43">
        <f t="shared" si="7"/>
        <v>12514.64</v>
      </c>
      <c r="M36" s="43"/>
      <c r="N36" s="43">
        <f t="shared" si="8"/>
        <v>12514.64</v>
      </c>
      <c r="O36" s="43">
        <f t="shared" si="9"/>
        <v>878.5</v>
      </c>
      <c r="P36" s="42">
        <v>19500</v>
      </c>
      <c r="Q36" s="42"/>
      <c r="R36" s="42">
        <f t="shared" si="10"/>
        <v>0</v>
      </c>
      <c r="S36" s="1">
        <v>12</v>
      </c>
    </row>
    <row r="37" spans="1:19">
      <c r="A37" s="374"/>
      <c r="B37" s="328" t="s">
        <v>3667</v>
      </c>
      <c r="C37" s="328" t="s">
        <v>444</v>
      </c>
      <c r="D37" s="42" t="s">
        <v>16</v>
      </c>
      <c r="E37" s="328" t="s">
        <v>3915</v>
      </c>
      <c r="F37" s="328">
        <v>26798</v>
      </c>
      <c r="G37" s="328"/>
      <c r="H37" s="328">
        <v>12770</v>
      </c>
      <c r="I37" s="328">
        <v>300</v>
      </c>
      <c r="J37" s="328">
        <v>0.13</v>
      </c>
      <c r="K37" s="43">
        <f t="shared" si="6"/>
        <v>39</v>
      </c>
      <c r="L37" s="43">
        <f t="shared" si="7"/>
        <v>12731</v>
      </c>
      <c r="M37" s="43"/>
      <c r="N37" s="43">
        <f t="shared" si="8"/>
        <v>12731</v>
      </c>
      <c r="O37" s="43">
        <f t="shared" si="9"/>
        <v>893.9</v>
      </c>
      <c r="P37" s="42">
        <v>19500</v>
      </c>
      <c r="Q37" s="42"/>
      <c r="R37" s="42">
        <f t="shared" si="10"/>
        <v>0</v>
      </c>
      <c r="S37" s="1">
        <v>13</v>
      </c>
    </row>
    <row r="38" spans="1:19">
      <c r="A38" s="374"/>
      <c r="B38" s="328" t="s">
        <v>3667</v>
      </c>
      <c r="C38" s="328" t="s">
        <v>444</v>
      </c>
      <c r="D38" s="42" t="s">
        <v>16</v>
      </c>
      <c r="E38" s="328" t="s">
        <v>3844</v>
      </c>
      <c r="F38" s="328">
        <v>26815</v>
      </c>
      <c r="G38" s="328"/>
      <c r="H38" s="328">
        <v>12270</v>
      </c>
      <c r="I38" s="328">
        <v>270</v>
      </c>
      <c r="J38" s="328">
        <v>0.13</v>
      </c>
      <c r="K38" s="43">
        <f t="shared" si="6"/>
        <v>35.1</v>
      </c>
      <c r="L38" s="43">
        <f t="shared" si="7"/>
        <v>12234.9</v>
      </c>
      <c r="M38" s="43"/>
      <c r="N38" s="43">
        <f t="shared" si="8"/>
        <v>12234.9</v>
      </c>
      <c r="O38" s="43">
        <f t="shared" si="9"/>
        <v>858.9</v>
      </c>
      <c r="P38" s="42">
        <v>19500</v>
      </c>
      <c r="Q38" s="42"/>
      <c r="R38" s="42">
        <f t="shared" si="10"/>
        <v>0</v>
      </c>
      <c r="S38" s="1">
        <v>14</v>
      </c>
    </row>
    <row r="39" spans="1:19">
      <c r="A39" s="374"/>
      <c r="B39" s="328" t="s">
        <v>3667</v>
      </c>
      <c r="C39" s="328" t="s">
        <v>444</v>
      </c>
      <c r="D39" s="42" t="s">
        <v>16</v>
      </c>
      <c r="E39" s="328" t="s">
        <v>745</v>
      </c>
      <c r="F39" s="328">
        <v>26812</v>
      </c>
      <c r="G39" s="328"/>
      <c r="H39" s="328">
        <v>12640</v>
      </c>
      <c r="I39" s="328">
        <v>284</v>
      </c>
      <c r="J39" s="328">
        <v>0.13</v>
      </c>
      <c r="K39" s="43">
        <f t="shared" si="6"/>
        <v>36.92</v>
      </c>
      <c r="L39" s="43">
        <f t="shared" si="7"/>
        <v>12603.08</v>
      </c>
      <c r="M39" s="43"/>
      <c r="N39" s="43">
        <f t="shared" si="8"/>
        <v>12603.08</v>
      </c>
      <c r="O39" s="43">
        <f t="shared" si="9"/>
        <v>884.80000000000007</v>
      </c>
      <c r="P39" s="42">
        <v>19500</v>
      </c>
      <c r="Q39" s="42"/>
      <c r="R39" s="42">
        <f t="shared" si="10"/>
        <v>0</v>
      </c>
      <c r="S39" s="1">
        <v>15</v>
      </c>
    </row>
    <row r="40" spans="1:19">
      <c r="A40" s="374"/>
      <c r="B40" s="328" t="s">
        <v>3667</v>
      </c>
      <c r="C40" s="328" t="s">
        <v>444</v>
      </c>
      <c r="D40" s="42" t="s">
        <v>16</v>
      </c>
      <c r="E40" s="328" t="s">
        <v>3916</v>
      </c>
      <c r="F40" s="328">
        <v>589</v>
      </c>
      <c r="G40" s="328"/>
      <c r="H40" s="328">
        <v>12710</v>
      </c>
      <c r="I40" s="328">
        <v>276</v>
      </c>
      <c r="J40" s="328">
        <v>0.13</v>
      </c>
      <c r="K40" s="43">
        <f t="shared" si="6"/>
        <v>35.880000000000003</v>
      </c>
      <c r="L40" s="43">
        <f t="shared" si="7"/>
        <v>12674.12</v>
      </c>
      <c r="M40" s="43"/>
      <c r="N40" s="43">
        <f t="shared" si="8"/>
        <v>12674.12</v>
      </c>
      <c r="O40" s="43">
        <f t="shared" si="9"/>
        <v>889.7</v>
      </c>
      <c r="P40" s="42">
        <v>20500</v>
      </c>
      <c r="Q40" s="42"/>
      <c r="R40" s="42">
        <f t="shared" si="10"/>
        <v>0</v>
      </c>
      <c r="S40" s="1">
        <v>16</v>
      </c>
    </row>
    <row r="41" spans="1:19">
      <c r="A41" s="374"/>
      <c r="B41" s="328" t="s">
        <v>3667</v>
      </c>
      <c r="C41" s="328" t="s">
        <v>444</v>
      </c>
      <c r="D41" s="42" t="s">
        <v>16</v>
      </c>
      <c r="E41" s="328" t="s">
        <v>3917</v>
      </c>
      <c r="F41" s="328">
        <v>26813</v>
      </c>
      <c r="G41" s="328"/>
      <c r="H41" s="328">
        <v>12740</v>
      </c>
      <c r="I41" s="328">
        <v>274</v>
      </c>
      <c r="J41" s="328">
        <v>0.13</v>
      </c>
      <c r="K41" s="43">
        <f t="shared" si="6"/>
        <v>35.620000000000005</v>
      </c>
      <c r="L41" s="43">
        <f t="shared" si="7"/>
        <v>12704.38</v>
      </c>
      <c r="M41" s="43"/>
      <c r="N41" s="43">
        <f t="shared" si="8"/>
        <v>12704.38</v>
      </c>
      <c r="O41" s="43">
        <f t="shared" si="9"/>
        <v>891.80000000000007</v>
      </c>
      <c r="P41" s="42">
        <v>19500</v>
      </c>
      <c r="Q41" s="42"/>
      <c r="R41" s="42">
        <f t="shared" si="10"/>
        <v>0</v>
      </c>
      <c r="S41" s="1">
        <v>17</v>
      </c>
    </row>
    <row r="42" spans="1:19">
      <c r="A42" s="374"/>
      <c r="B42" s="328" t="s">
        <v>3667</v>
      </c>
      <c r="C42" s="328" t="s">
        <v>444</v>
      </c>
      <c r="D42" s="42" t="s">
        <v>16</v>
      </c>
      <c r="E42" s="328" t="s">
        <v>3918</v>
      </c>
      <c r="F42" s="328">
        <v>26816</v>
      </c>
      <c r="G42" s="328"/>
      <c r="H42" s="328">
        <v>12790</v>
      </c>
      <c r="I42" s="328">
        <v>275</v>
      </c>
      <c r="J42" s="328">
        <v>0.13</v>
      </c>
      <c r="K42" s="43">
        <f t="shared" si="6"/>
        <v>35.75</v>
      </c>
      <c r="L42" s="43">
        <f t="shared" si="7"/>
        <v>12754.25</v>
      </c>
      <c r="M42" s="43"/>
      <c r="N42" s="43">
        <f t="shared" si="8"/>
        <v>12754.25</v>
      </c>
      <c r="O42" s="43">
        <f t="shared" si="9"/>
        <v>895.3</v>
      </c>
      <c r="P42" s="42">
        <v>21000</v>
      </c>
      <c r="Q42" s="42"/>
      <c r="R42" s="42">
        <f t="shared" si="10"/>
        <v>0</v>
      </c>
      <c r="S42" s="1">
        <v>18</v>
      </c>
    </row>
    <row r="43" spans="1:19">
      <c r="A43" s="374"/>
      <c r="B43" s="328" t="s">
        <v>3667</v>
      </c>
      <c r="C43" s="328" t="s">
        <v>444</v>
      </c>
      <c r="D43" s="42" t="s">
        <v>16</v>
      </c>
      <c r="E43" s="328" t="s">
        <v>3919</v>
      </c>
      <c r="F43" s="328">
        <v>26804</v>
      </c>
      <c r="G43" s="328"/>
      <c r="H43" s="328">
        <v>12470</v>
      </c>
      <c r="I43" s="328">
        <v>278</v>
      </c>
      <c r="J43" s="328">
        <v>0.13</v>
      </c>
      <c r="K43" s="43">
        <f t="shared" si="6"/>
        <v>36.14</v>
      </c>
      <c r="L43" s="43">
        <f t="shared" si="7"/>
        <v>12433.86</v>
      </c>
      <c r="M43" s="43"/>
      <c r="N43" s="43">
        <f t="shared" si="8"/>
        <v>12433.86</v>
      </c>
      <c r="O43" s="43">
        <f t="shared" si="9"/>
        <v>872.90000000000009</v>
      </c>
      <c r="P43" s="42">
        <v>19500</v>
      </c>
      <c r="Q43" s="42"/>
      <c r="R43" s="42">
        <f t="shared" si="10"/>
        <v>0</v>
      </c>
      <c r="S43" s="1">
        <v>19</v>
      </c>
    </row>
    <row r="44" spans="1:19">
      <c r="A44" s="374"/>
      <c r="B44" s="328" t="s">
        <v>3667</v>
      </c>
      <c r="C44" s="328" t="s">
        <v>444</v>
      </c>
      <c r="D44" s="42" t="s">
        <v>16</v>
      </c>
      <c r="E44" s="328" t="s">
        <v>3864</v>
      </c>
      <c r="F44" s="328">
        <v>26814</v>
      </c>
      <c r="G44" s="328"/>
      <c r="H44" s="328">
        <v>12750</v>
      </c>
      <c r="I44" s="328">
        <v>287</v>
      </c>
      <c r="J44" s="328">
        <v>0.13</v>
      </c>
      <c r="K44" s="43">
        <f t="shared" si="6"/>
        <v>37.31</v>
      </c>
      <c r="L44" s="43">
        <f t="shared" si="7"/>
        <v>12712.69</v>
      </c>
      <c r="M44" s="43"/>
      <c r="N44" s="43">
        <f t="shared" si="8"/>
        <v>12712.69</v>
      </c>
      <c r="O44" s="43">
        <f t="shared" si="9"/>
        <v>892.5</v>
      </c>
      <c r="P44" s="42">
        <v>19500</v>
      </c>
      <c r="Q44" s="42"/>
      <c r="R44" s="42">
        <f t="shared" si="10"/>
        <v>0</v>
      </c>
      <c r="S44" s="1">
        <v>20</v>
      </c>
    </row>
    <row r="45" spans="1:19">
      <c r="A45" s="374"/>
      <c r="B45" s="328" t="s">
        <v>3667</v>
      </c>
      <c r="C45" s="328" t="s">
        <v>444</v>
      </c>
      <c r="D45" s="42" t="s">
        <v>16</v>
      </c>
      <c r="E45" s="328" t="s">
        <v>3920</v>
      </c>
      <c r="F45" s="328">
        <v>26810</v>
      </c>
      <c r="G45" s="328"/>
      <c r="H45" s="328">
        <v>12910</v>
      </c>
      <c r="I45" s="328">
        <v>280</v>
      </c>
      <c r="J45" s="328">
        <v>0.13</v>
      </c>
      <c r="K45" s="43">
        <f t="shared" si="6"/>
        <v>36.4</v>
      </c>
      <c r="L45" s="43">
        <f t="shared" si="7"/>
        <v>12873.6</v>
      </c>
      <c r="M45" s="43"/>
      <c r="N45" s="43">
        <f t="shared" si="8"/>
        <v>12873.6</v>
      </c>
      <c r="O45" s="43">
        <f t="shared" si="9"/>
        <v>903.7</v>
      </c>
      <c r="P45" s="42">
        <v>19500</v>
      </c>
      <c r="Q45" s="42"/>
      <c r="R45" s="42">
        <f t="shared" si="10"/>
        <v>0</v>
      </c>
      <c r="S45" s="1">
        <v>21</v>
      </c>
    </row>
    <row r="46" spans="1:19">
      <c r="A46" s="374"/>
      <c r="B46" s="328" t="s">
        <v>3667</v>
      </c>
      <c r="C46" s="328" t="s">
        <v>444</v>
      </c>
      <c r="D46" s="42" t="s">
        <v>16</v>
      </c>
      <c r="E46" s="47" t="s">
        <v>3921</v>
      </c>
      <c r="F46" s="47">
        <v>26820</v>
      </c>
      <c r="G46" s="47"/>
      <c r="H46" s="47">
        <v>12730</v>
      </c>
      <c r="I46" s="47">
        <v>288</v>
      </c>
      <c r="J46" s="47">
        <v>0.13</v>
      </c>
      <c r="K46" s="43">
        <f t="shared" si="6"/>
        <v>37.44</v>
      </c>
      <c r="L46" s="43">
        <f t="shared" si="7"/>
        <v>12692.56</v>
      </c>
      <c r="M46" s="43"/>
      <c r="N46" s="43">
        <f t="shared" si="8"/>
        <v>12692.56</v>
      </c>
      <c r="O46" s="43">
        <f t="shared" si="9"/>
        <v>891.1</v>
      </c>
      <c r="P46" s="42">
        <v>21000</v>
      </c>
      <c r="Q46" s="42"/>
      <c r="R46" s="42">
        <f t="shared" si="10"/>
        <v>0</v>
      </c>
      <c r="S46" s="1">
        <v>22</v>
      </c>
    </row>
    <row r="47" spans="1:19">
      <c r="A47" s="374"/>
      <c r="B47" s="328" t="s">
        <v>3667</v>
      </c>
      <c r="C47" s="328" t="s">
        <v>444</v>
      </c>
      <c r="D47" s="42" t="s">
        <v>16</v>
      </c>
      <c r="E47" s="328" t="s">
        <v>3922</v>
      </c>
      <c r="F47" s="328">
        <v>26817</v>
      </c>
      <c r="G47" s="328"/>
      <c r="H47" s="328">
        <v>12650</v>
      </c>
      <c r="I47" s="328">
        <v>281</v>
      </c>
      <c r="J47" s="328">
        <v>0.13</v>
      </c>
      <c r="K47" s="43">
        <f t="shared" si="6"/>
        <v>36.53</v>
      </c>
      <c r="L47" s="43">
        <f t="shared" si="7"/>
        <v>12613.47</v>
      </c>
      <c r="M47" s="43"/>
      <c r="N47" s="43">
        <f t="shared" si="8"/>
        <v>12613.47</v>
      </c>
      <c r="O47" s="43">
        <f t="shared" si="9"/>
        <v>885.5</v>
      </c>
      <c r="P47" s="42">
        <v>21000</v>
      </c>
      <c r="Q47" s="42"/>
      <c r="R47" s="42">
        <f t="shared" si="10"/>
        <v>0</v>
      </c>
      <c r="S47" s="1">
        <v>23</v>
      </c>
    </row>
    <row r="48" spans="1:19">
      <c r="A48" s="374"/>
      <c r="B48" s="328" t="s">
        <v>3667</v>
      </c>
      <c r="C48" s="328" t="s">
        <v>444</v>
      </c>
      <c r="D48" s="42" t="s">
        <v>16</v>
      </c>
      <c r="E48" s="328" t="s">
        <v>3879</v>
      </c>
      <c r="F48" s="328">
        <v>26818</v>
      </c>
      <c r="G48" s="328"/>
      <c r="H48" s="328">
        <v>12740</v>
      </c>
      <c r="I48" s="328">
        <v>287</v>
      </c>
      <c r="J48" s="328">
        <v>0.13</v>
      </c>
      <c r="K48" s="43">
        <f t="shared" si="6"/>
        <v>37.31</v>
      </c>
      <c r="L48" s="43">
        <f t="shared" si="7"/>
        <v>12702.69</v>
      </c>
      <c r="M48" s="43"/>
      <c r="N48" s="43">
        <f t="shared" si="8"/>
        <v>12702.69</v>
      </c>
      <c r="O48" s="43">
        <f t="shared" si="9"/>
        <v>891.80000000000007</v>
      </c>
      <c r="P48" s="42">
        <v>21000</v>
      </c>
      <c r="Q48" s="42"/>
      <c r="R48" s="42">
        <f t="shared" si="10"/>
        <v>0</v>
      </c>
      <c r="S48" s="1">
        <v>24</v>
      </c>
    </row>
    <row r="49" spans="1:19">
      <c r="A49" s="374"/>
      <c r="B49" s="328" t="s">
        <v>3667</v>
      </c>
      <c r="C49" s="328" t="s">
        <v>444</v>
      </c>
      <c r="D49" s="42" t="s">
        <v>16</v>
      </c>
      <c r="E49" s="328" t="s">
        <v>3923</v>
      </c>
      <c r="F49" s="328">
        <v>327</v>
      </c>
      <c r="G49" s="328"/>
      <c r="H49" s="328">
        <v>12730</v>
      </c>
      <c r="I49" s="328">
        <v>270</v>
      </c>
      <c r="J49" s="328">
        <v>0.13</v>
      </c>
      <c r="K49" s="43">
        <f t="shared" si="6"/>
        <v>35.1</v>
      </c>
      <c r="L49" s="43">
        <f t="shared" si="7"/>
        <v>12694.9</v>
      </c>
      <c r="M49" s="43"/>
      <c r="N49" s="43">
        <f t="shared" si="8"/>
        <v>12694.9</v>
      </c>
      <c r="O49" s="43">
        <f t="shared" si="9"/>
        <v>891.1</v>
      </c>
      <c r="P49" s="42">
        <v>21500</v>
      </c>
      <c r="Q49" s="42"/>
      <c r="R49" s="42">
        <f t="shared" si="10"/>
        <v>0</v>
      </c>
      <c r="S49" s="1">
        <v>25</v>
      </c>
    </row>
    <row r="50" spans="1:19">
      <c r="A50" s="374"/>
      <c r="B50" s="328" t="s">
        <v>3667</v>
      </c>
      <c r="C50" s="328" t="s">
        <v>444</v>
      </c>
      <c r="D50" s="42" t="s">
        <v>16</v>
      </c>
      <c r="E50" s="328" t="s">
        <v>3924</v>
      </c>
      <c r="F50" s="328">
        <v>26801</v>
      </c>
      <c r="G50" s="328"/>
      <c r="H50" s="328">
        <v>12700</v>
      </c>
      <c r="I50" s="328">
        <v>244</v>
      </c>
      <c r="J50" s="328">
        <v>0.13</v>
      </c>
      <c r="K50" s="43">
        <f t="shared" si="6"/>
        <v>31.720000000000002</v>
      </c>
      <c r="L50" s="43">
        <f t="shared" si="7"/>
        <v>12668.28</v>
      </c>
      <c r="M50" s="43"/>
      <c r="N50" s="43">
        <f t="shared" si="8"/>
        <v>12668.28</v>
      </c>
      <c r="O50" s="43">
        <f t="shared" si="9"/>
        <v>889</v>
      </c>
      <c r="P50" s="42">
        <v>19500</v>
      </c>
      <c r="Q50" s="42"/>
      <c r="R50" s="42">
        <f t="shared" si="10"/>
        <v>0</v>
      </c>
      <c r="S50" s="1">
        <v>26</v>
      </c>
    </row>
    <row r="51" spans="1:19">
      <c r="A51" s="374" t="s">
        <v>3926</v>
      </c>
      <c r="B51" s="329" t="s">
        <v>3667</v>
      </c>
      <c r="C51" s="329" t="s">
        <v>444</v>
      </c>
      <c r="D51" s="42" t="s">
        <v>16</v>
      </c>
      <c r="E51" s="329" t="s">
        <v>3932</v>
      </c>
      <c r="F51" s="329">
        <v>600</v>
      </c>
      <c r="G51" s="329"/>
      <c r="H51" s="329">
        <v>12820</v>
      </c>
      <c r="I51" s="329">
        <v>290</v>
      </c>
      <c r="J51" s="329">
        <v>0.13</v>
      </c>
      <c r="K51" s="43">
        <f t="shared" si="6"/>
        <v>37.700000000000003</v>
      </c>
      <c r="L51" s="43">
        <f t="shared" si="7"/>
        <v>12782.3</v>
      </c>
      <c r="M51" s="43"/>
      <c r="N51" s="43">
        <f t="shared" si="8"/>
        <v>12782.3</v>
      </c>
      <c r="O51" s="43">
        <f t="shared" si="9"/>
        <v>897.4</v>
      </c>
      <c r="P51" s="42">
        <v>20500</v>
      </c>
      <c r="Q51" s="42"/>
      <c r="R51" s="42">
        <f t="shared" si="10"/>
        <v>0</v>
      </c>
      <c r="S51" s="1">
        <v>27</v>
      </c>
    </row>
    <row r="52" spans="1:19">
      <c r="A52" s="374"/>
      <c r="B52" s="329" t="s">
        <v>3667</v>
      </c>
      <c r="C52" s="329" t="s">
        <v>444</v>
      </c>
      <c r="D52" s="42" t="s">
        <v>16</v>
      </c>
      <c r="E52" s="329" t="s">
        <v>3933</v>
      </c>
      <c r="F52" s="329">
        <v>598</v>
      </c>
      <c r="G52" s="329"/>
      <c r="H52" s="329">
        <v>12460</v>
      </c>
      <c r="I52" s="329">
        <v>282</v>
      </c>
      <c r="J52" s="329">
        <v>0.13</v>
      </c>
      <c r="K52" s="43">
        <f t="shared" si="6"/>
        <v>36.660000000000004</v>
      </c>
      <c r="L52" s="43">
        <f t="shared" si="7"/>
        <v>12423.34</v>
      </c>
      <c r="M52" s="43"/>
      <c r="N52" s="43">
        <f t="shared" si="8"/>
        <v>12423.34</v>
      </c>
      <c r="O52" s="43">
        <f t="shared" si="9"/>
        <v>872.2</v>
      </c>
      <c r="P52" s="42">
        <v>21500</v>
      </c>
      <c r="Q52" s="42"/>
      <c r="R52" s="42">
        <f t="shared" si="10"/>
        <v>0</v>
      </c>
      <c r="S52" s="1">
        <v>28</v>
      </c>
    </row>
    <row r="53" spans="1:19">
      <c r="A53" s="374"/>
      <c r="B53" s="329" t="s">
        <v>3667</v>
      </c>
      <c r="C53" s="329" t="s">
        <v>444</v>
      </c>
      <c r="D53" s="42" t="s">
        <v>16</v>
      </c>
      <c r="E53" s="329" t="s">
        <v>3934</v>
      </c>
      <c r="F53" s="329">
        <v>331</v>
      </c>
      <c r="G53" s="329"/>
      <c r="H53" s="329">
        <v>12600</v>
      </c>
      <c r="I53" s="329">
        <v>280</v>
      </c>
      <c r="J53" s="329">
        <v>0.13</v>
      </c>
      <c r="K53" s="43">
        <f t="shared" si="6"/>
        <v>36.4</v>
      </c>
      <c r="L53" s="43">
        <f t="shared" si="7"/>
        <v>12563.6</v>
      </c>
      <c r="M53" s="43"/>
      <c r="N53" s="43">
        <f t="shared" si="8"/>
        <v>12563.6</v>
      </c>
      <c r="O53" s="43">
        <f t="shared" si="9"/>
        <v>882</v>
      </c>
      <c r="P53" s="42">
        <v>21500</v>
      </c>
      <c r="Q53" s="42"/>
      <c r="R53" s="42">
        <f t="shared" si="10"/>
        <v>0</v>
      </c>
      <c r="S53" s="1">
        <v>29</v>
      </c>
    </row>
    <row r="54" spans="1:19">
      <c r="A54" s="374"/>
      <c r="B54" s="329" t="s">
        <v>3667</v>
      </c>
      <c r="C54" s="329" t="s">
        <v>444</v>
      </c>
      <c r="D54" s="42" t="s">
        <v>16</v>
      </c>
      <c r="E54" s="329" t="s">
        <v>3935</v>
      </c>
      <c r="F54" s="329">
        <v>26819</v>
      </c>
      <c r="G54" s="329"/>
      <c r="H54" s="329">
        <v>12630</v>
      </c>
      <c r="I54" s="329">
        <v>282</v>
      </c>
      <c r="J54" s="329">
        <v>0.13</v>
      </c>
      <c r="K54" s="43">
        <f t="shared" si="6"/>
        <v>36.660000000000004</v>
      </c>
      <c r="L54" s="43">
        <f t="shared" si="7"/>
        <v>12593.34</v>
      </c>
      <c r="M54" s="43"/>
      <c r="N54" s="43">
        <f t="shared" si="8"/>
        <v>12593.34</v>
      </c>
      <c r="O54" s="43">
        <f t="shared" si="9"/>
        <v>884.1</v>
      </c>
      <c r="P54" s="42">
        <v>21000</v>
      </c>
      <c r="Q54" s="42"/>
      <c r="R54" s="42">
        <f t="shared" si="10"/>
        <v>0</v>
      </c>
      <c r="S54" s="1">
        <v>30</v>
      </c>
    </row>
    <row r="55" spans="1:19">
      <c r="A55" s="374"/>
      <c r="B55" s="329" t="s">
        <v>3667</v>
      </c>
      <c r="C55" s="329" t="s">
        <v>444</v>
      </c>
      <c r="D55" s="42" t="s">
        <v>16</v>
      </c>
      <c r="E55" s="329" t="s">
        <v>3936</v>
      </c>
      <c r="F55" s="329">
        <v>330</v>
      </c>
      <c r="G55" s="329"/>
      <c r="H55" s="329">
        <v>14030</v>
      </c>
      <c r="I55" s="329">
        <v>280</v>
      </c>
      <c r="J55" s="329">
        <v>0.13</v>
      </c>
      <c r="K55" s="43">
        <f t="shared" si="6"/>
        <v>36.4</v>
      </c>
      <c r="L55" s="43">
        <f t="shared" si="7"/>
        <v>13993.6</v>
      </c>
      <c r="M55" s="43"/>
      <c r="N55" s="43">
        <f t="shared" si="8"/>
        <v>13993.6</v>
      </c>
      <c r="O55" s="43">
        <f t="shared" si="9"/>
        <v>982.09999999999991</v>
      </c>
      <c r="P55" s="42">
        <v>21500</v>
      </c>
      <c r="Q55" s="42"/>
      <c r="R55" s="42">
        <f t="shared" si="10"/>
        <v>0</v>
      </c>
      <c r="S55" s="1">
        <v>31</v>
      </c>
    </row>
    <row r="56" spans="1:19">
      <c r="A56" s="374"/>
      <c r="B56" s="329" t="s">
        <v>3667</v>
      </c>
      <c r="C56" s="329" t="s">
        <v>444</v>
      </c>
      <c r="D56" s="42" t="s">
        <v>16</v>
      </c>
      <c r="E56" s="329" t="s">
        <v>3937</v>
      </c>
      <c r="F56" s="329">
        <v>326</v>
      </c>
      <c r="G56" s="329"/>
      <c r="H56" s="329">
        <v>12490</v>
      </c>
      <c r="I56" s="329">
        <v>280</v>
      </c>
      <c r="J56" s="329">
        <v>0.13</v>
      </c>
      <c r="K56" s="43">
        <f t="shared" si="6"/>
        <v>36.4</v>
      </c>
      <c r="L56" s="43">
        <f t="shared" si="7"/>
        <v>12453.6</v>
      </c>
      <c r="M56" s="43"/>
      <c r="N56" s="43">
        <f t="shared" si="8"/>
        <v>12453.6</v>
      </c>
      <c r="O56" s="43">
        <f t="shared" si="9"/>
        <v>874.30000000000007</v>
      </c>
      <c r="P56" s="42">
        <v>21500</v>
      </c>
      <c r="Q56" s="42"/>
      <c r="R56" s="42">
        <f t="shared" si="10"/>
        <v>0</v>
      </c>
      <c r="S56" s="1">
        <v>32</v>
      </c>
    </row>
    <row r="57" spans="1:19">
      <c r="A57" s="374"/>
      <c r="B57" s="329" t="s">
        <v>3667</v>
      </c>
      <c r="C57" s="329" t="s">
        <v>444</v>
      </c>
      <c r="D57" s="42" t="s">
        <v>16</v>
      </c>
      <c r="E57" s="329" t="s">
        <v>3845</v>
      </c>
      <c r="F57" s="329">
        <v>591</v>
      </c>
      <c r="G57" s="329"/>
      <c r="H57" s="329">
        <v>12340</v>
      </c>
      <c r="I57" s="329">
        <v>273</v>
      </c>
      <c r="J57" s="329">
        <v>0.13</v>
      </c>
      <c r="K57" s="43">
        <f t="shared" si="6"/>
        <v>35.49</v>
      </c>
      <c r="L57" s="43">
        <f t="shared" si="7"/>
        <v>12304.51</v>
      </c>
      <c r="M57" s="43"/>
      <c r="N57" s="43">
        <f t="shared" si="8"/>
        <v>12304.51</v>
      </c>
      <c r="O57" s="43">
        <f t="shared" si="9"/>
        <v>863.8</v>
      </c>
      <c r="P57" s="42">
        <v>20500</v>
      </c>
      <c r="Q57" s="42"/>
      <c r="R57" s="42">
        <f t="shared" si="10"/>
        <v>0</v>
      </c>
      <c r="S57" s="1">
        <v>33</v>
      </c>
    </row>
    <row r="58" spans="1:19">
      <c r="A58" s="374"/>
      <c r="B58" s="329" t="s">
        <v>3667</v>
      </c>
      <c r="C58" s="329" t="s">
        <v>444</v>
      </c>
      <c r="D58" s="42" t="s">
        <v>16</v>
      </c>
      <c r="E58" s="329" t="s">
        <v>3938</v>
      </c>
      <c r="F58" s="329">
        <v>26807</v>
      </c>
      <c r="G58" s="329"/>
      <c r="H58" s="329">
        <v>12530</v>
      </c>
      <c r="I58" s="329">
        <v>290</v>
      </c>
      <c r="J58" s="329">
        <v>0.13</v>
      </c>
      <c r="K58" s="43">
        <f t="shared" si="6"/>
        <v>37.700000000000003</v>
      </c>
      <c r="L58" s="43">
        <f t="shared" si="7"/>
        <v>12492.3</v>
      </c>
      <c r="M58" s="43"/>
      <c r="N58" s="43">
        <f t="shared" si="8"/>
        <v>12492.3</v>
      </c>
      <c r="O58" s="43">
        <f t="shared" si="9"/>
        <v>877.09999999999991</v>
      </c>
      <c r="P58" s="42">
        <v>19500</v>
      </c>
      <c r="Q58" s="42"/>
      <c r="R58" s="42">
        <f t="shared" si="10"/>
        <v>0</v>
      </c>
      <c r="S58" s="1">
        <v>34</v>
      </c>
    </row>
    <row r="59" spans="1:19">
      <c r="A59" s="374"/>
      <c r="B59" s="329" t="s">
        <v>3667</v>
      </c>
      <c r="C59" s="329" t="s">
        <v>444</v>
      </c>
      <c r="D59" s="42" t="s">
        <v>16</v>
      </c>
      <c r="E59" s="329" t="s">
        <v>3939</v>
      </c>
      <c r="F59" s="329">
        <v>26808</v>
      </c>
      <c r="G59" s="329"/>
      <c r="H59" s="329">
        <v>12830</v>
      </c>
      <c r="I59" s="329">
        <v>279</v>
      </c>
      <c r="J59" s="329">
        <v>0.13</v>
      </c>
      <c r="K59" s="43">
        <f t="shared" si="6"/>
        <v>36.270000000000003</v>
      </c>
      <c r="L59" s="43">
        <f t="shared" si="7"/>
        <v>12793.73</v>
      </c>
      <c r="M59" s="43"/>
      <c r="N59" s="43">
        <f t="shared" si="8"/>
        <v>12793.73</v>
      </c>
      <c r="O59" s="43">
        <f t="shared" si="9"/>
        <v>898.1</v>
      </c>
      <c r="P59" s="42">
        <v>19500</v>
      </c>
      <c r="Q59" s="42"/>
      <c r="R59" s="42">
        <f t="shared" si="10"/>
        <v>0</v>
      </c>
      <c r="S59" s="1">
        <v>35</v>
      </c>
    </row>
    <row r="60" spans="1:19">
      <c r="A60" s="374"/>
      <c r="B60" s="329" t="s">
        <v>3667</v>
      </c>
      <c r="C60" s="329" t="s">
        <v>444</v>
      </c>
      <c r="D60" s="42" t="s">
        <v>16</v>
      </c>
      <c r="E60" s="329" t="s">
        <v>3940</v>
      </c>
      <c r="F60" s="329">
        <v>588</v>
      </c>
      <c r="G60" s="329"/>
      <c r="H60" s="329">
        <v>12240</v>
      </c>
      <c r="I60" s="329">
        <v>270</v>
      </c>
      <c r="J60" s="329">
        <v>0.13</v>
      </c>
      <c r="K60" s="43">
        <f t="shared" si="6"/>
        <v>35.1</v>
      </c>
      <c r="L60" s="43">
        <f t="shared" si="7"/>
        <v>12204.9</v>
      </c>
      <c r="M60" s="43"/>
      <c r="N60" s="43">
        <f t="shared" si="8"/>
        <v>12204.9</v>
      </c>
      <c r="O60" s="43">
        <f t="shared" si="9"/>
        <v>856.80000000000007</v>
      </c>
      <c r="P60" s="42">
        <v>20500</v>
      </c>
      <c r="Q60" s="42"/>
      <c r="R60" s="42">
        <f t="shared" si="10"/>
        <v>0</v>
      </c>
      <c r="S60" s="1">
        <v>36</v>
      </c>
    </row>
    <row r="61" spans="1:19">
      <c r="A61" s="374"/>
      <c r="B61" s="329" t="s">
        <v>3667</v>
      </c>
      <c r="C61" s="329" t="s">
        <v>444</v>
      </c>
      <c r="D61" s="42" t="s">
        <v>16</v>
      </c>
      <c r="E61" s="329" t="s">
        <v>3941</v>
      </c>
      <c r="F61" s="329">
        <v>26805</v>
      </c>
      <c r="G61" s="329"/>
      <c r="H61" s="329">
        <v>12480</v>
      </c>
      <c r="I61" s="329">
        <v>280</v>
      </c>
      <c r="J61" s="329">
        <v>0.13</v>
      </c>
      <c r="K61" s="43">
        <f t="shared" si="6"/>
        <v>36.4</v>
      </c>
      <c r="L61" s="43">
        <f t="shared" si="7"/>
        <v>12443.6</v>
      </c>
      <c r="M61" s="43"/>
      <c r="N61" s="43">
        <f t="shared" si="8"/>
        <v>12443.6</v>
      </c>
      <c r="O61" s="43">
        <f t="shared" si="9"/>
        <v>873.6</v>
      </c>
      <c r="P61" s="42">
        <v>19500</v>
      </c>
      <c r="Q61" s="42"/>
      <c r="R61" s="42">
        <f t="shared" si="10"/>
        <v>0</v>
      </c>
      <c r="S61" s="1">
        <v>37</v>
      </c>
    </row>
    <row r="62" spans="1:19">
      <c r="A62" s="374"/>
      <c r="B62" s="329" t="s">
        <v>3667</v>
      </c>
      <c r="C62" s="329" t="s">
        <v>444</v>
      </c>
      <c r="D62" s="42" t="s">
        <v>16</v>
      </c>
      <c r="E62" s="329" t="s">
        <v>3942</v>
      </c>
      <c r="F62" s="329">
        <v>26811</v>
      </c>
      <c r="G62" s="329"/>
      <c r="H62" s="329">
        <v>12870</v>
      </c>
      <c r="I62" s="329">
        <v>280</v>
      </c>
      <c r="J62" s="329">
        <v>0.13</v>
      </c>
      <c r="K62" s="43">
        <f t="shared" si="6"/>
        <v>36.4</v>
      </c>
      <c r="L62" s="43">
        <f t="shared" si="7"/>
        <v>12833.6</v>
      </c>
      <c r="M62" s="43"/>
      <c r="N62" s="43">
        <f t="shared" si="8"/>
        <v>12833.6</v>
      </c>
      <c r="O62" s="43">
        <f t="shared" si="9"/>
        <v>900.9</v>
      </c>
      <c r="P62" s="42">
        <v>19500</v>
      </c>
      <c r="Q62" s="42"/>
      <c r="R62" s="42">
        <f t="shared" si="10"/>
        <v>0</v>
      </c>
      <c r="S62" s="1">
        <v>38</v>
      </c>
    </row>
    <row r="63" spans="1:19">
      <c r="A63" s="374"/>
      <c r="B63" s="329" t="s">
        <v>3667</v>
      </c>
      <c r="C63" s="329" t="s">
        <v>444</v>
      </c>
      <c r="D63" s="42" t="s">
        <v>16</v>
      </c>
      <c r="E63" s="329" t="s">
        <v>3943</v>
      </c>
      <c r="F63" s="329">
        <v>26803</v>
      </c>
      <c r="G63" s="329"/>
      <c r="H63" s="329">
        <v>12740</v>
      </c>
      <c r="I63" s="329">
        <v>288</v>
      </c>
      <c r="J63" s="329">
        <v>0.13</v>
      </c>
      <c r="K63" s="43">
        <f t="shared" si="6"/>
        <v>37.44</v>
      </c>
      <c r="L63" s="43">
        <f t="shared" si="7"/>
        <v>12702.56</v>
      </c>
      <c r="M63" s="43"/>
      <c r="N63" s="43">
        <f t="shared" si="8"/>
        <v>12702.56</v>
      </c>
      <c r="O63" s="43">
        <f t="shared" si="9"/>
        <v>891.80000000000007</v>
      </c>
      <c r="P63" s="42">
        <v>19500</v>
      </c>
      <c r="Q63" s="42"/>
      <c r="R63" s="42">
        <f t="shared" si="10"/>
        <v>0</v>
      </c>
      <c r="S63" s="1">
        <v>39</v>
      </c>
    </row>
    <row r="64" spans="1:19">
      <c r="A64" s="374"/>
      <c r="B64" s="329" t="s">
        <v>3667</v>
      </c>
      <c r="C64" s="329" t="s">
        <v>444</v>
      </c>
      <c r="D64" s="42" t="s">
        <v>16</v>
      </c>
      <c r="E64" s="329" t="s">
        <v>3683</v>
      </c>
      <c r="F64" s="329">
        <v>26809</v>
      </c>
      <c r="G64" s="329"/>
      <c r="H64" s="329">
        <v>12750</v>
      </c>
      <c r="I64" s="329">
        <v>282</v>
      </c>
      <c r="J64" s="329">
        <v>0.13</v>
      </c>
      <c r="K64" s="43">
        <f t="shared" si="6"/>
        <v>36.660000000000004</v>
      </c>
      <c r="L64" s="43">
        <f t="shared" si="7"/>
        <v>12713.34</v>
      </c>
      <c r="M64" s="43"/>
      <c r="N64" s="43">
        <f t="shared" si="8"/>
        <v>12713.34</v>
      </c>
      <c r="O64" s="43">
        <f t="shared" si="9"/>
        <v>892.5</v>
      </c>
      <c r="P64" s="103">
        <v>19500</v>
      </c>
      <c r="Q64" s="42"/>
      <c r="R64" s="42">
        <f t="shared" si="10"/>
        <v>0</v>
      </c>
      <c r="S64" s="1">
        <v>40</v>
      </c>
    </row>
    <row r="65" spans="1:19">
      <c r="A65" s="374"/>
      <c r="B65" s="329" t="s">
        <v>3667</v>
      </c>
      <c r="C65" s="329" t="s">
        <v>444</v>
      </c>
      <c r="D65" s="42" t="s">
        <v>16</v>
      </c>
      <c r="E65" s="329" t="s">
        <v>3944</v>
      </c>
      <c r="F65" s="329">
        <v>26822</v>
      </c>
      <c r="G65" s="329"/>
      <c r="H65" s="329">
        <v>13050</v>
      </c>
      <c r="I65" s="329">
        <v>290</v>
      </c>
      <c r="J65" s="329">
        <v>0.13</v>
      </c>
      <c r="K65" s="43">
        <f t="shared" si="6"/>
        <v>37.700000000000003</v>
      </c>
      <c r="L65" s="43">
        <f t="shared" si="7"/>
        <v>13012.3</v>
      </c>
      <c r="M65" s="43"/>
      <c r="N65" s="43">
        <f t="shared" si="8"/>
        <v>13012.3</v>
      </c>
      <c r="O65" s="43">
        <f t="shared" si="9"/>
        <v>913.5</v>
      </c>
      <c r="P65" s="103">
        <v>19500</v>
      </c>
      <c r="Q65" s="42"/>
      <c r="R65" s="42">
        <f t="shared" si="10"/>
        <v>0</v>
      </c>
      <c r="S65" s="1">
        <v>41</v>
      </c>
    </row>
    <row r="66" spans="1:19">
      <c r="A66" s="374" t="s">
        <v>3945</v>
      </c>
      <c r="B66" s="334" t="s">
        <v>3667</v>
      </c>
      <c r="C66" s="334" t="s">
        <v>444</v>
      </c>
      <c r="D66" s="42" t="s">
        <v>16</v>
      </c>
      <c r="E66" s="334" t="s">
        <v>3946</v>
      </c>
      <c r="F66" s="334">
        <v>26821</v>
      </c>
      <c r="G66" s="334"/>
      <c r="H66" s="334">
        <v>12670</v>
      </c>
      <c r="I66" s="334">
        <v>275</v>
      </c>
      <c r="J66" s="334">
        <v>0.13</v>
      </c>
      <c r="K66" s="43">
        <f t="shared" si="6"/>
        <v>35.75</v>
      </c>
      <c r="L66" s="43">
        <f t="shared" si="7"/>
        <v>12634.25</v>
      </c>
      <c r="M66" s="43"/>
      <c r="N66" s="43">
        <f t="shared" si="8"/>
        <v>12634.25</v>
      </c>
      <c r="O66" s="43">
        <f t="shared" si="9"/>
        <v>886.9</v>
      </c>
      <c r="P66" s="42">
        <v>21000</v>
      </c>
      <c r="S66" s="1">
        <v>42</v>
      </c>
    </row>
    <row r="67" spans="1:19">
      <c r="A67" s="374"/>
      <c r="B67" s="334" t="s">
        <v>3667</v>
      </c>
      <c r="C67" s="334" t="s">
        <v>444</v>
      </c>
      <c r="D67" s="42" t="s">
        <v>16</v>
      </c>
      <c r="E67" s="334" t="s">
        <v>3841</v>
      </c>
      <c r="F67" s="334">
        <v>325</v>
      </c>
      <c r="G67" s="334"/>
      <c r="H67" s="334">
        <v>12670</v>
      </c>
      <c r="I67" s="334">
        <v>269</v>
      </c>
      <c r="J67" s="334">
        <v>0.13</v>
      </c>
      <c r="K67" s="43">
        <f t="shared" si="6"/>
        <v>34.97</v>
      </c>
      <c r="L67" s="43">
        <f t="shared" si="7"/>
        <v>12635.03</v>
      </c>
      <c r="M67" s="43"/>
      <c r="N67" s="43">
        <f t="shared" si="8"/>
        <v>12635.03</v>
      </c>
      <c r="O67" s="43">
        <f t="shared" si="9"/>
        <v>886.9</v>
      </c>
      <c r="P67" s="42">
        <v>21500</v>
      </c>
      <c r="S67" s="1">
        <v>43</v>
      </c>
    </row>
    <row r="70" spans="1:19">
      <c r="H70" s="1">
        <f>SUM(H25:H69)</f>
        <v>547410</v>
      </c>
      <c r="I70" s="1">
        <f t="shared" ref="I70:P70" si="11">SUM(I25:I69)</f>
        <v>12044</v>
      </c>
      <c r="J70" s="1">
        <f t="shared" si="11"/>
        <v>5.5899999999999963</v>
      </c>
      <c r="K70" s="1">
        <f t="shared" si="11"/>
        <v>1565.7200000000005</v>
      </c>
      <c r="L70" s="1">
        <f t="shared" si="11"/>
        <v>545844.28</v>
      </c>
      <c r="M70" s="1">
        <f t="shared" si="11"/>
        <v>0</v>
      </c>
      <c r="N70" s="1">
        <f t="shared" si="11"/>
        <v>545844.28</v>
      </c>
      <c r="O70" s="1">
        <f t="shared" si="11"/>
        <v>38318.699999999997</v>
      </c>
      <c r="P70" s="1">
        <f t="shared" si="11"/>
        <v>863500</v>
      </c>
    </row>
    <row r="73" spans="1:19">
      <c r="A73" s="374" t="s">
        <v>4017</v>
      </c>
      <c r="B73" s="350" t="s">
        <v>3667</v>
      </c>
      <c r="C73" s="350" t="s">
        <v>444</v>
      </c>
      <c r="D73" s="42" t="s">
        <v>16</v>
      </c>
      <c r="E73" s="350" t="s">
        <v>4019</v>
      </c>
      <c r="F73" s="350">
        <v>21695</v>
      </c>
      <c r="G73" s="350"/>
      <c r="H73" s="350">
        <v>12960</v>
      </c>
      <c r="I73" s="350">
        <v>283</v>
      </c>
      <c r="J73" s="350">
        <v>0.13</v>
      </c>
      <c r="K73" s="43">
        <f t="shared" ref="K73:K80" si="12">I73*J73</f>
        <v>36.79</v>
      </c>
      <c r="L73" s="43">
        <f t="shared" ref="L73:L80" si="13">H73-K73</f>
        <v>12923.21</v>
      </c>
      <c r="M73" s="43"/>
      <c r="N73" s="43">
        <f t="shared" ref="N73:N80" si="14">L73-M73</f>
        <v>12923.21</v>
      </c>
      <c r="O73" s="43">
        <f t="shared" ref="O73:O80" si="15">H73/1000*70</f>
        <v>907.2</v>
      </c>
      <c r="P73" s="42"/>
      <c r="Q73" s="42"/>
      <c r="R73" s="42">
        <f t="shared" ref="R73:R80" si="16">L73*Q73</f>
        <v>0</v>
      </c>
    </row>
    <row r="74" spans="1:19">
      <c r="A74" s="374"/>
      <c r="B74" s="350" t="s">
        <v>3667</v>
      </c>
      <c r="C74" s="350" t="s">
        <v>444</v>
      </c>
      <c r="D74" s="42" t="s">
        <v>16</v>
      </c>
      <c r="E74" s="350" t="s">
        <v>4020</v>
      </c>
      <c r="F74" s="350">
        <v>21697</v>
      </c>
      <c r="G74" s="350"/>
      <c r="H74" s="350">
        <v>13370</v>
      </c>
      <c r="I74" s="350">
        <v>290</v>
      </c>
      <c r="J74" s="350">
        <v>0.13</v>
      </c>
      <c r="K74" s="43">
        <f t="shared" si="12"/>
        <v>37.700000000000003</v>
      </c>
      <c r="L74" s="43">
        <f t="shared" si="13"/>
        <v>13332.3</v>
      </c>
      <c r="M74" s="43"/>
      <c r="N74" s="43">
        <f t="shared" si="14"/>
        <v>13332.3</v>
      </c>
      <c r="O74" s="43">
        <f t="shared" si="15"/>
        <v>935.9</v>
      </c>
      <c r="P74" s="42"/>
      <c r="Q74" s="42"/>
      <c r="R74" s="42">
        <f t="shared" si="16"/>
        <v>0</v>
      </c>
    </row>
    <row r="75" spans="1:19">
      <c r="A75" s="374"/>
      <c r="B75" s="350" t="s">
        <v>3667</v>
      </c>
      <c r="C75" s="350" t="s">
        <v>444</v>
      </c>
      <c r="D75" s="42" t="s">
        <v>16</v>
      </c>
      <c r="E75" s="350" t="s">
        <v>4021</v>
      </c>
      <c r="F75" s="350">
        <v>21699</v>
      </c>
      <c r="G75" s="350"/>
      <c r="H75" s="350">
        <v>13000</v>
      </c>
      <c r="I75" s="350">
        <v>285</v>
      </c>
      <c r="J75" s="350">
        <v>0.13</v>
      </c>
      <c r="K75" s="43">
        <f t="shared" si="12"/>
        <v>37.050000000000004</v>
      </c>
      <c r="L75" s="43">
        <f t="shared" si="13"/>
        <v>12962.95</v>
      </c>
      <c r="M75" s="43"/>
      <c r="N75" s="43">
        <f t="shared" si="14"/>
        <v>12962.95</v>
      </c>
      <c r="O75" s="43">
        <f t="shared" si="15"/>
        <v>910</v>
      </c>
      <c r="P75" s="42"/>
      <c r="Q75" s="42"/>
      <c r="R75" s="42">
        <f t="shared" si="16"/>
        <v>0</v>
      </c>
    </row>
    <row r="76" spans="1:19">
      <c r="A76" s="374"/>
      <c r="B76" s="350" t="s">
        <v>3667</v>
      </c>
      <c r="C76" s="350" t="s">
        <v>444</v>
      </c>
      <c r="D76" s="42" t="s">
        <v>16</v>
      </c>
      <c r="E76" s="350" t="s">
        <v>3994</v>
      </c>
      <c r="F76" s="350">
        <v>21698</v>
      </c>
      <c r="G76" s="350"/>
      <c r="H76" s="350">
        <v>12840</v>
      </c>
      <c r="I76" s="350">
        <v>283</v>
      </c>
      <c r="J76" s="350">
        <v>0.13</v>
      </c>
      <c r="K76" s="43">
        <f t="shared" si="12"/>
        <v>36.79</v>
      </c>
      <c r="L76" s="43">
        <f t="shared" si="13"/>
        <v>12803.21</v>
      </c>
      <c r="M76" s="43"/>
      <c r="N76" s="43">
        <f t="shared" si="14"/>
        <v>12803.21</v>
      </c>
      <c r="O76" s="43">
        <f t="shared" si="15"/>
        <v>898.8</v>
      </c>
      <c r="P76" s="42"/>
      <c r="Q76" s="42"/>
      <c r="R76" s="42">
        <f t="shared" si="16"/>
        <v>0</v>
      </c>
    </row>
    <row r="77" spans="1:19">
      <c r="A77" s="374"/>
      <c r="B77" s="350" t="s">
        <v>3667</v>
      </c>
      <c r="C77" s="350" t="s">
        <v>444</v>
      </c>
      <c r="D77" s="42" t="s">
        <v>16</v>
      </c>
      <c r="E77" s="350" t="s">
        <v>3841</v>
      </c>
      <c r="F77" s="350">
        <v>21700</v>
      </c>
      <c r="G77" s="350"/>
      <c r="H77" s="350">
        <v>12820</v>
      </c>
      <c r="I77" s="350">
        <v>284</v>
      </c>
      <c r="J77" s="350">
        <v>0.13</v>
      </c>
      <c r="K77" s="43">
        <f t="shared" si="12"/>
        <v>36.92</v>
      </c>
      <c r="L77" s="43">
        <f t="shared" si="13"/>
        <v>12783.08</v>
      </c>
      <c r="M77" s="43"/>
      <c r="N77" s="43">
        <f t="shared" si="14"/>
        <v>12783.08</v>
      </c>
      <c r="O77" s="43">
        <f t="shared" si="15"/>
        <v>897.4</v>
      </c>
      <c r="P77" s="42"/>
      <c r="Q77" s="42"/>
      <c r="R77" s="42">
        <f t="shared" si="16"/>
        <v>0</v>
      </c>
    </row>
    <row r="78" spans="1:19">
      <c r="A78" s="374"/>
      <c r="B78" s="350" t="s">
        <v>3667</v>
      </c>
      <c r="C78" s="350" t="s">
        <v>444</v>
      </c>
      <c r="D78" s="42" t="s">
        <v>16</v>
      </c>
      <c r="E78" s="350" t="s">
        <v>3218</v>
      </c>
      <c r="F78" s="350">
        <v>21751</v>
      </c>
      <c r="G78" s="350"/>
      <c r="H78" s="350">
        <v>13040</v>
      </c>
      <c r="I78" s="350">
        <v>266</v>
      </c>
      <c r="J78" s="350">
        <v>0.13</v>
      </c>
      <c r="K78" s="43">
        <f t="shared" si="12"/>
        <v>34.58</v>
      </c>
      <c r="L78" s="43">
        <f t="shared" si="13"/>
        <v>13005.42</v>
      </c>
      <c r="M78" s="43"/>
      <c r="N78" s="43">
        <f t="shared" si="14"/>
        <v>13005.42</v>
      </c>
      <c r="O78" s="43">
        <f t="shared" si="15"/>
        <v>912.8</v>
      </c>
      <c r="P78" s="42"/>
      <c r="Q78" s="42"/>
      <c r="R78" s="42">
        <f t="shared" si="16"/>
        <v>0</v>
      </c>
    </row>
    <row r="79" spans="1:19">
      <c r="A79" s="374"/>
      <c r="B79" s="350" t="s">
        <v>3667</v>
      </c>
      <c r="C79" s="350" t="s">
        <v>444</v>
      </c>
      <c r="D79" s="42" t="s">
        <v>16</v>
      </c>
      <c r="E79" s="350" t="s">
        <v>3838</v>
      </c>
      <c r="F79" s="350">
        <v>21752</v>
      </c>
      <c r="G79" s="350"/>
      <c r="H79" s="350">
        <v>12850</v>
      </c>
      <c r="I79" s="350">
        <v>281</v>
      </c>
      <c r="J79" s="350">
        <v>0.13</v>
      </c>
      <c r="K79" s="43">
        <f t="shared" si="12"/>
        <v>36.53</v>
      </c>
      <c r="L79" s="43">
        <f t="shared" si="13"/>
        <v>12813.47</v>
      </c>
      <c r="M79" s="43"/>
      <c r="N79" s="43">
        <f t="shared" si="14"/>
        <v>12813.47</v>
      </c>
      <c r="O79" s="43">
        <f t="shared" si="15"/>
        <v>899.5</v>
      </c>
      <c r="P79" s="42"/>
      <c r="Q79" s="42"/>
      <c r="R79" s="42">
        <f t="shared" si="16"/>
        <v>0</v>
      </c>
    </row>
    <row r="80" spans="1:19">
      <c r="A80" s="374"/>
      <c r="B80" s="350" t="s">
        <v>3667</v>
      </c>
      <c r="C80" s="350" t="s">
        <v>444</v>
      </c>
      <c r="D80" s="42" t="s">
        <v>16</v>
      </c>
      <c r="E80" s="350" t="s">
        <v>4022</v>
      </c>
      <c r="F80" s="350">
        <v>21752</v>
      </c>
      <c r="G80" s="350"/>
      <c r="H80" s="350">
        <v>13120</v>
      </c>
      <c r="I80" s="350">
        <v>293</v>
      </c>
      <c r="J80" s="350">
        <v>0.13</v>
      </c>
      <c r="K80" s="43">
        <f t="shared" si="12"/>
        <v>38.090000000000003</v>
      </c>
      <c r="L80" s="43">
        <f t="shared" si="13"/>
        <v>13081.91</v>
      </c>
      <c r="M80" s="43"/>
      <c r="N80" s="43">
        <f t="shared" si="14"/>
        <v>13081.91</v>
      </c>
      <c r="O80" s="43">
        <f t="shared" si="15"/>
        <v>918.4</v>
      </c>
      <c r="P80" s="42"/>
      <c r="Q80" s="42"/>
      <c r="R80" s="42">
        <f t="shared" si="16"/>
        <v>0</v>
      </c>
    </row>
    <row r="81" spans="1:19">
      <c r="A81" s="374" t="s">
        <v>4023</v>
      </c>
      <c r="B81" s="351" t="s">
        <v>3667</v>
      </c>
      <c r="C81" s="351" t="s">
        <v>444</v>
      </c>
      <c r="D81" s="42" t="s">
        <v>16</v>
      </c>
      <c r="E81" s="351" t="s">
        <v>3882</v>
      </c>
      <c r="F81" s="351">
        <v>21755</v>
      </c>
      <c r="G81" s="351"/>
      <c r="H81" s="351">
        <v>13200</v>
      </c>
      <c r="I81" s="351">
        <v>283</v>
      </c>
      <c r="J81" s="351">
        <v>0.13</v>
      </c>
      <c r="K81" s="43">
        <f>I81*J81</f>
        <v>36.79</v>
      </c>
      <c r="L81" s="43">
        <f>H81-K81</f>
        <v>13163.21</v>
      </c>
      <c r="M81" s="43"/>
      <c r="N81" s="43">
        <f>L81-M81</f>
        <v>13163.21</v>
      </c>
      <c r="O81" s="43">
        <f>H81/1000*70</f>
        <v>924</v>
      </c>
      <c r="P81" s="42">
        <v>0</v>
      </c>
      <c r="Q81" s="42"/>
      <c r="R81" s="42">
        <f>L81*Q81</f>
        <v>0</v>
      </c>
    </row>
    <row r="82" spans="1:19">
      <c r="A82" s="374"/>
      <c r="B82" s="351" t="s">
        <v>3667</v>
      </c>
      <c r="C82" s="351" t="s">
        <v>444</v>
      </c>
      <c r="D82" s="42" t="s">
        <v>16</v>
      </c>
      <c r="E82" s="351" t="s">
        <v>4025</v>
      </c>
      <c r="F82" s="351">
        <v>21754</v>
      </c>
      <c r="G82" s="351"/>
      <c r="H82" s="351">
        <v>13190</v>
      </c>
      <c r="I82" s="351">
        <v>289</v>
      </c>
      <c r="J82" s="351">
        <v>0.13</v>
      </c>
      <c r="K82" s="43">
        <f>I82*J82</f>
        <v>37.57</v>
      </c>
      <c r="L82" s="43">
        <f>H82-K82</f>
        <v>13152.43</v>
      </c>
      <c r="M82" s="43"/>
      <c r="N82" s="43">
        <f>L82-M82</f>
        <v>13152.43</v>
      </c>
      <c r="O82" s="43">
        <f>H82/1000*70</f>
        <v>923.3</v>
      </c>
      <c r="P82" s="42">
        <v>0</v>
      </c>
      <c r="Q82" s="42"/>
      <c r="R82" s="42">
        <f>L82*Q82</f>
        <v>0</v>
      </c>
    </row>
    <row r="86" spans="1:19">
      <c r="H86" s="1">
        <f>SUM(H73:H85)</f>
        <v>130390</v>
      </c>
      <c r="I86" s="1">
        <f t="shared" ref="I86:O86" si="17">SUM(I73:I85)</f>
        <v>2837</v>
      </c>
      <c r="J86" s="1">
        <f t="shared" si="17"/>
        <v>1.2999999999999998</v>
      </c>
      <c r="K86" s="1">
        <f t="shared" si="17"/>
        <v>368.81000000000006</v>
      </c>
      <c r="L86" s="1">
        <f t="shared" si="17"/>
        <v>130021.19</v>
      </c>
      <c r="M86" s="1">
        <f t="shared" si="17"/>
        <v>0</v>
      </c>
      <c r="N86" s="1">
        <f t="shared" si="17"/>
        <v>130021.19</v>
      </c>
      <c r="O86" s="1">
        <f t="shared" si="17"/>
        <v>9127.2999999999993</v>
      </c>
    </row>
    <row r="88" spans="1:19">
      <c r="A88" s="374" t="s">
        <v>4045</v>
      </c>
      <c r="B88" s="357" t="s">
        <v>3667</v>
      </c>
      <c r="C88" s="357" t="s">
        <v>444</v>
      </c>
      <c r="D88" s="42" t="s">
        <v>16</v>
      </c>
      <c r="E88" s="357" t="s">
        <v>4025</v>
      </c>
      <c r="F88" s="357">
        <v>21794</v>
      </c>
      <c r="G88" s="357"/>
      <c r="H88" s="357">
        <v>12910</v>
      </c>
      <c r="I88" s="357">
        <v>289</v>
      </c>
      <c r="J88" s="357">
        <v>0.13</v>
      </c>
      <c r="K88" s="43">
        <f t="shared" ref="K88:K103" si="18">I88*J88</f>
        <v>37.57</v>
      </c>
      <c r="L88" s="43">
        <f t="shared" ref="L88:L103" si="19">H88-K88</f>
        <v>12872.43</v>
      </c>
      <c r="M88" s="43"/>
      <c r="N88" s="43">
        <f t="shared" ref="N88:N103" si="20">L88-M88</f>
        <v>12872.43</v>
      </c>
      <c r="O88" s="43">
        <f t="shared" ref="O88:O103" si="21">H88/1000*70</f>
        <v>903.7</v>
      </c>
      <c r="P88" s="42">
        <v>0</v>
      </c>
      <c r="Q88" s="42"/>
      <c r="R88" s="42">
        <f t="shared" ref="R88:R103" si="22">L88*Q88</f>
        <v>0</v>
      </c>
      <c r="S88" s="42"/>
    </row>
    <row r="89" spans="1:19">
      <c r="A89" s="374"/>
      <c r="B89" s="357" t="s">
        <v>3667</v>
      </c>
      <c r="C89" s="357" t="s">
        <v>444</v>
      </c>
      <c r="D89" s="42" t="s">
        <v>16</v>
      </c>
      <c r="E89" s="357" t="s">
        <v>983</v>
      </c>
      <c r="F89" s="357">
        <v>21796</v>
      </c>
      <c r="G89" s="357"/>
      <c r="H89" s="357">
        <v>12880</v>
      </c>
      <c r="I89" s="357">
        <v>285</v>
      </c>
      <c r="J89" s="357">
        <v>0.13</v>
      </c>
      <c r="K89" s="43">
        <f t="shared" si="18"/>
        <v>37.050000000000004</v>
      </c>
      <c r="L89" s="43">
        <f t="shared" si="19"/>
        <v>12842.95</v>
      </c>
      <c r="M89" s="43"/>
      <c r="N89" s="43">
        <f t="shared" si="20"/>
        <v>12842.95</v>
      </c>
      <c r="O89" s="43">
        <f t="shared" si="21"/>
        <v>901.6</v>
      </c>
      <c r="P89" s="42">
        <v>0</v>
      </c>
      <c r="Q89" s="42"/>
      <c r="R89" s="42">
        <f t="shared" si="22"/>
        <v>0</v>
      </c>
      <c r="S89" s="42"/>
    </row>
    <row r="90" spans="1:19">
      <c r="A90" s="374"/>
      <c r="B90" s="357" t="s">
        <v>3667</v>
      </c>
      <c r="C90" s="357" t="s">
        <v>444</v>
      </c>
      <c r="D90" s="42" t="s">
        <v>16</v>
      </c>
      <c r="E90" s="357" t="s">
        <v>4049</v>
      </c>
      <c r="F90" s="357">
        <v>21787</v>
      </c>
      <c r="G90" s="357"/>
      <c r="H90" s="357">
        <v>13050</v>
      </c>
      <c r="I90" s="357">
        <v>290</v>
      </c>
      <c r="J90" s="357">
        <v>0.13</v>
      </c>
      <c r="K90" s="43">
        <f t="shared" si="18"/>
        <v>37.700000000000003</v>
      </c>
      <c r="L90" s="43">
        <f t="shared" si="19"/>
        <v>13012.3</v>
      </c>
      <c r="M90" s="43"/>
      <c r="N90" s="43">
        <f t="shared" si="20"/>
        <v>13012.3</v>
      </c>
      <c r="O90" s="43">
        <f t="shared" si="21"/>
        <v>913.5</v>
      </c>
      <c r="P90" s="42">
        <v>0</v>
      </c>
      <c r="Q90" s="42"/>
      <c r="R90" s="42">
        <f t="shared" si="22"/>
        <v>0</v>
      </c>
      <c r="S90" s="42"/>
    </row>
    <row r="91" spans="1:19">
      <c r="A91" s="374"/>
      <c r="B91" s="357" t="s">
        <v>3667</v>
      </c>
      <c r="C91" s="357" t="s">
        <v>444</v>
      </c>
      <c r="D91" s="42" t="s">
        <v>16</v>
      </c>
      <c r="E91" s="357" t="s">
        <v>4050</v>
      </c>
      <c r="F91" s="357">
        <v>21797</v>
      </c>
      <c r="G91" s="357"/>
      <c r="H91" s="357">
        <v>13200</v>
      </c>
      <c r="I91" s="357">
        <v>280</v>
      </c>
      <c r="J91" s="357">
        <v>0.13</v>
      </c>
      <c r="K91" s="43">
        <f t="shared" si="18"/>
        <v>36.4</v>
      </c>
      <c r="L91" s="43">
        <f t="shared" si="19"/>
        <v>13163.6</v>
      </c>
      <c r="M91" s="43"/>
      <c r="N91" s="43">
        <f t="shared" si="20"/>
        <v>13163.6</v>
      </c>
      <c r="O91" s="43">
        <f t="shared" si="21"/>
        <v>924</v>
      </c>
      <c r="P91" s="42">
        <v>0</v>
      </c>
      <c r="Q91" s="42"/>
      <c r="R91" s="42">
        <f t="shared" si="22"/>
        <v>0</v>
      </c>
      <c r="S91" s="42"/>
    </row>
    <row r="92" spans="1:19">
      <c r="A92" s="374"/>
      <c r="B92" s="357" t="s">
        <v>3667</v>
      </c>
      <c r="C92" s="357" t="s">
        <v>444</v>
      </c>
      <c r="D92" s="42" t="s">
        <v>16</v>
      </c>
      <c r="E92" s="357" t="s">
        <v>4051</v>
      </c>
      <c r="F92" s="357">
        <v>21786</v>
      </c>
      <c r="G92" s="357"/>
      <c r="H92" s="357">
        <v>13160</v>
      </c>
      <c r="I92" s="357">
        <v>281</v>
      </c>
      <c r="J92" s="357">
        <v>0.13</v>
      </c>
      <c r="K92" s="43">
        <f t="shared" si="18"/>
        <v>36.53</v>
      </c>
      <c r="L92" s="43">
        <f t="shared" si="19"/>
        <v>13123.47</v>
      </c>
      <c r="M92" s="43"/>
      <c r="N92" s="43">
        <f t="shared" si="20"/>
        <v>13123.47</v>
      </c>
      <c r="O92" s="43">
        <f t="shared" si="21"/>
        <v>921.2</v>
      </c>
      <c r="P92" s="42">
        <v>0</v>
      </c>
      <c r="Q92" s="42"/>
      <c r="R92" s="42">
        <f t="shared" si="22"/>
        <v>0</v>
      </c>
      <c r="S92" s="42"/>
    </row>
    <row r="93" spans="1:19">
      <c r="A93" s="374"/>
      <c r="B93" s="357" t="s">
        <v>3667</v>
      </c>
      <c r="C93" s="357" t="s">
        <v>444</v>
      </c>
      <c r="D93" s="42" t="s">
        <v>16</v>
      </c>
      <c r="E93" s="357" t="s">
        <v>4052</v>
      </c>
      <c r="F93" s="357">
        <v>21788</v>
      </c>
      <c r="G93" s="357"/>
      <c r="H93" s="357">
        <v>13000</v>
      </c>
      <c r="I93" s="357">
        <v>289</v>
      </c>
      <c r="J93" s="357">
        <v>0.13</v>
      </c>
      <c r="K93" s="43">
        <f t="shared" si="18"/>
        <v>37.57</v>
      </c>
      <c r="L93" s="43">
        <f t="shared" si="19"/>
        <v>12962.43</v>
      </c>
      <c r="M93" s="43"/>
      <c r="N93" s="43">
        <f t="shared" si="20"/>
        <v>12962.43</v>
      </c>
      <c r="O93" s="43">
        <f t="shared" si="21"/>
        <v>910</v>
      </c>
      <c r="P93" s="42">
        <v>0</v>
      </c>
      <c r="Q93" s="42"/>
      <c r="R93" s="42">
        <f t="shared" si="22"/>
        <v>0</v>
      </c>
      <c r="S93" s="42"/>
    </row>
    <row r="94" spans="1:19">
      <c r="A94" s="374"/>
      <c r="B94" s="357" t="s">
        <v>3667</v>
      </c>
      <c r="C94" s="357" t="s">
        <v>444</v>
      </c>
      <c r="D94" s="42" t="s">
        <v>16</v>
      </c>
      <c r="E94" s="357" t="s">
        <v>4053</v>
      </c>
      <c r="F94" s="357">
        <v>21793</v>
      </c>
      <c r="G94" s="357"/>
      <c r="H94" s="357">
        <v>12980</v>
      </c>
      <c r="I94" s="357">
        <v>280</v>
      </c>
      <c r="J94" s="357">
        <v>0.13</v>
      </c>
      <c r="K94" s="43">
        <f t="shared" si="18"/>
        <v>36.4</v>
      </c>
      <c r="L94" s="43">
        <f t="shared" si="19"/>
        <v>12943.6</v>
      </c>
      <c r="M94" s="43"/>
      <c r="N94" s="43">
        <f t="shared" si="20"/>
        <v>12943.6</v>
      </c>
      <c r="O94" s="43">
        <f t="shared" si="21"/>
        <v>908.6</v>
      </c>
      <c r="P94" s="42">
        <v>0</v>
      </c>
      <c r="Q94" s="42"/>
      <c r="R94" s="42">
        <f t="shared" si="22"/>
        <v>0</v>
      </c>
      <c r="S94" s="85"/>
    </row>
    <row r="95" spans="1:19">
      <c r="A95" s="374"/>
      <c r="B95" s="357" t="s">
        <v>3667</v>
      </c>
      <c r="C95" s="357" t="s">
        <v>444</v>
      </c>
      <c r="D95" s="42" t="s">
        <v>16</v>
      </c>
      <c r="E95" s="357" t="s">
        <v>3921</v>
      </c>
      <c r="F95" s="357">
        <v>21789</v>
      </c>
      <c r="G95" s="357"/>
      <c r="H95" s="357">
        <v>13070</v>
      </c>
      <c r="I95" s="357">
        <v>280</v>
      </c>
      <c r="J95" s="357">
        <v>0.13</v>
      </c>
      <c r="K95" s="43">
        <f t="shared" si="18"/>
        <v>36.4</v>
      </c>
      <c r="L95" s="43">
        <f t="shared" si="19"/>
        <v>13033.6</v>
      </c>
      <c r="M95" s="43"/>
      <c r="N95" s="43">
        <f t="shared" si="20"/>
        <v>13033.6</v>
      </c>
      <c r="O95" s="43">
        <f t="shared" si="21"/>
        <v>914.9</v>
      </c>
      <c r="P95" s="42">
        <v>0</v>
      </c>
      <c r="Q95" s="42"/>
      <c r="R95" s="42">
        <f t="shared" si="22"/>
        <v>0</v>
      </c>
      <c r="S95" s="42"/>
    </row>
    <row r="96" spans="1:19">
      <c r="A96" s="374"/>
      <c r="B96" s="357" t="s">
        <v>3667</v>
      </c>
      <c r="C96" s="357" t="s">
        <v>444</v>
      </c>
      <c r="D96" s="42" t="s">
        <v>16</v>
      </c>
      <c r="E96" s="357" t="s">
        <v>3218</v>
      </c>
      <c r="F96" s="357">
        <v>21795</v>
      </c>
      <c r="G96" s="357"/>
      <c r="H96" s="357">
        <v>13100</v>
      </c>
      <c r="I96" s="357">
        <v>278</v>
      </c>
      <c r="J96" s="357">
        <v>0.13</v>
      </c>
      <c r="K96" s="43">
        <f t="shared" si="18"/>
        <v>36.14</v>
      </c>
      <c r="L96" s="43">
        <f t="shared" si="19"/>
        <v>13063.86</v>
      </c>
      <c r="M96" s="43"/>
      <c r="N96" s="43">
        <f t="shared" si="20"/>
        <v>13063.86</v>
      </c>
      <c r="O96" s="43">
        <f t="shared" si="21"/>
        <v>917</v>
      </c>
      <c r="P96" s="42">
        <v>0</v>
      </c>
      <c r="Q96" s="42"/>
      <c r="R96" s="42">
        <f t="shared" si="22"/>
        <v>0</v>
      </c>
      <c r="S96" s="42"/>
    </row>
    <row r="97" spans="1:19">
      <c r="A97" s="374"/>
      <c r="B97" s="357" t="s">
        <v>3667</v>
      </c>
      <c r="C97" s="357" t="s">
        <v>444</v>
      </c>
      <c r="D97" s="42" t="s">
        <v>16</v>
      </c>
      <c r="E97" s="357" t="s">
        <v>4054</v>
      </c>
      <c r="F97" s="357">
        <v>21792</v>
      </c>
      <c r="G97" s="357"/>
      <c r="H97" s="357">
        <v>13400</v>
      </c>
      <c r="I97" s="357">
        <v>290</v>
      </c>
      <c r="J97" s="357">
        <v>0.13</v>
      </c>
      <c r="K97" s="43">
        <f t="shared" si="18"/>
        <v>37.700000000000003</v>
      </c>
      <c r="L97" s="43">
        <f t="shared" si="19"/>
        <v>13362.3</v>
      </c>
      <c r="M97" s="43"/>
      <c r="N97" s="43">
        <f t="shared" si="20"/>
        <v>13362.3</v>
      </c>
      <c r="O97" s="43">
        <f t="shared" si="21"/>
        <v>938</v>
      </c>
      <c r="P97" s="42">
        <v>0</v>
      </c>
      <c r="Q97" s="42"/>
      <c r="R97" s="42">
        <f t="shared" si="22"/>
        <v>0</v>
      </c>
      <c r="S97" s="42"/>
    </row>
    <row r="98" spans="1:19">
      <c r="A98" s="374"/>
      <c r="B98" s="357" t="s">
        <v>3667</v>
      </c>
      <c r="C98" s="357" t="s">
        <v>444</v>
      </c>
      <c r="D98" s="42" t="s">
        <v>16</v>
      </c>
      <c r="E98" s="357" t="s">
        <v>4055</v>
      </c>
      <c r="F98" s="357">
        <v>21791</v>
      </c>
      <c r="G98" s="357"/>
      <c r="H98" s="357">
        <v>13050</v>
      </c>
      <c r="I98" s="357">
        <v>290</v>
      </c>
      <c r="J98" s="357">
        <v>0.13</v>
      </c>
      <c r="K98" s="43">
        <f t="shared" si="18"/>
        <v>37.700000000000003</v>
      </c>
      <c r="L98" s="43">
        <f t="shared" si="19"/>
        <v>13012.3</v>
      </c>
      <c r="M98" s="43"/>
      <c r="N98" s="43">
        <f t="shared" si="20"/>
        <v>13012.3</v>
      </c>
      <c r="O98" s="43">
        <f t="shared" si="21"/>
        <v>913.5</v>
      </c>
      <c r="P98" s="42">
        <v>0</v>
      </c>
      <c r="Q98" s="42"/>
      <c r="R98" s="42">
        <f t="shared" si="22"/>
        <v>0</v>
      </c>
      <c r="S98" s="42"/>
    </row>
    <row r="99" spans="1:19">
      <c r="A99" s="374"/>
      <c r="B99" s="357" t="s">
        <v>3667</v>
      </c>
      <c r="C99" s="357" t="s">
        <v>444</v>
      </c>
      <c r="D99" s="42" t="s">
        <v>16</v>
      </c>
      <c r="E99" s="357" t="s">
        <v>3903</v>
      </c>
      <c r="F99" s="357">
        <v>21799</v>
      </c>
      <c r="G99" s="357"/>
      <c r="H99" s="357">
        <v>12510</v>
      </c>
      <c r="I99" s="357">
        <v>245</v>
      </c>
      <c r="J99" s="357">
        <v>0.13</v>
      </c>
      <c r="K99" s="43">
        <f t="shared" si="18"/>
        <v>31.85</v>
      </c>
      <c r="L99" s="43">
        <f t="shared" si="19"/>
        <v>12478.15</v>
      </c>
      <c r="M99" s="43"/>
      <c r="N99" s="43">
        <f t="shared" si="20"/>
        <v>12478.15</v>
      </c>
      <c r="O99" s="43">
        <f t="shared" si="21"/>
        <v>875.69999999999993</v>
      </c>
      <c r="P99" s="42">
        <v>0</v>
      </c>
      <c r="Q99" s="42"/>
      <c r="R99" s="42">
        <f t="shared" si="22"/>
        <v>0</v>
      </c>
      <c r="S99" s="42"/>
    </row>
    <row r="100" spans="1:19">
      <c r="A100" s="374"/>
      <c r="B100" s="357" t="s">
        <v>3667</v>
      </c>
      <c r="C100" s="357" t="s">
        <v>444</v>
      </c>
      <c r="D100" s="42" t="s">
        <v>16</v>
      </c>
      <c r="E100" s="357" t="s">
        <v>3944</v>
      </c>
      <c r="F100" s="357">
        <v>21798</v>
      </c>
      <c r="G100" s="357"/>
      <c r="H100" s="357">
        <v>13070</v>
      </c>
      <c r="I100" s="357">
        <v>275</v>
      </c>
      <c r="J100" s="357">
        <v>0.13</v>
      </c>
      <c r="K100" s="43">
        <f t="shared" si="18"/>
        <v>35.75</v>
      </c>
      <c r="L100" s="43">
        <f t="shared" si="19"/>
        <v>13034.25</v>
      </c>
      <c r="M100" s="43"/>
      <c r="N100" s="43">
        <f t="shared" si="20"/>
        <v>13034.25</v>
      </c>
      <c r="O100" s="43">
        <f t="shared" si="21"/>
        <v>914.9</v>
      </c>
      <c r="P100" s="42">
        <v>0</v>
      </c>
      <c r="Q100" s="42"/>
      <c r="R100" s="42">
        <f t="shared" si="22"/>
        <v>0</v>
      </c>
      <c r="S100" s="47"/>
    </row>
    <row r="101" spans="1:19">
      <c r="A101" s="374"/>
      <c r="B101" s="357" t="s">
        <v>3667</v>
      </c>
      <c r="C101" s="357" t="s">
        <v>444</v>
      </c>
      <c r="D101" s="42" t="s">
        <v>16</v>
      </c>
      <c r="E101" s="357" t="s">
        <v>3905</v>
      </c>
      <c r="F101" s="357">
        <v>21800</v>
      </c>
      <c r="G101" s="357"/>
      <c r="H101" s="357">
        <v>13130</v>
      </c>
      <c r="I101" s="357">
        <v>282</v>
      </c>
      <c r="J101" s="357">
        <v>0.13</v>
      </c>
      <c r="K101" s="43">
        <f t="shared" si="18"/>
        <v>36.660000000000004</v>
      </c>
      <c r="L101" s="43">
        <f t="shared" si="19"/>
        <v>13093.34</v>
      </c>
      <c r="M101" s="43"/>
      <c r="N101" s="43">
        <f t="shared" si="20"/>
        <v>13093.34</v>
      </c>
      <c r="O101" s="43">
        <f t="shared" si="21"/>
        <v>919.1</v>
      </c>
      <c r="P101" s="42">
        <v>0</v>
      </c>
      <c r="Q101" s="42"/>
      <c r="R101" s="42">
        <f t="shared" si="22"/>
        <v>0</v>
      </c>
      <c r="S101" s="47"/>
    </row>
    <row r="102" spans="1:19">
      <c r="A102" s="374" t="s">
        <v>4056</v>
      </c>
      <c r="B102" s="357" t="s">
        <v>3667</v>
      </c>
      <c r="C102" s="357" t="s">
        <v>444</v>
      </c>
      <c r="D102" s="42" t="s">
        <v>16</v>
      </c>
      <c r="E102" s="357" t="s">
        <v>1278</v>
      </c>
      <c r="F102" s="357">
        <v>21790</v>
      </c>
      <c r="G102" s="357"/>
      <c r="H102" s="357">
        <v>12870</v>
      </c>
      <c r="I102" s="357">
        <v>268</v>
      </c>
      <c r="J102" s="357">
        <v>0.13</v>
      </c>
      <c r="K102" s="43">
        <f t="shared" si="18"/>
        <v>34.840000000000003</v>
      </c>
      <c r="L102" s="43">
        <f t="shared" si="19"/>
        <v>12835.16</v>
      </c>
      <c r="M102" s="43"/>
      <c r="N102" s="43">
        <f t="shared" si="20"/>
        <v>12835.16</v>
      </c>
      <c r="O102" s="43">
        <f t="shared" si="21"/>
        <v>900.9</v>
      </c>
      <c r="P102" s="42">
        <v>0</v>
      </c>
      <c r="Q102" s="42"/>
      <c r="R102" s="42">
        <f t="shared" si="22"/>
        <v>0</v>
      </c>
    </row>
    <row r="103" spans="1:19">
      <c r="A103" s="374"/>
      <c r="B103" s="357" t="s">
        <v>3667</v>
      </c>
      <c r="C103" s="357" t="s">
        <v>444</v>
      </c>
      <c r="D103" s="42" t="s">
        <v>16</v>
      </c>
      <c r="E103" s="357" t="s">
        <v>4061</v>
      </c>
      <c r="F103" s="357">
        <v>21801</v>
      </c>
      <c r="G103" s="357"/>
      <c r="H103" s="357">
        <v>13040</v>
      </c>
      <c r="I103" s="357">
        <v>280</v>
      </c>
      <c r="J103" s="357">
        <v>0.13</v>
      </c>
      <c r="K103" s="43">
        <f t="shared" si="18"/>
        <v>36.4</v>
      </c>
      <c r="L103" s="43">
        <f t="shared" si="19"/>
        <v>13003.6</v>
      </c>
      <c r="M103" s="43"/>
      <c r="N103" s="43">
        <f t="shared" si="20"/>
        <v>13003.6</v>
      </c>
      <c r="O103" s="43">
        <f t="shared" si="21"/>
        <v>912.8</v>
      </c>
      <c r="P103" s="42">
        <v>0</v>
      </c>
      <c r="Q103" s="42"/>
      <c r="R103" s="42">
        <f t="shared" si="22"/>
        <v>0</v>
      </c>
    </row>
  </sheetData>
  <mergeCells count="9">
    <mergeCell ref="A88:A101"/>
    <mergeCell ref="A102:A103"/>
    <mergeCell ref="A73:A80"/>
    <mergeCell ref="A81:A82"/>
    <mergeCell ref="A9:A19"/>
    <mergeCell ref="A25:A32"/>
    <mergeCell ref="A33:A50"/>
    <mergeCell ref="A51:A65"/>
    <mergeCell ref="A66:A67"/>
  </mergeCells>
  <pageMargins left="0" right="0.2" top="1" bottom="0.25" header="0.3" footer="0.3"/>
  <pageSetup paperSize="9" orientation="landscape" verticalDpi="0" r:id="rId1"/>
</worksheet>
</file>

<file path=xl/worksheets/sheet116.xml><?xml version="1.0" encoding="utf-8"?>
<worksheet xmlns="http://schemas.openxmlformats.org/spreadsheetml/2006/main" xmlns:r="http://schemas.openxmlformats.org/officeDocument/2006/relationships">
  <dimension ref="A5:V54"/>
  <sheetViews>
    <sheetView topLeftCell="A37" zoomScale="85" zoomScaleNormal="85" workbookViewId="0">
      <selection activeCell="A55" sqref="A55"/>
    </sheetView>
  </sheetViews>
  <sheetFormatPr defaultRowHeight="14.4"/>
  <cols>
    <col min="1" max="1" width="8.88671875" style="1"/>
    <col min="2" max="2" width="24.77734375" style="1" customWidth="1"/>
    <col min="3" max="3" width="8.88671875" style="1"/>
    <col min="4" max="4" width="5.5546875" style="1" customWidth="1"/>
    <col min="5" max="5" width="9.7773437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2" ht="20.399999999999999">
      <c r="A5" s="58" t="s">
        <v>3</v>
      </c>
      <c r="B5" s="58" t="s">
        <v>4</v>
      </c>
      <c r="C5" s="58" t="s">
        <v>5</v>
      </c>
      <c r="D5" s="58" t="s">
        <v>6</v>
      </c>
      <c r="E5" s="58" t="s">
        <v>37</v>
      </c>
      <c r="F5" s="59" t="s">
        <v>7</v>
      </c>
      <c r="G5" s="58" t="s">
        <v>8</v>
      </c>
      <c r="H5" s="58" t="s">
        <v>9</v>
      </c>
      <c r="I5" s="58" t="s">
        <v>10</v>
      </c>
      <c r="J5" s="59" t="s">
        <v>18</v>
      </c>
      <c r="K5" s="59" t="s">
        <v>17</v>
      </c>
      <c r="L5" s="58" t="s">
        <v>11</v>
      </c>
      <c r="M5" s="59" t="s">
        <v>36</v>
      </c>
      <c r="N5" s="58" t="s">
        <v>12</v>
      </c>
      <c r="O5" s="58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258</v>
      </c>
    </row>
    <row r="6" spans="1:22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</row>
    <row r="7" spans="1:22">
      <c r="A7" s="62"/>
      <c r="B7" s="62"/>
      <c r="C7" s="62"/>
      <c r="D7" s="62"/>
      <c r="E7" s="62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</row>
    <row r="8" spans="1:22">
      <c r="A8" s="62"/>
      <c r="B8" s="62"/>
      <c r="C8" s="62"/>
      <c r="D8" s="62"/>
      <c r="E8" s="62"/>
      <c r="F8" s="62"/>
      <c r="G8" s="62"/>
      <c r="H8" s="62"/>
      <c r="I8" s="62"/>
      <c r="J8" s="62"/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</row>
    <row r="9" spans="1:22">
      <c r="A9" s="63"/>
      <c r="B9" s="67"/>
      <c r="C9" s="67"/>
      <c r="D9" s="67"/>
      <c r="E9" s="67"/>
      <c r="F9" s="67"/>
      <c r="G9" s="67"/>
      <c r="H9" s="67"/>
      <c r="I9" s="67"/>
      <c r="J9" s="67"/>
      <c r="K9" s="67"/>
      <c r="L9" s="68"/>
      <c r="M9" s="68"/>
      <c r="N9" s="68"/>
      <c r="O9" s="68"/>
      <c r="P9" s="67"/>
      <c r="Q9" s="67"/>
      <c r="R9" s="67"/>
      <c r="S9" s="160"/>
      <c r="T9" s="62"/>
      <c r="U9" s="62"/>
      <c r="V9" s="62"/>
    </row>
    <row r="10" spans="1:22">
      <c r="A10" s="62"/>
      <c r="B10" s="62"/>
      <c r="C10" s="62"/>
      <c r="D10" s="62"/>
      <c r="E10" s="62"/>
      <c r="F10" s="62"/>
      <c r="G10" s="62"/>
      <c r="H10" s="62"/>
      <c r="I10" s="62"/>
      <c r="J10" s="62"/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</row>
    <row r="11" spans="1:22">
      <c r="A11" s="62"/>
      <c r="B11" s="62"/>
      <c r="C11" s="62"/>
      <c r="D11" s="62"/>
      <c r="E11" s="62"/>
      <c r="F11" s="62"/>
      <c r="G11" s="62"/>
      <c r="H11" s="62"/>
      <c r="I11" s="62"/>
      <c r="J11" s="62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</row>
    <row r="12" spans="1:22">
      <c r="A12" s="62"/>
      <c r="B12" s="67"/>
      <c r="C12" s="67"/>
      <c r="D12" s="67"/>
      <c r="E12" s="67"/>
      <c r="F12" s="67"/>
      <c r="G12" s="67"/>
      <c r="H12" s="67"/>
      <c r="I12" s="67"/>
      <c r="J12" s="67"/>
      <c r="K12" s="67"/>
      <c r="L12" s="68"/>
      <c r="M12" s="68"/>
      <c r="N12" s="68"/>
      <c r="O12" s="68"/>
      <c r="P12" s="67"/>
      <c r="Q12" s="67"/>
      <c r="R12" s="67"/>
      <c r="S12" s="62"/>
      <c r="T12" s="62"/>
      <c r="U12" s="62"/>
      <c r="V12" s="62"/>
    </row>
    <row r="13" spans="1:22">
      <c r="A13" s="62" t="s">
        <v>3028</v>
      </c>
      <c r="B13" s="42" t="s">
        <v>696</v>
      </c>
      <c r="C13" s="42" t="s">
        <v>444</v>
      </c>
      <c r="D13" s="42" t="s">
        <v>16</v>
      </c>
      <c r="E13" s="42" t="s">
        <v>3029</v>
      </c>
      <c r="F13" s="42">
        <v>5412</v>
      </c>
      <c r="G13" s="42"/>
      <c r="H13" s="42">
        <v>12460</v>
      </c>
      <c r="I13" s="42">
        <v>287</v>
      </c>
      <c r="J13" s="42">
        <v>0.13</v>
      </c>
      <c r="K13" s="43">
        <f t="shared" ref="K13" si="0">I13*J13</f>
        <v>37.31</v>
      </c>
      <c r="L13" s="43">
        <f t="shared" ref="L13" si="1">H13-K13</f>
        <v>12422.69</v>
      </c>
      <c r="M13" s="43"/>
      <c r="N13" s="43">
        <f t="shared" ref="N13" si="2">L13-M13</f>
        <v>12422.69</v>
      </c>
      <c r="O13" s="43">
        <f t="shared" ref="O13" si="3">H13/1000*70</f>
        <v>872.2</v>
      </c>
      <c r="P13" s="42">
        <v>22000</v>
      </c>
      <c r="Q13" s="42">
        <v>27</v>
      </c>
      <c r="R13" s="42">
        <f t="shared" ref="R13" si="4">L13*Q13</f>
        <v>335412.63</v>
      </c>
      <c r="S13" s="62"/>
      <c r="T13" s="62"/>
      <c r="U13" s="62"/>
      <c r="V13" s="62"/>
    </row>
    <row r="14" spans="1:22">
      <c r="A14" s="62"/>
      <c r="B14" s="67"/>
      <c r="C14" s="67"/>
      <c r="D14" s="67"/>
      <c r="E14" s="67"/>
      <c r="F14" s="67"/>
      <c r="G14" s="67"/>
      <c r="H14" s="67"/>
      <c r="I14" s="67"/>
      <c r="J14" s="67"/>
      <c r="K14" s="67"/>
      <c r="L14" s="68"/>
      <c r="M14" s="68"/>
      <c r="N14" s="68"/>
      <c r="O14" s="68"/>
      <c r="P14" s="67"/>
      <c r="Q14" s="67"/>
      <c r="R14" s="67"/>
      <c r="S14" s="62"/>
      <c r="T14" s="62"/>
      <c r="U14" s="62"/>
      <c r="V14" s="62"/>
    </row>
    <row r="15" spans="1:22">
      <c r="A15" s="21" t="s">
        <v>3036</v>
      </c>
      <c r="B15" s="42" t="s">
        <v>696</v>
      </c>
      <c r="C15" s="42" t="s">
        <v>444</v>
      </c>
      <c r="D15" s="42" t="s">
        <v>16</v>
      </c>
      <c r="E15" s="42" t="s">
        <v>2568</v>
      </c>
      <c r="F15" s="42">
        <v>5413</v>
      </c>
      <c r="G15" s="42"/>
      <c r="H15" s="42">
        <v>13220</v>
      </c>
      <c r="I15" s="42">
        <v>330</v>
      </c>
      <c r="J15" s="42">
        <v>0.13</v>
      </c>
      <c r="K15" s="43">
        <f t="shared" ref="K15" si="5">I15*J15</f>
        <v>42.9</v>
      </c>
      <c r="L15" s="43">
        <f t="shared" ref="L15" si="6">H15-K15</f>
        <v>13177.1</v>
      </c>
      <c r="M15" s="43"/>
      <c r="N15" s="43">
        <f t="shared" ref="N15" si="7">L15-M15</f>
        <v>13177.1</v>
      </c>
      <c r="O15" s="43">
        <f t="shared" ref="O15" si="8">H15/1000*70</f>
        <v>925.40000000000009</v>
      </c>
      <c r="P15" s="42">
        <v>20000</v>
      </c>
      <c r="Q15" s="42">
        <v>27</v>
      </c>
      <c r="R15" s="42">
        <f t="shared" ref="R15" si="9">L15*Q15</f>
        <v>355781.7</v>
      </c>
      <c r="S15" s="62"/>
      <c r="T15" s="62"/>
      <c r="U15" s="62"/>
      <c r="V15" s="62"/>
    </row>
    <row r="16" spans="1:22">
      <c r="A16" s="62"/>
      <c r="B16" s="62"/>
      <c r="C16" s="62"/>
      <c r="D16" s="62"/>
      <c r="E16" s="62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</row>
    <row r="17" spans="1:22">
      <c r="A17" s="21" t="s">
        <v>3060</v>
      </c>
      <c r="B17" s="42" t="s">
        <v>696</v>
      </c>
      <c r="C17" s="42" t="s">
        <v>444</v>
      </c>
      <c r="D17" s="42" t="s">
        <v>16</v>
      </c>
      <c r="E17" s="42" t="s">
        <v>3062</v>
      </c>
      <c r="F17" s="42">
        <v>5414</v>
      </c>
      <c r="G17" s="42">
        <v>2003</v>
      </c>
      <c r="H17" s="42">
        <v>12910</v>
      </c>
      <c r="I17" s="42">
        <v>330</v>
      </c>
      <c r="J17" s="42">
        <v>0.13</v>
      </c>
      <c r="K17" s="43">
        <f t="shared" ref="K17" si="10">I17*J17</f>
        <v>42.9</v>
      </c>
      <c r="L17" s="43">
        <f t="shared" ref="L17" si="11">H17-K17</f>
        <v>12867.1</v>
      </c>
      <c r="M17" s="43"/>
      <c r="N17" s="43">
        <f t="shared" ref="N17" si="12">L17-M17</f>
        <v>12867.1</v>
      </c>
      <c r="O17" s="43">
        <f t="shared" ref="O17" si="13">H17/1000*70</f>
        <v>903.7</v>
      </c>
      <c r="P17" s="42">
        <v>23000</v>
      </c>
      <c r="Q17" s="42">
        <v>28.5</v>
      </c>
      <c r="R17" s="42">
        <f t="shared" ref="R17" si="14">L17*Q17</f>
        <v>366712.35000000003</v>
      </c>
      <c r="S17" s="62"/>
      <c r="T17" s="62"/>
      <c r="U17" s="62"/>
      <c r="V17" s="62"/>
    </row>
    <row r="18" spans="1:22">
      <c r="A18" s="62"/>
      <c r="B18" s="62"/>
      <c r="C18" s="62"/>
      <c r="D18" s="62"/>
      <c r="E18" s="62"/>
      <c r="F18" s="62"/>
      <c r="G18" s="62"/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</row>
    <row r="19" spans="1:22">
      <c r="A19" s="21" t="s">
        <v>3068</v>
      </c>
      <c r="B19" s="42" t="s">
        <v>696</v>
      </c>
      <c r="C19" s="42" t="s">
        <v>444</v>
      </c>
      <c r="D19" s="42" t="s">
        <v>16</v>
      </c>
      <c r="E19" s="42" t="s">
        <v>3069</v>
      </c>
      <c r="F19" s="42">
        <v>5441</v>
      </c>
      <c r="G19" s="42"/>
      <c r="H19" s="42">
        <v>9460</v>
      </c>
      <c r="I19" s="42">
        <v>189</v>
      </c>
      <c r="J19" s="42">
        <v>0.13</v>
      </c>
      <c r="K19" s="43">
        <f t="shared" ref="K19" si="15">I19*J19</f>
        <v>24.57</v>
      </c>
      <c r="L19" s="43">
        <f t="shared" ref="L19" si="16">H19-K19</f>
        <v>9435.43</v>
      </c>
      <c r="M19" s="43"/>
      <c r="N19" s="43">
        <f t="shared" ref="N19" si="17">L19-M19</f>
        <v>9435.43</v>
      </c>
      <c r="O19" s="43">
        <f t="shared" ref="O19" si="18">H19/1000*70</f>
        <v>662.2</v>
      </c>
      <c r="P19" s="42">
        <v>17010</v>
      </c>
      <c r="Q19" s="42">
        <v>28.5</v>
      </c>
      <c r="R19" s="42">
        <f t="shared" ref="R19" si="19">L19*Q19</f>
        <v>268909.755</v>
      </c>
      <c r="S19" s="62"/>
      <c r="T19" s="62"/>
      <c r="U19" s="62"/>
      <c r="V19" s="62"/>
    </row>
    <row r="20" spans="1:22">
      <c r="A20" s="62"/>
      <c r="B20" s="62"/>
      <c r="C20" s="62"/>
      <c r="D20" s="62"/>
      <c r="E20" s="62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</row>
    <row r="21" spans="1:22">
      <c r="A21" s="1" t="s">
        <v>3077</v>
      </c>
      <c r="B21" s="42" t="s">
        <v>696</v>
      </c>
      <c r="C21" s="42" t="s">
        <v>444</v>
      </c>
      <c r="D21" s="42" t="s">
        <v>16</v>
      </c>
      <c r="E21" s="42" t="s">
        <v>2630</v>
      </c>
      <c r="F21" s="42">
        <v>9575</v>
      </c>
      <c r="G21" s="42"/>
      <c r="H21" s="42">
        <v>12980</v>
      </c>
      <c r="I21" s="42">
        <v>330</v>
      </c>
      <c r="J21" s="42">
        <v>0.13</v>
      </c>
      <c r="K21" s="43">
        <f t="shared" ref="K21" si="20">I21*J21</f>
        <v>42.9</v>
      </c>
      <c r="L21" s="43">
        <f t="shared" ref="L21" si="21">H21-K21</f>
        <v>12937.1</v>
      </c>
      <c r="M21" s="43"/>
      <c r="N21" s="43">
        <f t="shared" ref="N21" si="22">L21-M21</f>
        <v>12937.1</v>
      </c>
      <c r="O21" s="43">
        <f t="shared" ref="O21" si="23">H21/1000*70</f>
        <v>908.6</v>
      </c>
      <c r="P21" s="42">
        <v>18500</v>
      </c>
      <c r="Q21" s="42">
        <v>28.5</v>
      </c>
      <c r="R21" s="42">
        <f t="shared" ref="R21" si="24">L21*Q21</f>
        <v>368707.35000000003</v>
      </c>
    </row>
    <row r="23" spans="1:22">
      <c r="A23" s="1" t="s">
        <v>3091</v>
      </c>
      <c r="B23" s="42" t="s">
        <v>696</v>
      </c>
      <c r="C23" s="42" t="s">
        <v>444</v>
      </c>
      <c r="D23" s="42" t="s">
        <v>16</v>
      </c>
      <c r="E23" s="42" t="s">
        <v>2017</v>
      </c>
      <c r="F23" s="42">
        <v>9148</v>
      </c>
      <c r="G23" s="42"/>
      <c r="H23" s="42">
        <v>12720</v>
      </c>
      <c r="I23" s="42">
        <v>325</v>
      </c>
      <c r="J23" s="42">
        <v>0.13</v>
      </c>
      <c r="K23" s="43">
        <f t="shared" ref="K23" si="25">I23*J23</f>
        <v>42.25</v>
      </c>
      <c r="L23" s="43">
        <f t="shared" ref="L23" si="26">H23-K23</f>
        <v>12677.75</v>
      </c>
      <c r="M23" s="43"/>
      <c r="N23" s="43">
        <f t="shared" ref="N23" si="27">L23-M23</f>
        <v>12677.75</v>
      </c>
      <c r="O23" s="43">
        <f t="shared" ref="O23" si="28">H23/1000*70</f>
        <v>890.40000000000009</v>
      </c>
      <c r="P23" s="42">
        <v>19000</v>
      </c>
      <c r="Q23" s="42">
        <v>28.5</v>
      </c>
      <c r="R23" s="42">
        <f t="shared" ref="R23" si="29">L23*Q23</f>
        <v>361315.875</v>
      </c>
    </row>
    <row r="25" spans="1:22">
      <c r="A25" s="1" t="s">
        <v>3115</v>
      </c>
      <c r="B25" s="42" t="s">
        <v>696</v>
      </c>
      <c r="C25" s="42" t="s">
        <v>444</v>
      </c>
      <c r="D25" s="42" t="s">
        <v>16</v>
      </c>
      <c r="E25" s="42" t="s">
        <v>3116</v>
      </c>
      <c r="F25" s="42">
        <v>2620</v>
      </c>
      <c r="G25" s="42"/>
      <c r="H25" s="42">
        <v>13240</v>
      </c>
      <c r="I25" s="42">
        <v>325</v>
      </c>
      <c r="J25" s="42">
        <v>0.13</v>
      </c>
      <c r="K25" s="43">
        <f t="shared" ref="K25" si="30">I25*J25</f>
        <v>42.25</v>
      </c>
      <c r="L25" s="43">
        <f t="shared" ref="L25" si="31">H25-K25</f>
        <v>13197.75</v>
      </c>
      <c r="M25" s="43"/>
      <c r="N25" s="43">
        <f t="shared" ref="N25" si="32">L25-M25</f>
        <v>13197.75</v>
      </c>
      <c r="O25" s="43">
        <f t="shared" ref="O25" si="33">H25/1000*70</f>
        <v>926.80000000000007</v>
      </c>
      <c r="P25" s="42">
        <v>19800</v>
      </c>
      <c r="Q25" s="42">
        <v>29</v>
      </c>
      <c r="R25" s="42">
        <f t="shared" ref="R25" si="34">L25*Q25</f>
        <v>382734.75</v>
      </c>
    </row>
    <row r="27" spans="1:22">
      <c r="A27" s="1" t="s">
        <v>3128</v>
      </c>
      <c r="B27" s="42" t="s">
        <v>696</v>
      </c>
      <c r="C27" s="42" t="s">
        <v>444</v>
      </c>
      <c r="D27" s="42" t="s">
        <v>16</v>
      </c>
      <c r="E27" s="42" t="s">
        <v>3132</v>
      </c>
      <c r="F27" s="42">
        <v>3056</v>
      </c>
      <c r="G27" s="42"/>
      <c r="H27" s="42">
        <v>13030</v>
      </c>
      <c r="I27" s="42">
        <v>315</v>
      </c>
      <c r="J27" s="42">
        <v>0.13</v>
      </c>
      <c r="K27" s="43">
        <f t="shared" ref="K27" si="35">I27*J27</f>
        <v>40.950000000000003</v>
      </c>
      <c r="L27" s="43">
        <f t="shared" ref="L27" si="36">H27-K27</f>
        <v>12989.05</v>
      </c>
      <c r="M27" s="43"/>
      <c r="N27" s="43">
        <f t="shared" ref="N27" si="37">L27-M27</f>
        <v>12989.05</v>
      </c>
      <c r="O27" s="43">
        <f t="shared" ref="O27" si="38">H27/1000*70</f>
        <v>912.09999999999991</v>
      </c>
      <c r="P27" s="42">
        <v>22000</v>
      </c>
      <c r="Q27" s="42">
        <v>29</v>
      </c>
      <c r="R27" s="42">
        <f t="shared" ref="R27" si="39">L27*Q27</f>
        <v>376682.44999999995</v>
      </c>
    </row>
    <row r="29" spans="1:22">
      <c r="A29" s="374" t="s">
        <v>3149</v>
      </c>
      <c r="B29" s="42" t="s">
        <v>696</v>
      </c>
      <c r="C29" s="42" t="s">
        <v>444</v>
      </c>
      <c r="D29" s="42" t="s">
        <v>16</v>
      </c>
      <c r="E29" s="42" t="s">
        <v>1619</v>
      </c>
      <c r="F29" s="42">
        <v>3063</v>
      </c>
      <c r="G29" s="42"/>
      <c r="H29" s="42">
        <v>12470</v>
      </c>
      <c r="I29" s="42">
        <v>310</v>
      </c>
      <c r="J29" s="42">
        <v>0.13</v>
      </c>
      <c r="K29" s="43">
        <f t="shared" ref="K29:K30" si="40">I29*J29</f>
        <v>40.300000000000004</v>
      </c>
      <c r="L29" s="43">
        <f t="shared" ref="L29:L30" si="41">H29-K29</f>
        <v>12429.7</v>
      </c>
      <c r="M29" s="43"/>
      <c r="N29" s="43">
        <f t="shared" ref="N29:N30" si="42">L29-M29</f>
        <v>12429.7</v>
      </c>
      <c r="O29" s="43">
        <f t="shared" ref="O29:O30" si="43">H29/1000*70</f>
        <v>872.90000000000009</v>
      </c>
      <c r="P29" s="42">
        <v>20500</v>
      </c>
      <c r="Q29" s="42">
        <v>29</v>
      </c>
      <c r="R29" s="42">
        <f t="shared" ref="R29:R30" si="44">L29*Q29</f>
        <v>360461.30000000005</v>
      </c>
    </row>
    <row r="30" spans="1:22">
      <c r="A30" s="374"/>
      <c r="B30" s="42" t="s">
        <v>696</v>
      </c>
      <c r="C30" s="42" t="s">
        <v>444</v>
      </c>
      <c r="D30" s="42" t="s">
        <v>16</v>
      </c>
      <c r="E30" s="42" t="s">
        <v>3150</v>
      </c>
      <c r="F30" s="42">
        <v>3057</v>
      </c>
      <c r="G30" s="42"/>
      <c r="H30" s="42">
        <v>13090</v>
      </c>
      <c r="I30" s="42">
        <v>280</v>
      </c>
      <c r="J30" s="42">
        <v>0.13</v>
      </c>
      <c r="K30" s="43">
        <f t="shared" si="40"/>
        <v>36.4</v>
      </c>
      <c r="L30" s="43">
        <f t="shared" si="41"/>
        <v>13053.6</v>
      </c>
      <c r="M30" s="43"/>
      <c r="N30" s="43">
        <f t="shared" si="42"/>
        <v>13053.6</v>
      </c>
      <c r="O30" s="43">
        <f t="shared" si="43"/>
        <v>916.3</v>
      </c>
      <c r="P30" s="42">
        <v>20500</v>
      </c>
      <c r="Q30" s="42">
        <v>29</v>
      </c>
      <c r="R30" s="42">
        <f t="shared" si="44"/>
        <v>378554.4</v>
      </c>
    </row>
    <row r="32" spans="1:22">
      <c r="A32" s="1" t="s">
        <v>3248</v>
      </c>
      <c r="B32" s="42" t="s">
        <v>696</v>
      </c>
      <c r="C32" s="42" t="s">
        <v>444</v>
      </c>
      <c r="D32" s="42" t="s">
        <v>16</v>
      </c>
      <c r="E32" s="42" t="s">
        <v>1309</v>
      </c>
      <c r="F32" s="42">
        <v>84201</v>
      </c>
      <c r="G32" s="42"/>
      <c r="H32" s="42">
        <v>12650</v>
      </c>
      <c r="I32" s="42">
        <v>352</v>
      </c>
      <c r="J32" s="42">
        <v>0.13</v>
      </c>
      <c r="K32" s="43">
        <f t="shared" ref="K32" si="45">I32*J32</f>
        <v>45.760000000000005</v>
      </c>
      <c r="L32" s="43">
        <f t="shared" ref="L32" si="46">H32-K32</f>
        <v>12604.24</v>
      </c>
      <c r="M32" s="43"/>
      <c r="N32" s="43">
        <f t="shared" ref="N32" si="47">L32-M32</f>
        <v>12604.24</v>
      </c>
      <c r="O32" s="43">
        <f t="shared" ref="O32" si="48">H32/1000*70</f>
        <v>885.5</v>
      </c>
      <c r="P32" s="42">
        <v>22000</v>
      </c>
      <c r="Q32" s="42"/>
      <c r="R32" s="42">
        <f t="shared" ref="R32" si="49">L32*Q32</f>
        <v>0</v>
      </c>
    </row>
    <row r="34" spans="1:18">
      <c r="A34" s="1" t="s">
        <v>3260</v>
      </c>
      <c r="B34" s="42" t="s">
        <v>696</v>
      </c>
      <c r="C34" s="42" t="s">
        <v>444</v>
      </c>
      <c r="D34" s="42" t="s">
        <v>16</v>
      </c>
      <c r="E34" s="42" t="s">
        <v>766</v>
      </c>
      <c r="F34" s="42">
        <v>84802</v>
      </c>
      <c r="G34" s="42"/>
      <c r="H34" s="42">
        <v>12350</v>
      </c>
      <c r="I34" s="42">
        <v>360</v>
      </c>
      <c r="J34" s="42">
        <v>0.13</v>
      </c>
      <c r="K34" s="43">
        <f t="shared" ref="K34:K42" si="50">I34*J34</f>
        <v>46.800000000000004</v>
      </c>
      <c r="L34" s="43">
        <f t="shared" ref="L34:L42" si="51">H34-K34</f>
        <v>12303.2</v>
      </c>
      <c r="M34" s="43"/>
      <c r="N34" s="43">
        <f t="shared" ref="N34:N42" si="52">L34-M34</f>
        <v>12303.2</v>
      </c>
      <c r="O34" s="43">
        <f t="shared" ref="O34:O42" si="53">H34/1000*70</f>
        <v>864.5</v>
      </c>
      <c r="P34" s="42">
        <v>14040</v>
      </c>
      <c r="Q34" s="42">
        <v>29</v>
      </c>
      <c r="R34" s="42">
        <f t="shared" ref="R34:R42" si="54">L34*Q34</f>
        <v>356792.80000000005</v>
      </c>
    </row>
    <row r="35" spans="1:18">
      <c r="A35" s="374" t="s">
        <v>3329</v>
      </c>
      <c r="B35" s="42" t="s">
        <v>696</v>
      </c>
      <c r="C35" s="42" t="s">
        <v>444</v>
      </c>
      <c r="D35" s="42" t="s">
        <v>16</v>
      </c>
      <c r="E35" s="47" t="s">
        <v>3333</v>
      </c>
      <c r="F35" s="47">
        <v>4003</v>
      </c>
      <c r="G35" s="47"/>
      <c r="H35" s="47">
        <v>13690</v>
      </c>
      <c r="I35" s="47">
        <v>294</v>
      </c>
      <c r="J35" s="47">
        <v>0.13</v>
      </c>
      <c r="K35" s="43">
        <f t="shared" si="50"/>
        <v>38.22</v>
      </c>
      <c r="L35" s="43">
        <f t="shared" si="51"/>
        <v>13651.78</v>
      </c>
      <c r="M35" s="43"/>
      <c r="N35" s="43">
        <f t="shared" si="52"/>
        <v>13651.78</v>
      </c>
      <c r="O35" s="43">
        <f t="shared" si="53"/>
        <v>958.3</v>
      </c>
      <c r="P35" s="42">
        <v>22000</v>
      </c>
      <c r="Q35" s="42">
        <v>29</v>
      </c>
      <c r="R35" s="42">
        <f t="shared" si="54"/>
        <v>395901.62</v>
      </c>
    </row>
    <row r="36" spans="1:18">
      <c r="A36" s="374"/>
      <c r="B36" s="42" t="s">
        <v>696</v>
      </c>
      <c r="C36" s="42" t="s">
        <v>444</v>
      </c>
      <c r="D36" s="42" t="s">
        <v>16</v>
      </c>
      <c r="E36" s="47" t="s">
        <v>3334</v>
      </c>
      <c r="F36" s="47">
        <v>4001</v>
      </c>
      <c r="G36" s="47"/>
      <c r="H36" s="47">
        <v>13010</v>
      </c>
      <c r="I36" s="47">
        <v>270</v>
      </c>
      <c r="J36" s="47">
        <v>0.13</v>
      </c>
      <c r="K36" s="43">
        <f t="shared" si="50"/>
        <v>35.1</v>
      </c>
      <c r="L36" s="43">
        <f t="shared" si="51"/>
        <v>12974.9</v>
      </c>
      <c r="M36" s="43"/>
      <c r="N36" s="43">
        <f t="shared" si="52"/>
        <v>12974.9</v>
      </c>
      <c r="O36" s="43">
        <f t="shared" si="53"/>
        <v>910.69999999999993</v>
      </c>
      <c r="P36" s="42">
        <v>22500</v>
      </c>
      <c r="Q36" s="42">
        <v>29</v>
      </c>
      <c r="R36" s="42">
        <f t="shared" si="54"/>
        <v>376272.1</v>
      </c>
    </row>
    <row r="37" spans="1:18">
      <c r="A37" s="374"/>
      <c r="B37" s="42" t="s">
        <v>696</v>
      </c>
      <c r="C37" s="42" t="s">
        <v>444</v>
      </c>
      <c r="D37" s="42" t="s">
        <v>16</v>
      </c>
      <c r="E37" s="47" t="s">
        <v>3335</v>
      </c>
      <c r="F37" s="47">
        <v>4004</v>
      </c>
      <c r="G37" s="47"/>
      <c r="H37" s="47">
        <v>12830</v>
      </c>
      <c r="I37" s="47">
        <v>265</v>
      </c>
      <c r="J37" s="47">
        <v>0.13</v>
      </c>
      <c r="K37" s="43">
        <f t="shared" si="50"/>
        <v>34.450000000000003</v>
      </c>
      <c r="L37" s="43">
        <f t="shared" si="51"/>
        <v>12795.55</v>
      </c>
      <c r="M37" s="43"/>
      <c r="N37" s="43">
        <f t="shared" si="52"/>
        <v>12795.55</v>
      </c>
      <c r="O37" s="43">
        <f t="shared" si="53"/>
        <v>898.1</v>
      </c>
      <c r="P37" s="42">
        <v>21500</v>
      </c>
      <c r="Q37" s="42">
        <v>29</v>
      </c>
      <c r="R37" s="42">
        <f t="shared" si="54"/>
        <v>371070.94999999995</v>
      </c>
    </row>
    <row r="38" spans="1:18">
      <c r="A38" s="374"/>
      <c r="B38" s="42" t="s">
        <v>696</v>
      </c>
      <c r="C38" s="42" t="s">
        <v>444</v>
      </c>
      <c r="D38" s="42" t="s">
        <v>16</v>
      </c>
      <c r="E38" s="47" t="s">
        <v>3336</v>
      </c>
      <c r="F38" s="47">
        <v>4005</v>
      </c>
      <c r="G38" s="47"/>
      <c r="H38" s="47">
        <v>13020</v>
      </c>
      <c r="I38" s="47">
        <v>270</v>
      </c>
      <c r="J38" s="47">
        <v>0.13</v>
      </c>
      <c r="K38" s="43">
        <f t="shared" si="50"/>
        <v>35.1</v>
      </c>
      <c r="L38" s="43">
        <f t="shared" si="51"/>
        <v>12984.9</v>
      </c>
      <c r="M38" s="43"/>
      <c r="N38" s="43">
        <f t="shared" si="52"/>
        <v>12984.9</v>
      </c>
      <c r="O38" s="43">
        <f t="shared" si="53"/>
        <v>911.4</v>
      </c>
      <c r="P38" s="42">
        <v>21500</v>
      </c>
      <c r="Q38" s="42">
        <v>29</v>
      </c>
      <c r="R38" s="42">
        <f t="shared" si="54"/>
        <v>376562.1</v>
      </c>
    </row>
    <row r="39" spans="1:18">
      <c r="A39" s="374"/>
      <c r="B39" s="42" t="s">
        <v>696</v>
      </c>
      <c r="C39" s="42" t="s">
        <v>444</v>
      </c>
      <c r="D39" s="42" t="s">
        <v>16</v>
      </c>
      <c r="E39" s="47" t="s">
        <v>3337</v>
      </c>
      <c r="F39" s="47">
        <v>4002</v>
      </c>
      <c r="G39" s="47"/>
      <c r="H39" s="47">
        <v>12880</v>
      </c>
      <c r="I39" s="47">
        <v>265</v>
      </c>
      <c r="J39" s="47">
        <v>0.13</v>
      </c>
      <c r="K39" s="43">
        <f t="shared" si="50"/>
        <v>34.450000000000003</v>
      </c>
      <c r="L39" s="43">
        <f t="shared" si="51"/>
        <v>12845.55</v>
      </c>
      <c r="M39" s="43"/>
      <c r="N39" s="43">
        <f t="shared" si="52"/>
        <v>12845.55</v>
      </c>
      <c r="O39" s="43">
        <f t="shared" si="53"/>
        <v>901.6</v>
      </c>
      <c r="P39" s="42">
        <v>21500</v>
      </c>
      <c r="Q39" s="42">
        <v>29</v>
      </c>
      <c r="R39" s="42">
        <f t="shared" si="54"/>
        <v>372520.94999999995</v>
      </c>
    </row>
    <row r="40" spans="1:18">
      <c r="A40" s="374"/>
      <c r="B40" s="42" t="s">
        <v>696</v>
      </c>
      <c r="C40" s="42" t="s">
        <v>444</v>
      </c>
      <c r="D40" s="42" t="s">
        <v>16</v>
      </c>
      <c r="E40" s="47" t="s">
        <v>3338</v>
      </c>
      <c r="F40" s="47">
        <v>4009</v>
      </c>
      <c r="G40" s="47"/>
      <c r="H40" s="47">
        <v>13010</v>
      </c>
      <c r="I40" s="47">
        <v>270</v>
      </c>
      <c r="J40" s="47">
        <v>0.13</v>
      </c>
      <c r="K40" s="43">
        <f t="shared" si="50"/>
        <v>35.1</v>
      </c>
      <c r="L40" s="43">
        <f t="shared" si="51"/>
        <v>12974.9</v>
      </c>
      <c r="M40" s="43"/>
      <c r="N40" s="43">
        <f t="shared" si="52"/>
        <v>12974.9</v>
      </c>
      <c r="O40" s="43">
        <f t="shared" si="53"/>
        <v>910.69999999999993</v>
      </c>
      <c r="P40" s="42">
        <v>22000</v>
      </c>
      <c r="Q40" s="42">
        <v>29</v>
      </c>
      <c r="R40" s="42">
        <f t="shared" si="54"/>
        <v>376272.1</v>
      </c>
    </row>
    <row r="41" spans="1:18">
      <c r="A41" s="374"/>
      <c r="B41" s="42" t="s">
        <v>696</v>
      </c>
      <c r="C41" s="42" t="s">
        <v>444</v>
      </c>
      <c r="D41" s="42" t="s">
        <v>16</v>
      </c>
      <c r="E41" s="47" t="s">
        <v>3339</v>
      </c>
      <c r="F41" s="47">
        <v>4010</v>
      </c>
      <c r="G41" s="47"/>
      <c r="H41" s="47">
        <v>13070</v>
      </c>
      <c r="I41" s="47">
        <v>270</v>
      </c>
      <c r="J41" s="47">
        <v>0.13</v>
      </c>
      <c r="K41" s="43">
        <f t="shared" si="50"/>
        <v>35.1</v>
      </c>
      <c r="L41" s="43">
        <f t="shared" si="51"/>
        <v>13034.9</v>
      </c>
      <c r="M41" s="43"/>
      <c r="N41" s="43">
        <f t="shared" si="52"/>
        <v>13034.9</v>
      </c>
      <c r="O41" s="43">
        <f t="shared" si="53"/>
        <v>914.9</v>
      </c>
      <c r="P41" s="42">
        <v>22000</v>
      </c>
      <c r="Q41" s="42">
        <v>29</v>
      </c>
      <c r="R41" s="42">
        <f t="shared" si="54"/>
        <v>378012.1</v>
      </c>
    </row>
    <row r="42" spans="1:18">
      <c r="A42" s="1" t="s">
        <v>3345</v>
      </c>
      <c r="B42" s="42" t="s">
        <v>696</v>
      </c>
      <c r="C42" s="42" t="s">
        <v>444</v>
      </c>
      <c r="D42" s="42" t="s">
        <v>16</v>
      </c>
      <c r="E42" s="47" t="s">
        <v>3348</v>
      </c>
      <c r="F42" s="47">
        <v>4006</v>
      </c>
      <c r="G42" s="47"/>
      <c r="H42" s="47">
        <v>12850</v>
      </c>
      <c r="I42" s="47">
        <v>260</v>
      </c>
      <c r="J42" s="47">
        <v>0.13</v>
      </c>
      <c r="K42" s="43">
        <f t="shared" si="50"/>
        <v>33.800000000000004</v>
      </c>
      <c r="L42" s="43">
        <f t="shared" si="51"/>
        <v>12816.2</v>
      </c>
      <c r="M42" s="43"/>
      <c r="N42" s="43">
        <f t="shared" si="52"/>
        <v>12816.2</v>
      </c>
      <c r="O42" s="43">
        <f t="shared" si="53"/>
        <v>899.5</v>
      </c>
      <c r="P42" s="42">
        <v>22000</v>
      </c>
      <c r="Q42" s="42">
        <v>29</v>
      </c>
      <c r="R42" s="42">
        <f t="shared" si="54"/>
        <v>371669.80000000005</v>
      </c>
    </row>
    <row r="44" spans="1:18">
      <c r="A44" s="1" t="s">
        <v>3543</v>
      </c>
      <c r="B44" s="42" t="s">
        <v>696</v>
      </c>
      <c r="C44" s="42" t="s">
        <v>444</v>
      </c>
      <c r="D44" s="42" t="s">
        <v>16</v>
      </c>
      <c r="E44" s="47" t="s">
        <v>3545</v>
      </c>
      <c r="F44" s="47">
        <v>4230</v>
      </c>
      <c r="G44" s="47"/>
      <c r="H44" s="47">
        <v>12980</v>
      </c>
      <c r="I44" s="47">
        <v>279</v>
      </c>
      <c r="J44" s="47">
        <v>0.13</v>
      </c>
      <c r="K44" s="43">
        <f t="shared" ref="K44:K46" si="55">I44*J44</f>
        <v>36.270000000000003</v>
      </c>
      <c r="L44" s="43">
        <f t="shared" ref="L44:L46" si="56">H44-K44</f>
        <v>12943.73</v>
      </c>
      <c r="M44" s="43"/>
      <c r="N44" s="43">
        <f t="shared" ref="N44:N46" si="57">L44-M44</f>
        <v>12943.73</v>
      </c>
      <c r="O44" s="43">
        <f t="shared" ref="O44:O46" si="58">H44/1000*70</f>
        <v>908.6</v>
      </c>
      <c r="P44" s="42">
        <v>22000</v>
      </c>
      <c r="Q44" s="42"/>
      <c r="R44" s="42">
        <f t="shared" ref="R44:R46" si="59">L44*Q44</f>
        <v>0</v>
      </c>
    </row>
    <row r="45" spans="1:18">
      <c r="A45" s="374" t="s">
        <v>3643</v>
      </c>
      <c r="B45" s="42" t="s">
        <v>696</v>
      </c>
      <c r="C45" s="42" t="s">
        <v>444</v>
      </c>
      <c r="D45" s="42" t="s">
        <v>16</v>
      </c>
      <c r="E45" s="47" t="s">
        <v>3644</v>
      </c>
      <c r="F45" s="47">
        <v>20003</v>
      </c>
      <c r="G45" s="47"/>
      <c r="H45" s="47">
        <v>12600</v>
      </c>
      <c r="I45" s="47">
        <v>238</v>
      </c>
      <c r="J45" s="47">
        <v>0.13</v>
      </c>
      <c r="K45" s="43">
        <f t="shared" si="55"/>
        <v>30.94</v>
      </c>
      <c r="L45" s="43">
        <f t="shared" si="56"/>
        <v>12569.06</v>
      </c>
      <c r="M45" s="43"/>
      <c r="N45" s="43">
        <f t="shared" si="57"/>
        <v>12569.06</v>
      </c>
      <c r="O45" s="43">
        <f t="shared" si="58"/>
        <v>882</v>
      </c>
      <c r="P45" s="42">
        <v>19500</v>
      </c>
      <c r="Q45" s="42">
        <v>32</v>
      </c>
      <c r="R45" s="42">
        <f t="shared" si="59"/>
        <v>402209.92</v>
      </c>
    </row>
    <row r="46" spans="1:18">
      <c r="A46" s="374"/>
      <c r="B46" s="42" t="s">
        <v>696</v>
      </c>
      <c r="C46" s="42" t="s">
        <v>444</v>
      </c>
      <c r="D46" s="42" t="s">
        <v>16</v>
      </c>
      <c r="E46" s="47" t="s">
        <v>3645</v>
      </c>
      <c r="F46" s="47">
        <v>20002</v>
      </c>
      <c r="G46" s="47"/>
      <c r="H46" s="47">
        <v>12490</v>
      </c>
      <c r="I46" s="47">
        <v>255</v>
      </c>
      <c r="J46" s="47">
        <v>0.13</v>
      </c>
      <c r="K46" s="43">
        <f t="shared" si="55"/>
        <v>33.15</v>
      </c>
      <c r="L46" s="43">
        <f t="shared" si="56"/>
        <v>12456.85</v>
      </c>
      <c r="M46" s="43"/>
      <c r="N46" s="43">
        <f t="shared" si="57"/>
        <v>12456.85</v>
      </c>
      <c r="O46" s="43">
        <f t="shared" si="58"/>
        <v>874.30000000000007</v>
      </c>
      <c r="P46" s="42">
        <v>19500</v>
      </c>
      <c r="Q46" s="42">
        <v>32</v>
      </c>
      <c r="R46" s="42">
        <f t="shared" si="59"/>
        <v>398619.2</v>
      </c>
    </row>
    <row r="48" spans="1:18">
      <c r="A48" s="1" t="s">
        <v>3705</v>
      </c>
      <c r="B48" s="42" t="s">
        <v>696</v>
      </c>
      <c r="C48" s="42" t="s">
        <v>444</v>
      </c>
      <c r="D48" s="42" t="s">
        <v>16</v>
      </c>
      <c r="E48" s="47" t="s">
        <v>3710</v>
      </c>
      <c r="F48" s="47">
        <v>4428</v>
      </c>
      <c r="G48" s="47"/>
      <c r="H48" s="47">
        <v>12840</v>
      </c>
      <c r="I48" s="47">
        <v>280</v>
      </c>
      <c r="J48" s="47">
        <v>0.13</v>
      </c>
      <c r="K48" s="43">
        <f t="shared" ref="K48" si="60">I48*J48</f>
        <v>36.4</v>
      </c>
      <c r="L48" s="43">
        <f t="shared" ref="L48" si="61">H48-K48</f>
        <v>12803.6</v>
      </c>
      <c r="M48" s="43"/>
      <c r="N48" s="43">
        <f t="shared" ref="N48" si="62">L48-M48</f>
        <v>12803.6</v>
      </c>
      <c r="O48" s="43">
        <f t="shared" ref="O48" si="63">H48/1000*70</f>
        <v>898.8</v>
      </c>
      <c r="P48" s="42">
        <v>20000</v>
      </c>
      <c r="Q48" s="42"/>
      <c r="R48" s="42">
        <f t="shared" ref="R48" si="64">L48*Q48</f>
        <v>0</v>
      </c>
    </row>
    <row r="50" spans="1:19">
      <c r="A50" s="1" t="s">
        <v>3713</v>
      </c>
      <c r="B50" s="42" t="s">
        <v>696</v>
      </c>
      <c r="C50" s="42" t="s">
        <v>444</v>
      </c>
      <c r="D50" s="42" t="s">
        <v>16</v>
      </c>
      <c r="E50" s="47" t="s">
        <v>3715</v>
      </c>
      <c r="F50" s="47">
        <v>4350</v>
      </c>
      <c r="G50" s="47"/>
      <c r="H50" s="47">
        <v>12900</v>
      </c>
      <c r="I50" s="47">
        <v>287</v>
      </c>
      <c r="J50" s="47">
        <v>0.13</v>
      </c>
      <c r="K50" s="43">
        <f t="shared" ref="K50:K51" si="65">I50*J50</f>
        <v>37.31</v>
      </c>
      <c r="L50" s="43">
        <f t="shared" ref="L50:L51" si="66">H50-K50</f>
        <v>12862.69</v>
      </c>
      <c r="M50" s="43"/>
      <c r="N50" s="43">
        <f t="shared" ref="N50:N51" si="67">L50-M50</f>
        <v>12862.69</v>
      </c>
      <c r="O50" s="43">
        <f t="shared" ref="O50:O51" si="68">H50/1000*70</f>
        <v>903</v>
      </c>
      <c r="P50" s="42">
        <v>20500</v>
      </c>
      <c r="Q50" s="42"/>
      <c r="R50" s="42">
        <f t="shared" ref="R50:R51" si="69">L50*Q50</f>
        <v>0</v>
      </c>
      <c r="S50" s="42"/>
    </row>
    <row r="51" spans="1:19">
      <c r="A51" s="1" t="s">
        <v>3770</v>
      </c>
      <c r="B51" s="42" t="s">
        <v>696</v>
      </c>
      <c r="C51" s="42" t="s">
        <v>444</v>
      </c>
      <c r="D51" s="42" t="s">
        <v>16</v>
      </c>
      <c r="E51" s="47" t="s">
        <v>3772</v>
      </c>
      <c r="F51" s="47">
        <v>3669</v>
      </c>
      <c r="G51" s="47"/>
      <c r="H51" s="47">
        <v>13360</v>
      </c>
      <c r="I51" s="47">
        <v>259</v>
      </c>
      <c r="J51" s="47">
        <v>0.13</v>
      </c>
      <c r="K51" s="43">
        <f t="shared" si="65"/>
        <v>33.67</v>
      </c>
      <c r="L51" s="43">
        <f t="shared" si="66"/>
        <v>13326.33</v>
      </c>
      <c r="M51" s="43"/>
      <c r="N51" s="43">
        <f t="shared" si="67"/>
        <v>13326.33</v>
      </c>
      <c r="O51" s="43">
        <f t="shared" si="68"/>
        <v>935.19999999999993</v>
      </c>
      <c r="P51" s="42">
        <v>19200</v>
      </c>
      <c r="Q51" s="42"/>
      <c r="R51" s="42">
        <f t="shared" si="69"/>
        <v>0</v>
      </c>
    </row>
    <row r="53" spans="1:19">
      <c r="A53" s="21" t="s">
        <v>3795</v>
      </c>
      <c r="B53" s="42" t="s">
        <v>696</v>
      </c>
      <c r="C53" s="42" t="s">
        <v>444</v>
      </c>
      <c r="D53" s="42" t="s">
        <v>16</v>
      </c>
      <c r="E53" s="47" t="s">
        <v>3798</v>
      </c>
      <c r="F53" s="47">
        <v>3691</v>
      </c>
      <c r="G53" s="47"/>
      <c r="H53" s="47">
        <v>13300</v>
      </c>
      <c r="I53" s="47">
        <v>320</v>
      </c>
      <c r="J53" s="47">
        <v>0.13</v>
      </c>
      <c r="K53" s="43">
        <f t="shared" ref="K53:K54" si="70">I53*J53</f>
        <v>41.6</v>
      </c>
      <c r="L53" s="43">
        <f t="shared" ref="L53:L54" si="71">H53-K53</f>
        <v>13258.4</v>
      </c>
      <c r="M53" s="43"/>
      <c r="N53" s="43">
        <f t="shared" ref="N53:N54" si="72">L53-M53</f>
        <v>13258.4</v>
      </c>
      <c r="O53" s="43">
        <f t="shared" ref="O53:O54" si="73">H53/1000*70</f>
        <v>931</v>
      </c>
      <c r="P53" s="42">
        <v>19500</v>
      </c>
      <c r="Q53" s="42">
        <v>30.5</v>
      </c>
      <c r="R53" s="42">
        <f t="shared" ref="R53:R54" si="74">L53*Q53</f>
        <v>404381.2</v>
      </c>
    </row>
    <row r="54" spans="1:19">
      <c r="A54" s="21" t="s">
        <v>3821</v>
      </c>
      <c r="B54" s="42" t="s">
        <v>696</v>
      </c>
      <c r="C54" s="42" t="s">
        <v>444</v>
      </c>
      <c r="D54" s="42" t="s">
        <v>16</v>
      </c>
      <c r="E54" s="47" t="s">
        <v>3818</v>
      </c>
      <c r="F54" s="47">
        <v>13941</v>
      </c>
      <c r="G54" s="47"/>
      <c r="H54" s="47">
        <v>14970</v>
      </c>
      <c r="I54" s="47">
        <v>310</v>
      </c>
      <c r="J54" s="47">
        <v>0.13</v>
      </c>
      <c r="K54" s="43">
        <f t="shared" si="70"/>
        <v>40.300000000000004</v>
      </c>
      <c r="L54" s="43">
        <f t="shared" si="71"/>
        <v>14929.7</v>
      </c>
      <c r="M54" s="43"/>
      <c r="N54" s="43">
        <f t="shared" si="72"/>
        <v>14929.7</v>
      </c>
      <c r="O54" s="43">
        <f t="shared" si="73"/>
        <v>1047.9000000000001</v>
      </c>
      <c r="P54" s="42">
        <v>7000</v>
      </c>
      <c r="Q54" s="42"/>
      <c r="R54" s="42">
        <f t="shared" si="74"/>
        <v>0</v>
      </c>
    </row>
  </sheetData>
  <mergeCells count="3">
    <mergeCell ref="A29:A30"/>
    <mergeCell ref="A35:A41"/>
    <mergeCell ref="A45:A46"/>
  </mergeCells>
  <pageMargins left="0.7" right="0.7" top="0.75" bottom="0.75" header="0.3" footer="0.3"/>
  <pageSetup paperSize="9" orientation="portrait" verticalDpi="0" r:id="rId1"/>
</worksheet>
</file>

<file path=xl/worksheets/sheet117.xml><?xml version="1.0" encoding="utf-8"?>
<worksheet xmlns="http://schemas.openxmlformats.org/spreadsheetml/2006/main" xmlns:r="http://schemas.openxmlformats.org/officeDocument/2006/relationships">
  <dimension ref="A5:V35"/>
  <sheetViews>
    <sheetView topLeftCell="A7" zoomScale="85" zoomScaleNormal="85" workbookViewId="0">
      <selection activeCell="P11" sqref="P11:P28"/>
    </sheetView>
  </sheetViews>
  <sheetFormatPr defaultRowHeight="14.4"/>
  <cols>
    <col min="1" max="1" width="8.88671875" style="1"/>
    <col min="2" max="2" width="24.77734375" style="1" customWidth="1"/>
    <col min="3" max="3" width="8.88671875" style="1"/>
    <col min="4" max="4" width="5.5546875" style="1" customWidth="1"/>
    <col min="5" max="5" width="9.7773437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2" ht="20.399999999999999">
      <c r="A5" s="58" t="s">
        <v>3</v>
      </c>
      <c r="B5" s="58" t="s">
        <v>4</v>
      </c>
      <c r="C5" s="58" t="s">
        <v>5</v>
      </c>
      <c r="D5" s="58" t="s">
        <v>6</v>
      </c>
      <c r="E5" s="58" t="s">
        <v>37</v>
      </c>
      <c r="F5" s="59" t="s">
        <v>7</v>
      </c>
      <c r="G5" s="58" t="s">
        <v>8</v>
      </c>
      <c r="H5" s="58" t="s">
        <v>9</v>
      </c>
      <c r="I5" s="58" t="s">
        <v>10</v>
      </c>
      <c r="J5" s="59" t="s">
        <v>18</v>
      </c>
      <c r="K5" s="59" t="s">
        <v>17</v>
      </c>
      <c r="L5" s="58" t="s">
        <v>11</v>
      </c>
      <c r="M5" s="59" t="s">
        <v>36</v>
      </c>
      <c r="N5" s="58" t="s">
        <v>12</v>
      </c>
      <c r="O5" s="58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258</v>
      </c>
    </row>
    <row r="6" spans="1:22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</row>
    <row r="7" spans="1:22">
      <c r="A7" s="62"/>
      <c r="B7" s="62"/>
      <c r="C7" s="62"/>
      <c r="D7" s="62"/>
      <c r="E7" s="62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</row>
    <row r="8" spans="1:22">
      <c r="A8" s="62"/>
      <c r="B8" s="62"/>
      <c r="C8" s="62"/>
      <c r="D8" s="62"/>
      <c r="E8" s="62"/>
      <c r="F8" s="62"/>
      <c r="G8" s="62"/>
      <c r="H8" s="62"/>
      <c r="I8" s="62"/>
      <c r="J8" s="62"/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</row>
    <row r="9" spans="1:22">
      <c r="A9" s="62"/>
      <c r="B9" s="62"/>
      <c r="C9" s="62"/>
      <c r="D9" s="62"/>
      <c r="E9" s="62"/>
      <c r="F9" s="62"/>
      <c r="G9" s="62"/>
      <c r="H9" s="62"/>
      <c r="I9" s="62"/>
      <c r="J9" s="62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</row>
    <row r="10" spans="1:22">
      <c r="A10" s="62"/>
      <c r="B10" s="67"/>
      <c r="C10" s="67"/>
      <c r="D10" s="67"/>
      <c r="E10" s="67"/>
      <c r="F10" s="67"/>
      <c r="G10" s="67"/>
      <c r="H10" s="67"/>
      <c r="I10" s="67"/>
      <c r="J10" s="67"/>
      <c r="K10" s="67"/>
      <c r="L10" s="68"/>
      <c r="M10" s="68"/>
      <c r="N10" s="68"/>
      <c r="O10" s="68"/>
      <c r="P10" s="67"/>
      <c r="Q10" s="67"/>
      <c r="R10" s="67"/>
      <c r="S10" s="62"/>
      <c r="T10" s="62"/>
      <c r="U10" s="62"/>
      <c r="V10" s="62"/>
    </row>
    <row r="11" spans="1:22">
      <c r="A11" s="374" t="s">
        <v>2627</v>
      </c>
      <c r="B11" s="42" t="s">
        <v>464</v>
      </c>
      <c r="C11" s="42" t="s">
        <v>444</v>
      </c>
      <c r="D11" s="42" t="s">
        <v>16</v>
      </c>
      <c r="E11" s="42" t="s">
        <v>2630</v>
      </c>
      <c r="F11" s="42">
        <v>212</v>
      </c>
      <c r="G11" s="42"/>
      <c r="H11" s="42">
        <v>13010</v>
      </c>
      <c r="I11" s="42">
        <v>280</v>
      </c>
      <c r="J11" s="42">
        <v>0.13</v>
      </c>
      <c r="K11" s="43">
        <f t="shared" ref="K11:K27" si="0">I11*J11</f>
        <v>36.4</v>
      </c>
      <c r="L11" s="43">
        <f t="shared" ref="L11:L27" si="1">H11-K11</f>
        <v>12973.6</v>
      </c>
      <c r="M11" s="43"/>
      <c r="N11" s="43">
        <f t="shared" ref="N11:N27" si="2">L11-M11</f>
        <v>12973.6</v>
      </c>
      <c r="O11" s="43">
        <f t="shared" ref="O11:O27" si="3">H11/1000*70</f>
        <v>910.69999999999993</v>
      </c>
      <c r="P11" s="42">
        <v>24000</v>
      </c>
      <c r="Q11" s="42">
        <v>27.5</v>
      </c>
      <c r="R11" s="42">
        <f t="shared" ref="R11:R27" si="4">L11*Q11</f>
        <v>356774</v>
      </c>
      <c r="S11" s="62"/>
      <c r="T11" s="62"/>
      <c r="U11" s="62"/>
      <c r="V11" s="62"/>
    </row>
    <row r="12" spans="1:22">
      <c r="A12" s="374"/>
      <c r="B12" s="42" t="s">
        <v>464</v>
      </c>
      <c r="C12" s="42" t="s">
        <v>444</v>
      </c>
      <c r="D12" s="42" t="s">
        <v>16</v>
      </c>
      <c r="E12" s="42" t="s">
        <v>2631</v>
      </c>
      <c r="F12" s="42">
        <v>213</v>
      </c>
      <c r="G12" s="42"/>
      <c r="H12" s="42">
        <v>12980</v>
      </c>
      <c r="I12" s="42">
        <v>270</v>
      </c>
      <c r="J12" s="42">
        <v>0.13</v>
      </c>
      <c r="K12" s="43">
        <f t="shared" si="0"/>
        <v>35.1</v>
      </c>
      <c r="L12" s="43">
        <f t="shared" si="1"/>
        <v>12944.9</v>
      </c>
      <c r="M12" s="43"/>
      <c r="N12" s="43">
        <f t="shared" si="2"/>
        <v>12944.9</v>
      </c>
      <c r="O12" s="43">
        <f t="shared" si="3"/>
        <v>908.6</v>
      </c>
      <c r="P12" s="42">
        <v>24000</v>
      </c>
      <c r="Q12" s="42">
        <v>27.5</v>
      </c>
      <c r="R12" s="42">
        <f t="shared" si="4"/>
        <v>355984.75</v>
      </c>
      <c r="S12" s="62"/>
      <c r="T12" s="62"/>
      <c r="U12" s="62"/>
      <c r="V12" s="62"/>
    </row>
    <row r="13" spans="1:22">
      <c r="A13" s="374"/>
      <c r="B13" s="42" t="s">
        <v>464</v>
      </c>
      <c r="C13" s="42" t="s">
        <v>444</v>
      </c>
      <c r="D13" s="42" t="s">
        <v>16</v>
      </c>
      <c r="E13" s="42" t="s">
        <v>1809</v>
      </c>
      <c r="F13" s="42">
        <v>207</v>
      </c>
      <c r="G13" s="42"/>
      <c r="H13" s="42">
        <v>13120</v>
      </c>
      <c r="I13" s="42">
        <v>242</v>
      </c>
      <c r="J13" s="42">
        <v>0.13</v>
      </c>
      <c r="K13" s="43">
        <f t="shared" si="0"/>
        <v>31.46</v>
      </c>
      <c r="L13" s="43">
        <f t="shared" si="1"/>
        <v>13088.54</v>
      </c>
      <c r="M13" s="43"/>
      <c r="N13" s="43">
        <f t="shared" si="2"/>
        <v>13088.54</v>
      </c>
      <c r="O13" s="43">
        <f t="shared" si="3"/>
        <v>918.4</v>
      </c>
      <c r="P13" s="42">
        <v>27000</v>
      </c>
      <c r="Q13" s="42">
        <v>27.5</v>
      </c>
      <c r="R13" s="42">
        <f t="shared" si="4"/>
        <v>359934.85000000003</v>
      </c>
      <c r="S13" s="62"/>
      <c r="T13" s="62"/>
      <c r="U13" s="62"/>
      <c r="V13" s="62"/>
    </row>
    <row r="14" spans="1:22">
      <c r="A14" s="374"/>
      <c r="B14" s="42" t="s">
        <v>464</v>
      </c>
      <c r="C14" s="42" t="s">
        <v>444</v>
      </c>
      <c r="D14" s="42" t="s">
        <v>16</v>
      </c>
      <c r="E14" s="42" t="s">
        <v>2632</v>
      </c>
      <c r="F14" s="42">
        <v>208</v>
      </c>
      <c r="G14" s="42"/>
      <c r="H14" s="42">
        <v>11810</v>
      </c>
      <c r="I14" s="42">
        <v>240</v>
      </c>
      <c r="J14" s="42">
        <v>0.13</v>
      </c>
      <c r="K14" s="43">
        <f t="shared" si="0"/>
        <v>31.200000000000003</v>
      </c>
      <c r="L14" s="43">
        <f t="shared" si="1"/>
        <v>11778.8</v>
      </c>
      <c r="M14" s="43"/>
      <c r="N14" s="43">
        <f t="shared" si="2"/>
        <v>11778.8</v>
      </c>
      <c r="O14" s="43">
        <f t="shared" si="3"/>
        <v>826.7</v>
      </c>
      <c r="P14" s="42">
        <v>27000</v>
      </c>
      <c r="Q14" s="42">
        <v>27.5</v>
      </c>
      <c r="R14" s="42">
        <f t="shared" si="4"/>
        <v>323917</v>
      </c>
      <c r="S14" s="62"/>
      <c r="T14" s="62"/>
      <c r="U14" s="62"/>
      <c r="V14" s="62"/>
    </row>
    <row r="15" spans="1:22">
      <c r="A15" s="374"/>
      <c r="B15" s="42" t="s">
        <v>464</v>
      </c>
      <c r="C15" s="42" t="s">
        <v>444</v>
      </c>
      <c r="D15" s="42" t="s">
        <v>16</v>
      </c>
      <c r="E15" s="42" t="s">
        <v>2619</v>
      </c>
      <c r="F15" s="42">
        <v>211</v>
      </c>
      <c r="G15" s="42"/>
      <c r="H15" s="42">
        <v>13060</v>
      </c>
      <c r="I15" s="42">
        <v>294</v>
      </c>
      <c r="J15" s="42">
        <v>0.13</v>
      </c>
      <c r="K15" s="43">
        <f t="shared" si="0"/>
        <v>38.22</v>
      </c>
      <c r="L15" s="43">
        <f t="shared" si="1"/>
        <v>13021.78</v>
      </c>
      <c r="M15" s="43"/>
      <c r="N15" s="43">
        <f t="shared" si="2"/>
        <v>13021.78</v>
      </c>
      <c r="O15" s="43">
        <f t="shared" si="3"/>
        <v>914.2</v>
      </c>
      <c r="P15" s="42">
        <v>24000</v>
      </c>
      <c r="Q15" s="42">
        <v>27.5</v>
      </c>
      <c r="R15" s="42">
        <f t="shared" si="4"/>
        <v>358098.95</v>
      </c>
      <c r="S15" s="62"/>
      <c r="T15" s="62"/>
      <c r="U15" s="62"/>
      <c r="V15" s="62"/>
    </row>
    <row r="16" spans="1:22">
      <c r="A16" s="374"/>
      <c r="B16" s="42" t="s">
        <v>464</v>
      </c>
      <c r="C16" s="42" t="s">
        <v>444</v>
      </c>
      <c r="D16" s="42" t="s">
        <v>16</v>
      </c>
      <c r="E16" s="42" t="s">
        <v>2620</v>
      </c>
      <c r="F16" s="42">
        <v>208</v>
      </c>
      <c r="G16" s="42"/>
      <c r="H16" s="42">
        <v>11730</v>
      </c>
      <c r="I16" s="42">
        <v>235</v>
      </c>
      <c r="J16" s="42">
        <v>0.13</v>
      </c>
      <c r="K16" s="43">
        <f t="shared" si="0"/>
        <v>30.55</v>
      </c>
      <c r="L16" s="43">
        <f t="shared" si="1"/>
        <v>11699.45</v>
      </c>
      <c r="M16" s="43"/>
      <c r="N16" s="43">
        <f t="shared" si="2"/>
        <v>11699.45</v>
      </c>
      <c r="O16" s="43">
        <f t="shared" si="3"/>
        <v>821.1</v>
      </c>
      <c r="P16" s="42">
        <v>24500</v>
      </c>
      <c r="Q16" s="42">
        <v>27.5</v>
      </c>
      <c r="R16" s="42">
        <f t="shared" si="4"/>
        <v>321734.875</v>
      </c>
      <c r="S16" s="62"/>
      <c r="T16" s="62"/>
      <c r="U16" s="62"/>
      <c r="V16" s="62"/>
    </row>
    <row r="17" spans="1:22">
      <c r="A17" s="374"/>
      <c r="B17" s="42" t="s">
        <v>464</v>
      </c>
      <c r="C17" s="42" t="s">
        <v>444</v>
      </c>
      <c r="D17" s="42" t="s">
        <v>16</v>
      </c>
      <c r="E17" s="42" t="s">
        <v>2621</v>
      </c>
      <c r="F17" s="42">
        <v>209</v>
      </c>
      <c r="G17" s="42"/>
      <c r="H17" s="42">
        <v>11720</v>
      </c>
      <c r="I17" s="42">
        <v>235</v>
      </c>
      <c r="J17" s="42">
        <v>0.13</v>
      </c>
      <c r="K17" s="43">
        <f t="shared" si="0"/>
        <v>30.55</v>
      </c>
      <c r="L17" s="43">
        <f t="shared" si="1"/>
        <v>11689.45</v>
      </c>
      <c r="M17" s="43"/>
      <c r="N17" s="43">
        <f t="shared" si="2"/>
        <v>11689.45</v>
      </c>
      <c r="O17" s="43">
        <f t="shared" si="3"/>
        <v>820.40000000000009</v>
      </c>
      <c r="P17" s="42">
        <v>24500</v>
      </c>
      <c r="Q17" s="42">
        <v>27.5</v>
      </c>
      <c r="R17" s="42">
        <f t="shared" si="4"/>
        <v>321459.875</v>
      </c>
      <c r="S17" s="62"/>
      <c r="T17" s="62"/>
      <c r="U17" s="62"/>
      <c r="V17" s="62"/>
    </row>
    <row r="18" spans="1:22">
      <c r="A18" s="374" t="s">
        <v>2634</v>
      </c>
      <c r="B18" s="42" t="s">
        <v>464</v>
      </c>
      <c r="C18" s="42" t="s">
        <v>444</v>
      </c>
      <c r="D18" s="42" t="s">
        <v>16</v>
      </c>
      <c r="E18" s="42" t="s">
        <v>2636</v>
      </c>
      <c r="F18" s="42">
        <v>210</v>
      </c>
      <c r="G18" s="42"/>
      <c r="H18" s="42">
        <v>12900</v>
      </c>
      <c r="I18" s="42">
        <v>300</v>
      </c>
      <c r="J18" s="42">
        <v>0.13</v>
      </c>
      <c r="K18" s="43">
        <f t="shared" si="0"/>
        <v>39</v>
      </c>
      <c r="L18" s="43">
        <f t="shared" si="1"/>
        <v>12861</v>
      </c>
      <c r="M18" s="43"/>
      <c r="N18" s="43">
        <f t="shared" si="2"/>
        <v>12861</v>
      </c>
      <c r="O18" s="43">
        <f t="shared" si="3"/>
        <v>903</v>
      </c>
      <c r="P18" s="42">
        <v>24000</v>
      </c>
      <c r="Q18" s="42">
        <v>27.5</v>
      </c>
      <c r="R18" s="42">
        <f t="shared" si="4"/>
        <v>353677.5</v>
      </c>
      <c r="S18" s="62"/>
      <c r="T18" s="62"/>
      <c r="U18" s="62"/>
      <c r="V18" s="62"/>
    </row>
    <row r="19" spans="1:22">
      <c r="A19" s="374"/>
      <c r="B19" s="42" t="s">
        <v>464</v>
      </c>
      <c r="C19" s="42" t="s">
        <v>444</v>
      </c>
      <c r="D19" s="42" t="s">
        <v>16</v>
      </c>
      <c r="E19" s="42" t="s">
        <v>2637</v>
      </c>
      <c r="F19" s="42">
        <v>231</v>
      </c>
      <c r="G19" s="42"/>
      <c r="H19" s="42">
        <v>12990</v>
      </c>
      <c r="I19" s="42">
        <v>279</v>
      </c>
      <c r="J19" s="42">
        <v>0.13</v>
      </c>
      <c r="K19" s="43">
        <f t="shared" si="0"/>
        <v>36.270000000000003</v>
      </c>
      <c r="L19" s="43">
        <f t="shared" si="1"/>
        <v>12953.73</v>
      </c>
      <c r="M19" s="43"/>
      <c r="N19" s="43">
        <f t="shared" si="2"/>
        <v>12953.73</v>
      </c>
      <c r="O19" s="43">
        <f t="shared" si="3"/>
        <v>909.30000000000007</v>
      </c>
      <c r="P19" s="42">
        <v>21000</v>
      </c>
      <c r="Q19" s="42">
        <v>27.5</v>
      </c>
      <c r="R19" s="42">
        <f t="shared" si="4"/>
        <v>356227.57500000001</v>
      </c>
      <c r="S19" s="62"/>
      <c r="T19" s="62"/>
      <c r="U19" s="62"/>
      <c r="V19" s="62"/>
    </row>
    <row r="20" spans="1:22">
      <c r="A20" s="374"/>
      <c r="B20" s="42" t="s">
        <v>464</v>
      </c>
      <c r="C20" s="42" t="s">
        <v>444</v>
      </c>
      <c r="D20" s="42" t="s">
        <v>16</v>
      </c>
      <c r="E20" s="42" t="s">
        <v>2638</v>
      </c>
      <c r="F20" s="42">
        <v>230</v>
      </c>
      <c r="G20" s="42"/>
      <c r="H20" s="42">
        <v>13270</v>
      </c>
      <c r="I20" s="42">
        <v>284</v>
      </c>
      <c r="J20" s="42">
        <v>0.13</v>
      </c>
      <c r="K20" s="43">
        <f t="shared" si="0"/>
        <v>36.92</v>
      </c>
      <c r="L20" s="43">
        <f t="shared" si="1"/>
        <v>13233.08</v>
      </c>
      <c r="M20" s="43"/>
      <c r="N20" s="43">
        <f t="shared" si="2"/>
        <v>13233.08</v>
      </c>
      <c r="O20" s="43">
        <f t="shared" si="3"/>
        <v>928.9</v>
      </c>
      <c r="P20" s="42">
        <v>21000</v>
      </c>
      <c r="Q20" s="42">
        <v>27.5</v>
      </c>
      <c r="R20" s="42">
        <f t="shared" si="4"/>
        <v>363909.7</v>
      </c>
      <c r="S20" s="67"/>
      <c r="T20" s="62"/>
      <c r="U20" s="62"/>
      <c r="V20" s="62"/>
    </row>
    <row r="21" spans="1:22">
      <c r="A21" s="374"/>
      <c r="B21" s="42" t="s">
        <v>464</v>
      </c>
      <c r="C21" s="42" t="s">
        <v>444</v>
      </c>
      <c r="D21" s="42" t="s">
        <v>16</v>
      </c>
      <c r="E21" s="42" t="s">
        <v>2639</v>
      </c>
      <c r="F21" s="42">
        <v>233</v>
      </c>
      <c r="G21" s="42"/>
      <c r="H21" s="42">
        <v>12870</v>
      </c>
      <c r="I21" s="42">
        <v>215</v>
      </c>
      <c r="J21" s="42">
        <v>0.13</v>
      </c>
      <c r="K21" s="43">
        <f t="shared" si="0"/>
        <v>27.95</v>
      </c>
      <c r="L21" s="43">
        <f t="shared" si="1"/>
        <v>12842.05</v>
      </c>
      <c r="M21" s="43"/>
      <c r="N21" s="43">
        <f t="shared" si="2"/>
        <v>12842.05</v>
      </c>
      <c r="O21" s="43">
        <f t="shared" si="3"/>
        <v>900.9</v>
      </c>
      <c r="P21" s="42">
        <v>21000</v>
      </c>
      <c r="Q21" s="42">
        <v>27.5</v>
      </c>
      <c r="R21" s="42">
        <f t="shared" si="4"/>
        <v>353156.375</v>
      </c>
      <c r="S21" s="160"/>
      <c r="T21" s="62"/>
      <c r="U21" s="62"/>
      <c r="V21" s="62"/>
    </row>
    <row r="22" spans="1:22">
      <c r="A22" s="374"/>
      <c r="B22" s="42" t="s">
        <v>464</v>
      </c>
      <c r="C22" s="42" t="s">
        <v>444</v>
      </c>
      <c r="D22" s="42" t="s">
        <v>16</v>
      </c>
      <c r="E22" s="42" t="s">
        <v>2640</v>
      </c>
      <c r="F22" s="42">
        <v>228</v>
      </c>
      <c r="G22" s="42"/>
      <c r="H22" s="42">
        <v>13290</v>
      </c>
      <c r="I22" s="42">
        <v>255</v>
      </c>
      <c r="J22" s="42">
        <v>0.13</v>
      </c>
      <c r="K22" s="43">
        <f t="shared" si="0"/>
        <v>33.15</v>
      </c>
      <c r="L22" s="43">
        <f t="shared" si="1"/>
        <v>13256.85</v>
      </c>
      <c r="M22" s="43"/>
      <c r="N22" s="43">
        <f t="shared" si="2"/>
        <v>13256.85</v>
      </c>
      <c r="O22" s="43">
        <f t="shared" si="3"/>
        <v>930.3</v>
      </c>
      <c r="P22" s="42">
        <v>21000</v>
      </c>
      <c r="Q22" s="42">
        <v>27.5</v>
      </c>
      <c r="R22" s="42">
        <f t="shared" si="4"/>
        <v>364563.375</v>
      </c>
      <c r="S22" s="62"/>
      <c r="T22" s="62"/>
      <c r="U22" s="62"/>
      <c r="V22" s="62"/>
    </row>
    <row r="23" spans="1:22">
      <c r="A23" s="374" t="s">
        <v>2645</v>
      </c>
      <c r="B23" s="42" t="s">
        <v>464</v>
      </c>
      <c r="C23" s="42" t="s">
        <v>444</v>
      </c>
      <c r="D23" s="42" t="s">
        <v>16</v>
      </c>
      <c r="E23" s="42" t="s">
        <v>2646</v>
      </c>
      <c r="F23" s="42">
        <v>230</v>
      </c>
      <c r="G23" s="42"/>
      <c r="H23" s="42">
        <v>13110</v>
      </c>
      <c r="I23" s="42">
        <v>240</v>
      </c>
      <c r="J23" s="42">
        <v>0.13</v>
      </c>
      <c r="K23" s="43">
        <f t="shared" si="0"/>
        <v>31.200000000000003</v>
      </c>
      <c r="L23" s="43">
        <f t="shared" si="1"/>
        <v>13078.8</v>
      </c>
      <c r="M23" s="43"/>
      <c r="N23" s="43">
        <f t="shared" si="2"/>
        <v>13078.8</v>
      </c>
      <c r="O23" s="43">
        <f t="shared" si="3"/>
        <v>917.69999999999993</v>
      </c>
      <c r="P23" s="42">
        <v>21000</v>
      </c>
      <c r="Q23" s="42">
        <v>27.5</v>
      </c>
      <c r="R23" s="42">
        <f t="shared" si="4"/>
        <v>359667</v>
      </c>
      <c r="S23" s="161"/>
      <c r="T23" s="62"/>
      <c r="U23" s="62"/>
      <c r="V23" s="62"/>
    </row>
    <row r="24" spans="1:22">
      <c r="A24" s="374"/>
      <c r="B24" s="42" t="s">
        <v>464</v>
      </c>
      <c r="C24" s="42" t="s">
        <v>444</v>
      </c>
      <c r="D24" s="42" t="s">
        <v>16</v>
      </c>
      <c r="E24" s="42" t="s">
        <v>2647</v>
      </c>
      <c r="F24" s="42">
        <v>234</v>
      </c>
      <c r="G24" s="42"/>
      <c r="H24" s="42">
        <v>13060</v>
      </c>
      <c r="I24" s="42">
        <v>277</v>
      </c>
      <c r="J24" s="42">
        <v>0.13</v>
      </c>
      <c r="K24" s="43">
        <f t="shared" si="0"/>
        <v>36.01</v>
      </c>
      <c r="L24" s="43">
        <f t="shared" si="1"/>
        <v>13023.99</v>
      </c>
      <c r="M24" s="43"/>
      <c r="N24" s="43">
        <f t="shared" si="2"/>
        <v>13023.99</v>
      </c>
      <c r="O24" s="43">
        <f t="shared" si="3"/>
        <v>914.2</v>
      </c>
      <c r="P24" s="42">
        <v>21000</v>
      </c>
      <c r="Q24" s="42">
        <v>27.5</v>
      </c>
      <c r="R24" s="42">
        <f t="shared" si="4"/>
        <v>358159.72499999998</v>
      </c>
      <c r="S24" s="62"/>
      <c r="T24" s="62"/>
      <c r="U24" s="62"/>
      <c r="V24" s="62"/>
    </row>
    <row r="25" spans="1:22">
      <c r="A25" s="374"/>
      <c r="B25" s="42" t="s">
        <v>464</v>
      </c>
      <c r="C25" s="42" t="s">
        <v>444</v>
      </c>
      <c r="D25" s="42" t="s">
        <v>16</v>
      </c>
      <c r="E25" s="42" t="s">
        <v>2648</v>
      </c>
      <c r="F25" s="42">
        <v>229</v>
      </c>
      <c r="G25" s="42"/>
      <c r="H25" s="42">
        <v>13000</v>
      </c>
      <c r="I25" s="42">
        <v>240</v>
      </c>
      <c r="J25" s="42">
        <v>0.13</v>
      </c>
      <c r="K25" s="43">
        <f t="shared" si="0"/>
        <v>31.200000000000003</v>
      </c>
      <c r="L25" s="43">
        <f t="shared" si="1"/>
        <v>12968.8</v>
      </c>
      <c r="M25" s="43"/>
      <c r="N25" s="43">
        <f t="shared" si="2"/>
        <v>12968.8</v>
      </c>
      <c r="O25" s="43">
        <f t="shared" si="3"/>
        <v>910</v>
      </c>
      <c r="P25" s="42">
        <v>21000</v>
      </c>
      <c r="Q25" s="42">
        <v>27.5</v>
      </c>
      <c r="R25" s="42">
        <f t="shared" si="4"/>
        <v>356642</v>
      </c>
      <c r="S25" s="62"/>
      <c r="T25" s="62"/>
      <c r="U25" s="62"/>
      <c r="V25" s="62"/>
    </row>
    <row r="26" spans="1:22">
      <c r="A26" s="374"/>
      <c r="B26" s="42" t="s">
        <v>464</v>
      </c>
      <c r="C26" s="42" t="s">
        <v>444</v>
      </c>
      <c r="D26" s="42" t="s">
        <v>16</v>
      </c>
      <c r="E26" s="42" t="s">
        <v>2649</v>
      </c>
      <c r="F26" s="42">
        <v>232</v>
      </c>
      <c r="G26" s="42"/>
      <c r="H26" s="42">
        <v>12920</v>
      </c>
      <c r="I26" s="42">
        <v>240</v>
      </c>
      <c r="J26" s="42">
        <v>0.13</v>
      </c>
      <c r="K26" s="43">
        <f t="shared" si="0"/>
        <v>31.200000000000003</v>
      </c>
      <c r="L26" s="43">
        <f t="shared" si="1"/>
        <v>12888.8</v>
      </c>
      <c r="M26" s="43"/>
      <c r="N26" s="43">
        <f t="shared" si="2"/>
        <v>12888.8</v>
      </c>
      <c r="O26" s="43">
        <f t="shared" si="3"/>
        <v>904.4</v>
      </c>
      <c r="P26" s="42">
        <v>21000</v>
      </c>
      <c r="Q26" s="42">
        <v>27.5</v>
      </c>
      <c r="R26" s="42">
        <f t="shared" si="4"/>
        <v>354442</v>
      </c>
      <c r="S26" s="62"/>
      <c r="T26" s="62"/>
      <c r="U26" s="62"/>
      <c r="V26" s="62"/>
    </row>
    <row r="27" spans="1:22">
      <c r="A27" s="374"/>
      <c r="B27" s="42" t="s">
        <v>464</v>
      </c>
      <c r="C27" s="42" t="s">
        <v>444</v>
      </c>
      <c r="D27" s="42" t="s">
        <v>16</v>
      </c>
      <c r="E27" s="42" t="s">
        <v>2650</v>
      </c>
      <c r="F27" s="42">
        <v>233</v>
      </c>
      <c r="G27" s="42"/>
      <c r="H27" s="42">
        <v>13090</v>
      </c>
      <c r="I27" s="42">
        <v>275</v>
      </c>
      <c r="J27" s="42">
        <v>0.13</v>
      </c>
      <c r="K27" s="43">
        <f t="shared" si="0"/>
        <v>35.75</v>
      </c>
      <c r="L27" s="43">
        <f t="shared" si="1"/>
        <v>13054.25</v>
      </c>
      <c r="M27" s="43"/>
      <c r="N27" s="43">
        <f t="shared" si="2"/>
        <v>13054.25</v>
      </c>
      <c r="O27" s="43">
        <f t="shared" si="3"/>
        <v>916.3</v>
      </c>
      <c r="P27" s="42">
        <v>21000</v>
      </c>
      <c r="Q27" s="42">
        <v>27.5</v>
      </c>
      <c r="R27" s="42">
        <f t="shared" si="4"/>
        <v>358991.875</v>
      </c>
      <c r="S27" s="62"/>
      <c r="T27" s="62"/>
      <c r="U27" s="62"/>
      <c r="V27" s="62"/>
    </row>
    <row r="28" spans="1:22">
      <c r="A28" s="62"/>
      <c r="B28" s="62"/>
      <c r="C28" s="62"/>
      <c r="D28" s="62"/>
      <c r="E28" s="62"/>
      <c r="F28" s="62"/>
      <c r="G28" s="62"/>
      <c r="H28" s="62"/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</row>
    <row r="29" spans="1:22">
      <c r="A29" s="62"/>
      <c r="B29" s="67"/>
      <c r="C29" s="67"/>
      <c r="D29" s="67"/>
      <c r="E29" s="67"/>
      <c r="F29" s="67"/>
      <c r="G29" s="67"/>
      <c r="H29" s="67"/>
      <c r="I29" s="67"/>
      <c r="J29" s="67"/>
      <c r="K29" s="67"/>
      <c r="L29" s="68"/>
      <c r="M29" s="68"/>
      <c r="N29" s="68"/>
      <c r="O29" s="68"/>
      <c r="P29" s="67"/>
      <c r="Q29" s="67"/>
      <c r="R29" s="67"/>
      <c r="S29" s="62"/>
      <c r="T29" s="62"/>
      <c r="U29" s="62"/>
      <c r="V29" s="62"/>
    </row>
    <row r="30" spans="1:22">
      <c r="A30" s="21"/>
      <c r="B30" s="67"/>
      <c r="C30" s="142"/>
      <c r="D30" s="67"/>
      <c r="E30" s="67"/>
      <c r="F30" s="67"/>
      <c r="G30" s="67"/>
      <c r="H30" s="67"/>
      <c r="I30" s="67"/>
      <c r="J30" s="67"/>
      <c r="K30" s="67"/>
      <c r="L30" s="68"/>
      <c r="M30" s="68"/>
      <c r="N30" s="68"/>
      <c r="O30" s="68"/>
      <c r="P30" s="67"/>
      <c r="Q30" s="67"/>
      <c r="R30" s="67"/>
      <c r="S30" s="62"/>
      <c r="T30" s="62"/>
      <c r="U30" s="62"/>
      <c r="V30" s="62"/>
    </row>
    <row r="31" spans="1:22">
      <c r="A31" s="62"/>
      <c r="B31" s="62"/>
      <c r="C31" s="62"/>
      <c r="D31" s="62"/>
      <c r="E31" s="62"/>
      <c r="F31" s="62"/>
      <c r="G31" s="62"/>
      <c r="H31" s="62"/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</row>
    <row r="32" spans="1:22">
      <c r="A32" s="21"/>
      <c r="B32" s="67"/>
      <c r="C32" s="142"/>
      <c r="D32" s="67"/>
      <c r="E32" s="67"/>
      <c r="F32" s="67"/>
      <c r="G32" s="67"/>
      <c r="H32" s="67">
        <f>SUM(H11:H31)</f>
        <v>217930</v>
      </c>
      <c r="I32" s="67">
        <f t="shared" ref="I32:O32" si="5">SUM(I11:I31)</f>
        <v>4401</v>
      </c>
      <c r="J32" s="67">
        <f t="shared" si="5"/>
        <v>2.2099999999999991</v>
      </c>
      <c r="K32" s="67">
        <f t="shared" si="5"/>
        <v>572.13</v>
      </c>
      <c r="L32" s="67">
        <f t="shared" si="5"/>
        <v>217357.86999999994</v>
      </c>
      <c r="M32" s="67">
        <f t="shared" si="5"/>
        <v>0</v>
      </c>
      <c r="N32" s="67">
        <f t="shared" si="5"/>
        <v>217357.86999999994</v>
      </c>
      <c r="O32" s="67">
        <f t="shared" si="5"/>
        <v>15255.1</v>
      </c>
      <c r="P32" s="67"/>
      <c r="Q32" s="62"/>
      <c r="R32" s="62"/>
      <c r="S32" s="62"/>
      <c r="T32" s="62"/>
      <c r="U32" s="62"/>
      <c r="V32" s="62"/>
    </row>
    <row r="33" spans="1:22">
      <c r="A33" s="62"/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</row>
    <row r="34" spans="1:22">
      <c r="A34" s="21"/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8"/>
      <c r="M34" s="68"/>
      <c r="N34" s="68"/>
      <c r="O34" s="68"/>
      <c r="P34" s="67"/>
      <c r="Q34" s="67"/>
      <c r="R34" s="67"/>
      <c r="S34" s="62"/>
      <c r="T34" s="62"/>
      <c r="U34" s="62"/>
      <c r="V34" s="62"/>
    </row>
    <row r="35" spans="1:22">
      <c r="A35" s="62"/>
      <c r="B35" s="62"/>
      <c r="C35" s="62"/>
      <c r="D35" s="62"/>
      <c r="E35" s="62"/>
      <c r="F35" s="62"/>
      <c r="G35" s="62"/>
      <c r="H35" s="62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</row>
  </sheetData>
  <mergeCells count="3">
    <mergeCell ref="A11:A17"/>
    <mergeCell ref="A18:A22"/>
    <mergeCell ref="A23:A27"/>
  </mergeCells>
  <pageMargins left="0.7" right="0.7" top="0.75" bottom="0.75" header="0.3" footer="0.3"/>
  <pageSetup paperSize="9" orientation="portrait" verticalDpi="0" r:id="rId1"/>
</worksheet>
</file>

<file path=xl/worksheets/sheet118.xml><?xml version="1.0" encoding="utf-8"?>
<worksheet xmlns="http://schemas.openxmlformats.org/spreadsheetml/2006/main" xmlns:r="http://schemas.openxmlformats.org/officeDocument/2006/relationships">
  <dimension ref="A5:U20"/>
  <sheetViews>
    <sheetView workbookViewId="0">
      <selection activeCell="L21" sqref="L21"/>
    </sheetView>
  </sheetViews>
  <sheetFormatPr defaultRowHeight="14.4"/>
  <cols>
    <col min="1" max="1" width="8.88671875" style="1"/>
    <col min="2" max="2" width="13.88671875" style="1" customWidth="1"/>
    <col min="3" max="3" width="8.88671875" style="1"/>
    <col min="4" max="4" width="4.21875" style="1" customWidth="1"/>
    <col min="5" max="5" width="10.109375" style="1" customWidth="1"/>
    <col min="6" max="7" width="7" style="1" customWidth="1"/>
    <col min="8" max="8" width="6.33203125" style="1" customWidth="1"/>
    <col min="9" max="9" width="5.33203125" style="1" customWidth="1"/>
    <col min="10" max="10" width="5.88671875" style="1" customWidth="1"/>
    <col min="11" max="11" width="6.218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128</v>
      </c>
    </row>
    <row r="6" spans="1:21">
      <c r="A6" s="7" t="s">
        <v>81</v>
      </c>
      <c r="B6" s="2" t="s">
        <v>127</v>
      </c>
      <c r="C6" s="2" t="s">
        <v>118</v>
      </c>
      <c r="D6" s="2" t="s">
        <v>16</v>
      </c>
      <c r="E6" s="2" t="s">
        <v>119</v>
      </c>
      <c r="F6" s="2">
        <v>71</v>
      </c>
      <c r="G6" s="2"/>
      <c r="H6" s="2">
        <v>20010</v>
      </c>
      <c r="I6" s="2">
        <v>400</v>
      </c>
      <c r="J6" s="2">
        <v>0.13</v>
      </c>
      <c r="K6" s="2">
        <f t="shared" ref="K6:K13" si="0">I6*J6</f>
        <v>52</v>
      </c>
      <c r="L6" s="5">
        <f t="shared" ref="L6:L13" si="1">H6-K6</f>
        <v>19958</v>
      </c>
      <c r="M6" s="5">
        <f t="shared" ref="M6:M13" si="2">H6/1000*70</f>
        <v>1400.7</v>
      </c>
      <c r="N6" s="2">
        <v>0</v>
      </c>
      <c r="Q6" s="1" t="s">
        <v>112</v>
      </c>
      <c r="R6" s="1">
        <v>131</v>
      </c>
      <c r="S6" s="1">
        <v>200000</v>
      </c>
      <c r="T6" s="1" t="s">
        <v>86</v>
      </c>
      <c r="U6" s="1">
        <v>18.75</v>
      </c>
    </row>
    <row r="7" spans="1:21">
      <c r="A7" s="8" t="s">
        <v>126</v>
      </c>
      <c r="B7" s="2" t="s">
        <v>117</v>
      </c>
      <c r="C7" s="2" t="s">
        <v>118</v>
      </c>
      <c r="D7" s="2" t="s">
        <v>16</v>
      </c>
      <c r="E7" s="2" t="s">
        <v>140</v>
      </c>
      <c r="F7" s="2">
        <v>73</v>
      </c>
      <c r="G7" s="2"/>
      <c r="H7" s="2">
        <v>20000</v>
      </c>
      <c r="I7" s="2">
        <v>400</v>
      </c>
      <c r="J7" s="2">
        <v>0.13</v>
      </c>
      <c r="K7" s="5">
        <f t="shared" si="0"/>
        <v>52</v>
      </c>
      <c r="L7" s="19">
        <f t="shared" si="1"/>
        <v>19948</v>
      </c>
      <c r="M7" s="5">
        <f t="shared" si="2"/>
        <v>1400</v>
      </c>
      <c r="N7" s="2">
        <v>0</v>
      </c>
    </row>
    <row r="8" spans="1:21">
      <c r="A8" s="384" t="s">
        <v>151</v>
      </c>
      <c r="B8" s="2" t="s">
        <v>117</v>
      </c>
      <c r="C8" s="2" t="s">
        <v>118</v>
      </c>
      <c r="D8" s="2" t="s">
        <v>16</v>
      </c>
      <c r="E8" s="2" t="s">
        <v>165</v>
      </c>
      <c r="F8" s="2">
        <v>74</v>
      </c>
      <c r="G8" s="2"/>
      <c r="H8" s="2">
        <v>20000</v>
      </c>
      <c r="I8" s="2">
        <v>400</v>
      </c>
      <c r="J8" s="2">
        <v>0.13</v>
      </c>
      <c r="K8" s="5">
        <f t="shared" si="0"/>
        <v>52</v>
      </c>
      <c r="L8" s="19">
        <f t="shared" si="1"/>
        <v>19948</v>
      </c>
      <c r="M8" s="5">
        <f t="shared" si="2"/>
        <v>1400</v>
      </c>
      <c r="N8" s="2"/>
    </row>
    <row r="9" spans="1:21">
      <c r="A9" s="385"/>
      <c r="B9" s="2" t="s">
        <v>117</v>
      </c>
      <c r="C9" s="2" t="s">
        <v>118</v>
      </c>
      <c r="D9" s="2" t="s">
        <v>16</v>
      </c>
      <c r="E9" s="2" t="s">
        <v>166</v>
      </c>
      <c r="F9" s="2">
        <v>75</v>
      </c>
      <c r="G9" s="2"/>
      <c r="H9" s="2">
        <v>20000</v>
      </c>
      <c r="I9" s="2">
        <v>400</v>
      </c>
      <c r="J9" s="2">
        <v>0.13</v>
      </c>
      <c r="K9" s="5">
        <f t="shared" si="0"/>
        <v>52</v>
      </c>
      <c r="L9" s="19">
        <f t="shared" si="1"/>
        <v>19948</v>
      </c>
      <c r="M9" s="5">
        <f t="shared" si="2"/>
        <v>1400</v>
      </c>
      <c r="N9" s="2"/>
    </row>
    <row r="10" spans="1:21">
      <c r="A10" s="10" t="s">
        <v>210</v>
      </c>
      <c r="B10" s="2" t="s">
        <v>213</v>
      </c>
      <c r="C10" s="2" t="s">
        <v>118</v>
      </c>
      <c r="D10" s="2" t="s">
        <v>16</v>
      </c>
      <c r="E10" s="2" t="s">
        <v>214</v>
      </c>
      <c r="F10" s="2">
        <v>77</v>
      </c>
      <c r="G10" s="2"/>
      <c r="H10" s="2">
        <v>20000</v>
      </c>
      <c r="I10" s="2">
        <v>400</v>
      </c>
      <c r="J10" s="2">
        <v>0.13</v>
      </c>
      <c r="K10" s="5">
        <f t="shared" si="0"/>
        <v>52</v>
      </c>
      <c r="L10" s="19">
        <f t="shared" si="1"/>
        <v>19948</v>
      </c>
      <c r="M10" s="5">
        <f t="shared" si="2"/>
        <v>1400</v>
      </c>
      <c r="N10" s="2">
        <v>0</v>
      </c>
    </row>
    <row r="11" spans="1:21">
      <c r="A11" s="11" t="s">
        <v>243</v>
      </c>
      <c r="B11" s="2" t="s">
        <v>213</v>
      </c>
      <c r="C11" s="2" t="s">
        <v>118</v>
      </c>
      <c r="D11" s="2" t="s">
        <v>16</v>
      </c>
      <c r="E11" s="2" t="s">
        <v>246</v>
      </c>
      <c r="F11" s="2">
        <v>79</v>
      </c>
      <c r="G11" s="2"/>
      <c r="H11" s="2">
        <v>20000</v>
      </c>
      <c r="I11" s="2">
        <v>400</v>
      </c>
      <c r="J11" s="2">
        <v>0.13</v>
      </c>
      <c r="K11" s="5">
        <f t="shared" si="0"/>
        <v>52</v>
      </c>
      <c r="L11" s="19">
        <f t="shared" si="1"/>
        <v>19948</v>
      </c>
      <c r="M11" s="5">
        <f t="shared" si="2"/>
        <v>1400</v>
      </c>
      <c r="N11" s="2">
        <v>0</v>
      </c>
    </row>
    <row r="12" spans="1:21">
      <c r="A12" s="375" t="s">
        <v>260</v>
      </c>
      <c r="B12" s="2" t="s">
        <v>213</v>
      </c>
      <c r="C12" s="2" t="s">
        <v>118</v>
      </c>
      <c r="D12" s="2" t="s">
        <v>16</v>
      </c>
      <c r="E12" s="2" t="s">
        <v>246</v>
      </c>
      <c r="F12" s="2">
        <v>83</v>
      </c>
      <c r="G12" s="2"/>
      <c r="H12" s="2">
        <v>20000</v>
      </c>
      <c r="I12" s="2">
        <v>400</v>
      </c>
      <c r="J12" s="2">
        <v>0.13</v>
      </c>
      <c r="K12" s="5">
        <f t="shared" si="0"/>
        <v>52</v>
      </c>
      <c r="L12" s="19">
        <f t="shared" si="1"/>
        <v>19948</v>
      </c>
      <c r="M12" s="5">
        <f t="shared" si="2"/>
        <v>1400</v>
      </c>
      <c r="N12" s="2">
        <v>0</v>
      </c>
      <c r="O12" s="2">
        <v>18.75</v>
      </c>
      <c r="P12" s="2">
        <f t="shared" ref="P12:P13" si="3">L12*O12</f>
        <v>374025</v>
      </c>
    </row>
    <row r="13" spans="1:21">
      <c r="A13" s="375"/>
      <c r="B13" s="2" t="s">
        <v>213</v>
      </c>
      <c r="C13" s="2" t="s">
        <v>118</v>
      </c>
      <c r="D13" s="2" t="s">
        <v>16</v>
      </c>
      <c r="E13" s="2" t="s">
        <v>262</v>
      </c>
      <c r="F13" s="2">
        <v>82</v>
      </c>
      <c r="G13" s="2"/>
      <c r="H13" s="2">
        <v>19990</v>
      </c>
      <c r="I13" s="2">
        <v>400</v>
      </c>
      <c r="J13" s="2">
        <v>0.13</v>
      </c>
      <c r="K13" s="5">
        <f t="shared" si="0"/>
        <v>52</v>
      </c>
      <c r="L13" s="19">
        <f t="shared" si="1"/>
        <v>19938</v>
      </c>
      <c r="M13" s="5">
        <f t="shared" si="2"/>
        <v>1399.3</v>
      </c>
      <c r="N13" s="2">
        <v>0</v>
      </c>
      <c r="O13" s="2">
        <v>18.75</v>
      </c>
      <c r="P13" s="2">
        <f t="shared" si="3"/>
        <v>373837.5</v>
      </c>
    </row>
    <row r="20" spans="12:12">
      <c r="L20" s="16">
        <f>SUM(L6:L19)</f>
        <v>159584</v>
      </c>
    </row>
  </sheetData>
  <mergeCells count="2">
    <mergeCell ref="A8:A9"/>
    <mergeCell ref="A12:A13"/>
  </mergeCells>
  <pageMargins left="0.7" right="0.7" top="0.75" bottom="0.75" header="0.3" footer="0.3"/>
  <pageSetup paperSize="9" orientation="portrait" verticalDpi="0" r:id="rId1"/>
</worksheet>
</file>

<file path=xl/worksheets/sheet119.xml><?xml version="1.0" encoding="utf-8"?>
<worksheet xmlns="http://schemas.openxmlformats.org/spreadsheetml/2006/main" xmlns:r="http://schemas.openxmlformats.org/officeDocument/2006/relationships">
  <dimension ref="A5:U20"/>
  <sheetViews>
    <sheetView workbookViewId="0">
      <selection activeCell="A14" sqref="A14"/>
    </sheetView>
  </sheetViews>
  <sheetFormatPr defaultRowHeight="14.4"/>
  <cols>
    <col min="1" max="1" width="8.88671875" style="1"/>
    <col min="2" max="2" width="13.88671875" style="1" customWidth="1"/>
    <col min="3" max="3" width="8.88671875" style="1"/>
    <col min="4" max="4" width="5.5546875" style="1" customWidth="1"/>
    <col min="5" max="5" width="11.2187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128</v>
      </c>
    </row>
    <row r="6" spans="1:21">
      <c r="A6" s="32" t="s">
        <v>200</v>
      </c>
      <c r="B6" s="2" t="s">
        <v>68</v>
      </c>
      <c r="C6" s="2" t="s">
        <v>118</v>
      </c>
      <c r="D6" s="2" t="s">
        <v>16</v>
      </c>
      <c r="E6" s="2" t="s">
        <v>208</v>
      </c>
      <c r="F6" s="20">
        <v>2146</v>
      </c>
      <c r="G6" s="20"/>
      <c r="H6" s="20">
        <v>19960</v>
      </c>
      <c r="I6" s="20">
        <v>400</v>
      </c>
      <c r="J6" s="20">
        <v>0.13</v>
      </c>
      <c r="K6" s="5">
        <f t="shared" ref="K6:K9" si="0">I6*J6</f>
        <v>52</v>
      </c>
      <c r="L6" s="19">
        <f t="shared" ref="L6:L9" si="1">H6-K6</f>
        <v>19908</v>
      </c>
      <c r="M6" s="5">
        <f t="shared" ref="M6:M9" si="2">H6/1000*70</f>
        <v>1397.2</v>
      </c>
      <c r="N6" s="20">
        <v>0</v>
      </c>
      <c r="O6" s="33"/>
      <c r="P6" s="33"/>
      <c r="Q6" s="1" t="s">
        <v>151</v>
      </c>
      <c r="R6" s="1">
        <v>136</v>
      </c>
      <c r="S6" s="1">
        <v>150000</v>
      </c>
      <c r="T6" s="1" t="s">
        <v>86</v>
      </c>
      <c r="U6" s="1">
        <v>18.600000000000001</v>
      </c>
    </row>
    <row r="7" spans="1:21">
      <c r="A7" s="34" t="s">
        <v>260</v>
      </c>
      <c r="B7" s="2" t="s">
        <v>68</v>
      </c>
      <c r="C7" s="2" t="s">
        <v>118</v>
      </c>
      <c r="D7" s="2" t="s">
        <v>16</v>
      </c>
      <c r="E7" s="2" t="s">
        <v>263</v>
      </c>
      <c r="F7" s="2">
        <v>212</v>
      </c>
      <c r="G7" s="2"/>
      <c r="H7" s="2">
        <v>19940</v>
      </c>
      <c r="I7" s="2">
        <v>400</v>
      </c>
      <c r="J7" s="2">
        <v>0.13</v>
      </c>
      <c r="K7" s="5">
        <f t="shared" si="0"/>
        <v>52</v>
      </c>
      <c r="L7" s="19">
        <f t="shared" si="1"/>
        <v>19888</v>
      </c>
      <c r="M7" s="5">
        <f t="shared" si="2"/>
        <v>1395.8000000000002</v>
      </c>
      <c r="N7" s="2">
        <v>11500</v>
      </c>
      <c r="O7" s="2">
        <v>18.600000000000001</v>
      </c>
      <c r="P7" s="2">
        <f t="shared" ref="P7:P9" si="3">L7*O7</f>
        <v>369916.80000000005</v>
      </c>
    </row>
    <row r="8" spans="1:21">
      <c r="A8" s="35" t="s">
        <v>264</v>
      </c>
      <c r="B8" s="2" t="s">
        <v>68</v>
      </c>
      <c r="C8" s="2" t="s">
        <v>118</v>
      </c>
      <c r="D8" s="2" t="s">
        <v>16</v>
      </c>
      <c r="E8" s="2" t="s">
        <v>266</v>
      </c>
      <c r="F8" s="2">
        <v>214</v>
      </c>
      <c r="G8" s="2"/>
      <c r="H8" s="2">
        <v>20000</v>
      </c>
      <c r="I8" s="2">
        <v>400</v>
      </c>
      <c r="J8" s="2">
        <v>0.13</v>
      </c>
      <c r="K8" s="5">
        <f t="shared" si="0"/>
        <v>52</v>
      </c>
      <c r="L8" s="19">
        <f t="shared" si="1"/>
        <v>19948</v>
      </c>
      <c r="M8" s="5">
        <f t="shared" si="2"/>
        <v>1400</v>
      </c>
      <c r="N8" s="2">
        <v>12000</v>
      </c>
      <c r="O8" s="2">
        <v>18.600000000000001</v>
      </c>
      <c r="P8" s="2">
        <f t="shared" si="3"/>
        <v>371032.80000000005</v>
      </c>
    </row>
    <row r="9" spans="1:21">
      <c r="A9" s="31" t="s">
        <v>284</v>
      </c>
      <c r="B9" s="2" t="s">
        <v>68</v>
      </c>
      <c r="C9" s="2" t="s">
        <v>118</v>
      </c>
      <c r="D9" s="2" t="s">
        <v>16</v>
      </c>
      <c r="E9" s="2" t="s">
        <v>285</v>
      </c>
      <c r="F9" s="2">
        <v>816</v>
      </c>
      <c r="G9" s="2"/>
      <c r="H9" s="2">
        <v>20000</v>
      </c>
      <c r="I9" s="2">
        <v>400</v>
      </c>
      <c r="J9" s="2">
        <v>0.13</v>
      </c>
      <c r="K9" s="5">
        <f t="shared" si="0"/>
        <v>52</v>
      </c>
      <c r="L9" s="19">
        <f t="shared" si="1"/>
        <v>19948</v>
      </c>
      <c r="M9" s="5">
        <f t="shared" si="2"/>
        <v>1400</v>
      </c>
      <c r="N9" s="2">
        <v>12000</v>
      </c>
      <c r="O9" s="2">
        <v>18.600000000000001</v>
      </c>
      <c r="P9" s="2">
        <f t="shared" si="3"/>
        <v>371032.80000000005</v>
      </c>
    </row>
    <row r="10" spans="1:21">
      <c r="A10" s="10"/>
      <c r="B10" s="2"/>
      <c r="C10" s="2"/>
      <c r="D10" s="2"/>
      <c r="E10" s="2"/>
      <c r="F10" s="2"/>
      <c r="G10" s="2"/>
      <c r="H10" s="2"/>
      <c r="I10" s="2"/>
      <c r="J10" s="2"/>
      <c r="K10" s="2"/>
      <c r="L10" s="5"/>
      <c r="M10" s="5"/>
      <c r="N10" s="2"/>
    </row>
    <row r="11" spans="1:21">
      <c r="A11" s="11" t="s">
        <v>313</v>
      </c>
      <c r="B11" s="42" t="s">
        <v>68</v>
      </c>
      <c r="C11" s="42" t="s">
        <v>118</v>
      </c>
      <c r="D11" s="42" t="s">
        <v>16</v>
      </c>
      <c r="E11" s="42" t="s">
        <v>285</v>
      </c>
      <c r="F11" s="42">
        <v>1966</v>
      </c>
      <c r="G11" s="42"/>
      <c r="H11" s="42">
        <v>19710</v>
      </c>
      <c r="I11" s="42">
        <v>400</v>
      </c>
      <c r="J11" s="42">
        <v>0.13</v>
      </c>
      <c r="K11" s="42">
        <f t="shared" ref="K11" si="4">I11*J11</f>
        <v>52</v>
      </c>
      <c r="L11" s="43">
        <f t="shared" ref="L11" si="5">H11-K11</f>
        <v>19658</v>
      </c>
      <c r="M11" s="43">
        <f t="shared" ref="M11" si="6">H11/1000*70</f>
        <v>1379.7</v>
      </c>
      <c r="N11" s="42">
        <v>12000</v>
      </c>
      <c r="O11" s="42">
        <v>18.600000000000001</v>
      </c>
      <c r="P11" s="42">
        <f t="shared" ref="P11" si="7">L11*O11</f>
        <v>365638.80000000005</v>
      </c>
    </row>
    <row r="12" spans="1:21">
      <c r="B12" s="2"/>
      <c r="C12" s="2"/>
      <c r="D12" s="2"/>
      <c r="E12" s="2"/>
      <c r="F12" s="2"/>
      <c r="G12" s="2"/>
      <c r="H12" s="2"/>
      <c r="I12" s="2"/>
      <c r="J12" s="2"/>
      <c r="K12" s="2"/>
      <c r="L12" s="5"/>
      <c r="M12" s="5"/>
      <c r="N12" s="2"/>
    </row>
    <row r="13" spans="1:21">
      <c r="A13" s="21" t="s">
        <v>3652</v>
      </c>
      <c r="B13" s="42" t="s">
        <v>632</v>
      </c>
      <c r="C13" s="42" t="s">
        <v>118</v>
      </c>
      <c r="D13" s="42" t="s">
        <v>16</v>
      </c>
      <c r="E13" s="47" t="s">
        <v>3653</v>
      </c>
      <c r="F13" s="47">
        <v>674</v>
      </c>
      <c r="G13" s="47"/>
      <c r="H13" s="47">
        <v>19950</v>
      </c>
      <c r="I13" s="47">
        <v>400</v>
      </c>
      <c r="J13" s="47">
        <v>0.13</v>
      </c>
      <c r="K13" s="43">
        <f t="shared" ref="K13" si="8">I13*J13</f>
        <v>52</v>
      </c>
      <c r="L13" s="43">
        <f t="shared" ref="L13" si="9">H13-K13</f>
        <v>19898</v>
      </c>
      <c r="M13" s="43"/>
      <c r="N13" s="43">
        <f t="shared" ref="N13" si="10">L13-M13</f>
        <v>19898</v>
      </c>
      <c r="O13" s="43">
        <f t="shared" ref="O13" si="11">H13/1000*70</f>
        <v>1396.5</v>
      </c>
      <c r="P13" s="42">
        <v>12000</v>
      </c>
      <c r="Q13" s="42">
        <v>25</v>
      </c>
      <c r="R13" s="42">
        <f t="shared" ref="R13" si="12">L13*Q13</f>
        <v>497450</v>
      </c>
    </row>
    <row r="20" spans="12:12">
      <c r="L20" s="16">
        <f>SUM(L6:L19)</f>
        <v>119248</v>
      </c>
    </row>
  </sheetData>
  <pageMargins left="0.7" right="0.7" top="0.75" bottom="0.75" header="0.3" footer="0.3"/>
  <pageSetup paperSize="9" orientation="portrait" verticalDpi="0" r:id="rId1"/>
</worksheet>
</file>

<file path=xl/worksheets/sheet120.xml><?xml version="1.0" encoding="utf-8"?>
<worksheet xmlns="http://schemas.openxmlformats.org/spreadsheetml/2006/main" xmlns:r="http://schemas.openxmlformats.org/officeDocument/2006/relationships">
  <dimension ref="A5:U20"/>
  <sheetViews>
    <sheetView workbookViewId="0">
      <selection activeCell="B8" sqref="B8"/>
    </sheetView>
  </sheetViews>
  <sheetFormatPr defaultRowHeight="14.4"/>
  <cols>
    <col min="1" max="1" width="8.88671875" style="1"/>
    <col min="2" max="2" width="19.33203125" style="1" customWidth="1"/>
    <col min="3" max="3" width="8.88671875" style="1"/>
    <col min="4" max="4" width="5.5546875" style="1" customWidth="1"/>
    <col min="5" max="5" width="11.2187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128</v>
      </c>
    </row>
    <row r="6" spans="1:21">
      <c r="A6" s="32"/>
      <c r="B6" s="2"/>
      <c r="C6" s="2"/>
      <c r="D6" s="2"/>
      <c r="E6" s="2"/>
      <c r="F6" s="20"/>
      <c r="G6" s="20"/>
      <c r="H6" s="20"/>
      <c r="I6" s="20"/>
      <c r="J6" s="20"/>
      <c r="K6" s="5"/>
      <c r="L6" s="19"/>
      <c r="M6" s="5"/>
      <c r="N6" s="20"/>
      <c r="O6" s="33"/>
      <c r="P6" s="33"/>
    </row>
    <row r="7" spans="1:21">
      <c r="A7" s="34" t="s">
        <v>532</v>
      </c>
      <c r="B7" s="42" t="s">
        <v>533</v>
      </c>
      <c r="C7" s="42" t="s">
        <v>534</v>
      </c>
      <c r="D7" s="42" t="s">
        <v>16</v>
      </c>
      <c r="E7" s="42" t="s">
        <v>535</v>
      </c>
      <c r="F7" s="42">
        <v>83</v>
      </c>
      <c r="G7" s="42"/>
      <c r="H7" s="42">
        <v>15000</v>
      </c>
      <c r="I7" s="42">
        <v>300</v>
      </c>
      <c r="J7" s="42">
        <v>0.13</v>
      </c>
      <c r="K7" s="43">
        <f t="shared" ref="K7" si="0">I7*J7</f>
        <v>39</v>
      </c>
      <c r="L7" s="43">
        <f t="shared" ref="L7" si="1">H7-K7</f>
        <v>14961</v>
      </c>
      <c r="M7" s="43">
        <f t="shared" ref="M7" si="2">H7/1000*70</f>
        <v>1050</v>
      </c>
      <c r="N7" s="42">
        <v>12000</v>
      </c>
      <c r="O7" s="42"/>
      <c r="P7" s="42"/>
    </row>
    <row r="8" spans="1:21">
      <c r="A8" s="35"/>
      <c r="B8" s="2"/>
      <c r="C8" s="2"/>
      <c r="D8" s="2"/>
      <c r="E8" s="2"/>
      <c r="F8" s="2"/>
      <c r="G8" s="2"/>
      <c r="H8" s="2"/>
      <c r="I8" s="2"/>
      <c r="J8" s="2"/>
      <c r="K8" s="5"/>
      <c r="L8" s="19"/>
      <c r="M8" s="5"/>
      <c r="N8" s="2"/>
      <c r="O8" s="2"/>
      <c r="P8" s="2"/>
    </row>
    <row r="9" spans="1:21">
      <c r="A9" s="31"/>
      <c r="B9" s="2"/>
      <c r="C9" s="2"/>
      <c r="D9" s="2"/>
      <c r="E9" s="2"/>
      <c r="F9" s="2"/>
      <c r="G9" s="2"/>
      <c r="H9" s="2"/>
      <c r="I9" s="2"/>
      <c r="J9" s="2"/>
      <c r="K9" s="5"/>
      <c r="L9" s="19"/>
      <c r="M9" s="5"/>
      <c r="N9" s="2"/>
      <c r="O9" s="2"/>
      <c r="P9" s="2"/>
    </row>
    <row r="10" spans="1:21">
      <c r="A10" s="10"/>
      <c r="B10" s="2"/>
      <c r="C10" s="2"/>
      <c r="D10" s="2"/>
      <c r="E10" s="2"/>
      <c r="F10" s="2"/>
      <c r="G10" s="2"/>
      <c r="H10" s="2"/>
      <c r="I10" s="2"/>
      <c r="J10" s="2"/>
      <c r="K10" s="2"/>
      <c r="L10" s="5"/>
      <c r="M10" s="5"/>
      <c r="N10" s="2"/>
    </row>
    <row r="11" spans="1:21">
      <c r="A11" s="11"/>
      <c r="B11" s="42"/>
      <c r="C11" s="42"/>
      <c r="D11" s="42"/>
      <c r="E11" s="42"/>
      <c r="F11" s="42"/>
      <c r="G11" s="42"/>
      <c r="H11" s="42"/>
      <c r="I11" s="42"/>
      <c r="J11" s="42"/>
      <c r="K11" s="42"/>
      <c r="L11" s="43"/>
      <c r="M11" s="43"/>
      <c r="N11" s="42"/>
      <c r="O11" s="42"/>
      <c r="P11" s="42"/>
    </row>
    <row r="12" spans="1:21">
      <c r="B12" s="2"/>
      <c r="C12" s="2"/>
      <c r="D12" s="2"/>
      <c r="E12" s="2"/>
      <c r="F12" s="2"/>
      <c r="G12" s="2"/>
      <c r="H12" s="2"/>
      <c r="I12" s="2"/>
      <c r="J12" s="2"/>
      <c r="K12" s="2"/>
      <c r="L12" s="5"/>
      <c r="M12" s="5"/>
      <c r="N12" s="2"/>
    </row>
    <row r="13" spans="1:21">
      <c r="B13" s="2"/>
      <c r="C13" s="2"/>
      <c r="D13" s="2"/>
      <c r="E13" s="2"/>
      <c r="F13" s="2"/>
      <c r="G13" s="2"/>
      <c r="H13" s="2"/>
      <c r="I13" s="2"/>
      <c r="J13" s="2"/>
      <c r="K13" s="2"/>
      <c r="L13" s="5"/>
      <c r="M13" s="5"/>
      <c r="N13" s="2"/>
    </row>
    <row r="20" spans="12:12">
      <c r="L20" s="16">
        <f>SUM(L6:L19)</f>
        <v>14961</v>
      </c>
    </row>
  </sheetData>
  <pageMargins left="0.7" right="0.7" top="0.75" bottom="0.75" header="0.3" footer="0.3"/>
  <pageSetup paperSize="9" orientation="portrait" verticalDpi="0" r:id="rId1"/>
</worksheet>
</file>

<file path=xl/worksheets/sheet121.xml><?xml version="1.0" encoding="utf-8"?>
<worksheet xmlns="http://schemas.openxmlformats.org/spreadsheetml/2006/main" xmlns:r="http://schemas.openxmlformats.org/officeDocument/2006/relationships">
  <dimension ref="A5:U20"/>
  <sheetViews>
    <sheetView workbookViewId="0">
      <selection activeCell="B10" sqref="B10"/>
    </sheetView>
  </sheetViews>
  <sheetFormatPr defaultRowHeight="14.4"/>
  <cols>
    <col min="1" max="1" width="8.88671875" style="1"/>
    <col min="2" max="2" width="19.33203125" style="1" customWidth="1"/>
    <col min="3" max="3" width="8.88671875" style="1"/>
    <col min="4" max="4" width="5.5546875" style="1" customWidth="1"/>
    <col min="5" max="5" width="11.2187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128</v>
      </c>
    </row>
    <row r="6" spans="1:21">
      <c r="A6" s="32"/>
      <c r="B6" s="2"/>
      <c r="C6" s="2"/>
      <c r="D6" s="2"/>
      <c r="E6" s="2"/>
      <c r="F6" s="20"/>
      <c r="G6" s="20"/>
      <c r="H6" s="20"/>
      <c r="I6" s="20"/>
      <c r="J6" s="20"/>
      <c r="K6" s="5"/>
      <c r="L6" s="19"/>
      <c r="M6" s="5"/>
      <c r="N6" s="20"/>
      <c r="O6" s="33"/>
      <c r="P6" s="33"/>
    </row>
    <row r="7" spans="1:21">
      <c r="A7" s="34" t="s">
        <v>569</v>
      </c>
      <c r="B7" s="42" t="s">
        <v>570</v>
      </c>
      <c r="C7" s="42" t="s">
        <v>118</v>
      </c>
      <c r="D7" s="42" t="s">
        <v>16</v>
      </c>
      <c r="E7" s="42" t="s">
        <v>449</v>
      </c>
      <c r="F7" s="42">
        <v>729</v>
      </c>
      <c r="G7" s="42"/>
      <c r="H7" s="42">
        <v>1985</v>
      </c>
      <c r="I7" s="42">
        <v>40</v>
      </c>
      <c r="J7" s="42">
        <v>0.13</v>
      </c>
      <c r="K7" s="42">
        <f t="shared" ref="K7" si="0">I7*J7</f>
        <v>5.2</v>
      </c>
      <c r="L7" s="43">
        <f t="shared" ref="L7" si="1">H7-K7</f>
        <v>1979.8</v>
      </c>
      <c r="M7" s="43">
        <f t="shared" ref="M7" si="2">H7/1000*70</f>
        <v>138.95000000000002</v>
      </c>
      <c r="N7" s="42"/>
      <c r="O7" s="42"/>
      <c r="P7" s="42"/>
      <c r="Q7" s="42" t="s">
        <v>571</v>
      </c>
      <c r="R7" s="44"/>
    </row>
    <row r="8" spans="1:21">
      <c r="A8" s="35"/>
      <c r="B8" s="2"/>
      <c r="C8" s="2"/>
      <c r="D8" s="2"/>
      <c r="E8" s="2"/>
      <c r="F8" s="2"/>
      <c r="G8" s="2"/>
      <c r="H8" s="2"/>
      <c r="I8" s="2"/>
      <c r="J8" s="2"/>
      <c r="K8" s="5"/>
      <c r="L8" s="19"/>
      <c r="M8" s="5"/>
      <c r="N8" s="2"/>
      <c r="O8" s="2"/>
      <c r="P8" s="2"/>
    </row>
    <row r="9" spans="1:21">
      <c r="A9" s="31"/>
      <c r="B9" s="2"/>
      <c r="C9" s="2"/>
      <c r="D9" s="2"/>
      <c r="E9" s="2"/>
      <c r="F9" s="2"/>
      <c r="G9" s="2"/>
      <c r="H9" s="2"/>
      <c r="I9" s="2"/>
      <c r="J9" s="2"/>
      <c r="K9" s="5"/>
      <c r="L9" s="19"/>
      <c r="M9" s="5"/>
      <c r="N9" s="2"/>
      <c r="O9" s="2"/>
      <c r="P9" s="2"/>
    </row>
    <row r="10" spans="1:21">
      <c r="A10" s="10"/>
      <c r="B10" s="2"/>
      <c r="C10" s="2"/>
      <c r="D10" s="2"/>
      <c r="E10" s="2"/>
      <c r="F10" s="2"/>
      <c r="G10" s="2"/>
      <c r="H10" s="2"/>
      <c r="I10" s="2"/>
      <c r="J10" s="2"/>
      <c r="K10" s="2"/>
      <c r="L10" s="5"/>
      <c r="M10" s="5"/>
      <c r="N10" s="2"/>
    </row>
    <row r="11" spans="1:21">
      <c r="A11" s="11"/>
      <c r="B11" s="42"/>
      <c r="C11" s="42"/>
      <c r="D11" s="42"/>
      <c r="E11" s="42"/>
      <c r="F11" s="42"/>
      <c r="G11" s="42"/>
      <c r="H11" s="42"/>
      <c r="I11" s="42"/>
      <c r="J11" s="42"/>
      <c r="K11" s="42"/>
      <c r="L11" s="43"/>
      <c r="M11" s="43"/>
      <c r="N11" s="42"/>
      <c r="O11" s="42"/>
      <c r="P11" s="42"/>
    </row>
    <row r="12" spans="1:21">
      <c r="B12" s="2"/>
      <c r="C12" s="2"/>
      <c r="D12" s="2"/>
      <c r="E12" s="2"/>
      <c r="F12" s="2"/>
      <c r="G12" s="2"/>
      <c r="H12" s="2"/>
      <c r="I12" s="2"/>
      <c r="J12" s="2"/>
      <c r="K12" s="2"/>
      <c r="L12" s="5"/>
      <c r="M12" s="5"/>
      <c r="N12" s="2"/>
    </row>
    <row r="13" spans="1:21">
      <c r="B13" s="2"/>
      <c r="C13" s="2"/>
      <c r="D13" s="2"/>
      <c r="E13" s="2"/>
      <c r="F13" s="2"/>
      <c r="G13" s="2"/>
      <c r="H13" s="2"/>
      <c r="I13" s="2"/>
      <c r="J13" s="2"/>
      <c r="K13" s="2"/>
      <c r="L13" s="5"/>
      <c r="M13" s="5"/>
      <c r="N13" s="2"/>
    </row>
    <row r="20" spans="12:12">
      <c r="L20" s="16">
        <f>SUM(L6:L19)</f>
        <v>1979.8</v>
      </c>
    </row>
  </sheetData>
  <pageMargins left="0.7" right="0.7" top="0.75" bottom="0.75" header="0.3" footer="0.3"/>
  <pageSetup paperSize="9" orientation="portrait" verticalDpi="0" r:id="rId1"/>
</worksheet>
</file>

<file path=xl/worksheets/sheet122.xml><?xml version="1.0" encoding="utf-8"?>
<worksheet xmlns="http://schemas.openxmlformats.org/spreadsheetml/2006/main" xmlns:r="http://schemas.openxmlformats.org/officeDocument/2006/relationships">
  <dimension ref="A5:U20"/>
  <sheetViews>
    <sheetView workbookViewId="0">
      <selection activeCell="B12" sqref="B12"/>
    </sheetView>
  </sheetViews>
  <sheetFormatPr defaultRowHeight="14.4"/>
  <cols>
    <col min="1" max="1" width="8.88671875" style="1"/>
    <col min="2" max="2" width="19.33203125" style="1" customWidth="1"/>
    <col min="3" max="3" width="8.88671875" style="1"/>
    <col min="4" max="4" width="5.5546875" style="1" customWidth="1"/>
    <col min="5" max="5" width="11.2187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128</v>
      </c>
    </row>
    <row r="6" spans="1:21">
      <c r="A6" s="32"/>
      <c r="B6" s="2"/>
      <c r="C6" s="2"/>
      <c r="D6" s="2"/>
      <c r="E6" s="2"/>
      <c r="F6" s="20"/>
      <c r="G6" s="20"/>
      <c r="H6" s="20"/>
      <c r="I6" s="20"/>
      <c r="J6" s="20"/>
      <c r="K6" s="5"/>
      <c r="L6" s="19"/>
      <c r="M6" s="5"/>
      <c r="N6" s="20"/>
      <c r="O6" s="33"/>
      <c r="P6" s="33"/>
    </row>
    <row r="7" spans="1:21">
      <c r="A7" s="34" t="s">
        <v>577</v>
      </c>
      <c r="B7" s="42" t="s">
        <v>580</v>
      </c>
      <c r="C7" s="42" t="s">
        <v>118</v>
      </c>
      <c r="D7" s="42" t="s">
        <v>16</v>
      </c>
      <c r="E7" s="42" t="s">
        <v>581</v>
      </c>
      <c r="F7" s="42">
        <v>565</v>
      </c>
      <c r="G7" s="42"/>
      <c r="H7" s="42">
        <v>19640</v>
      </c>
      <c r="I7" s="42">
        <v>400</v>
      </c>
      <c r="J7" s="42">
        <v>0.13</v>
      </c>
      <c r="K7" s="42">
        <f t="shared" ref="K7" si="0">I7*J7</f>
        <v>52</v>
      </c>
      <c r="L7" s="43">
        <f t="shared" ref="L7" si="1">H7-K7</f>
        <v>19588</v>
      </c>
      <c r="M7" s="43">
        <f t="shared" ref="M7" si="2">H7/1000*70</f>
        <v>1374.8</v>
      </c>
      <c r="N7" s="42">
        <v>12500</v>
      </c>
      <c r="O7" s="42"/>
      <c r="P7" s="42"/>
      <c r="Q7" s="42"/>
      <c r="R7" s="44"/>
    </row>
    <row r="8" spans="1:21">
      <c r="A8" s="35"/>
      <c r="B8" s="2"/>
      <c r="C8" s="2"/>
      <c r="D8" s="2"/>
      <c r="E8" s="2"/>
      <c r="F8" s="2"/>
      <c r="G8" s="2"/>
      <c r="H8" s="2"/>
      <c r="I8" s="2"/>
      <c r="J8" s="2"/>
      <c r="K8" s="5"/>
      <c r="L8" s="19"/>
      <c r="M8" s="5"/>
      <c r="N8" s="2"/>
      <c r="O8" s="2"/>
      <c r="P8" s="2"/>
    </row>
    <row r="9" spans="1:21">
      <c r="A9" s="31"/>
      <c r="B9" s="2"/>
      <c r="C9" s="2"/>
      <c r="D9" s="2"/>
      <c r="E9" s="2"/>
      <c r="F9" s="2"/>
      <c r="G9" s="2"/>
      <c r="H9" s="2"/>
      <c r="I9" s="2"/>
      <c r="J9" s="2"/>
      <c r="K9" s="5"/>
      <c r="L9" s="19"/>
      <c r="M9" s="5"/>
      <c r="N9" s="2"/>
      <c r="O9" s="2"/>
      <c r="P9" s="2"/>
    </row>
    <row r="10" spans="1:21">
      <c r="A10" s="10"/>
      <c r="B10" s="2"/>
      <c r="C10" s="2"/>
      <c r="D10" s="2"/>
      <c r="E10" s="2"/>
      <c r="F10" s="2"/>
      <c r="G10" s="2"/>
      <c r="H10" s="2"/>
      <c r="I10" s="2"/>
      <c r="J10" s="2"/>
      <c r="K10" s="2"/>
      <c r="L10" s="5"/>
      <c r="M10" s="5"/>
      <c r="N10" s="2"/>
    </row>
    <row r="11" spans="1:21">
      <c r="A11" s="11"/>
      <c r="B11" s="42"/>
      <c r="C11" s="42"/>
      <c r="D11" s="42"/>
      <c r="E11" s="42"/>
      <c r="F11" s="42"/>
      <c r="G11" s="42"/>
      <c r="H11" s="42"/>
      <c r="I11" s="42"/>
      <c r="J11" s="42"/>
      <c r="K11" s="42"/>
      <c r="L11" s="43"/>
      <c r="M11" s="43"/>
      <c r="N11" s="42"/>
      <c r="O11" s="42"/>
      <c r="P11" s="42"/>
    </row>
    <row r="12" spans="1:21">
      <c r="B12" s="2"/>
      <c r="C12" s="2"/>
      <c r="D12" s="2"/>
      <c r="E12" s="2"/>
      <c r="F12" s="2"/>
      <c r="G12" s="2"/>
      <c r="H12" s="2"/>
      <c r="I12" s="2"/>
      <c r="J12" s="2"/>
      <c r="K12" s="2"/>
      <c r="L12" s="5"/>
      <c r="M12" s="5"/>
      <c r="N12" s="2"/>
    </row>
    <row r="13" spans="1:21">
      <c r="B13" s="2"/>
      <c r="C13" s="2"/>
      <c r="D13" s="2"/>
      <c r="E13" s="2"/>
      <c r="F13" s="2"/>
      <c r="G13" s="2"/>
      <c r="H13" s="2"/>
      <c r="I13" s="2"/>
      <c r="J13" s="2"/>
      <c r="K13" s="2"/>
      <c r="L13" s="5"/>
      <c r="M13" s="5"/>
      <c r="N13" s="2"/>
    </row>
    <row r="20" spans="12:12">
      <c r="L20" s="16">
        <f>SUM(L6:L19)</f>
        <v>19588</v>
      </c>
    </row>
  </sheetData>
  <pageMargins left="0.7" right="0.7" top="0.75" bottom="0.75" header="0.3" footer="0.3"/>
  <pageSetup paperSize="9" orientation="portrait" verticalDpi="0" r:id="rId1"/>
</worksheet>
</file>

<file path=xl/worksheets/sheet123.xml><?xml version="1.0" encoding="utf-8"?>
<worksheet xmlns="http://schemas.openxmlformats.org/spreadsheetml/2006/main" xmlns:r="http://schemas.openxmlformats.org/officeDocument/2006/relationships">
  <dimension ref="A5:U20"/>
  <sheetViews>
    <sheetView workbookViewId="0">
      <selection activeCell="L12" sqref="L12"/>
    </sheetView>
  </sheetViews>
  <sheetFormatPr defaultRowHeight="14.4"/>
  <cols>
    <col min="1" max="1" width="8.88671875" style="1"/>
    <col min="2" max="2" width="19.33203125" style="1" customWidth="1"/>
    <col min="3" max="3" width="8.88671875" style="1"/>
    <col min="4" max="4" width="5.5546875" style="1" customWidth="1"/>
    <col min="5" max="5" width="11.2187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128</v>
      </c>
    </row>
    <row r="6" spans="1:21">
      <c r="A6" s="32"/>
      <c r="B6" s="2"/>
      <c r="C6" s="2"/>
      <c r="D6" s="2"/>
      <c r="E6" s="2"/>
      <c r="F6" s="20"/>
      <c r="G6" s="20"/>
      <c r="H6" s="20"/>
      <c r="I6" s="20"/>
      <c r="J6" s="20"/>
      <c r="K6" s="5"/>
      <c r="L6" s="19"/>
      <c r="M6" s="5"/>
      <c r="N6" s="20"/>
      <c r="O6" s="33"/>
      <c r="P6" s="33"/>
    </row>
    <row r="7" spans="1:21">
      <c r="A7" s="34" t="s">
        <v>601</v>
      </c>
      <c r="B7" s="42" t="s">
        <v>531</v>
      </c>
      <c r="C7" s="42" t="s">
        <v>118</v>
      </c>
      <c r="D7" s="42" t="s">
        <v>16</v>
      </c>
      <c r="E7" s="42" t="s">
        <v>603</v>
      </c>
      <c r="F7" s="42">
        <v>883</v>
      </c>
      <c r="G7" s="42"/>
      <c r="H7" s="42">
        <v>14940</v>
      </c>
      <c r="I7" s="42">
        <v>300</v>
      </c>
      <c r="J7" s="42">
        <v>0.13</v>
      </c>
      <c r="K7" s="42">
        <f t="shared" ref="K7:K8" si="0">I7*J7</f>
        <v>39</v>
      </c>
      <c r="L7" s="43">
        <f t="shared" ref="L7:L12" si="1">H7-K7</f>
        <v>14901</v>
      </c>
      <c r="M7" s="43">
        <f t="shared" ref="M7:M8" si="2">H7/1000*70</f>
        <v>1045.8</v>
      </c>
      <c r="N7" s="42">
        <v>11500</v>
      </c>
      <c r="O7" s="42"/>
      <c r="P7" s="42">
        <f t="shared" ref="P7:P8" si="3">L7*O7</f>
        <v>0</v>
      </c>
      <c r="Q7" s="42"/>
      <c r="R7" s="44"/>
    </row>
    <row r="8" spans="1:21">
      <c r="A8" s="35" t="s">
        <v>660</v>
      </c>
      <c r="B8" s="42" t="s">
        <v>531</v>
      </c>
      <c r="C8" s="42" t="s">
        <v>118</v>
      </c>
      <c r="D8" s="42" t="s">
        <v>16</v>
      </c>
      <c r="E8" s="42" t="s">
        <v>662</v>
      </c>
      <c r="F8" s="42">
        <v>0</v>
      </c>
      <c r="G8" s="42"/>
      <c r="H8" s="42">
        <v>14000</v>
      </c>
      <c r="I8" s="42">
        <v>300</v>
      </c>
      <c r="J8" s="42">
        <v>0.5</v>
      </c>
      <c r="K8" s="42">
        <f t="shared" si="0"/>
        <v>150</v>
      </c>
      <c r="L8" s="43">
        <f t="shared" si="1"/>
        <v>13850</v>
      </c>
      <c r="M8" s="43">
        <f t="shared" si="2"/>
        <v>980</v>
      </c>
      <c r="N8" s="42">
        <v>7000</v>
      </c>
      <c r="O8" s="42"/>
      <c r="P8" s="42">
        <f t="shared" si="3"/>
        <v>0</v>
      </c>
    </row>
    <row r="9" spans="1:21">
      <c r="A9" s="31" t="s">
        <v>704</v>
      </c>
      <c r="B9" s="42" t="s">
        <v>531</v>
      </c>
      <c r="C9" s="42" t="s">
        <v>118</v>
      </c>
      <c r="D9" s="42" t="s">
        <v>16</v>
      </c>
      <c r="E9" s="42" t="s">
        <v>708</v>
      </c>
      <c r="F9" s="42">
        <v>1136</v>
      </c>
      <c r="G9" s="42"/>
      <c r="H9" s="42">
        <v>14750</v>
      </c>
      <c r="I9" s="42">
        <v>295</v>
      </c>
      <c r="J9" s="42">
        <v>0.13</v>
      </c>
      <c r="K9" s="42">
        <v>38</v>
      </c>
      <c r="L9" s="43">
        <f t="shared" si="1"/>
        <v>14712</v>
      </c>
      <c r="M9" s="43"/>
      <c r="N9" s="43">
        <f t="shared" ref="N9:N12" si="4">L9-M9</f>
        <v>14712</v>
      </c>
      <c r="O9" s="43">
        <f t="shared" ref="O9:O12" si="5">H9/1000*70</f>
        <v>1032.5</v>
      </c>
      <c r="P9" s="42">
        <v>9000</v>
      </c>
      <c r="Q9" s="42"/>
    </row>
    <row r="10" spans="1:21">
      <c r="A10" s="10" t="s">
        <v>746</v>
      </c>
      <c r="B10" s="42" t="s">
        <v>531</v>
      </c>
      <c r="C10" s="42" t="s">
        <v>118</v>
      </c>
      <c r="D10" s="42" t="s">
        <v>16</v>
      </c>
      <c r="E10" s="42" t="s">
        <v>748</v>
      </c>
      <c r="F10" s="42">
        <v>1178</v>
      </c>
      <c r="G10" s="42"/>
      <c r="H10" s="42">
        <v>14950</v>
      </c>
      <c r="I10" s="42">
        <v>300</v>
      </c>
      <c r="J10" s="42">
        <v>0.13</v>
      </c>
      <c r="K10" s="42">
        <f t="shared" ref="K10" si="6">I10*J10</f>
        <v>39</v>
      </c>
      <c r="L10" s="43">
        <f t="shared" si="1"/>
        <v>14911</v>
      </c>
      <c r="M10" s="43"/>
      <c r="N10" s="43">
        <f t="shared" si="4"/>
        <v>14911</v>
      </c>
      <c r="O10" s="43">
        <f t="shared" si="5"/>
        <v>1046.5</v>
      </c>
      <c r="P10" s="42">
        <v>10500</v>
      </c>
    </row>
    <row r="11" spans="1:21">
      <c r="A11" s="11" t="s">
        <v>760</v>
      </c>
      <c r="B11" s="42" t="s">
        <v>531</v>
      </c>
      <c r="C11" s="42" t="s">
        <v>118</v>
      </c>
      <c r="D11" s="42" t="s">
        <v>16</v>
      </c>
      <c r="E11" s="92" t="s">
        <v>761</v>
      </c>
      <c r="F11" s="42">
        <v>341</v>
      </c>
      <c r="G11" s="42"/>
      <c r="H11" s="42">
        <v>5020</v>
      </c>
      <c r="I11" s="42">
        <v>95</v>
      </c>
      <c r="J11" s="42">
        <v>0.5</v>
      </c>
      <c r="K11" s="43">
        <v>53</v>
      </c>
      <c r="L11" s="43">
        <f t="shared" si="1"/>
        <v>4967</v>
      </c>
      <c r="M11" s="43"/>
      <c r="N11" s="43">
        <f t="shared" si="4"/>
        <v>4967</v>
      </c>
      <c r="O11" s="43">
        <f t="shared" si="5"/>
        <v>351.4</v>
      </c>
      <c r="P11" s="42">
        <v>0</v>
      </c>
      <c r="Q11" s="42"/>
    </row>
    <row r="12" spans="1:21">
      <c r="A12" s="1" t="s">
        <v>767</v>
      </c>
      <c r="B12" s="42" t="s">
        <v>531</v>
      </c>
      <c r="C12" s="42" t="s">
        <v>118</v>
      </c>
      <c r="D12" s="42" t="s">
        <v>16</v>
      </c>
      <c r="E12" s="42" t="s">
        <v>769</v>
      </c>
      <c r="F12" s="42">
        <v>732</v>
      </c>
      <c r="G12" s="42">
        <v>511</v>
      </c>
      <c r="H12" s="42">
        <v>15000</v>
      </c>
      <c r="I12" s="42">
        <v>300</v>
      </c>
      <c r="J12" s="42">
        <v>0.13</v>
      </c>
      <c r="K12" s="42">
        <f t="shared" ref="K12" si="7">I12*J12</f>
        <v>39</v>
      </c>
      <c r="L12" s="43">
        <f t="shared" si="1"/>
        <v>14961</v>
      </c>
      <c r="M12" s="43"/>
      <c r="N12" s="43">
        <f t="shared" si="4"/>
        <v>14961</v>
      </c>
      <c r="O12" s="43">
        <f t="shared" si="5"/>
        <v>1050</v>
      </c>
      <c r="P12" s="42">
        <v>0</v>
      </c>
      <c r="Q12" s="103">
        <v>24.5</v>
      </c>
      <c r="R12" s="42">
        <f t="shared" ref="R12" si="8">L12*Q12</f>
        <v>366544.5</v>
      </c>
    </row>
    <row r="13" spans="1:21">
      <c r="B13" s="2"/>
      <c r="C13" s="2"/>
      <c r="D13" s="2"/>
      <c r="E13" s="2"/>
      <c r="F13" s="2"/>
      <c r="G13" s="2"/>
      <c r="H13" s="2"/>
      <c r="I13" s="2"/>
      <c r="J13" s="2"/>
      <c r="K13" s="2"/>
      <c r="L13" s="5"/>
      <c r="M13" s="5"/>
      <c r="N13" s="2"/>
    </row>
    <row r="20" spans="12:12">
      <c r="L20" s="16">
        <f>SUM(L6:L19)</f>
        <v>78302</v>
      </c>
    </row>
  </sheetData>
  <pageMargins left="0.7" right="0.7" top="0.75" bottom="0.75" header="0.3" footer="0.3"/>
  <pageSetup paperSize="9" orientation="portrait" verticalDpi="0" r:id="rId1"/>
</worksheet>
</file>

<file path=xl/worksheets/sheet124.xml><?xml version="1.0" encoding="utf-8"?>
<worksheet xmlns="http://schemas.openxmlformats.org/spreadsheetml/2006/main" xmlns:r="http://schemas.openxmlformats.org/officeDocument/2006/relationships">
  <dimension ref="A5:U20"/>
  <sheetViews>
    <sheetView zoomScale="85" zoomScaleNormal="85" workbookViewId="0">
      <selection activeCell="B19" sqref="B19"/>
    </sheetView>
  </sheetViews>
  <sheetFormatPr defaultRowHeight="14.4"/>
  <cols>
    <col min="1" max="1" width="8.88671875" style="1"/>
    <col min="2" max="2" width="19.33203125" style="1" customWidth="1"/>
    <col min="3" max="3" width="8.88671875" style="1"/>
    <col min="4" max="4" width="5.5546875" style="1" customWidth="1"/>
    <col min="5" max="5" width="11.2187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128</v>
      </c>
    </row>
    <row r="6" spans="1:21">
      <c r="A6" s="32"/>
      <c r="B6" s="2"/>
      <c r="C6" s="2"/>
      <c r="D6" s="2"/>
      <c r="E6" s="2"/>
      <c r="F6" s="20"/>
      <c r="G6" s="20"/>
      <c r="H6" s="20"/>
      <c r="I6" s="20"/>
      <c r="J6" s="20"/>
      <c r="K6" s="5"/>
      <c r="L6" s="19"/>
      <c r="M6" s="5"/>
      <c r="N6" s="20"/>
      <c r="O6" s="33"/>
      <c r="P6" s="33"/>
    </row>
    <row r="7" spans="1:21">
      <c r="A7" s="34" t="s">
        <v>650</v>
      </c>
      <c r="B7" s="42" t="s">
        <v>626</v>
      </c>
      <c r="C7" s="42" t="s">
        <v>118</v>
      </c>
      <c r="D7" s="42" t="s">
        <v>16</v>
      </c>
      <c r="E7" s="42" t="s">
        <v>653</v>
      </c>
      <c r="F7" s="42">
        <v>4426</v>
      </c>
      <c r="G7" s="42"/>
      <c r="H7" s="42">
        <v>19950</v>
      </c>
      <c r="I7" s="42">
        <v>400</v>
      </c>
      <c r="J7" s="42">
        <v>0.13</v>
      </c>
      <c r="K7" s="43">
        <f t="shared" ref="K7" si="0">I7*J7</f>
        <v>52</v>
      </c>
      <c r="L7" s="43">
        <f t="shared" ref="L7" si="1">H7-K7</f>
        <v>19898</v>
      </c>
      <c r="M7" s="43">
        <f t="shared" ref="M7" si="2">H7/1000*70</f>
        <v>1396.5</v>
      </c>
      <c r="N7" s="42">
        <v>0</v>
      </c>
      <c r="O7" s="42"/>
      <c r="P7" s="42">
        <f t="shared" ref="P7" si="3">L7*O7</f>
        <v>0</v>
      </c>
      <c r="Q7" s="42"/>
      <c r="R7" s="44"/>
    </row>
    <row r="8" spans="1:21">
      <c r="A8" s="35"/>
      <c r="B8" s="2"/>
      <c r="C8" s="2"/>
      <c r="D8" s="2"/>
      <c r="E8" s="2"/>
      <c r="F8" s="2"/>
      <c r="G8" s="2"/>
      <c r="H8" s="2"/>
      <c r="I8" s="2"/>
      <c r="J8" s="2"/>
      <c r="K8" s="5"/>
      <c r="L8" s="19"/>
      <c r="M8" s="5"/>
      <c r="N8" s="2"/>
      <c r="O8" s="2"/>
      <c r="P8" s="2"/>
    </row>
    <row r="9" spans="1:21">
      <c r="A9" s="31" t="s">
        <v>695</v>
      </c>
      <c r="B9" s="42" t="s">
        <v>626</v>
      </c>
      <c r="C9" s="42" t="s">
        <v>118</v>
      </c>
      <c r="D9" s="42" t="s">
        <v>16</v>
      </c>
      <c r="E9" s="42" t="s">
        <v>700</v>
      </c>
      <c r="F9" s="42">
        <v>4435</v>
      </c>
      <c r="G9" s="42"/>
      <c r="H9" s="42">
        <v>19990</v>
      </c>
      <c r="I9" s="42">
        <v>400</v>
      </c>
      <c r="J9" s="42">
        <v>0.13</v>
      </c>
      <c r="K9" s="42">
        <f t="shared" ref="K9" si="4">I9*J9</f>
        <v>52</v>
      </c>
      <c r="L9" s="43">
        <f t="shared" ref="L9" si="5">H9-K9</f>
        <v>19938</v>
      </c>
      <c r="M9" s="43"/>
      <c r="N9" s="43">
        <f t="shared" ref="N9" si="6">L9-M9</f>
        <v>19938</v>
      </c>
      <c r="O9" s="43">
        <f t="shared" ref="O9" si="7">H9/1000*70</f>
        <v>1399.3</v>
      </c>
      <c r="P9" s="2"/>
    </row>
    <row r="10" spans="1:21">
      <c r="A10" s="10"/>
      <c r="B10" s="2"/>
      <c r="C10" s="2"/>
      <c r="D10" s="2"/>
      <c r="E10" s="2"/>
      <c r="F10" s="2"/>
      <c r="G10" s="2"/>
      <c r="H10" s="2"/>
      <c r="I10" s="2"/>
      <c r="J10" s="2"/>
      <c r="K10" s="2"/>
      <c r="L10" s="5"/>
      <c r="M10" s="5"/>
      <c r="N10" s="2"/>
    </row>
    <row r="11" spans="1:21">
      <c r="A11" s="11"/>
      <c r="B11" s="42"/>
      <c r="C11" s="42"/>
      <c r="D11" s="42"/>
      <c r="E11" s="42"/>
      <c r="F11" s="42"/>
      <c r="G11" s="42"/>
      <c r="H11" s="42"/>
      <c r="I11" s="42"/>
      <c r="J11" s="42"/>
      <c r="K11" s="42"/>
      <c r="L11" s="43"/>
      <c r="M11" s="43"/>
      <c r="N11" s="42"/>
      <c r="O11" s="42"/>
      <c r="P11" s="42"/>
      <c r="Q11" s="1" t="s">
        <v>895</v>
      </c>
      <c r="R11" s="1">
        <v>252</v>
      </c>
      <c r="S11" s="1">
        <v>40000</v>
      </c>
      <c r="U11" s="1">
        <v>23.5</v>
      </c>
    </row>
    <row r="12" spans="1:21">
      <c r="B12" s="2"/>
      <c r="C12" s="2"/>
      <c r="D12" s="2"/>
      <c r="E12" s="2"/>
      <c r="F12" s="2"/>
      <c r="G12" s="2"/>
      <c r="H12" s="2"/>
      <c r="I12" s="2"/>
      <c r="J12" s="2"/>
      <c r="K12" s="2"/>
      <c r="L12" s="5"/>
      <c r="M12" s="5"/>
      <c r="N12" s="2"/>
    </row>
    <row r="13" spans="1:21">
      <c r="A13" s="1" t="s">
        <v>907</v>
      </c>
      <c r="B13" s="42" t="s">
        <v>626</v>
      </c>
      <c r="C13" s="42" t="s">
        <v>118</v>
      </c>
      <c r="D13" s="42" t="s">
        <v>16</v>
      </c>
      <c r="E13" s="42" t="s">
        <v>653</v>
      </c>
      <c r="F13" s="42">
        <v>4953</v>
      </c>
      <c r="G13" s="42"/>
      <c r="H13" s="42">
        <v>20000</v>
      </c>
      <c r="I13" s="42">
        <v>400</v>
      </c>
      <c r="J13" s="42">
        <v>0.13</v>
      </c>
      <c r="K13" s="42">
        <f t="shared" ref="K13" si="8">I13*J13</f>
        <v>52</v>
      </c>
      <c r="L13" s="43">
        <f t="shared" ref="L13" si="9">H13-K13</f>
        <v>19948</v>
      </c>
      <c r="M13" s="43"/>
      <c r="N13" s="43">
        <f t="shared" ref="N13" si="10">L13-M13</f>
        <v>19948</v>
      </c>
      <c r="O13" s="43">
        <f t="shared" ref="O13" si="11">H13/1000*70</f>
        <v>1400</v>
      </c>
      <c r="P13" s="42">
        <v>0</v>
      </c>
      <c r="Q13" s="42">
        <v>23.5</v>
      </c>
      <c r="R13" s="42">
        <f t="shared" ref="R13" si="12">L13*Q13</f>
        <v>468778</v>
      </c>
    </row>
    <row r="15" spans="1:21">
      <c r="A15" s="1" t="s">
        <v>916</v>
      </c>
      <c r="B15" s="42" t="s">
        <v>626</v>
      </c>
      <c r="C15" s="42" t="s">
        <v>118</v>
      </c>
      <c r="D15" s="42" t="s">
        <v>16</v>
      </c>
      <c r="E15" s="42" t="s">
        <v>846</v>
      </c>
      <c r="F15" s="42">
        <v>4954</v>
      </c>
      <c r="G15" s="42"/>
      <c r="H15" s="42">
        <v>20970</v>
      </c>
      <c r="I15" s="42">
        <v>420</v>
      </c>
      <c r="J15" s="42">
        <v>0.13</v>
      </c>
      <c r="K15" s="42">
        <v>55</v>
      </c>
      <c r="L15" s="43">
        <f t="shared" ref="L15" si="13">H15-K15</f>
        <v>20915</v>
      </c>
      <c r="M15" s="43"/>
      <c r="N15" s="43">
        <f t="shared" ref="N15" si="14">L15-M15</f>
        <v>20915</v>
      </c>
      <c r="O15" s="43">
        <f t="shared" ref="O15" si="15">H15/1000*70</f>
        <v>1467.8999999999999</v>
      </c>
      <c r="P15" s="42">
        <v>0</v>
      </c>
      <c r="Q15" s="42">
        <v>23.5</v>
      </c>
      <c r="R15" s="42">
        <f t="shared" ref="R15" si="16">L15*Q15</f>
        <v>491502.5</v>
      </c>
    </row>
    <row r="20" spans="12:12">
      <c r="L20" s="16">
        <f>SUM(L6:L19)</f>
        <v>80699</v>
      </c>
    </row>
  </sheetData>
  <pageMargins left="0.7" right="0.7" top="0.75" bottom="0.75" header="0.3" footer="0.3"/>
  <pageSetup paperSize="9" orientation="portrait" verticalDpi="0" r:id="rId1"/>
</worksheet>
</file>

<file path=xl/worksheets/sheet125.xml><?xml version="1.0" encoding="utf-8"?>
<worksheet xmlns="http://schemas.openxmlformats.org/spreadsheetml/2006/main" xmlns:r="http://schemas.openxmlformats.org/officeDocument/2006/relationships">
  <dimension ref="A5:U20"/>
  <sheetViews>
    <sheetView workbookViewId="0">
      <selection activeCell="M23" sqref="M23"/>
    </sheetView>
  </sheetViews>
  <sheetFormatPr defaultRowHeight="14.4"/>
  <cols>
    <col min="1" max="1" width="8.88671875" style="1"/>
    <col min="2" max="2" width="19.33203125" style="1" customWidth="1"/>
    <col min="3" max="3" width="8.88671875" style="1"/>
    <col min="4" max="4" width="5.5546875" style="1" customWidth="1"/>
    <col min="5" max="5" width="11.2187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128</v>
      </c>
    </row>
    <row r="6" spans="1:21">
      <c r="A6" s="32"/>
      <c r="B6" s="2"/>
      <c r="C6" s="2"/>
      <c r="D6" s="2"/>
      <c r="E6" s="2"/>
      <c r="F6" s="20"/>
      <c r="G6" s="20"/>
      <c r="H6" s="20"/>
      <c r="I6" s="20"/>
      <c r="J6" s="20"/>
      <c r="K6" s="5"/>
      <c r="L6" s="19"/>
      <c r="M6" s="5"/>
      <c r="N6" s="20"/>
      <c r="O6" s="33"/>
      <c r="P6" s="33"/>
    </row>
    <row r="7" spans="1:21">
      <c r="A7" s="34" t="s">
        <v>617</v>
      </c>
      <c r="B7" s="42" t="s">
        <v>87</v>
      </c>
      <c r="C7" s="42" t="s">
        <v>118</v>
      </c>
      <c r="D7" s="42" t="s">
        <v>16</v>
      </c>
      <c r="E7" s="42" t="s">
        <v>620</v>
      </c>
      <c r="F7" s="42">
        <v>164</v>
      </c>
      <c r="G7" s="42"/>
      <c r="H7" s="42">
        <v>3000</v>
      </c>
      <c r="I7" s="42">
        <v>60</v>
      </c>
      <c r="J7" s="42">
        <v>0.13</v>
      </c>
      <c r="K7" s="42">
        <f t="shared" ref="K7:K11" si="0">I7*J7</f>
        <v>7.8000000000000007</v>
      </c>
      <c r="L7" s="43">
        <f t="shared" ref="L7:L11" si="1">H7-K7</f>
        <v>2992.2</v>
      </c>
      <c r="M7" s="43">
        <f t="shared" ref="M7:M11" si="2">H7/1000*70</f>
        <v>210</v>
      </c>
      <c r="N7" s="42">
        <v>0</v>
      </c>
      <c r="O7" s="42"/>
      <c r="P7" s="42">
        <f t="shared" ref="P7" si="3">L7*O7</f>
        <v>0</v>
      </c>
      <c r="Q7" s="42"/>
      <c r="R7" s="44"/>
    </row>
    <row r="8" spans="1:21">
      <c r="A8" s="35"/>
      <c r="B8" s="42"/>
      <c r="C8" s="42" t="s">
        <v>621</v>
      </c>
      <c r="D8" s="42" t="s">
        <v>16</v>
      </c>
      <c r="E8" s="42" t="s">
        <v>620</v>
      </c>
      <c r="F8" s="42">
        <v>164</v>
      </c>
      <c r="G8" s="42"/>
      <c r="H8" s="42">
        <v>1870</v>
      </c>
      <c r="I8" s="42">
        <v>33</v>
      </c>
      <c r="J8" s="42">
        <v>0.13</v>
      </c>
      <c r="K8" s="42">
        <f t="shared" si="0"/>
        <v>4.29</v>
      </c>
      <c r="L8" s="43">
        <f t="shared" si="1"/>
        <v>1865.71</v>
      </c>
      <c r="M8" s="43">
        <f t="shared" si="2"/>
        <v>130.9</v>
      </c>
      <c r="N8" s="42">
        <v>0</v>
      </c>
      <c r="O8" s="2"/>
      <c r="P8" s="2"/>
    </row>
    <row r="9" spans="1:21">
      <c r="A9" s="31" t="s">
        <v>625</v>
      </c>
      <c r="B9" s="42" t="s">
        <v>87</v>
      </c>
      <c r="C9" s="42" t="s">
        <v>118</v>
      </c>
      <c r="D9" s="42" t="s">
        <v>16</v>
      </c>
      <c r="E9" s="42" t="s">
        <v>630</v>
      </c>
      <c r="F9" s="42">
        <v>165</v>
      </c>
      <c r="G9" s="42"/>
      <c r="H9" s="42">
        <v>4980</v>
      </c>
      <c r="I9" s="42">
        <v>100</v>
      </c>
      <c r="J9" s="42">
        <v>0.13</v>
      </c>
      <c r="K9" s="42">
        <f t="shared" si="0"/>
        <v>13</v>
      </c>
      <c r="L9" s="43">
        <f t="shared" si="1"/>
        <v>4967</v>
      </c>
      <c r="M9" s="43">
        <f t="shared" si="2"/>
        <v>348.6</v>
      </c>
      <c r="N9" s="42">
        <v>0</v>
      </c>
      <c r="O9" s="2"/>
      <c r="P9" s="2"/>
    </row>
    <row r="10" spans="1:21">
      <c r="A10" s="381" t="s">
        <v>645</v>
      </c>
      <c r="B10" s="42" t="s">
        <v>87</v>
      </c>
      <c r="C10" s="42" t="s">
        <v>118</v>
      </c>
      <c r="D10" s="42" t="s">
        <v>16</v>
      </c>
      <c r="E10" s="42" t="s">
        <v>630</v>
      </c>
      <c r="F10" s="42">
        <v>66</v>
      </c>
      <c r="G10" s="42"/>
      <c r="H10" s="42">
        <v>3990</v>
      </c>
      <c r="I10" s="42">
        <v>80</v>
      </c>
      <c r="J10" s="42">
        <v>0.13</v>
      </c>
      <c r="K10" s="43">
        <f t="shared" si="0"/>
        <v>10.4</v>
      </c>
      <c r="L10" s="43">
        <f t="shared" si="1"/>
        <v>3979.6</v>
      </c>
      <c r="M10" s="43">
        <f t="shared" si="2"/>
        <v>279.3</v>
      </c>
      <c r="N10" s="42">
        <v>0</v>
      </c>
    </row>
    <row r="11" spans="1:21">
      <c r="A11" s="379"/>
      <c r="B11" s="42" t="s">
        <v>87</v>
      </c>
      <c r="C11" s="42" t="s">
        <v>621</v>
      </c>
      <c r="D11" s="42" t="s">
        <v>16</v>
      </c>
      <c r="E11" s="42" t="s">
        <v>630</v>
      </c>
      <c r="F11" s="42">
        <v>66</v>
      </c>
      <c r="G11" s="42"/>
      <c r="H11" s="42">
        <v>1110</v>
      </c>
      <c r="I11" s="42">
        <v>20</v>
      </c>
      <c r="J11" s="42">
        <v>0.13</v>
      </c>
      <c r="K11" s="42">
        <f t="shared" si="0"/>
        <v>2.6</v>
      </c>
      <c r="L11" s="43">
        <f t="shared" si="1"/>
        <v>1107.4000000000001</v>
      </c>
      <c r="M11" s="43">
        <f t="shared" si="2"/>
        <v>77.7</v>
      </c>
      <c r="N11" s="42"/>
      <c r="O11" s="42"/>
      <c r="P11" s="42"/>
    </row>
    <row r="12" spans="1:21">
      <c r="B12" s="2"/>
      <c r="C12" s="2"/>
      <c r="D12" s="2"/>
      <c r="E12" s="2"/>
      <c r="F12" s="2"/>
      <c r="G12" s="2"/>
      <c r="H12" s="2"/>
      <c r="I12" s="2"/>
      <c r="J12" s="2"/>
      <c r="K12" s="2"/>
      <c r="L12" s="5"/>
      <c r="M12" s="5"/>
      <c r="N12" s="2"/>
    </row>
    <row r="13" spans="1:21">
      <c r="B13" s="2"/>
      <c r="C13" s="2"/>
      <c r="D13" s="2"/>
      <c r="E13" s="2"/>
      <c r="F13" s="2"/>
      <c r="G13" s="2"/>
      <c r="H13" s="2"/>
      <c r="I13" s="2"/>
      <c r="J13" s="2"/>
      <c r="K13" s="2"/>
      <c r="L13" s="5"/>
      <c r="M13" s="5"/>
      <c r="N13" s="2"/>
    </row>
    <row r="20" spans="12:12">
      <c r="L20" s="16">
        <f>SUM(L6:L19)</f>
        <v>14911.91</v>
      </c>
    </row>
  </sheetData>
  <mergeCells count="1">
    <mergeCell ref="A10:A11"/>
  </mergeCells>
  <pageMargins left="0.7" right="0.7" top="0.75" bottom="0.75" header="0.3" footer="0.3"/>
  <pageSetup paperSize="9" orientation="portrait" verticalDpi="0" r:id="rId1"/>
</worksheet>
</file>

<file path=xl/worksheets/sheet126.xml><?xml version="1.0" encoding="utf-8"?>
<worksheet xmlns="http://schemas.openxmlformats.org/spreadsheetml/2006/main" xmlns:r="http://schemas.openxmlformats.org/officeDocument/2006/relationships">
  <dimension ref="A5:U20"/>
  <sheetViews>
    <sheetView workbookViewId="0">
      <selection activeCell="A8" sqref="A8"/>
    </sheetView>
  </sheetViews>
  <sheetFormatPr defaultRowHeight="14.4"/>
  <cols>
    <col min="1" max="1" width="8.88671875" style="1"/>
    <col min="2" max="2" width="19.33203125" style="1" customWidth="1"/>
    <col min="3" max="3" width="8.88671875" style="1"/>
    <col min="4" max="4" width="5.5546875" style="1" customWidth="1"/>
    <col min="5" max="5" width="11.2187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128</v>
      </c>
    </row>
    <row r="6" spans="1:21">
      <c r="A6" s="32"/>
      <c r="B6" s="2"/>
      <c r="C6" s="2"/>
      <c r="D6" s="2"/>
      <c r="E6" s="2"/>
      <c r="F6" s="20"/>
      <c r="G6" s="20"/>
      <c r="H6" s="20"/>
      <c r="I6" s="20"/>
      <c r="J6" s="20"/>
      <c r="K6" s="5"/>
      <c r="L6" s="19"/>
      <c r="M6" s="5"/>
      <c r="N6" s="20"/>
      <c r="O6" s="33"/>
      <c r="P6" s="33"/>
    </row>
    <row r="7" spans="1:21">
      <c r="A7" s="34" t="s">
        <v>770</v>
      </c>
      <c r="B7" s="42" t="s">
        <v>618</v>
      </c>
      <c r="C7" s="42" t="s">
        <v>118</v>
      </c>
      <c r="D7" s="42" t="s">
        <v>16</v>
      </c>
      <c r="E7" s="42" t="s">
        <v>698</v>
      </c>
      <c r="F7" s="42">
        <v>13210</v>
      </c>
      <c r="G7" s="42"/>
      <c r="H7" s="42">
        <v>19980</v>
      </c>
      <c r="I7" s="42">
        <v>400</v>
      </c>
      <c r="J7" s="42">
        <v>0.13</v>
      </c>
      <c r="K7" s="42">
        <f t="shared" ref="K7" si="0">I7*J7</f>
        <v>52</v>
      </c>
      <c r="L7" s="43">
        <f t="shared" ref="L7" si="1">H7-K7</f>
        <v>19928</v>
      </c>
      <c r="M7" s="43"/>
      <c r="N7" s="43">
        <f t="shared" ref="N7" si="2">L7-M7</f>
        <v>19928</v>
      </c>
      <c r="O7" s="43">
        <f t="shared" ref="O7" si="3">H7/1000*70</f>
        <v>1398.6000000000001</v>
      </c>
      <c r="P7" s="42">
        <v>0</v>
      </c>
      <c r="Q7" s="42"/>
      <c r="R7" s="42">
        <f t="shared" ref="R7" si="4">L7*Q7</f>
        <v>0</v>
      </c>
      <c r="S7" s="42"/>
    </row>
    <row r="8" spans="1:21">
      <c r="A8" s="35"/>
      <c r="B8" s="42"/>
      <c r="C8" s="42"/>
      <c r="D8" s="42"/>
      <c r="E8" s="42"/>
      <c r="F8" s="42"/>
      <c r="G8" s="42"/>
      <c r="H8" s="42"/>
      <c r="I8" s="42"/>
      <c r="J8" s="42"/>
      <c r="K8" s="42"/>
      <c r="L8" s="43"/>
      <c r="M8" s="43"/>
      <c r="N8" s="42"/>
      <c r="O8" s="2"/>
      <c r="P8" s="2"/>
    </row>
    <row r="9" spans="1:21">
      <c r="A9" s="31"/>
      <c r="B9" s="42"/>
      <c r="C9" s="42"/>
      <c r="D9" s="42"/>
      <c r="E9" s="42"/>
      <c r="F9" s="42"/>
      <c r="G9" s="42"/>
      <c r="H9" s="42"/>
      <c r="I9" s="42"/>
      <c r="J9" s="42"/>
      <c r="K9" s="42"/>
      <c r="L9" s="43"/>
      <c r="M9" s="43"/>
      <c r="N9" s="42"/>
      <c r="O9" s="2"/>
      <c r="P9" s="2"/>
    </row>
    <row r="10" spans="1:21">
      <c r="A10" s="381"/>
      <c r="B10" s="42"/>
      <c r="C10" s="42"/>
      <c r="D10" s="42"/>
      <c r="E10" s="42"/>
      <c r="F10" s="42"/>
      <c r="G10" s="42"/>
      <c r="H10" s="42"/>
      <c r="I10" s="42"/>
      <c r="J10" s="42"/>
      <c r="K10" s="43"/>
      <c r="L10" s="43"/>
      <c r="M10" s="43"/>
      <c r="N10" s="42"/>
    </row>
    <row r="11" spans="1:21">
      <c r="A11" s="379"/>
      <c r="B11" s="42"/>
      <c r="C11" s="42"/>
      <c r="D11" s="42"/>
      <c r="E11" s="42"/>
      <c r="F11" s="42"/>
      <c r="G11" s="42"/>
      <c r="H11" s="42"/>
      <c r="I11" s="42"/>
      <c r="J11" s="42"/>
      <c r="K11" s="42"/>
      <c r="L11" s="43"/>
      <c r="M11" s="43"/>
      <c r="N11" s="42"/>
      <c r="O11" s="42"/>
      <c r="P11" s="42"/>
    </row>
    <row r="12" spans="1:21">
      <c r="B12" s="2"/>
      <c r="C12" s="2"/>
      <c r="D12" s="2"/>
      <c r="E12" s="2"/>
      <c r="F12" s="2"/>
      <c r="G12" s="2"/>
      <c r="H12" s="2"/>
      <c r="I12" s="2"/>
      <c r="J12" s="2"/>
      <c r="K12" s="2"/>
      <c r="L12" s="5"/>
      <c r="M12" s="5"/>
      <c r="N12" s="2"/>
    </row>
    <row r="13" spans="1:21">
      <c r="B13" s="2"/>
      <c r="C13" s="2"/>
      <c r="D13" s="2"/>
      <c r="E13" s="2"/>
      <c r="F13" s="2"/>
      <c r="G13" s="2"/>
      <c r="H13" s="2"/>
      <c r="I13" s="2"/>
      <c r="J13" s="2"/>
      <c r="K13" s="2"/>
      <c r="L13" s="5"/>
      <c r="M13" s="5"/>
      <c r="N13" s="2"/>
    </row>
    <row r="20" spans="12:12">
      <c r="L20" s="16">
        <f>SUM(L6:L19)</f>
        <v>19928</v>
      </c>
    </row>
  </sheetData>
  <mergeCells count="1">
    <mergeCell ref="A10:A11"/>
  </mergeCells>
  <pageMargins left="0.7" right="0.7" top="0.75" bottom="0.75" header="0.3" footer="0.3"/>
  <pageSetup paperSize="9" orientation="portrait" verticalDpi="0" r:id="rId1"/>
</worksheet>
</file>

<file path=xl/worksheets/sheet127.xml><?xml version="1.0" encoding="utf-8"?>
<worksheet xmlns="http://schemas.openxmlformats.org/spreadsheetml/2006/main" xmlns:r="http://schemas.openxmlformats.org/officeDocument/2006/relationships">
  <dimension ref="A5:U29"/>
  <sheetViews>
    <sheetView topLeftCell="A10" workbookViewId="0">
      <selection activeCell="A30" sqref="A30"/>
    </sheetView>
  </sheetViews>
  <sheetFormatPr defaultRowHeight="14.4"/>
  <cols>
    <col min="1" max="1" width="8.88671875" style="1"/>
    <col min="2" max="2" width="23.88671875" style="1" customWidth="1"/>
    <col min="3" max="3" width="8.88671875" style="1"/>
    <col min="4" max="4" width="5.5546875" style="1" customWidth="1"/>
    <col min="5" max="5" width="11.2187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128</v>
      </c>
    </row>
    <row r="6" spans="1:21">
      <c r="A6" s="32"/>
      <c r="B6" s="2"/>
      <c r="C6" s="2"/>
      <c r="D6" s="2"/>
      <c r="E6" s="2"/>
      <c r="F6" s="20"/>
      <c r="G6" s="20"/>
      <c r="H6" s="20"/>
      <c r="I6" s="20"/>
      <c r="J6" s="20"/>
      <c r="K6" s="5"/>
      <c r="L6" s="19"/>
      <c r="M6" s="5"/>
      <c r="N6" s="20"/>
      <c r="O6" s="33"/>
      <c r="P6" s="33"/>
    </row>
    <row r="7" spans="1:21">
      <c r="A7" s="34" t="s">
        <v>770</v>
      </c>
      <c r="B7" s="42" t="s">
        <v>684</v>
      </c>
      <c r="C7" s="42" t="s">
        <v>118</v>
      </c>
      <c r="D7" s="42" t="s">
        <v>16</v>
      </c>
      <c r="E7" s="42" t="s">
        <v>771</v>
      </c>
      <c r="F7" s="42">
        <v>745</v>
      </c>
      <c r="G7" s="42"/>
      <c r="H7" s="42">
        <v>19840</v>
      </c>
      <c r="I7" s="42">
        <v>400</v>
      </c>
      <c r="J7" s="42">
        <v>0.13</v>
      </c>
      <c r="K7" s="42">
        <f t="shared" ref="K7:K8" si="0">I7*J7</f>
        <v>52</v>
      </c>
      <c r="L7" s="43">
        <f t="shared" ref="L7:L8" si="1">H7-K7</f>
        <v>19788</v>
      </c>
      <c r="M7" s="43"/>
      <c r="N7" s="43">
        <f t="shared" ref="N7:N8" si="2">L7-M7</f>
        <v>19788</v>
      </c>
      <c r="O7" s="43">
        <f t="shared" ref="O7:O8" si="3">H7/1000*70</f>
        <v>1388.8</v>
      </c>
      <c r="P7" s="42">
        <v>12000</v>
      </c>
      <c r="Q7" s="42"/>
      <c r="R7" s="42">
        <f t="shared" ref="R7:R8" si="4">L7*Q7</f>
        <v>0</v>
      </c>
      <c r="S7" s="42"/>
    </row>
    <row r="8" spans="1:21">
      <c r="A8" s="35" t="s">
        <v>831</v>
      </c>
      <c r="B8" s="42" t="s">
        <v>684</v>
      </c>
      <c r="C8" s="42" t="s">
        <v>118</v>
      </c>
      <c r="D8" s="42" t="s">
        <v>16</v>
      </c>
      <c r="E8" s="42" t="s">
        <v>832</v>
      </c>
      <c r="F8" s="42">
        <v>1342</v>
      </c>
      <c r="G8" s="42"/>
      <c r="H8" s="42">
        <v>19930</v>
      </c>
      <c r="I8" s="42">
        <v>400</v>
      </c>
      <c r="J8" s="42">
        <v>0.13</v>
      </c>
      <c r="K8" s="43">
        <f t="shared" si="0"/>
        <v>52</v>
      </c>
      <c r="L8" s="43">
        <f t="shared" si="1"/>
        <v>19878</v>
      </c>
      <c r="M8" s="43"/>
      <c r="N8" s="43">
        <f t="shared" si="2"/>
        <v>19878</v>
      </c>
      <c r="O8" s="43">
        <f t="shared" si="3"/>
        <v>1395.1</v>
      </c>
      <c r="P8" s="48">
        <v>12000</v>
      </c>
      <c r="Q8" s="48">
        <v>24</v>
      </c>
      <c r="R8" s="42">
        <f t="shared" si="4"/>
        <v>477072</v>
      </c>
    </row>
    <row r="9" spans="1:21">
      <c r="A9" s="31"/>
      <c r="B9" s="42"/>
      <c r="C9" s="42"/>
      <c r="D9" s="42"/>
      <c r="E9" s="42"/>
      <c r="F9" s="42"/>
      <c r="G9" s="42"/>
      <c r="H9" s="42"/>
      <c r="I9" s="42"/>
      <c r="J9" s="42"/>
      <c r="K9" s="43"/>
      <c r="L9" s="43">
        <f>SUM(L7:L8)</f>
        <v>39666</v>
      </c>
      <c r="M9" s="43"/>
      <c r="N9" s="43"/>
      <c r="O9" s="43"/>
      <c r="P9" s="42"/>
      <c r="Q9" s="42"/>
      <c r="R9" s="42"/>
    </row>
    <row r="10" spans="1:21">
      <c r="A10" s="10"/>
      <c r="B10" s="42"/>
      <c r="C10" s="42"/>
      <c r="D10" s="42"/>
      <c r="E10" s="42"/>
      <c r="F10" s="42"/>
      <c r="G10" s="42"/>
      <c r="H10" s="42"/>
      <c r="I10" s="42"/>
      <c r="J10" s="42"/>
      <c r="K10" s="43"/>
      <c r="L10" s="43"/>
      <c r="M10" s="43"/>
      <c r="N10" s="42"/>
      <c r="Q10" s="1" t="s">
        <v>960</v>
      </c>
      <c r="R10" s="1">
        <v>267</v>
      </c>
      <c r="S10" s="1">
        <v>80000</v>
      </c>
      <c r="U10" s="1">
        <v>23.5</v>
      </c>
    </row>
    <row r="11" spans="1:21">
      <c r="A11" s="11" t="s">
        <v>964</v>
      </c>
      <c r="B11" s="92" t="s">
        <v>684</v>
      </c>
      <c r="C11" s="92" t="s">
        <v>118</v>
      </c>
      <c r="D11" s="42" t="s">
        <v>16</v>
      </c>
      <c r="E11" s="92" t="s">
        <v>832</v>
      </c>
      <c r="F11" s="92">
        <v>1453</v>
      </c>
      <c r="G11" s="92"/>
      <c r="H11" s="92">
        <v>19940</v>
      </c>
      <c r="I11" s="92">
        <v>400</v>
      </c>
      <c r="J11" s="92">
        <v>0.13</v>
      </c>
      <c r="K11" s="42">
        <f t="shared" ref="K11:K12" si="5">I11*J11</f>
        <v>52</v>
      </c>
      <c r="L11" s="43">
        <f t="shared" ref="L11:L12" si="6">H11-K11</f>
        <v>19888</v>
      </c>
      <c r="M11" s="43"/>
      <c r="N11" s="43">
        <f t="shared" ref="N11:N12" si="7">L11-M11</f>
        <v>19888</v>
      </c>
      <c r="O11" s="43">
        <f t="shared" ref="O11:O12" si="8">H11/1000*70</f>
        <v>1395.8000000000002</v>
      </c>
      <c r="P11" s="92">
        <v>12000</v>
      </c>
      <c r="Q11" s="92">
        <v>23.5</v>
      </c>
      <c r="R11" s="92">
        <f t="shared" ref="R11:R12" si="9">L11*Q11</f>
        <v>467368</v>
      </c>
    </row>
    <row r="12" spans="1:21">
      <c r="A12" s="1" t="s">
        <v>1027</v>
      </c>
      <c r="B12" s="42" t="s">
        <v>684</v>
      </c>
      <c r="C12" s="42" t="s">
        <v>118</v>
      </c>
      <c r="D12" s="42" t="s">
        <v>16</v>
      </c>
      <c r="E12" s="42" t="s">
        <v>832</v>
      </c>
      <c r="F12" s="42">
        <v>1524</v>
      </c>
      <c r="G12" s="42"/>
      <c r="H12" s="42">
        <v>19990</v>
      </c>
      <c r="I12" s="42">
        <v>400</v>
      </c>
      <c r="J12" s="42">
        <v>0.13</v>
      </c>
      <c r="K12" s="42">
        <f t="shared" si="5"/>
        <v>52</v>
      </c>
      <c r="L12" s="43">
        <f t="shared" si="6"/>
        <v>19938</v>
      </c>
      <c r="M12" s="43"/>
      <c r="N12" s="43">
        <f t="shared" si="7"/>
        <v>19938</v>
      </c>
      <c r="O12" s="43">
        <f t="shared" si="8"/>
        <v>1399.3</v>
      </c>
      <c r="P12" s="42">
        <v>12000</v>
      </c>
      <c r="Q12" s="42">
        <v>23.5</v>
      </c>
      <c r="R12" s="42">
        <f t="shared" si="9"/>
        <v>468543</v>
      </c>
    </row>
    <row r="13" spans="1:21">
      <c r="B13" s="2"/>
      <c r="C13" s="2"/>
      <c r="D13" s="2"/>
      <c r="E13" s="2"/>
      <c r="F13" s="2"/>
      <c r="G13" s="2"/>
      <c r="H13" s="2"/>
      <c r="I13" s="2"/>
      <c r="J13" s="2"/>
      <c r="K13" s="2"/>
      <c r="L13" s="5"/>
      <c r="M13" s="5"/>
      <c r="N13" s="2"/>
    </row>
    <row r="14" spans="1:21">
      <c r="A14" s="374" t="s">
        <v>1081</v>
      </c>
      <c r="B14" s="42" t="s">
        <v>684</v>
      </c>
      <c r="C14" s="42" t="s">
        <v>118</v>
      </c>
      <c r="D14" s="42" t="s">
        <v>16</v>
      </c>
      <c r="E14" s="42" t="s">
        <v>1084</v>
      </c>
      <c r="F14" s="42">
        <v>663</v>
      </c>
      <c r="G14" s="42"/>
      <c r="H14" s="42">
        <v>20000</v>
      </c>
      <c r="I14" s="42">
        <v>400</v>
      </c>
      <c r="J14" s="42">
        <v>0.13</v>
      </c>
      <c r="K14" s="42">
        <f t="shared" ref="K14:K15" si="10">I14*J14</f>
        <v>52</v>
      </c>
      <c r="L14" s="43">
        <f t="shared" ref="L14:L15" si="11">H14-K14</f>
        <v>19948</v>
      </c>
      <c r="M14" s="43"/>
      <c r="N14" s="43">
        <f t="shared" ref="N14:N15" si="12">L14-M14</f>
        <v>19948</v>
      </c>
      <c r="O14" s="43">
        <f t="shared" ref="O14:O15" si="13">H14/1000*70</f>
        <v>1400</v>
      </c>
      <c r="P14" s="42">
        <v>0</v>
      </c>
      <c r="Q14" s="42">
        <v>21.8</v>
      </c>
      <c r="R14" s="42">
        <f t="shared" ref="R14:R15" si="14">L14*Q14</f>
        <v>434866.4</v>
      </c>
    </row>
    <row r="15" spans="1:21">
      <c r="A15" s="374"/>
      <c r="B15" s="42" t="s">
        <v>684</v>
      </c>
      <c r="C15" s="42" t="s">
        <v>118</v>
      </c>
      <c r="D15" s="42" t="s">
        <v>16</v>
      </c>
      <c r="E15" s="42" t="s">
        <v>878</v>
      </c>
      <c r="F15" s="42">
        <v>667</v>
      </c>
      <c r="G15" s="42"/>
      <c r="H15" s="42">
        <v>20000</v>
      </c>
      <c r="I15" s="42">
        <v>400</v>
      </c>
      <c r="J15" s="42">
        <v>0.13</v>
      </c>
      <c r="K15" s="42">
        <f t="shared" si="10"/>
        <v>52</v>
      </c>
      <c r="L15" s="43">
        <f t="shared" si="11"/>
        <v>19948</v>
      </c>
      <c r="M15" s="43"/>
      <c r="N15" s="43">
        <f t="shared" si="12"/>
        <v>19948</v>
      </c>
      <c r="O15" s="43">
        <f t="shared" si="13"/>
        <v>1400</v>
      </c>
      <c r="P15" s="42">
        <v>0</v>
      </c>
      <c r="Q15" s="42">
        <v>21.8</v>
      </c>
      <c r="R15" s="42">
        <f t="shared" si="14"/>
        <v>434866.4</v>
      </c>
    </row>
    <row r="17" spans="1:18">
      <c r="A17" s="1" t="s">
        <v>1342</v>
      </c>
      <c r="B17" s="42" t="s">
        <v>684</v>
      </c>
      <c r="C17" s="42" t="s">
        <v>118</v>
      </c>
      <c r="D17" s="42" t="s">
        <v>16</v>
      </c>
      <c r="E17" s="42" t="s">
        <v>1348</v>
      </c>
      <c r="F17" s="42">
        <v>1151</v>
      </c>
      <c r="G17" s="42"/>
      <c r="H17" s="42">
        <v>20000</v>
      </c>
      <c r="I17" s="42">
        <v>400</v>
      </c>
      <c r="J17" s="42">
        <v>0.13</v>
      </c>
      <c r="K17" s="42">
        <f t="shared" ref="K17" si="15">I17*J17</f>
        <v>52</v>
      </c>
      <c r="L17" s="43">
        <f t="shared" ref="L17" si="16">H17-K17</f>
        <v>19948</v>
      </c>
      <c r="M17" s="43"/>
      <c r="N17" s="43">
        <f t="shared" ref="N17" si="17">L17-M17</f>
        <v>19948</v>
      </c>
      <c r="O17" s="43">
        <f t="shared" ref="O17" si="18">H17/1000*70</f>
        <v>1400</v>
      </c>
      <c r="P17" s="42">
        <v>12000</v>
      </c>
      <c r="Q17" s="42"/>
      <c r="R17" s="42">
        <f t="shared" ref="R17" si="19">L17*Q17</f>
        <v>0</v>
      </c>
    </row>
    <row r="19" spans="1:18">
      <c r="A19" s="374" t="s">
        <v>1615</v>
      </c>
      <c r="B19" s="42" t="s">
        <v>1621</v>
      </c>
      <c r="C19" s="42" t="s">
        <v>118</v>
      </c>
      <c r="D19" s="42" t="s">
        <v>16</v>
      </c>
      <c r="E19" s="42" t="s">
        <v>1622</v>
      </c>
      <c r="F19" s="42">
        <v>3612</v>
      </c>
      <c r="G19" s="42"/>
      <c r="H19" s="42">
        <v>19990</v>
      </c>
      <c r="I19" s="42">
        <v>400</v>
      </c>
      <c r="J19" s="42">
        <v>0.13</v>
      </c>
      <c r="K19" s="42">
        <f t="shared" ref="K19:K21" si="20">I19*J19</f>
        <v>52</v>
      </c>
      <c r="L19" s="43">
        <f t="shared" ref="L19:L21" si="21">H19-K19</f>
        <v>19938</v>
      </c>
      <c r="M19" s="43"/>
      <c r="N19" s="43">
        <f t="shared" ref="N19:N21" si="22">L19-M19</f>
        <v>19938</v>
      </c>
      <c r="O19" s="43">
        <f t="shared" ref="O19:O21" si="23">H19/1000*70</f>
        <v>1399.3</v>
      </c>
      <c r="P19" s="42">
        <v>15000</v>
      </c>
      <c r="Q19" s="42">
        <v>21.7</v>
      </c>
      <c r="R19" s="42">
        <f t="shared" ref="R19:R21" si="24">L19*Q19</f>
        <v>432654.6</v>
      </c>
    </row>
    <row r="20" spans="1:18">
      <c r="A20" s="374"/>
      <c r="B20" s="42" t="s">
        <v>1621</v>
      </c>
      <c r="C20" s="42" t="s">
        <v>118</v>
      </c>
      <c r="D20" s="42" t="s">
        <v>16</v>
      </c>
      <c r="E20" s="42" t="s">
        <v>758</v>
      </c>
      <c r="F20" s="42">
        <v>3614</v>
      </c>
      <c r="G20" s="42"/>
      <c r="H20" s="42">
        <v>20000</v>
      </c>
      <c r="I20" s="42">
        <v>400</v>
      </c>
      <c r="J20" s="42">
        <v>0.13</v>
      </c>
      <c r="K20" s="42">
        <f t="shared" si="20"/>
        <v>52</v>
      </c>
      <c r="L20" s="43">
        <f t="shared" si="21"/>
        <v>19948</v>
      </c>
      <c r="M20" s="43"/>
      <c r="N20" s="43">
        <f t="shared" si="22"/>
        <v>19948</v>
      </c>
      <c r="O20" s="43">
        <f t="shared" si="23"/>
        <v>1400</v>
      </c>
      <c r="P20" s="42">
        <v>15000</v>
      </c>
      <c r="Q20" s="42">
        <v>21.7</v>
      </c>
      <c r="R20" s="42">
        <f t="shared" si="24"/>
        <v>432871.6</v>
      </c>
    </row>
    <row r="21" spans="1:18">
      <c r="A21" s="374"/>
      <c r="B21" s="42" t="s">
        <v>1621</v>
      </c>
      <c r="C21" s="42" t="s">
        <v>118</v>
      </c>
      <c r="D21" s="42" t="s">
        <v>16</v>
      </c>
      <c r="E21" s="42" t="s">
        <v>1623</v>
      </c>
      <c r="F21" s="42">
        <v>3613</v>
      </c>
      <c r="G21" s="42"/>
      <c r="H21" s="42">
        <v>20000</v>
      </c>
      <c r="I21" s="42">
        <v>400</v>
      </c>
      <c r="J21" s="42">
        <v>0.13</v>
      </c>
      <c r="K21" s="42">
        <f t="shared" si="20"/>
        <v>52</v>
      </c>
      <c r="L21" s="43">
        <f t="shared" si="21"/>
        <v>19948</v>
      </c>
      <c r="M21" s="43"/>
      <c r="N21" s="43">
        <f t="shared" si="22"/>
        <v>19948</v>
      </c>
      <c r="O21" s="43">
        <f t="shared" si="23"/>
        <v>1400</v>
      </c>
      <c r="P21" s="42">
        <v>15000</v>
      </c>
      <c r="Q21" s="42">
        <v>21.7</v>
      </c>
      <c r="R21" s="42">
        <f t="shared" si="24"/>
        <v>432871.6</v>
      </c>
    </row>
    <row r="23" spans="1:18">
      <c r="A23" s="1" t="s">
        <v>2212</v>
      </c>
      <c r="B23" s="42" t="s">
        <v>2216</v>
      </c>
      <c r="C23" s="42" t="s">
        <v>118</v>
      </c>
      <c r="D23" s="42" t="s">
        <v>16</v>
      </c>
      <c r="E23" s="42" t="s">
        <v>661</v>
      </c>
      <c r="F23" s="42">
        <v>6202</v>
      </c>
      <c r="G23" s="42"/>
      <c r="H23" s="42">
        <v>15980</v>
      </c>
      <c r="I23" s="42">
        <v>320</v>
      </c>
      <c r="J23" s="42">
        <v>0.13</v>
      </c>
      <c r="K23" s="43">
        <f t="shared" ref="K23" si="25">I23*J23</f>
        <v>41.6</v>
      </c>
      <c r="L23" s="43">
        <f t="shared" ref="L23" si="26">H23-K23</f>
        <v>15938.4</v>
      </c>
      <c r="M23" s="43"/>
      <c r="N23" s="43">
        <f t="shared" ref="N23" si="27">L23-M23</f>
        <v>15938.4</v>
      </c>
      <c r="O23" s="43">
        <f t="shared" ref="O23" si="28">H23/1000*70</f>
        <v>1118.6000000000001</v>
      </c>
      <c r="P23" s="42">
        <v>12000</v>
      </c>
      <c r="Q23" s="42"/>
      <c r="R23" s="42">
        <f t="shared" ref="R23" si="29">L23*Q23</f>
        <v>0</v>
      </c>
    </row>
    <row r="25" spans="1:18">
      <c r="A25" s="1" t="s">
        <v>3454</v>
      </c>
      <c r="B25" s="42" t="s">
        <v>3457</v>
      </c>
      <c r="C25" s="42" t="s">
        <v>118</v>
      </c>
      <c r="D25" s="42" t="s">
        <v>16</v>
      </c>
      <c r="E25" s="47" t="s">
        <v>2740</v>
      </c>
      <c r="F25" s="47">
        <v>31</v>
      </c>
      <c r="G25" s="47"/>
      <c r="H25" s="47">
        <v>8790</v>
      </c>
      <c r="I25" s="47">
        <v>180</v>
      </c>
      <c r="J25" s="47"/>
      <c r="K25" s="43">
        <f t="shared" ref="K25" si="30">I25*J25</f>
        <v>0</v>
      </c>
      <c r="L25" s="43">
        <f t="shared" ref="L25" si="31">H25-K25</f>
        <v>8790</v>
      </c>
      <c r="M25" s="43"/>
      <c r="N25" s="43">
        <f t="shared" ref="N25" si="32">L25-M25</f>
        <v>8790</v>
      </c>
      <c r="O25" s="43">
        <v>0</v>
      </c>
      <c r="P25" s="42">
        <v>0</v>
      </c>
      <c r="Q25" s="42">
        <v>22</v>
      </c>
      <c r="R25" s="42">
        <f t="shared" ref="R25" si="33">L25*Q25</f>
        <v>193380</v>
      </c>
    </row>
    <row r="27" spans="1:18">
      <c r="A27" s="1" t="s">
        <v>3468</v>
      </c>
      <c r="B27" s="42" t="s">
        <v>684</v>
      </c>
      <c r="C27" s="42" t="s">
        <v>118</v>
      </c>
      <c r="D27" s="42" t="s">
        <v>16</v>
      </c>
      <c r="E27" s="47" t="s">
        <v>3175</v>
      </c>
      <c r="F27" s="47">
        <v>387</v>
      </c>
      <c r="G27" s="47"/>
      <c r="H27" s="47">
        <v>20000</v>
      </c>
      <c r="I27" s="47">
        <v>400</v>
      </c>
      <c r="J27" s="47">
        <v>0.13</v>
      </c>
      <c r="K27" s="43">
        <f t="shared" ref="K27" si="34">I27*J27</f>
        <v>52</v>
      </c>
      <c r="L27" s="43">
        <f t="shared" ref="L27" si="35">H27-K27</f>
        <v>19948</v>
      </c>
      <c r="M27" s="43"/>
      <c r="N27" s="43">
        <f t="shared" ref="N27" si="36">L27-M27</f>
        <v>19948</v>
      </c>
      <c r="O27" s="43">
        <f t="shared" ref="O27" si="37">H27/1000*70</f>
        <v>1400</v>
      </c>
      <c r="P27" s="42">
        <v>12000</v>
      </c>
      <c r="Q27" s="42">
        <v>22</v>
      </c>
      <c r="R27" s="42">
        <f t="shared" ref="R27" si="38">L27*Q27</f>
        <v>438856</v>
      </c>
    </row>
    <row r="29" spans="1:18">
      <c r="A29" s="1" t="s">
        <v>3693</v>
      </c>
      <c r="B29" s="42" t="s">
        <v>3045</v>
      </c>
      <c r="C29" s="42" t="s">
        <v>118</v>
      </c>
      <c r="D29" s="42" t="s">
        <v>16</v>
      </c>
      <c r="E29" s="47" t="s">
        <v>3697</v>
      </c>
      <c r="F29" s="47">
        <v>3912</v>
      </c>
      <c r="G29" s="47"/>
      <c r="H29" s="47">
        <v>19990</v>
      </c>
      <c r="I29" s="47">
        <v>400</v>
      </c>
      <c r="J29" s="47">
        <v>0.13</v>
      </c>
      <c r="K29" s="43">
        <f t="shared" ref="K29" si="39">I29*J29</f>
        <v>52</v>
      </c>
      <c r="L29" s="43">
        <f t="shared" ref="L29" si="40">H29-K29</f>
        <v>19938</v>
      </c>
      <c r="M29" s="43"/>
      <c r="N29" s="43">
        <f t="shared" ref="N29" si="41">L29-M29</f>
        <v>19938</v>
      </c>
      <c r="O29" s="43">
        <f t="shared" ref="O29" si="42">H29/1000*70</f>
        <v>1399.3</v>
      </c>
      <c r="P29" s="42">
        <v>12000</v>
      </c>
      <c r="Q29" s="42">
        <v>25</v>
      </c>
      <c r="R29" s="42">
        <f t="shared" ref="R29" si="43">L29*Q29</f>
        <v>498450</v>
      </c>
    </row>
  </sheetData>
  <mergeCells count="2">
    <mergeCell ref="A14:A15"/>
    <mergeCell ref="A19:A21"/>
  </mergeCells>
  <pageMargins left="0.7" right="0.7" top="0.75" bottom="0.75" header="0.3" footer="0.3"/>
  <pageSetup paperSize="9" orientation="portrait" verticalDpi="0" r:id="rId1"/>
</worksheet>
</file>

<file path=xl/worksheets/sheet128.xml><?xml version="1.0" encoding="utf-8"?>
<worksheet xmlns="http://schemas.openxmlformats.org/spreadsheetml/2006/main" xmlns:r="http://schemas.openxmlformats.org/officeDocument/2006/relationships">
  <dimension ref="A5:U19"/>
  <sheetViews>
    <sheetView workbookViewId="0">
      <selection activeCell="F12" sqref="F12"/>
    </sheetView>
  </sheetViews>
  <sheetFormatPr defaultRowHeight="14.4"/>
  <cols>
    <col min="1" max="1" width="8.88671875" style="1"/>
    <col min="2" max="2" width="19.33203125" style="1" customWidth="1"/>
    <col min="3" max="3" width="8.88671875" style="1"/>
    <col min="4" max="4" width="5.5546875" style="1" customWidth="1"/>
    <col min="5" max="5" width="11.2187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128</v>
      </c>
    </row>
    <row r="6" spans="1:21">
      <c r="A6" s="32"/>
      <c r="B6" s="166"/>
      <c r="C6" s="166"/>
      <c r="D6" s="166"/>
      <c r="E6" s="166"/>
      <c r="F6" s="20"/>
      <c r="G6" s="20"/>
      <c r="H6" s="20"/>
      <c r="I6" s="20"/>
      <c r="J6" s="20"/>
      <c r="K6" s="5"/>
      <c r="L6" s="19"/>
      <c r="M6" s="5"/>
      <c r="N6" s="20"/>
      <c r="O6" s="33"/>
      <c r="P6" s="33"/>
    </row>
    <row r="7" spans="1:21">
      <c r="A7" s="34" t="s">
        <v>1391</v>
      </c>
      <c r="B7" s="42" t="s">
        <v>1172</v>
      </c>
      <c r="C7" s="42" t="s">
        <v>118</v>
      </c>
      <c r="D7" s="42" t="s">
        <v>16</v>
      </c>
      <c r="E7" s="42" t="s">
        <v>1393</v>
      </c>
      <c r="F7" s="42">
        <v>2916</v>
      </c>
      <c r="G7" s="42"/>
      <c r="H7" s="42">
        <v>20000</v>
      </c>
      <c r="I7" s="42">
        <v>400</v>
      </c>
      <c r="J7" s="42">
        <v>0.13</v>
      </c>
      <c r="K7" s="42">
        <f t="shared" ref="K7" si="0">I7*J7</f>
        <v>52</v>
      </c>
      <c r="L7" s="43">
        <f t="shared" ref="L7" si="1">H7-K7</f>
        <v>19948</v>
      </c>
      <c r="M7" s="43"/>
      <c r="N7" s="43">
        <f t="shared" ref="N7" si="2">L7-M7</f>
        <v>19948</v>
      </c>
      <c r="O7" s="43">
        <f t="shared" ref="O7" si="3">H7/1000*70</f>
        <v>1400</v>
      </c>
      <c r="P7" s="42">
        <v>0</v>
      </c>
      <c r="Q7" s="42">
        <v>21.9</v>
      </c>
      <c r="R7" s="42">
        <f t="shared" ref="R7" si="4">L7*Q7</f>
        <v>436861.19999999995</v>
      </c>
      <c r="S7" s="42"/>
    </row>
    <row r="8" spans="1:21">
      <c r="A8" s="35"/>
      <c r="B8" s="42"/>
      <c r="C8" s="42"/>
      <c r="D8" s="42"/>
      <c r="E8" s="42"/>
      <c r="F8" s="42"/>
      <c r="G8" s="42"/>
      <c r="H8" s="42"/>
      <c r="I8" s="42"/>
      <c r="J8" s="42"/>
      <c r="K8" s="43"/>
      <c r="L8" s="43"/>
      <c r="M8" s="43"/>
      <c r="N8" s="43"/>
      <c r="O8" s="43"/>
      <c r="P8" s="48"/>
      <c r="Q8" s="48"/>
      <c r="R8" s="42"/>
    </row>
    <row r="9" spans="1:21">
      <c r="A9" s="31" t="s">
        <v>2063</v>
      </c>
      <c r="B9" s="42" t="s">
        <v>1172</v>
      </c>
      <c r="C9" s="42" t="s">
        <v>118</v>
      </c>
      <c r="D9" s="42" t="s">
        <v>16</v>
      </c>
      <c r="E9" s="42" t="s">
        <v>2064</v>
      </c>
      <c r="F9" s="42">
        <v>1767</v>
      </c>
      <c r="G9" s="42"/>
      <c r="H9" s="42">
        <v>20000</v>
      </c>
      <c r="I9" s="42">
        <v>400</v>
      </c>
      <c r="J9" s="42">
        <v>0.13</v>
      </c>
      <c r="K9" s="43">
        <f t="shared" ref="K9" si="5">I9*J9</f>
        <v>52</v>
      </c>
      <c r="L9" s="43">
        <f t="shared" ref="L9" si="6">H9-K9</f>
        <v>19948</v>
      </c>
      <c r="M9" s="43"/>
      <c r="N9" s="43">
        <f t="shared" ref="N9" si="7">L9-M9</f>
        <v>19948</v>
      </c>
      <c r="O9" s="43">
        <f t="shared" ref="O9" si="8">H9/1000*70</f>
        <v>1400</v>
      </c>
      <c r="P9" s="42">
        <v>12000</v>
      </c>
      <c r="Q9" s="42">
        <v>21.75</v>
      </c>
      <c r="R9" s="42">
        <f t="shared" ref="R9" si="9">L9*Q9</f>
        <v>433869</v>
      </c>
    </row>
    <row r="10" spans="1:21">
      <c r="A10" s="10"/>
      <c r="B10" s="42"/>
      <c r="C10" s="42"/>
      <c r="D10" s="42"/>
      <c r="E10" s="42"/>
      <c r="F10" s="42"/>
      <c r="G10" s="42"/>
      <c r="H10" s="42"/>
      <c r="I10" s="42"/>
      <c r="J10" s="42"/>
      <c r="K10" s="43"/>
      <c r="L10" s="43"/>
      <c r="M10" s="43"/>
      <c r="N10" s="42"/>
      <c r="U10" s="1">
        <v>23.5</v>
      </c>
    </row>
    <row r="11" spans="1:21">
      <c r="A11" s="11"/>
      <c r="B11" s="92"/>
      <c r="C11" s="92"/>
      <c r="D11" s="42"/>
      <c r="E11" s="92"/>
      <c r="F11" s="92"/>
      <c r="G11" s="92"/>
      <c r="H11" s="92"/>
      <c r="I11" s="92"/>
      <c r="J11" s="92"/>
      <c r="K11" s="42"/>
      <c r="L11" s="43"/>
      <c r="M11" s="43"/>
      <c r="N11" s="43"/>
      <c r="O11" s="43"/>
      <c r="P11" s="92"/>
      <c r="Q11" s="92"/>
      <c r="R11" s="92"/>
    </row>
    <row r="12" spans="1:21">
      <c r="B12" s="166"/>
      <c r="C12" s="166"/>
      <c r="D12" s="166"/>
      <c r="E12" s="166"/>
      <c r="F12" s="166"/>
      <c r="G12" s="166"/>
      <c r="H12" s="166"/>
      <c r="I12" s="166"/>
      <c r="J12" s="166"/>
      <c r="K12" s="166"/>
      <c r="L12" s="5"/>
      <c r="M12" s="5"/>
      <c r="N12" s="166"/>
    </row>
    <row r="13" spans="1:21">
      <c r="A13" s="374"/>
      <c r="B13" s="42"/>
      <c r="C13" s="42"/>
      <c r="D13" s="42"/>
      <c r="E13" s="42"/>
      <c r="F13" s="42"/>
      <c r="G13" s="42"/>
      <c r="H13" s="42"/>
      <c r="I13" s="42"/>
      <c r="J13" s="42"/>
      <c r="K13" s="42"/>
      <c r="L13" s="43"/>
      <c r="M13" s="43"/>
      <c r="N13" s="43"/>
      <c r="O13" s="43"/>
      <c r="P13" s="42"/>
      <c r="Q13" s="42"/>
      <c r="R13" s="42"/>
    </row>
    <row r="14" spans="1:21">
      <c r="A14" s="374"/>
      <c r="B14" s="42"/>
      <c r="C14" s="42"/>
      <c r="D14" s="42"/>
      <c r="E14" s="42"/>
      <c r="F14" s="42"/>
      <c r="G14" s="42"/>
      <c r="H14" s="42"/>
      <c r="I14" s="42"/>
      <c r="J14" s="42"/>
      <c r="K14" s="42"/>
      <c r="L14" s="43"/>
      <c r="M14" s="43"/>
      <c r="N14" s="43"/>
      <c r="O14" s="43"/>
      <c r="P14" s="42"/>
      <c r="Q14" s="42"/>
      <c r="R14" s="42"/>
    </row>
    <row r="16" spans="1:21">
      <c r="B16" s="42"/>
      <c r="C16" s="42"/>
      <c r="D16" s="42"/>
      <c r="E16" s="42"/>
      <c r="F16" s="42"/>
      <c r="G16" s="42"/>
      <c r="H16" s="42"/>
      <c r="I16" s="42"/>
      <c r="J16" s="42"/>
      <c r="K16" s="42"/>
      <c r="L16" s="43"/>
      <c r="M16" s="43"/>
      <c r="N16" s="43"/>
      <c r="O16" s="43"/>
      <c r="P16" s="42"/>
      <c r="Q16" s="42"/>
      <c r="R16" s="42"/>
    </row>
    <row r="19" spans="12:12">
      <c r="L19" s="16"/>
    </row>
  </sheetData>
  <mergeCells count="1">
    <mergeCell ref="A13:A14"/>
  </mergeCells>
  <pageMargins left="0.7" right="0.7" top="0.75" bottom="0.75" header="0.3" footer="0.3"/>
  <pageSetup paperSize="9" orientation="portrait" verticalDpi="0" r:id="rId1"/>
</worksheet>
</file>

<file path=xl/worksheets/sheet129.xml><?xml version="1.0" encoding="utf-8"?>
<worksheet xmlns="http://schemas.openxmlformats.org/spreadsheetml/2006/main" xmlns:r="http://schemas.openxmlformats.org/officeDocument/2006/relationships">
  <dimension ref="A5:U16"/>
  <sheetViews>
    <sheetView workbookViewId="0">
      <selection activeCell="B13" sqref="B13"/>
    </sheetView>
  </sheetViews>
  <sheetFormatPr defaultRowHeight="14.4"/>
  <cols>
    <col min="1" max="1" width="8.88671875" style="1"/>
    <col min="2" max="2" width="19.33203125" style="1" customWidth="1"/>
    <col min="3" max="3" width="8.88671875" style="1"/>
    <col min="4" max="4" width="5.5546875" style="1" customWidth="1"/>
    <col min="5" max="5" width="11.2187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128</v>
      </c>
    </row>
    <row r="6" spans="1:21">
      <c r="A6" s="32"/>
      <c r="B6" s="270"/>
      <c r="C6" s="270"/>
      <c r="D6" s="270"/>
      <c r="E6" s="270"/>
      <c r="F6" s="269"/>
      <c r="G6" s="269"/>
      <c r="H6" s="269"/>
      <c r="I6" s="269"/>
      <c r="J6" s="269"/>
      <c r="K6" s="5"/>
      <c r="L6" s="19"/>
      <c r="M6" s="5"/>
      <c r="N6" s="269"/>
      <c r="O6" s="33"/>
      <c r="P6" s="33"/>
    </row>
    <row r="7" spans="1:21">
      <c r="A7" s="11"/>
      <c r="B7" s="92"/>
      <c r="C7" s="92"/>
      <c r="D7" s="42"/>
      <c r="E7" s="92"/>
      <c r="F7" s="92"/>
      <c r="G7" s="92"/>
      <c r="H7" s="92"/>
      <c r="I7" s="92"/>
      <c r="J7" s="92"/>
      <c r="K7" s="42"/>
      <c r="L7" s="43"/>
      <c r="M7" s="43"/>
      <c r="N7" s="43"/>
      <c r="O7" s="43"/>
      <c r="P7" s="92"/>
      <c r="Q7" s="92"/>
      <c r="R7" s="92"/>
    </row>
    <row r="8" spans="1:21">
      <c r="A8" s="1" t="s">
        <v>2500</v>
      </c>
      <c r="B8" s="42" t="s">
        <v>2501</v>
      </c>
      <c r="C8" s="42" t="s">
        <v>118</v>
      </c>
      <c r="D8" s="42" t="s">
        <v>16</v>
      </c>
      <c r="E8" s="42" t="s">
        <v>2502</v>
      </c>
      <c r="F8" s="42">
        <v>827</v>
      </c>
      <c r="G8" s="42"/>
      <c r="H8" s="42">
        <v>15000</v>
      </c>
      <c r="I8" s="42">
        <v>300</v>
      </c>
      <c r="J8" s="42">
        <v>0.13</v>
      </c>
      <c r="K8" s="43">
        <f t="shared" ref="K8" si="0">I8*J8</f>
        <v>39</v>
      </c>
      <c r="L8" s="43">
        <f t="shared" ref="L8" si="1">H8-K8</f>
        <v>14961</v>
      </c>
      <c r="M8" s="43"/>
      <c r="N8" s="43">
        <f t="shared" ref="N8" si="2">L8-M8</f>
        <v>14961</v>
      </c>
      <c r="O8" s="43">
        <f t="shared" ref="O8" si="3">H8/1000*70</f>
        <v>1050</v>
      </c>
      <c r="P8" s="42">
        <v>0</v>
      </c>
      <c r="Q8" s="42">
        <v>26</v>
      </c>
      <c r="R8" s="42">
        <f t="shared" ref="R8" si="4">L8*Q8</f>
        <v>388986</v>
      </c>
    </row>
    <row r="9" spans="1:21">
      <c r="B9" s="270"/>
      <c r="C9" s="270"/>
      <c r="D9" s="270"/>
      <c r="E9" s="270"/>
      <c r="F9" s="270"/>
      <c r="G9" s="270"/>
      <c r="H9" s="270"/>
      <c r="I9" s="270"/>
      <c r="J9" s="270"/>
      <c r="K9" s="270"/>
      <c r="L9" s="5"/>
      <c r="M9" s="5"/>
      <c r="N9" s="270"/>
    </row>
    <row r="10" spans="1:21">
      <c r="A10" s="53" t="s">
        <v>2588</v>
      </c>
      <c r="B10" s="42" t="s">
        <v>2591</v>
      </c>
      <c r="C10" s="42" t="s">
        <v>118</v>
      </c>
      <c r="D10" s="42" t="s">
        <v>16</v>
      </c>
      <c r="E10" s="42" t="s">
        <v>2592</v>
      </c>
      <c r="F10" s="42">
        <v>0</v>
      </c>
      <c r="G10" s="42"/>
      <c r="H10" s="42">
        <v>20000</v>
      </c>
      <c r="I10" s="42">
        <v>400</v>
      </c>
      <c r="J10" s="42">
        <v>0.13</v>
      </c>
      <c r="K10" s="43">
        <f t="shared" ref="K10" si="5">I10*J10</f>
        <v>52</v>
      </c>
      <c r="L10" s="43">
        <f t="shared" ref="L10" si="6">H10-K10</f>
        <v>19948</v>
      </c>
      <c r="M10" s="43"/>
      <c r="N10" s="43">
        <f t="shared" ref="N10" si="7">L10-M10</f>
        <v>19948</v>
      </c>
      <c r="O10" s="43">
        <f t="shared" ref="O10" si="8">H10/1000*70</f>
        <v>1400</v>
      </c>
      <c r="P10" s="42">
        <v>14000</v>
      </c>
      <c r="Q10" s="42">
        <v>26</v>
      </c>
      <c r="R10" s="42">
        <f t="shared" ref="R10" si="9">L10*Q10</f>
        <v>518648</v>
      </c>
    </row>
    <row r="11" spans="1:21">
      <c r="A11" s="53"/>
      <c r="B11" s="42"/>
      <c r="C11" s="42"/>
      <c r="D11" s="42"/>
      <c r="E11" s="42"/>
      <c r="F11" s="42"/>
      <c r="G11" s="42"/>
      <c r="H11" s="42"/>
      <c r="I11" s="42"/>
      <c r="J11" s="42"/>
      <c r="K11" s="42"/>
      <c r="L11" s="43"/>
      <c r="M11" s="43"/>
      <c r="N11" s="43"/>
      <c r="O11" s="43"/>
      <c r="P11" s="42"/>
      <c r="Q11" s="42"/>
      <c r="R11" s="42"/>
    </row>
    <row r="13" spans="1:21">
      <c r="B13" s="42"/>
      <c r="C13" s="42"/>
      <c r="D13" s="42"/>
      <c r="E13" s="42"/>
      <c r="F13" s="42"/>
      <c r="G13" s="42"/>
      <c r="H13" s="42"/>
      <c r="I13" s="42"/>
      <c r="J13" s="42"/>
      <c r="K13" s="42"/>
      <c r="L13" s="43"/>
      <c r="M13" s="43"/>
      <c r="N13" s="43"/>
      <c r="O13" s="43"/>
      <c r="P13" s="42"/>
      <c r="Q13" s="42"/>
      <c r="R13" s="42"/>
    </row>
    <row r="16" spans="1:21">
      <c r="L16" s="16"/>
    </row>
  </sheetData>
  <pageMargins left="0.7" right="0.7" top="0.75" bottom="0.75" header="0.3" footer="0.3"/>
  <pageSetup paperSize="9" orientation="portrait" verticalDpi="0" r:id="rId1"/>
</worksheet>
</file>

<file path=xl/worksheets/sheet130.xml><?xml version="1.0" encoding="utf-8"?>
<worksheet xmlns="http://schemas.openxmlformats.org/spreadsheetml/2006/main" xmlns:r="http://schemas.openxmlformats.org/officeDocument/2006/relationships">
  <dimension ref="A5:U20"/>
  <sheetViews>
    <sheetView workbookViewId="0">
      <selection activeCell="B13" sqref="B13"/>
    </sheetView>
  </sheetViews>
  <sheetFormatPr defaultRowHeight="14.4"/>
  <cols>
    <col min="1" max="1" width="8.88671875" style="1"/>
    <col min="2" max="2" width="19.33203125" style="1" customWidth="1"/>
    <col min="3" max="3" width="8.88671875" style="1"/>
    <col min="4" max="4" width="5.5546875" style="1" customWidth="1"/>
    <col min="5" max="5" width="11.2187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128</v>
      </c>
    </row>
    <row r="6" spans="1:21">
      <c r="A6" s="32"/>
      <c r="B6" s="180"/>
      <c r="C6" s="180"/>
      <c r="D6" s="180"/>
      <c r="E6" s="180"/>
      <c r="F6" s="20"/>
      <c r="G6" s="20"/>
      <c r="H6" s="20"/>
      <c r="I6" s="20"/>
      <c r="J6" s="20"/>
      <c r="K6" s="5"/>
      <c r="L6" s="19"/>
      <c r="M6" s="5"/>
      <c r="N6" s="20"/>
      <c r="O6" s="33"/>
      <c r="P6" s="33"/>
    </row>
    <row r="7" spans="1:21">
      <c r="A7" s="34" t="s">
        <v>1542</v>
      </c>
      <c r="B7" s="42" t="s">
        <v>1545</v>
      </c>
      <c r="C7" s="42" t="s">
        <v>621</v>
      </c>
      <c r="D7" s="42" t="s">
        <v>16</v>
      </c>
      <c r="E7" s="42" t="s">
        <v>1546</v>
      </c>
      <c r="F7" s="42">
        <v>3285</v>
      </c>
      <c r="G7" s="42"/>
      <c r="H7" s="42">
        <v>11885</v>
      </c>
      <c r="I7" s="42">
        <v>297</v>
      </c>
      <c r="J7" s="42">
        <v>0.13</v>
      </c>
      <c r="K7" s="42">
        <v>39</v>
      </c>
      <c r="L7" s="43">
        <f t="shared" ref="L7" si="0">H7-K7</f>
        <v>11846</v>
      </c>
      <c r="M7" s="43"/>
      <c r="N7" s="43">
        <f t="shared" ref="N7" si="1">L7-M7</f>
        <v>11846</v>
      </c>
      <c r="O7" s="43">
        <f t="shared" ref="O7" si="2">H7/1000*70</f>
        <v>831.94999999999993</v>
      </c>
      <c r="P7" s="42">
        <v>9000</v>
      </c>
      <c r="Q7" s="42">
        <v>18</v>
      </c>
      <c r="R7" s="42">
        <f t="shared" ref="R7" si="3">L7*Q7</f>
        <v>213228</v>
      </c>
      <c r="S7" s="42"/>
    </row>
    <row r="8" spans="1:21">
      <c r="A8" s="35"/>
      <c r="B8" s="42"/>
      <c r="C8" s="42"/>
      <c r="D8" s="42"/>
      <c r="E8" s="42"/>
      <c r="F8" s="42"/>
      <c r="G8" s="42"/>
      <c r="H8" s="42"/>
      <c r="I8" s="42"/>
      <c r="J8" s="42"/>
      <c r="K8" s="43"/>
      <c r="L8" s="43"/>
      <c r="M8" s="43"/>
      <c r="N8" s="43"/>
      <c r="O8" s="43"/>
      <c r="P8" s="48"/>
      <c r="Q8" s="48"/>
      <c r="R8" s="42"/>
    </row>
    <row r="9" spans="1:21">
      <c r="A9" s="31" t="s">
        <v>2247</v>
      </c>
      <c r="B9" s="42" t="s">
        <v>2250</v>
      </c>
      <c r="C9" s="42" t="s">
        <v>118</v>
      </c>
      <c r="D9" s="42" t="s">
        <v>16</v>
      </c>
      <c r="E9" s="42" t="s">
        <v>2251</v>
      </c>
      <c r="F9" s="42">
        <v>1697</v>
      </c>
      <c r="G9" s="42"/>
      <c r="H9" s="42">
        <v>17810</v>
      </c>
      <c r="I9" s="42">
        <v>360</v>
      </c>
      <c r="J9" s="42">
        <v>0.13</v>
      </c>
      <c r="K9" s="43">
        <f t="shared" ref="K9" si="4">I9*J9</f>
        <v>46.800000000000004</v>
      </c>
      <c r="L9" s="43">
        <f t="shared" ref="L9" si="5">H9-K9</f>
        <v>17763.2</v>
      </c>
      <c r="M9" s="43"/>
      <c r="N9" s="43">
        <f t="shared" ref="N9" si="6">L9-M9</f>
        <v>17763.2</v>
      </c>
      <c r="O9" s="43">
        <f t="shared" ref="O9" si="7">H9/1000*70</f>
        <v>1246.6999999999998</v>
      </c>
      <c r="P9" s="42">
        <v>0</v>
      </c>
      <c r="Q9" s="42">
        <v>22.1</v>
      </c>
      <c r="R9" s="42">
        <f t="shared" ref="R9" si="8">L9*Q9</f>
        <v>392566.72000000003</v>
      </c>
    </row>
    <row r="10" spans="1:21">
      <c r="A10" s="10"/>
      <c r="B10" s="42"/>
      <c r="C10" s="42"/>
      <c r="D10" s="42"/>
      <c r="E10" s="42"/>
      <c r="F10" s="42"/>
      <c r="G10" s="42"/>
      <c r="H10" s="42"/>
      <c r="I10" s="42"/>
      <c r="J10" s="42"/>
      <c r="K10" s="43"/>
      <c r="L10" s="43"/>
      <c r="M10" s="43"/>
      <c r="N10" s="42"/>
      <c r="U10" s="1">
        <v>23.5</v>
      </c>
    </row>
    <row r="11" spans="1:21">
      <c r="A11" s="11"/>
      <c r="B11" s="92"/>
      <c r="C11" s="92"/>
      <c r="D11" s="42"/>
      <c r="E11" s="92"/>
      <c r="F11" s="92"/>
      <c r="G11" s="92"/>
      <c r="H11" s="92"/>
      <c r="I11" s="92"/>
      <c r="J11" s="92"/>
      <c r="K11" s="42"/>
      <c r="L11" s="43"/>
      <c r="M11" s="43"/>
      <c r="N11" s="43"/>
      <c r="O11" s="43"/>
      <c r="P11" s="92"/>
      <c r="Q11" s="92"/>
      <c r="R11" s="92"/>
    </row>
    <row r="12" spans="1:21">
      <c r="B12" s="42"/>
      <c r="C12" s="42"/>
      <c r="D12" s="42"/>
      <c r="E12" s="42"/>
      <c r="F12" s="42"/>
      <c r="G12" s="42"/>
      <c r="H12" s="42"/>
      <c r="I12" s="42"/>
      <c r="J12" s="42"/>
      <c r="K12" s="42"/>
      <c r="L12" s="43"/>
      <c r="M12" s="43"/>
      <c r="N12" s="43"/>
      <c r="O12" s="43"/>
      <c r="P12" s="42"/>
      <c r="Q12" s="42"/>
      <c r="R12" s="42"/>
    </row>
    <row r="13" spans="1:21">
      <c r="B13" s="180"/>
      <c r="C13" s="180"/>
      <c r="D13" s="180"/>
      <c r="E13" s="180"/>
      <c r="F13" s="180"/>
      <c r="G13" s="180"/>
      <c r="H13" s="180"/>
      <c r="I13" s="180"/>
      <c r="J13" s="180"/>
      <c r="K13" s="180"/>
      <c r="L13" s="5"/>
      <c r="M13" s="5"/>
      <c r="N13" s="180"/>
    </row>
    <row r="14" spans="1:21">
      <c r="A14" s="374"/>
      <c r="B14" s="42"/>
      <c r="C14" s="42"/>
      <c r="D14" s="42"/>
      <c r="E14" s="42"/>
      <c r="F14" s="42"/>
      <c r="G14" s="42"/>
      <c r="H14" s="42"/>
      <c r="I14" s="42"/>
      <c r="J14" s="42"/>
      <c r="K14" s="42"/>
      <c r="L14" s="43"/>
      <c r="M14" s="43"/>
      <c r="N14" s="43"/>
      <c r="O14" s="43"/>
      <c r="P14" s="42"/>
      <c r="Q14" s="42"/>
      <c r="R14" s="42"/>
    </row>
    <row r="15" spans="1:21">
      <c r="A15" s="374"/>
      <c r="B15" s="42"/>
      <c r="C15" s="42"/>
      <c r="D15" s="42"/>
      <c r="E15" s="42"/>
      <c r="F15" s="42"/>
      <c r="G15" s="42"/>
      <c r="H15" s="42"/>
      <c r="I15" s="42"/>
      <c r="J15" s="42"/>
      <c r="K15" s="42"/>
      <c r="L15" s="43"/>
      <c r="M15" s="43"/>
      <c r="N15" s="43"/>
      <c r="O15" s="43"/>
      <c r="P15" s="42"/>
      <c r="Q15" s="42"/>
      <c r="R15" s="42"/>
    </row>
    <row r="17" spans="2:18">
      <c r="B17" s="42"/>
      <c r="C17" s="42"/>
      <c r="D17" s="42"/>
      <c r="E17" s="42"/>
      <c r="F17" s="42"/>
      <c r="G17" s="42"/>
      <c r="H17" s="42"/>
      <c r="I17" s="42"/>
      <c r="J17" s="42"/>
      <c r="K17" s="42"/>
      <c r="L17" s="43"/>
      <c r="M17" s="43"/>
      <c r="N17" s="43"/>
      <c r="O17" s="43"/>
      <c r="P17" s="42"/>
      <c r="Q17" s="42"/>
      <c r="R17" s="42"/>
    </row>
    <row r="20" spans="2:18">
      <c r="L20" s="16"/>
    </row>
  </sheetData>
  <mergeCells count="1">
    <mergeCell ref="A14:A15"/>
  </mergeCells>
  <pageMargins left="0.7" right="0.7" top="0.75" bottom="0.75" header="0.3" footer="0.3"/>
  <pageSetup paperSize="9" orientation="portrait" verticalDpi="0" r:id="rId1"/>
</worksheet>
</file>

<file path=xl/worksheets/sheet131.xml><?xml version="1.0" encoding="utf-8"?>
<worksheet xmlns="http://schemas.openxmlformats.org/spreadsheetml/2006/main" xmlns:r="http://schemas.openxmlformats.org/officeDocument/2006/relationships">
  <dimension ref="A5:U14"/>
  <sheetViews>
    <sheetView workbookViewId="0">
      <selection activeCell="B11" sqref="B11"/>
    </sheetView>
  </sheetViews>
  <sheetFormatPr defaultRowHeight="14.4"/>
  <cols>
    <col min="1" max="1" width="8.88671875" style="1"/>
    <col min="2" max="2" width="13.88671875" style="1" customWidth="1"/>
    <col min="3" max="3" width="8.88671875" style="1"/>
    <col min="4" max="4" width="5.5546875" style="1" customWidth="1"/>
    <col min="5" max="5" width="11.2187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128</v>
      </c>
    </row>
    <row r="6" spans="1:21">
      <c r="B6" s="2"/>
      <c r="C6" s="2"/>
      <c r="D6" s="2"/>
      <c r="E6" s="2"/>
      <c r="F6" s="2"/>
      <c r="G6" s="2"/>
      <c r="H6" s="2"/>
      <c r="I6" s="2"/>
      <c r="J6" s="2"/>
      <c r="K6" s="2"/>
      <c r="L6" s="5"/>
      <c r="M6" s="5"/>
      <c r="N6" s="2"/>
      <c r="Q6" s="1" t="s">
        <v>316</v>
      </c>
      <c r="R6" s="1">
        <v>153</v>
      </c>
      <c r="S6" s="1">
        <v>21</v>
      </c>
      <c r="U6" s="1">
        <v>47</v>
      </c>
    </row>
    <row r="7" spans="1:21">
      <c r="A7" s="1" t="s">
        <v>351</v>
      </c>
      <c r="B7" s="42" t="s">
        <v>68</v>
      </c>
      <c r="C7" s="42" t="s">
        <v>353</v>
      </c>
      <c r="D7" s="42" t="s">
        <v>16</v>
      </c>
      <c r="E7" s="42" t="s">
        <v>354</v>
      </c>
      <c r="F7" s="42">
        <v>120</v>
      </c>
      <c r="G7" s="42"/>
      <c r="H7" s="42">
        <v>21710</v>
      </c>
      <c r="I7" s="42">
        <v>365</v>
      </c>
      <c r="J7" s="42">
        <v>0.13</v>
      </c>
      <c r="K7" s="42">
        <f t="shared" ref="K7" si="0">I7*J7</f>
        <v>47.45</v>
      </c>
      <c r="L7" s="43">
        <f t="shared" ref="L7" si="1">H7-K7</f>
        <v>21662.55</v>
      </c>
      <c r="M7" s="43">
        <f t="shared" ref="M7" si="2">H7/1000*70</f>
        <v>1519.7</v>
      </c>
      <c r="N7" s="42">
        <v>34500</v>
      </c>
      <c r="O7" s="42">
        <v>47</v>
      </c>
      <c r="P7" s="42">
        <f t="shared" ref="P7" si="3">L7*O7</f>
        <v>1018139.85</v>
      </c>
    </row>
    <row r="14" spans="1:21">
      <c r="L14" s="16">
        <f>SUM(L6:L13)</f>
        <v>21662.55</v>
      </c>
    </row>
  </sheetData>
  <pageMargins left="0.7" right="0.7" top="0.75" bottom="0.75" header="0.3" footer="0.3"/>
  <pageSetup paperSize="9" orientation="portrait" verticalDpi="0" r:id="rId1"/>
</worksheet>
</file>

<file path=xl/worksheets/sheet132.xml><?xml version="1.0" encoding="utf-8"?>
<worksheet xmlns="http://schemas.openxmlformats.org/spreadsheetml/2006/main" xmlns:r="http://schemas.openxmlformats.org/officeDocument/2006/relationships">
  <dimension ref="A5:U14"/>
  <sheetViews>
    <sheetView workbookViewId="0">
      <selection activeCell="E13" sqref="E13"/>
    </sheetView>
  </sheetViews>
  <sheetFormatPr defaultRowHeight="14.4"/>
  <cols>
    <col min="1" max="1" width="8.88671875" style="1"/>
    <col min="2" max="2" width="13.88671875" style="1" customWidth="1"/>
    <col min="3" max="3" width="8.88671875" style="1"/>
    <col min="4" max="4" width="5.5546875" style="1" customWidth="1"/>
    <col min="5" max="5" width="11.2187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128</v>
      </c>
    </row>
    <row r="6" spans="1:21">
      <c r="B6" s="2"/>
      <c r="C6" s="2"/>
      <c r="D6" s="2"/>
      <c r="E6" s="2"/>
      <c r="F6" s="2"/>
      <c r="G6" s="2"/>
      <c r="H6" s="2"/>
      <c r="I6" s="2"/>
      <c r="J6" s="2"/>
      <c r="K6" s="2"/>
      <c r="L6" s="5"/>
      <c r="M6" s="5"/>
      <c r="N6" s="2"/>
      <c r="U6" s="1">
        <v>47</v>
      </c>
    </row>
    <row r="7" spans="1:21">
      <c r="A7" s="1" t="s">
        <v>398</v>
      </c>
      <c r="B7" s="42" t="s">
        <v>401</v>
      </c>
      <c r="C7" s="42" t="s">
        <v>353</v>
      </c>
      <c r="D7" s="42" t="s">
        <v>16</v>
      </c>
      <c r="E7" s="42" t="s">
        <v>400</v>
      </c>
      <c r="F7" s="42">
        <v>978</v>
      </c>
      <c r="G7" s="42"/>
      <c r="H7" s="42">
        <v>20920</v>
      </c>
      <c r="I7" s="42">
        <v>360</v>
      </c>
      <c r="J7" s="42">
        <v>0.13</v>
      </c>
      <c r="K7" s="43">
        <f t="shared" ref="K7" si="0">I7*J7</f>
        <v>46.800000000000004</v>
      </c>
      <c r="L7" s="43">
        <f t="shared" ref="L7" si="1">H7-K7</f>
        <v>20873.2</v>
      </c>
      <c r="M7" s="43">
        <f t="shared" ref="M7" si="2">H7/1000*70</f>
        <v>1464.4</v>
      </c>
      <c r="N7" s="42">
        <v>0</v>
      </c>
      <c r="O7" s="42">
        <v>46</v>
      </c>
      <c r="P7" s="42">
        <f t="shared" ref="P7" si="3">L7*O7</f>
        <v>960167.20000000007</v>
      </c>
    </row>
    <row r="9" spans="1:21">
      <c r="B9" s="67"/>
      <c r="C9" s="67"/>
      <c r="D9" s="67"/>
      <c r="E9" s="67"/>
      <c r="F9" s="67"/>
      <c r="G9" s="67"/>
      <c r="H9" s="67"/>
      <c r="I9" s="67"/>
      <c r="J9" s="67"/>
      <c r="K9" s="68"/>
      <c r="L9" s="68"/>
      <c r="M9" s="68"/>
      <c r="N9" s="68"/>
      <c r="O9" s="68"/>
      <c r="P9" s="67"/>
      <c r="Q9" s="67"/>
      <c r="R9" s="67"/>
    </row>
    <row r="14" spans="1:21">
      <c r="L14" s="16">
        <f>SUM(L6:L13)</f>
        <v>20873.2</v>
      </c>
    </row>
  </sheetData>
  <pageMargins left="0.7" right="0.7" top="0.75" bottom="0.75" header="0.3" footer="0.3"/>
  <pageSetup paperSize="9" orientation="portrait" verticalDpi="0" r:id="rId1"/>
</worksheet>
</file>

<file path=xl/worksheets/sheet133.xml><?xml version="1.0" encoding="utf-8"?>
<worksheet xmlns="http://schemas.openxmlformats.org/spreadsheetml/2006/main" xmlns:r="http://schemas.openxmlformats.org/officeDocument/2006/relationships">
  <dimension ref="A5:U31"/>
  <sheetViews>
    <sheetView topLeftCell="A13" workbookViewId="0">
      <selection activeCell="A32" sqref="A32"/>
    </sheetView>
  </sheetViews>
  <sheetFormatPr defaultRowHeight="14.4"/>
  <cols>
    <col min="1" max="1" width="8.88671875" style="1"/>
    <col min="2" max="2" width="13.88671875" style="1" customWidth="1"/>
    <col min="3" max="3" width="8.88671875" style="1"/>
    <col min="4" max="4" width="5.5546875" style="1" customWidth="1"/>
    <col min="5" max="5" width="11.2187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128</v>
      </c>
    </row>
    <row r="6" spans="1:21">
      <c r="B6" s="2"/>
      <c r="C6" s="2"/>
      <c r="D6" s="2"/>
      <c r="E6" s="2"/>
      <c r="F6" s="2"/>
      <c r="G6" s="2"/>
      <c r="H6" s="2"/>
      <c r="I6" s="2"/>
      <c r="J6" s="2"/>
      <c r="K6" s="2"/>
      <c r="L6" s="5"/>
      <c r="M6" s="5"/>
      <c r="N6" s="2"/>
      <c r="U6" s="1">
        <v>47</v>
      </c>
    </row>
    <row r="7" spans="1:21">
      <c r="A7" s="1" t="s">
        <v>645</v>
      </c>
      <c r="B7" s="42" t="s">
        <v>648</v>
      </c>
      <c r="C7" s="42" t="s">
        <v>353</v>
      </c>
      <c r="D7" s="42" t="s">
        <v>16</v>
      </c>
      <c r="E7" s="42" t="s">
        <v>649</v>
      </c>
      <c r="F7" s="42">
        <v>273</v>
      </c>
      <c r="G7" s="42"/>
      <c r="H7" s="42">
        <v>20470</v>
      </c>
      <c r="I7" s="42">
        <v>370</v>
      </c>
      <c r="J7" s="42">
        <v>0.13</v>
      </c>
      <c r="K7" s="42">
        <f t="shared" ref="K7" si="0">I7*J7</f>
        <v>48.1</v>
      </c>
      <c r="L7" s="43">
        <f t="shared" ref="L7" si="1">H7-K7</f>
        <v>20421.900000000001</v>
      </c>
      <c r="M7" s="43">
        <f t="shared" ref="M7" si="2">H7/1000*70</f>
        <v>1432.8999999999999</v>
      </c>
      <c r="N7" s="42">
        <v>0</v>
      </c>
      <c r="O7" s="42"/>
      <c r="P7" s="42"/>
    </row>
    <row r="11" spans="1:21">
      <c r="A11" s="1" t="s">
        <v>695</v>
      </c>
      <c r="B11" s="42" t="s">
        <v>696</v>
      </c>
      <c r="C11" s="42" t="s">
        <v>353</v>
      </c>
      <c r="D11" s="42" t="s">
        <v>16</v>
      </c>
      <c r="E11" s="42" t="s">
        <v>697</v>
      </c>
      <c r="F11" s="42">
        <v>5256</v>
      </c>
      <c r="G11" s="42"/>
      <c r="H11" s="42">
        <v>19450</v>
      </c>
      <c r="I11" s="42">
        <v>365</v>
      </c>
      <c r="J11" s="42">
        <v>0.13</v>
      </c>
      <c r="K11" s="42">
        <f t="shared" ref="K11" si="3">I11*J11</f>
        <v>47.45</v>
      </c>
      <c r="L11" s="43">
        <f t="shared" ref="L11" si="4">H11-K11</f>
        <v>19402.55</v>
      </c>
      <c r="M11" s="43"/>
      <c r="N11" s="43">
        <f t="shared" ref="N11" si="5">L11-M11</f>
        <v>19402.55</v>
      </c>
      <c r="O11" s="43">
        <f t="shared" ref="O11" si="6">H11/1000*70</f>
        <v>1361.5</v>
      </c>
      <c r="P11" s="42">
        <v>0</v>
      </c>
      <c r="Q11" s="42"/>
    </row>
    <row r="13" spans="1:21">
      <c r="A13" s="1" t="s">
        <v>2536</v>
      </c>
      <c r="B13" s="42" t="s">
        <v>696</v>
      </c>
      <c r="C13" s="42" t="s">
        <v>2486</v>
      </c>
      <c r="D13" s="42" t="s">
        <v>16</v>
      </c>
      <c r="E13" s="42" t="s">
        <v>2542</v>
      </c>
      <c r="F13" s="42">
        <v>2389</v>
      </c>
      <c r="G13" s="42"/>
      <c r="H13" s="42">
        <v>13110</v>
      </c>
      <c r="I13" s="42">
        <v>175</v>
      </c>
      <c r="J13" s="42">
        <v>0.13</v>
      </c>
      <c r="K13" s="43">
        <f t="shared" ref="K13" si="7">I13*J13</f>
        <v>22.75</v>
      </c>
      <c r="L13" s="43">
        <f t="shared" ref="L13" si="8">H13-K13</f>
        <v>13087.25</v>
      </c>
      <c r="M13" s="43"/>
      <c r="N13" s="43">
        <f t="shared" ref="N13" si="9">L13-M13</f>
        <v>13087.25</v>
      </c>
      <c r="O13" s="43">
        <f t="shared" ref="O13" si="10">H13/1000*70</f>
        <v>917.69999999999993</v>
      </c>
      <c r="P13" s="42">
        <v>20200</v>
      </c>
      <c r="Q13" s="42">
        <v>57</v>
      </c>
      <c r="R13" s="42">
        <f t="shared" ref="R13" si="11">L13*Q13</f>
        <v>745973.25</v>
      </c>
    </row>
    <row r="14" spans="1:21">
      <c r="L14" s="16">
        <f>SUM(L6:L13)</f>
        <v>52911.7</v>
      </c>
    </row>
    <row r="16" spans="1:21">
      <c r="A16" s="1" t="s">
        <v>2557</v>
      </c>
      <c r="B16" s="42" t="s">
        <v>696</v>
      </c>
      <c r="C16" s="42" t="s">
        <v>2487</v>
      </c>
      <c r="D16" s="42" t="s">
        <v>16</v>
      </c>
      <c r="E16" s="42" t="s">
        <v>2558</v>
      </c>
      <c r="F16" s="42">
        <v>309</v>
      </c>
      <c r="G16" s="42"/>
      <c r="H16" s="42">
        <v>12700</v>
      </c>
      <c r="I16" s="42">
        <v>175</v>
      </c>
      <c r="J16" s="42">
        <v>0.13</v>
      </c>
      <c r="K16" s="43">
        <f t="shared" ref="K16" si="12">I16*J16</f>
        <v>22.75</v>
      </c>
      <c r="L16" s="43">
        <f t="shared" ref="L16" si="13">H16-K16</f>
        <v>12677.25</v>
      </c>
      <c r="M16" s="43"/>
      <c r="N16" s="43">
        <f t="shared" ref="N16" si="14">L16-M16</f>
        <v>12677.25</v>
      </c>
      <c r="O16" s="43">
        <f t="shared" ref="O16" si="15">H16/1000*70</f>
        <v>889</v>
      </c>
      <c r="P16" s="42">
        <v>18000</v>
      </c>
      <c r="Q16" s="42">
        <v>57</v>
      </c>
      <c r="R16" s="42">
        <f t="shared" ref="R16" si="16">L16*Q16</f>
        <v>722603.25</v>
      </c>
    </row>
    <row r="18" spans="1:19">
      <c r="A18" s="1" t="s">
        <v>2658</v>
      </c>
      <c r="B18" s="42" t="s">
        <v>696</v>
      </c>
      <c r="C18" s="42" t="s">
        <v>353</v>
      </c>
      <c r="D18" s="42" t="s">
        <v>16</v>
      </c>
      <c r="E18" s="42" t="s">
        <v>2660</v>
      </c>
      <c r="F18" s="42">
        <v>2500</v>
      </c>
      <c r="G18" s="42"/>
      <c r="H18" s="42">
        <v>12800</v>
      </c>
      <c r="I18" s="42">
        <v>189</v>
      </c>
      <c r="J18" s="42">
        <v>0.13</v>
      </c>
      <c r="K18" s="43">
        <f t="shared" ref="K18" si="17">I18*J18</f>
        <v>24.57</v>
      </c>
      <c r="L18" s="43">
        <f t="shared" ref="L18" si="18">H18-K18</f>
        <v>12775.43</v>
      </c>
      <c r="M18" s="43"/>
      <c r="N18" s="43">
        <f t="shared" ref="N18" si="19">L18-M18</f>
        <v>12775.43</v>
      </c>
      <c r="O18" s="43">
        <f t="shared" ref="O18" si="20">H18/1000*70</f>
        <v>896</v>
      </c>
      <c r="P18" s="42">
        <v>21000</v>
      </c>
      <c r="Q18" s="42">
        <v>56</v>
      </c>
      <c r="R18" s="42">
        <f t="shared" ref="R18" si="21">L18*Q18</f>
        <v>715424.08000000007</v>
      </c>
    </row>
    <row r="20" spans="1:19">
      <c r="A20" s="1" t="s">
        <v>2698</v>
      </c>
      <c r="B20" s="42" t="s">
        <v>696</v>
      </c>
      <c r="C20" s="42" t="s">
        <v>353</v>
      </c>
      <c r="D20" s="42" t="s">
        <v>16</v>
      </c>
      <c r="E20" s="42" t="s">
        <v>2701</v>
      </c>
      <c r="F20" s="42">
        <v>2952</v>
      </c>
      <c r="G20" s="42"/>
      <c r="H20" s="42">
        <v>12520</v>
      </c>
      <c r="I20" s="42">
        <v>249</v>
      </c>
      <c r="J20" s="42">
        <v>0.13</v>
      </c>
      <c r="K20" s="43">
        <f t="shared" ref="K20" si="22">I20*J20</f>
        <v>32.370000000000005</v>
      </c>
      <c r="L20" s="43">
        <f t="shared" ref="L20" si="23">H20-K20</f>
        <v>12487.63</v>
      </c>
      <c r="M20" s="43"/>
      <c r="N20" s="43">
        <f t="shared" ref="N20" si="24">L20-M20</f>
        <v>12487.63</v>
      </c>
      <c r="O20" s="43">
        <f t="shared" ref="O20" si="25">H20/1000*70</f>
        <v>876.4</v>
      </c>
      <c r="P20" s="42">
        <v>19000</v>
      </c>
      <c r="Q20" s="42">
        <v>57</v>
      </c>
      <c r="R20" s="42">
        <f t="shared" ref="R20" si="26">L20*Q20</f>
        <v>711794.90999999992</v>
      </c>
    </row>
    <row r="22" spans="1:19">
      <c r="A22" s="1" t="s">
        <v>2715</v>
      </c>
      <c r="B22" s="283" t="s">
        <v>696</v>
      </c>
      <c r="C22" s="283" t="s">
        <v>353</v>
      </c>
      <c r="D22" s="42" t="s">
        <v>16</v>
      </c>
      <c r="E22" s="283" t="s">
        <v>1053</v>
      </c>
      <c r="F22" s="283">
        <v>1572</v>
      </c>
      <c r="G22" s="283"/>
      <c r="H22" s="283">
        <v>12870</v>
      </c>
      <c r="I22" s="283">
        <v>267</v>
      </c>
      <c r="J22" s="283">
        <v>0.13</v>
      </c>
      <c r="K22" s="43">
        <f t="shared" ref="K22" si="27">I22*J22</f>
        <v>34.71</v>
      </c>
      <c r="L22" s="43">
        <f t="shared" ref="L22" si="28">H22-K22</f>
        <v>12835.29</v>
      </c>
      <c r="M22" s="43"/>
      <c r="N22" s="43">
        <f t="shared" ref="N22" si="29">L22-M22</f>
        <v>12835.29</v>
      </c>
      <c r="O22" s="43">
        <f t="shared" ref="O22" si="30">H22/1000*70</f>
        <v>900.9</v>
      </c>
      <c r="P22" s="42">
        <v>24000</v>
      </c>
      <c r="Q22" s="42">
        <v>57</v>
      </c>
      <c r="R22" s="42">
        <f t="shared" ref="R22" si="31">L22*Q22</f>
        <v>731611.53</v>
      </c>
    </row>
    <row r="24" spans="1:19">
      <c r="A24" s="1" t="s">
        <v>2946</v>
      </c>
      <c r="B24" s="42" t="s">
        <v>696</v>
      </c>
      <c r="C24" s="42" t="s">
        <v>353</v>
      </c>
      <c r="D24" s="42" t="s">
        <v>16</v>
      </c>
      <c r="E24" s="42" t="s">
        <v>2882</v>
      </c>
      <c r="F24" s="42">
        <v>165</v>
      </c>
      <c r="G24" s="42"/>
      <c r="H24" s="42">
        <v>12170</v>
      </c>
      <c r="I24" s="42">
        <v>248</v>
      </c>
      <c r="J24" s="42">
        <v>0.13</v>
      </c>
      <c r="K24" s="43">
        <f t="shared" ref="K24" si="32">I24*J24</f>
        <v>32.24</v>
      </c>
      <c r="L24" s="43">
        <f t="shared" ref="L24" si="33">H24-K24</f>
        <v>12137.76</v>
      </c>
      <c r="M24" s="43"/>
      <c r="N24" s="43">
        <f t="shared" ref="N24" si="34">L24-M24</f>
        <v>12137.76</v>
      </c>
      <c r="O24" s="43">
        <f t="shared" ref="O24" si="35">H24/1000*70</f>
        <v>851.9</v>
      </c>
      <c r="P24" s="42">
        <v>19000</v>
      </c>
      <c r="Q24" s="42">
        <v>56</v>
      </c>
      <c r="R24" s="42">
        <f t="shared" ref="R24" si="36">L24*Q24</f>
        <v>679714.56</v>
      </c>
    </row>
    <row r="26" spans="1:19">
      <c r="A26" s="1" t="s">
        <v>3007</v>
      </c>
      <c r="B26" s="42" t="s">
        <v>696</v>
      </c>
      <c r="C26" s="42" t="s">
        <v>353</v>
      </c>
      <c r="D26" s="42" t="s">
        <v>16</v>
      </c>
      <c r="E26" s="42" t="s">
        <v>3010</v>
      </c>
      <c r="F26" s="42">
        <v>5409</v>
      </c>
      <c r="G26" s="42"/>
      <c r="H26" s="42">
        <v>13420</v>
      </c>
      <c r="I26" s="42">
        <v>272</v>
      </c>
      <c r="J26" s="42">
        <v>0.13</v>
      </c>
      <c r="K26" s="43">
        <f t="shared" ref="K26" si="37">I26*J26</f>
        <v>35.36</v>
      </c>
      <c r="L26" s="43">
        <f t="shared" ref="L26" si="38">H26-K26</f>
        <v>13384.64</v>
      </c>
      <c r="M26" s="43"/>
      <c r="N26" s="43">
        <f t="shared" ref="N26" si="39">L26-M26</f>
        <v>13384.64</v>
      </c>
      <c r="O26" s="43">
        <f t="shared" ref="O26" si="40">H26/1000*70</f>
        <v>939.4</v>
      </c>
      <c r="P26" s="42">
        <v>21000</v>
      </c>
      <c r="Q26" s="42"/>
      <c r="R26" s="42">
        <f t="shared" ref="R26" si="41">L26*Q26</f>
        <v>0</v>
      </c>
      <c r="S26" s="42"/>
    </row>
    <row r="28" spans="1:19">
      <c r="A28" s="1" t="s">
        <v>3188</v>
      </c>
      <c r="B28" s="42" t="s">
        <v>696</v>
      </c>
      <c r="C28" s="42" t="s">
        <v>353</v>
      </c>
      <c r="D28" s="42" t="s">
        <v>16</v>
      </c>
      <c r="E28" s="42" t="s">
        <v>3189</v>
      </c>
      <c r="F28" s="42">
        <v>3034</v>
      </c>
      <c r="G28" s="42"/>
      <c r="H28" s="42">
        <v>13090</v>
      </c>
      <c r="I28" s="42">
        <v>265</v>
      </c>
      <c r="J28" s="42">
        <v>0.13</v>
      </c>
      <c r="K28" s="43">
        <f t="shared" ref="K28:K29" si="42">I28*J28</f>
        <v>34.450000000000003</v>
      </c>
      <c r="L28" s="43">
        <f t="shared" ref="L28:L29" si="43">H28-K28</f>
        <v>13055.55</v>
      </c>
      <c r="M28" s="43"/>
      <c r="N28" s="43">
        <f t="shared" ref="N28:N29" si="44">L28-M28</f>
        <v>13055.55</v>
      </c>
      <c r="O28" s="43">
        <f t="shared" ref="O28:O29" si="45">H28/1000*70</f>
        <v>916.3</v>
      </c>
      <c r="P28" s="42">
        <v>19000</v>
      </c>
      <c r="Q28" s="42">
        <v>54</v>
      </c>
      <c r="R28" s="42">
        <f t="shared" ref="R28:R29" si="46">L28*Q28</f>
        <v>704999.7</v>
      </c>
    </row>
    <row r="29" spans="1:19">
      <c r="A29" s="21" t="s">
        <v>3395</v>
      </c>
      <c r="B29" s="42" t="s">
        <v>696</v>
      </c>
      <c r="C29" s="42" t="s">
        <v>353</v>
      </c>
      <c r="D29" s="42" t="s">
        <v>16</v>
      </c>
      <c r="E29" s="47" t="s">
        <v>1670</v>
      </c>
      <c r="F29" s="47">
        <v>333</v>
      </c>
      <c r="G29" s="47"/>
      <c r="H29" s="47">
        <v>12060</v>
      </c>
      <c r="I29" s="47">
        <v>243</v>
      </c>
      <c r="J29" s="47">
        <v>0.13</v>
      </c>
      <c r="K29" s="43">
        <f t="shared" si="42"/>
        <v>31.59</v>
      </c>
      <c r="L29" s="43">
        <f t="shared" si="43"/>
        <v>12028.41</v>
      </c>
      <c r="M29" s="43"/>
      <c r="N29" s="43">
        <f t="shared" si="44"/>
        <v>12028.41</v>
      </c>
      <c r="O29" s="43">
        <f t="shared" si="45"/>
        <v>844.2</v>
      </c>
      <c r="P29" s="42">
        <v>7150</v>
      </c>
      <c r="Q29" s="42">
        <v>54</v>
      </c>
      <c r="R29" s="42">
        <f t="shared" si="46"/>
        <v>649534.14</v>
      </c>
    </row>
    <row r="31" spans="1:19">
      <c r="A31" s="21" t="s">
        <v>3468</v>
      </c>
      <c r="B31" s="42" t="s">
        <v>696</v>
      </c>
      <c r="C31" s="42" t="s">
        <v>353</v>
      </c>
      <c r="D31" s="42" t="s">
        <v>16</v>
      </c>
      <c r="E31" s="47" t="s">
        <v>3470</v>
      </c>
      <c r="F31" s="47">
        <v>0</v>
      </c>
      <c r="G31" s="47"/>
      <c r="H31" s="47">
        <v>13610</v>
      </c>
      <c r="I31" s="47">
        <v>272</v>
      </c>
      <c r="J31" s="47">
        <v>0.13</v>
      </c>
      <c r="K31" s="43">
        <f t="shared" ref="K31" si="47">I31*J31</f>
        <v>35.36</v>
      </c>
      <c r="L31" s="43">
        <f t="shared" ref="L31" si="48">H31-K31</f>
        <v>13574.64</v>
      </c>
      <c r="M31" s="43"/>
      <c r="N31" s="43">
        <f t="shared" ref="N31" si="49">L31-M31</f>
        <v>13574.64</v>
      </c>
      <c r="O31" s="43">
        <f t="shared" ref="O31" si="50">H31/1000*70</f>
        <v>952.69999999999993</v>
      </c>
      <c r="P31" s="42">
        <v>0</v>
      </c>
      <c r="Q31" s="42">
        <v>58</v>
      </c>
      <c r="R31" s="42">
        <f t="shared" ref="R31" si="51">L31*Q31</f>
        <v>787329.12</v>
      </c>
    </row>
  </sheetData>
  <pageMargins left="0.7" right="0.7" top="0.75" bottom="0.75" header="0.3" footer="0.3"/>
  <pageSetup paperSize="9" orientation="portrait" verticalDpi="0" r:id="rId1"/>
</worksheet>
</file>

<file path=xl/worksheets/sheet134.xml><?xml version="1.0" encoding="utf-8"?>
<worksheet xmlns="http://schemas.openxmlformats.org/spreadsheetml/2006/main" xmlns:r="http://schemas.openxmlformats.org/officeDocument/2006/relationships">
  <dimension ref="A5:U14"/>
  <sheetViews>
    <sheetView workbookViewId="0">
      <selection activeCell="M23" sqref="M23"/>
    </sheetView>
  </sheetViews>
  <sheetFormatPr defaultRowHeight="14.4"/>
  <cols>
    <col min="1" max="1" width="8.88671875" style="1"/>
    <col min="2" max="2" width="21.44140625" style="1" customWidth="1"/>
    <col min="3" max="3" width="8.88671875" style="1"/>
    <col min="4" max="4" width="5.5546875" style="1" customWidth="1"/>
    <col min="5" max="5" width="11.2187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128</v>
      </c>
    </row>
    <row r="6" spans="1:21">
      <c r="B6" s="2"/>
      <c r="C6" s="2"/>
      <c r="D6" s="2"/>
      <c r="E6" s="2"/>
      <c r="F6" s="2"/>
      <c r="G6" s="2"/>
      <c r="H6" s="2"/>
      <c r="I6" s="2"/>
      <c r="J6" s="2"/>
      <c r="K6" s="2"/>
      <c r="L6" s="5"/>
      <c r="M6" s="5"/>
      <c r="N6" s="2"/>
      <c r="U6" s="1">
        <v>47</v>
      </c>
    </row>
    <row r="7" spans="1:21">
      <c r="A7" s="1" t="s">
        <v>422</v>
      </c>
      <c r="B7" s="42" t="s">
        <v>424</v>
      </c>
      <c r="C7" s="42" t="s">
        <v>353</v>
      </c>
      <c r="D7" s="42" t="s">
        <v>16</v>
      </c>
      <c r="E7" s="42" t="s">
        <v>425</v>
      </c>
      <c r="F7" s="42">
        <v>996</v>
      </c>
      <c r="G7" s="42"/>
      <c r="H7" s="42">
        <v>20650</v>
      </c>
      <c r="I7" s="42">
        <v>375</v>
      </c>
      <c r="J7" s="42">
        <v>0.13</v>
      </c>
      <c r="K7" s="42">
        <f t="shared" ref="K7" si="0">I7*J7</f>
        <v>48.75</v>
      </c>
      <c r="L7" s="43">
        <f t="shared" ref="L7" si="1">H7-K7</f>
        <v>20601.25</v>
      </c>
      <c r="M7" s="43">
        <f t="shared" ref="M7" si="2">H7/1000*70</f>
        <v>1445.5</v>
      </c>
      <c r="N7" s="42">
        <v>0</v>
      </c>
      <c r="O7" s="42"/>
      <c r="P7" s="42">
        <f t="shared" ref="P7" si="3">L7*O7</f>
        <v>0</v>
      </c>
    </row>
    <row r="8" spans="1:21">
      <c r="B8" s="1" t="s">
        <v>847</v>
      </c>
    </row>
    <row r="9" spans="1:21">
      <c r="A9" s="1" t="s">
        <v>542</v>
      </c>
      <c r="B9" s="42" t="s">
        <v>545</v>
      </c>
      <c r="C9" s="42" t="s">
        <v>353</v>
      </c>
      <c r="D9" s="42" t="s">
        <v>16</v>
      </c>
      <c r="E9" s="42" t="s">
        <v>546</v>
      </c>
      <c r="F9" s="47">
        <v>297</v>
      </c>
      <c r="G9" s="47"/>
      <c r="H9" s="47">
        <v>22120</v>
      </c>
      <c r="I9" s="47">
        <v>400</v>
      </c>
      <c r="J9" s="47">
        <v>0.13</v>
      </c>
      <c r="K9" s="43">
        <f t="shared" ref="K9" si="4">I9*J9</f>
        <v>52</v>
      </c>
      <c r="L9" s="43">
        <f t="shared" ref="L9" si="5">H9-K9</f>
        <v>22068</v>
      </c>
      <c r="M9" s="43">
        <f t="shared" ref="M9" si="6">H9/1000*70</f>
        <v>1548.4</v>
      </c>
      <c r="N9" s="47">
        <v>16000</v>
      </c>
    </row>
    <row r="11" spans="1:21">
      <c r="A11" s="1" t="s">
        <v>841</v>
      </c>
      <c r="B11" s="42" t="s">
        <v>843</v>
      </c>
      <c r="C11" s="42" t="s">
        <v>353</v>
      </c>
      <c r="D11" s="42" t="s">
        <v>16</v>
      </c>
      <c r="E11" s="42" t="s">
        <v>844</v>
      </c>
      <c r="F11" s="42">
        <v>8710</v>
      </c>
      <c r="G11" s="42"/>
      <c r="H11" s="42">
        <v>20540</v>
      </c>
      <c r="I11" s="42">
        <v>363</v>
      </c>
      <c r="J11" s="42">
        <v>0.13</v>
      </c>
      <c r="K11" s="43">
        <f t="shared" ref="K11" si="7">I11*J11</f>
        <v>47.190000000000005</v>
      </c>
      <c r="L11" s="43">
        <f t="shared" ref="L11" si="8">H11-K11</f>
        <v>20492.810000000001</v>
      </c>
      <c r="M11" s="43"/>
      <c r="N11" s="43">
        <f t="shared" ref="N11" si="9">L11-M11</f>
        <v>20492.810000000001</v>
      </c>
      <c r="O11" s="43">
        <f t="shared" ref="O11" si="10">H11/1000*70</f>
        <v>1437.8</v>
      </c>
      <c r="P11" s="42">
        <v>33500</v>
      </c>
      <c r="Q11" s="42">
        <v>42.8</v>
      </c>
      <c r="R11" s="42">
        <f t="shared" ref="R11" si="11">L11*Q11</f>
        <v>877092.26800000004</v>
      </c>
    </row>
    <row r="14" spans="1:21">
      <c r="L14" s="16">
        <f>SUM(L6:L13)</f>
        <v>63162.06</v>
      </c>
    </row>
  </sheetData>
  <pageMargins left="0.7" right="0.7" top="0.75" bottom="0.75" header="0.3" footer="0.3"/>
  <pageSetup paperSize="9" orientation="portrait" verticalDpi="0" r:id="rId1"/>
</worksheet>
</file>

<file path=xl/worksheets/sheet135.xml><?xml version="1.0" encoding="utf-8"?>
<worksheet xmlns="http://schemas.openxmlformats.org/spreadsheetml/2006/main" xmlns:r="http://schemas.openxmlformats.org/officeDocument/2006/relationships">
  <dimension ref="A5:U28"/>
  <sheetViews>
    <sheetView topLeftCell="A13" workbookViewId="0">
      <selection activeCell="D31" sqref="D31"/>
    </sheetView>
  </sheetViews>
  <sheetFormatPr defaultRowHeight="14.4"/>
  <cols>
    <col min="1" max="1" width="8.88671875" style="1"/>
    <col min="2" max="2" width="21.44140625" style="1" customWidth="1"/>
    <col min="3" max="3" width="8.88671875" style="1"/>
    <col min="4" max="4" width="5.5546875" style="1" customWidth="1"/>
    <col min="5" max="5" width="11.2187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128</v>
      </c>
    </row>
    <row r="6" spans="1:21">
      <c r="B6" s="2"/>
      <c r="C6" s="2"/>
      <c r="D6" s="2"/>
      <c r="E6" s="2"/>
      <c r="F6" s="2"/>
      <c r="G6" s="2"/>
      <c r="H6" s="2"/>
      <c r="I6" s="2"/>
      <c r="J6" s="2"/>
      <c r="K6" s="2"/>
      <c r="L6" s="5"/>
      <c r="M6" s="5"/>
      <c r="N6" s="2"/>
      <c r="Q6" s="1" t="s">
        <v>896</v>
      </c>
      <c r="R6" s="1">
        <v>240</v>
      </c>
      <c r="S6" s="1">
        <v>100000</v>
      </c>
      <c r="U6" s="1">
        <v>46</v>
      </c>
    </row>
    <row r="7" spans="1:21">
      <c r="A7" s="1" t="s">
        <v>884</v>
      </c>
      <c r="B7" s="42" t="s">
        <v>864</v>
      </c>
      <c r="C7" s="42" t="s">
        <v>926</v>
      </c>
      <c r="D7" s="42" t="s">
        <v>16</v>
      </c>
      <c r="E7" s="42" t="s">
        <v>885</v>
      </c>
      <c r="F7" s="42">
        <v>2633</v>
      </c>
      <c r="G7" s="42"/>
      <c r="H7" s="42">
        <v>21000</v>
      </c>
      <c r="I7" s="42">
        <f>H7/60</f>
        <v>350</v>
      </c>
      <c r="J7" s="42">
        <v>0</v>
      </c>
      <c r="K7" s="42">
        <v>46</v>
      </c>
      <c r="L7" s="43">
        <f t="shared" ref="L7" si="0">H7-K7</f>
        <v>20954</v>
      </c>
      <c r="M7" s="43"/>
      <c r="N7" s="43">
        <f t="shared" ref="N7" si="1">L7-M7</f>
        <v>20954</v>
      </c>
      <c r="O7" s="43">
        <v>0</v>
      </c>
      <c r="P7" s="42">
        <v>0</v>
      </c>
      <c r="Q7" s="42">
        <v>46</v>
      </c>
      <c r="R7" s="42">
        <f t="shared" ref="R7" si="2">L7*Q7</f>
        <v>963884</v>
      </c>
      <c r="S7" s="108" t="s">
        <v>890</v>
      </c>
    </row>
    <row r="9" spans="1:21">
      <c r="B9" s="42"/>
      <c r="C9" s="42"/>
      <c r="D9" s="42"/>
      <c r="E9" s="42"/>
      <c r="F9" s="47"/>
      <c r="G9" s="47"/>
      <c r="H9" s="47"/>
      <c r="I9" s="47"/>
      <c r="J9" s="47"/>
      <c r="K9" s="43"/>
      <c r="L9" s="43"/>
      <c r="M9" s="43"/>
      <c r="N9" s="47"/>
    </row>
    <row r="10" spans="1:21">
      <c r="P10" s="1" t="s">
        <v>935</v>
      </c>
      <c r="Q10" s="1" t="s">
        <v>900</v>
      </c>
      <c r="R10" s="1">
        <v>256</v>
      </c>
      <c r="S10" s="1">
        <v>100000</v>
      </c>
      <c r="U10" s="17">
        <v>41</v>
      </c>
    </row>
    <row r="11" spans="1:21">
      <c r="A11" s="1" t="s">
        <v>921</v>
      </c>
      <c r="B11" s="42" t="s">
        <v>864</v>
      </c>
      <c r="C11" s="42" t="s">
        <v>353</v>
      </c>
      <c r="D11" s="42" t="s">
        <v>16</v>
      </c>
      <c r="E11" s="42" t="s">
        <v>925</v>
      </c>
      <c r="F11" s="42">
        <v>8718</v>
      </c>
      <c r="G11" s="42"/>
      <c r="H11" s="42">
        <v>20480</v>
      </c>
      <c r="I11" s="42">
        <v>390</v>
      </c>
      <c r="J11" s="42">
        <v>0.13</v>
      </c>
      <c r="K11" s="42">
        <v>51</v>
      </c>
      <c r="L11" s="43">
        <f t="shared" ref="L11" si="3">H11-K11</f>
        <v>20429</v>
      </c>
      <c r="M11" s="43"/>
      <c r="N11" s="43">
        <f t="shared" ref="N11" si="4">L11-M11</f>
        <v>20429</v>
      </c>
      <c r="O11" s="43">
        <f t="shared" ref="O11" si="5">H11/1000*70</f>
        <v>1433.6000000000001</v>
      </c>
      <c r="P11" s="42">
        <v>33000</v>
      </c>
      <c r="Q11" s="42">
        <v>41</v>
      </c>
      <c r="R11" s="42">
        <f t="shared" ref="R11" si="6">L11*Q11</f>
        <v>837589</v>
      </c>
    </row>
    <row r="14" spans="1:21">
      <c r="L14" s="16"/>
      <c r="Q14" s="1" t="s">
        <v>960</v>
      </c>
      <c r="R14" s="1">
        <v>264</v>
      </c>
      <c r="S14" s="1">
        <v>100000</v>
      </c>
      <c r="U14" s="1">
        <v>41</v>
      </c>
    </row>
    <row r="16" spans="1:21">
      <c r="A16" s="1" t="s">
        <v>990</v>
      </c>
      <c r="B16" s="42" t="s">
        <v>684</v>
      </c>
      <c r="C16" s="42" t="s">
        <v>353</v>
      </c>
      <c r="D16" s="42" t="s">
        <v>16</v>
      </c>
      <c r="E16" s="42" t="s">
        <v>994</v>
      </c>
      <c r="F16" s="42">
        <v>279</v>
      </c>
      <c r="G16" s="42"/>
      <c r="H16" s="42">
        <v>12490</v>
      </c>
      <c r="I16" s="42">
        <v>340</v>
      </c>
      <c r="J16" s="42">
        <v>0.13</v>
      </c>
      <c r="K16" s="42">
        <f t="shared" ref="K16:K17" si="7">I16*J16</f>
        <v>44.2</v>
      </c>
      <c r="L16" s="43">
        <f t="shared" ref="L16:L18" si="8">H16-K16</f>
        <v>12445.8</v>
      </c>
      <c r="M16" s="43"/>
      <c r="N16" s="43">
        <f t="shared" ref="N16:N18" si="9">L16-M16</f>
        <v>12445.8</v>
      </c>
      <c r="O16" s="43">
        <f t="shared" ref="O16:O18" si="10">H16/1000*70</f>
        <v>874.30000000000007</v>
      </c>
      <c r="P16" s="42">
        <v>31500</v>
      </c>
      <c r="Q16" s="42">
        <v>41</v>
      </c>
      <c r="R16" s="42">
        <f t="shared" ref="R16:R18" si="11">L16*Q16</f>
        <v>510277.8</v>
      </c>
    </row>
    <row r="17" spans="1:18">
      <c r="A17" s="1" t="s">
        <v>1019</v>
      </c>
      <c r="B17" s="42" t="s">
        <v>684</v>
      </c>
      <c r="C17" s="42" t="s">
        <v>353</v>
      </c>
      <c r="D17" s="42" t="s">
        <v>16</v>
      </c>
      <c r="E17" s="42" t="s">
        <v>1020</v>
      </c>
      <c r="F17" s="42">
        <v>278</v>
      </c>
      <c r="G17" s="42"/>
      <c r="H17" s="42">
        <v>12710</v>
      </c>
      <c r="I17" s="42">
        <v>225</v>
      </c>
      <c r="J17" s="42">
        <v>0.13</v>
      </c>
      <c r="K17" s="42">
        <f t="shared" si="7"/>
        <v>29.25</v>
      </c>
      <c r="L17" s="43">
        <f t="shared" si="8"/>
        <v>12680.75</v>
      </c>
      <c r="M17" s="43"/>
      <c r="N17" s="43">
        <f t="shared" si="9"/>
        <v>12680.75</v>
      </c>
      <c r="O17" s="43">
        <f t="shared" si="10"/>
        <v>889.7</v>
      </c>
      <c r="P17" s="42">
        <v>22000</v>
      </c>
      <c r="Q17" s="42">
        <v>41</v>
      </c>
      <c r="R17" s="42">
        <f t="shared" si="11"/>
        <v>519910.75</v>
      </c>
    </row>
    <row r="18" spans="1:18">
      <c r="A18" s="1" t="s">
        <v>1028</v>
      </c>
      <c r="B18" s="42" t="s">
        <v>684</v>
      </c>
      <c r="C18" s="42" t="s">
        <v>353</v>
      </c>
      <c r="D18" s="42" t="s">
        <v>16</v>
      </c>
      <c r="E18" s="42" t="s">
        <v>1029</v>
      </c>
      <c r="F18" s="42">
        <v>98</v>
      </c>
      <c r="G18" s="42"/>
      <c r="H18" s="42">
        <v>12770</v>
      </c>
      <c r="I18" s="42">
        <v>215</v>
      </c>
      <c r="J18" s="42">
        <v>0.13</v>
      </c>
      <c r="K18" s="42">
        <v>28</v>
      </c>
      <c r="L18" s="43">
        <f t="shared" si="8"/>
        <v>12742</v>
      </c>
      <c r="M18" s="43"/>
      <c r="N18" s="43">
        <f t="shared" si="9"/>
        <v>12742</v>
      </c>
      <c r="O18" s="43">
        <f t="shared" si="10"/>
        <v>893.9</v>
      </c>
      <c r="P18" s="42">
        <v>24000</v>
      </c>
      <c r="Q18" s="42">
        <v>40</v>
      </c>
      <c r="R18" s="42">
        <f t="shared" si="11"/>
        <v>509680</v>
      </c>
    </row>
    <row r="20" spans="1:18">
      <c r="A20" s="1" t="s">
        <v>1143</v>
      </c>
      <c r="B20" s="42" t="s">
        <v>684</v>
      </c>
      <c r="C20" s="42" t="s">
        <v>353</v>
      </c>
      <c r="D20" s="42" t="s">
        <v>16</v>
      </c>
      <c r="E20" s="42" t="s">
        <v>1144</v>
      </c>
      <c r="F20" s="42">
        <v>171</v>
      </c>
      <c r="G20" s="42"/>
      <c r="H20" s="42">
        <v>12730</v>
      </c>
      <c r="I20" s="42">
        <v>258</v>
      </c>
      <c r="J20" s="42">
        <v>0.13</v>
      </c>
      <c r="K20" s="42">
        <v>34</v>
      </c>
      <c r="L20" s="43">
        <f t="shared" ref="L20" si="12">H20-K20</f>
        <v>12696</v>
      </c>
      <c r="M20" s="43"/>
      <c r="N20" s="43">
        <f t="shared" ref="N20" si="13">L20-M20</f>
        <v>12696</v>
      </c>
      <c r="O20" s="43">
        <f t="shared" ref="O20" si="14">H20/1000*70</f>
        <v>891.1</v>
      </c>
      <c r="P20" s="42">
        <v>30000</v>
      </c>
      <c r="Q20" s="42">
        <v>40</v>
      </c>
      <c r="R20" s="42">
        <f t="shared" ref="R20" si="15">L20*Q20</f>
        <v>507840</v>
      </c>
    </row>
    <row r="22" spans="1:18">
      <c r="A22" s="21" t="s">
        <v>1245</v>
      </c>
      <c r="B22" s="42" t="s">
        <v>684</v>
      </c>
      <c r="C22" s="42" t="s">
        <v>353</v>
      </c>
      <c r="D22" s="42" t="s">
        <v>16</v>
      </c>
      <c r="E22" s="42" t="s">
        <v>1144</v>
      </c>
      <c r="F22" s="42">
        <v>278</v>
      </c>
      <c r="G22" s="42"/>
      <c r="H22" s="42">
        <v>12890</v>
      </c>
      <c r="I22" s="42">
        <v>296</v>
      </c>
      <c r="J22" s="42">
        <v>0.13</v>
      </c>
      <c r="K22" s="42">
        <v>39</v>
      </c>
      <c r="L22" s="43">
        <f t="shared" ref="L22" si="16">H22-K22</f>
        <v>12851</v>
      </c>
      <c r="M22" s="43"/>
      <c r="N22" s="43">
        <f t="shared" ref="N22" si="17">L22-M22</f>
        <v>12851</v>
      </c>
      <c r="O22" s="43">
        <f t="shared" ref="O22" si="18">H22/1000*70</f>
        <v>902.30000000000007</v>
      </c>
      <c r="P22" s="42">
        <v>30000</v>
      </c>
      <c r="Q22" s="67">
        <v>40</v>
      </c>
    </row>
    <row r="24" spans="1:18">
      <c r="A24" s="1" t="s">
        <v>1260</v>
      </c>
      <c r="B24" s="42" t="s">
        <v>684</v>
      </c>
      <c r="C24" s="42" t="s">
        <v>1261</v>
      </c>
      <c r="D24" s="42" t="s">
        <v>16</v>
      </c>
      <c r="E24" s="42" t="s">
        <v>323</v>
      </c>
      <c r="F24" s="42">
        <v>6333</v>
      </c>
      <c r="G24" s="42"/>
      <c r="H24" s="42">
        <v>20790</v>
      </c>
      <c r="I24" s="42">
        <v>415</v>
      </c>
      <c r="J24" s="42">
        <v>0.13</v>
      </c>
      <c r="K24" s="42">
        <v>54</v>
      </c>
      <c r="L24" s="43">
        <f t="shared" ref="L24" si="19">H24-K24</f>
        <v>20736</v>
      </c>
      <c r="M24" s="43"/>
      <c r="N24" s="43">
        <f t="shared" ref="N24" si="20">L24-M24</f>
        <v>20736</v>
      </c>
      <c r="O24" s="43">
        <f t="shared" ref="O24" si="21">H24/1000*70</f>
        <v>1455.3</v>
      </c>
      <c r="P24" s="42">
        <v>6000</v>
      </c>
      <c r="Q24" s="42">
        <v>42.5</v>
      </c>
      <c r="R24" s="42">
        <f t="shared" ref="R24" si="22">L24*Q24</f>
        <v>881280</v>
      </c>
    </row>
    <row r="26" spans="1:18">
      <c r="A26" s="1" t="s">
        <v>1699</v>
      </c>
      <c r="B26" s="42" t="s">
        <v>864</v>
      </c>
      <c r="C26" s="42" t="s">
        <v>353</v>
      </c>
      <c r="D26" s="42" t="s">
        <v>16</v>
      </c>
      <c r="E26" s="42" t="s">
        <v>1705</v>
      </c>
      <c r="F26" s="42">
        <v>278</v>
      </c>
      <c r="G26" s="42"/>
      <c r="H26" s="42">
        <v>13310</v>
      </c>
      <c r="I26" s="42">
        <v>240</v>
      </c>
      <c r="J26" s="42">
        <v>0.13</v>
      </c>
      <c r="K26" s="42">
        <f t="shared" ref="K26" si="23">I26*J26</f>
        <v>31.200000000000003</v>
      </c>
      <c r="L26" s="43">
        <f t="shared" ref="L26" si="24">H26-K26</f>
        <v>13278.8</v>
      </c>
      <c r="M26" s="43"/>
      <c r="N26" s="43">
        <f t="shared" ref="N26" si="25">L26-M26</f>
        <v>13278.8</v>
      </c>
      <c r="O26" s="43">
        <f t="shared" ref="O26" si="26">H26/1000*70</f>
        <v>931.7</v>
      </c>
      <c r="P26" s="203">
        <v>28000</v>
      </c>
      <c r="Q26" s="203">
        <v>42</v>
      </c>
      <c r="R26" s="42">
        <f t="shared" ref="R26" si="27">L26*Q26</f>
        <v>557709.6</v>
      </c>
    </row>
    <row r="28" spans="1:18">
      <c r="A28" s="1" t="s">
        <v>2484</v>
      </c>
      <c r="B28" s="42" t="s">
        <v>684</v>
      </c>
      <c r="C28" s="42" t="s">
        <v>2486</v>
      </c>
      <c r="D28" s="42" t="s">
        <v>16</v>
      </c>
      <c r="E28" s="42" t="s">
        <v>2485</v>
      </c>
      <c r="F28" s="42">
        <v>873</v>
      </c>
      <c r="G28" s="42"/>
      <c r="H28" s="42">
        <v>13390</v>
      </c>
      <c r="I28" s="42">
        <v>268</v>
      </c>
      <c r="J28" s="42">
        <v>0.13</v>
      </c>
      <c r="K28" s="43">
        <f t="shared" ref="K28" si="28">I28*J28</f>
        <v>34.840000000000003</v>
      </c>
      <c r="L28" s="43">
        <f t="shared" ref="L28" si="29">H28-K28</f>
        <v>13355.16</v>
      </c>
      <c r="M28" s="43"/>
      <c r="N28" s="43">
        <f t="shared" ref="N28" si="30">L28-M28</f>
        <v>13355.16</v>
      </c>
      <c r="O28" s="43">
        <f t="shared" ref="O28" si="31">H28/1000*70</f>
        <v>937.30000000000007</v>
      </c>
      <c r="P28" s="42">
        <v>21200</v>
      </c>
      <c r="Q28" s="42"/>
      <c r="R28" s="42">
        <f t="shared" ref="R28" si="32">L28*Q28</f>
        <v>0</v>
      </c>
    </row>
  </sheetData>
  <pageMargins left="0.7" right="0.7" top="0.75" bottom="0.75" header="0.3" footer="0.3"/>
  <pageSetup paperSize="9" orientation="portrait" verticalDpi="0" r:id="rId1"/>
</worksheet>
</file>

<file path=xl/worksheets/sheet136.xml><?xml version="1.0" encoding="utf-8"?>
<worksheet xmlns="http://schemas.openxmlformats.org/spreadsheetml/2006/main" xmlns:r="http://schemas.openxmlformats.org/officeDocument/2006/relationships">
  <dimension ref="A5:U21"/>
  <sheetViews>
    <sheetView workbookViewId="0">
      <selection activeCell="A12" sqref="A12"/>
    </sheetView>
  </sheetViews>
  <sheetFormatPr defaultRowHeight="14.4"/>
  <cols>
    <col min="1" max="1" width="8.88671875" style="1"/>
    <col min="2" max="2" width="21.44140625" style="1" customWidth="1"/>
    <col min="3" max="3" width="8.88671875" style="1"/>
    <col min="4" max="4" width="5.5546875" style="1" customWidth="1"/>
    <col min="5" max="5" width="11.2187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0.399999999999999">
      <c r="A5" s="58" t="s">
        <v>3</v>
      </c>
      <c r="B5" s="58" t="s">
        <v>4</v>
      </c>
      <c r="C5" s="58" t="s">
        <v>5</v>
      </c>
      <c r="D5" s="58" t="s">
        <v>6</v>
      </c>
      <c r="E5" s="58" t="s">
        <v>37</v>
      </c>
      <c r="F5" s="59" t="s">
        <v>7</v>
      </c>
      <c r="G5" s="58" t="s">
        <v>8</v>
      </c>
      <c r="H5" s="58" t="s">
        <v>9</v>
      </c>
      <c r="I5" s="58" t="s">
        <v>10</v>
      </c>
      <c r="J5" s="59" t="s">
        <v>18</v>
      </c>
      <c r="K5" s="59" t="s">
        <v>17</v>
      </c>
      <c r="L5" s="58" t="s">
        <v>11</v>
      </c>
      <c r="M5" s="59" t="s">
        <v>36</v>
      </c>
      <c r="N5" s="58" t="s">
        <v>12</v>
      </c>
      <c r="O5" s="58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128</v>
      </c>
    </row>
    <row r="6" spans="1:21">
      <c r="A6" s="62"/>
      <c r="B6" s="143"/>
      <c r="C6" s="143"/>
      <c r="D6" s="143"/>
      <c r="E6" s="143"/>
      <c r="F6" s="143"/>
      <c r="G6" s="143"/>
      <c r="H6" s="143"/>
      <c r="I6" s="143"/>
      <c r="J6" s="143"/>
      <c r="K6" s="143"/>
      <c r="L6" s="61"/>
      <c r="M6" s="61"/>
      <c r="N6" s="143"/>
      <c r="O6" s="62"/>
      <c r="P6" s="62"/>
      <c r="Q6" s="62"/>
      <c r="R6" s="62"/>
      <c r="S6" s="62"/>
      <c r="T6" s="62"/>
      <c r="U6" s="1">
        <v>46</v>
      </c>
    </row>
    <row r="7" spans="1:21">
      <c r="A7" s="62" t="s">
        <v>1139</v>
      </c>
      <c r="B7" s="42" t="s">
        <v>1141</v>
      </c>
      <c r="C7" s="42" t="s">
        <v>353</v>
      </c>
      <c r="D7" s="42" t="s">
        <v>16</v>
      </c>
      <c r="E7" s="42" t="s">
        <v>1142</v>
      </c>
      <c r="F7" s="42">
        <v>170</v>
      </c>
      <c r="G7" s="42"/>
      <c r="H7" s="42">
        <v>12820</v>
      </c>
      <c r="I7" s="42">
        <v>285</v>
      </c>
      <c r="J7" s="42">
        <v>0.13</v>
      </c>
      <c r="K7" s="42">
        <f t="shared" ref="K7" si="0">I7*J7</f>
        <v>37.050000000000004</v>
      </c>
      <c r="L7" s="43">
        <f t="shared" ref="L7" si="1">H7-K7</f>
        <v>12782.95</v>
      </c>
      <c r="M7" s="43"/>
      <c r="N7" s="43">
        <f t="shared" ref="N7" si="2">L7-M7</f>
        <v>12782.95</v>
      </c>
      <c r="O7" s="43">
        <f t="shared" ref="O7" si="3">H7/1000*70</f>
        <v>897.4</v>
      </c>
      <c r="P7" s="42">
        <v>28000</v>
      </c>
      <c r="Q7" s="42">
        <v>40</v>
      </c>
      <c r="R7" s="42">
        <f t="shared" ref="R7" si="4">L7*Q7</f>
        <v>511318</v>
      </c>
      <c r="S7" s="144"/>
      <c r="T7" s="62"/>
    </row>
    <row r="8" spans="1:21">
      <c r="A8" s="62"/>
      <c r="B8" s="62"/>
      <c r="C8" s="62"/>
      <c r="D8" s="62"/>
      <c r="E8" s="62"/>
      <c r="F8" s="62"/>
      <c r="G8" s="62"/>
      <c r="H8" s="62"/>
      <c r="I8" s="62"/>
      <c r="J8" s="62"/>
      <c r="K8" s="62"/>
      <c r="L8" s="62"/>
      <c r="M8" s="62"/>
      <c r="N8" s="62"/>
      <c r="O8" s="62"/>
      <c r="P8" s="62"/>
      <c r="Q8" s="62"/>
      <c r="R8" s="62"/>
      <c r="S8" s="62"/>
      <c r="T8" s="62"/>
    </row>
    <row r="9" spans="1:21">
      <c r="A9" s="62" t="s">
        <v>1150</v>
      </c>
      <c r="B9" s="42" t="s">
        <v>1141</v>
      </c>
      <c r="C9" s="42" t="s">
        <v>353</v>
      </c>
      <c r="D9" s="42" t="s">
        <v>16</v>
      </c>
      <c r="E9" s="42" t="s">
        <v>1151</v>
      </c>
      <c r="F9" s="42">
        <v>60</v>
      </c>
      <c r="G9" s="42"/>
      <c r="H9" s="42">
        <v>12600</v>
      </c>
      <c r="I9" s="42">
        <v>255</v>
      </c>
      <c r="J9" s="42">
        <v>0.13</v>
      </c>
      <c r="K9" s="42">
        <f t="shared" ref="K9" si="5">I9*J9</f>
        <v>33.15</v>
      </c>
      <c r="L9" s="43">
        <f t="shared" ref="L9" si="6">H9-K9</f>
        <v>12566.85</v>
      </c>
      <c r="M9" s="43"/>
      <c r="N9" s="43">
        <f t="shared" ref="N9" si="7">L9-M9</f>
        <v>12566.85</v>
      </c>
      <c r="O9" s="43">
        <f t="shared" ref="O9" si="8">H9/1000*70</f>
        <v>882</v>
      </c>
      <c r="P9" s="42">
        <v>14000</v>
      </c>
      <c r="Q9" s="42">
        <v>40</v>
      </c>
      <c r="R9" s="42">
        <f t="shared" ref="R9" si="9">L9*Q9</f>
        <v>502674</v>
      </c>
      <c r="S9" s="62"/>
      <c r="T9" s="62"/>
    </row>
    <row r="10" spans="1:21">
      <c r="A10" s="62"/>
      <c r="B10" s="62"/>
      <c r="C10" s="62"/>
      <c r="D10" s="62"/>
      <c r="E10" s="62"/>
      <c r="F10" s="62"/>
      <c r="G10" s="62"/>
      <c r="H10" s="62"/>
      <c r="I10" s="62"/>
      <c r="J10" s="62"/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17">
        <v>41</v>
      </c>
    </row>
    <row r="11" spans="1:21">
      <c r="A11" s="62" t="s">
        <v>1170</v>
      </c>
      <c r="B11" s="42" t="s">
        <v>1172</v>
      </c>
      <c r="C11" s="42" t="s">
        <v>353</v>
      </c>
      <c r="D11" s="42" t="s">
        <v>16</v>
      </c>
      <c r="E11" s="42" t="s">
        <v>1173</v>
      </c>
      <c r="F11" s="42">
        <v>61</v>
      </c>
      <c r="G11" s="42"/>
      <c r="H11" s="42">
        <v>12870</v>
      </c>
      <c r="I11" s="42">
        <v>218</v>
      </c>
      <c r="J11" s="42">
        <v>0.13</v>
      </c>
      <c r="K11" s="42">
        <f t="shared" ref="K11" si="10">I11*J11</f>
        <v>28.34</v>
      </c>
      <c r="L11" s="43">
        <f t="shared" ref="L11" si="11">H11-K11</f>
        <v>12841.66</v>
      </c>
      <c r="M11" s="43"/>
      <c r="N11" s="43">
        <f t="shared" ref="N11" si="12">L11-M11</f>
        <v>12841.66</v>
      </c>
      <c r="O11" s="43">
        <f t="shared" ref="O11" si="13">H11/1000*70</f>
        <v>900.9</v>
      </c>
      <c r="P11" s="42"/>
      <c r="Q11" s="42">
        <v>40</v>
      </c>
      <c r="R11" s="42">
        <f t="shared" ref="R11" si="14">L11*Q11</f>
        <v>513666.4</v>
      </c>
      <c r="S11" s="62"/>
      <c r="T11" s="62"/>
    </row>
    <row r="12" spans="1:21">
      <c r="A12" s="62"/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</row>
    <row r="13" spans="1:21">
      <c r="A13" s="62"/>
      <c r="B13" s="62"/>
      <c r="C13" s="62"/>
      <c r="D13" s="62"/>
      <c r="E13" s="62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</row>
    <row r="14" spans="1:21">
      <c r="A14" s="62"/>
      <c r="B14" s="62"/>
      <c r="C14" s="62"/>
      <c r="D14" s="62"/>
      <c r="E14" s="62"/>
      <c r="F14" s="62"/>
      <c r="G14" s="62"/>
      <c r="H14" s="62"/>
      <c r="I14" s="62"/>
      <c r="J14" s="62"/>
      <c r="K14" s="62"/>
      <c r="L14" s="66"/>
      <c r="M14" s="62"/>
      <c r="N14" s="62"/>
      <c r="O14" s="62"/>
      <c r="P14" s="62"/>
      <c r="Q14" s="62"/>
      <c r="R14" s="62"/>
      <c r="S14" s="62"/>
      <c r="T14" s="62"/>
      <c r="U14" s="1">
        <v>41</v>
      </c>
    </row>
    <row r="15" spans="1:21">
      <c r="A15" s="62"/>
      <c r="B15" s="62"/>
      <c r="C15" s="62"/>
      <c r="D15" s="62"/>
      <c r="E15" s="62"/>
      <c r="F15" s="62"/>
      <c r="G15" s="62"/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</row>
    <row r="16" spans="1:21">
      <c r="A16" s="62"/>
      <c r="B16" s="67"/>
      <c r="C16" s="67"/>
      <c r="D16" s="67"/>
      <c r="E16" s="67"/>
      <c r="F16" s="67"/>
      <c r="G16" s="67"/>
      <c r="H16" s="67"/>
      <c r="I16" s="67"/>
      <c r="J16" s="67"/>
      <c r="K16" s="67"/>
      <c r="L16" s="68"/>
      <c r="M16" s="68"/>
      <c r="N16" s="68"/>
      <c r="O16" s="68"/>
      <c r="P16" s="67"/>
      <c r="Q16" s="67"/>
      <c r="R16" s="67"/>
      <c r="S16" s="62"/>
      <c r="T16" s="62"/>
    </row>
    <row r="17" spans="1:20">
      <c r="A17" s="62"/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8"/>
      <c r="M17" s="68"/>
      <c r="N17" s="68"/>
      <c r="O17" s="68"/>
      <c r="P17" s="67"/>
      <c r="Q17" s="67"/>
      <c r="R17" s="67"/>
      <c r="S17" s="62"/>
      <c r="T17" s="62"/>
    </row>
    <row r="18" spans="1:20">
      <c r="A18" s="62"/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8"/>
      <c r="M18" s="68"/>
      <c r="N18" s="68"/>
      <c r="O18" s="68"/>
      <c r="P18" s="67"/>
      <c r="Q18" s="67"/>
      <c r="R18" s="67"/>
      <c r="S18" s="62"/>
      <c r="T18" s="62"/>
    </row>
    <row r="19" spans="1:20">
      <c r="A19" s="62"/>
      <c r="B19" s="62"/>
      <c r="C19" s="62"/>
      <c r="D19" s="62"/>
      <c r="E19" s="62"/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</row>
    <row r="20" spans="1:20">
      <c r="A20" s="62"/>
      <c r="B20" s="62"/>
      <c r="C20" s="62"/>
      <c r="D20" s="62"/>
      <c r="E20" s="62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</row>
    <row r="21" spans="1:20">
      <c r="A21" s="62"/>
      <c r="B21" s="62"/>
      <c r="C21" s="62"/>
      <c r="D21" s="62"/>
      <c r="E21" s="62"/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</row>
  </sheetData>
  <pageMargins left="0.7" right="0.7" top="0.75" bottom="0.75" header="0.3" footer="0.3"/>
  <pageSetup paperSize="9" orientation="portrait" verticalDpi="0" r:id="rId1"/>
</worksheet>
</file>

<file path=xl/worksheets/sheet137.xml><?xml version="1.0" encoding="utf-8"?>
<worksheet xmlns="http://schemas.openxmlformats.org/spreadsheetml/2006/main" xmlns:r="http://schemas.openxmlformats.org/officeDocument/2006/relationships">
  <dimension ref="A5:U18"/>
  <sheetViews>
    <sheetView workbookViewId="0">
      <selection activeCell="B14" sqref="B14"/>
    </sheetView>
  </sheetViews>
  <sheetFormatPr defaultRowHeight="14.4"/>
  <cols>
    <col min="1" max="1" width="8.88671875" style="1"/>
    <col min="2" max="2" width="21.44140625" style="1" customWidth="1"/>
    <col min="3" max="3" width="8.88671875" style="1"/>
    <col min="4" max="4" width="5.5546875" style="1" customWidth="1"/>
    <col min="5" max="5" width="11.2187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0.399999999999999">
      <c r="A5" s="58" t="s">
        <v>3</v>
      </c>
      <c r="B5" s="58" t="s">
        <v>4</v>
      </c>
      <c r="C5" s="58" t="s">
        <v>5</v>
      </c>
      <c r="D5" s="58" t="s">
        <v>6</v>
      </c>
      <c r="E5" s="58" t="s">
        <v>37</v>
      </c>
      <c r="F5" s="59" t="s">
        <v>7</v>
      </c>
      <c r="G5" s="58" t="s">
        <v>8</v>
      </c>
      <c r="H5" s="58" t="s">
        <v>9</v>
      </c>
      <c r="I5" s="58" t="s">
        <v>10</v>
      </c>
      <c r="J5" s="59" t="s">
        <v>18</v>
      </c>
      <c r="K5" s="59" t="s">
        <v>17</v>
      </c>
      <c r="L5" s="58" t="s">
        <v>11</v>
      </c>
      <c r="M5" s="59" t="s">
        <v>36</v>
      </c>
      <c r="N5" s="58" t="s">
        <v>12</v>
      </c>
      <c r="O5" s="58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128</v>
      </c>
    </row>
    <row r="6" spans="1:21">
      <c r="A6" s="62"/>
      <c r="B6" s="225"/>
      <c r="C6" s="225"/>
      <c r="D6" s="225"/>
      <c r="E6" s="225"/>
      <c r="F6" s="225"/>
      <c r="G6" s="225"/>
      <c r="H6" s="225"/>
      <c r="I6" s="225"/>
      <c r="J6" s="225"/>
      <c r="K6" s="225"/>
      <c r="L6" s="61"/>
      <c r="M6" s="61"/>
      <c r="N6" s="225"/>
      <c r="O6" s="62"/>
      <c r="P6" s="62"/>
      <c r="Q6" s="62"/>
      <c r="R6" s="62"/>
      <c r="S6" s="62"/>
      <c r="T6" s="62"/>
      <c r="U6" s="1">
        <v>46</v>
      </c>
    </row>
    <row r="7" spans="1:21">
      <c r="A7" s="62" t="s">
        <v>1831</v>
      </c>
      <c r="B7" s="42" t="s">
        <v>1835</v>
      </c>
      <c r="C7" s="42" t="s">
        <v>353</v>
      </c>
      <c r="D7" s="42" t="s">
        <v>16</v>
      </c>
      <c r="E7" s="42" t="s">
        <v>1836</v>
      </c>
      <c r="F7" s="42">
        <v>1925</v>
      </c>
      <c r="G7" s="42"/>
      <c r="H7" s="42">
        <v>13010</v>
      </c>
      <c r="I7" s="42">
        <v>260</v>
      </c>
      <c r="J7" s="42">
        <v>0.13</v>
      </c>
      <c r="K7" s="42">
        <v>34</v>
      </c>
      <c r="L7" s="43">
        <f t="shared" ref="L7" si="0">H7-K7</f>
        <v>12976</v>
      </c>
      <c r="M7" s="43"/>
      <c r="N7" s="43">
        <f t="shared" ref="N7" si="1">L7-M7</f>
        <v>12976</v>
      </c>
      <c r="O7" s="43">
        <f t="shared" ref="O7" si="2">H7/1000*70</f>
        <v>910.69999999999993</v>
      </c>
      <c r="P7" s="226">
        <v>25500</v>
      </c>
      <c r="Q7" s="226">
        <v>46.5</v>
      </c>
      <c r="R7" s="42">
        <f t="shared" ref="R7" si="3">L7*Q7</f>
        <v>603384</v>
      </c>
      <c r="S7" s="144"/>
      <c r="T7" s="62"/>
    </row>
    <row r="8" spans="1:21">
      <c r="A8" s="62"/>
      <c r="B8" s="62"/>
      <c r="C8" s="62"/>
      <c r="D8" s="62"/>
      <c r="E8" s="62"/>
      <c r="F8" s="62"/>
      <c r="G8" s="62"/>
      <c r="H8" s="62"/>
      <c r="I8" s="62"/>
      <c r="J8" s="62"/>
      <c r="K8" s="62"/>
      <c r="L8" s="62"/>
      <c r="M8" s="62"/>
      <c r="N8" s="62"/>
      <c r="O8" s="62"/>
      <c r="P8" s="62"/>
      <c r="Q8" s="62"/>
      <c r="R8" s="62"/>
      <c r="S8" s="62"/>
      <c r="T8" s="62"/>
    </row>
    <row r="9" spans="1:21">
      <c r="A9" s="62" t="s">
        <v>1904</v>
      </c>
      <c r="B9" s="42" t="s">
        <v>1835</v>
      </c>
      <c r="C9" s="42" t="s">
        <v>353</v>
      </c>
      <c r="D9" s="42" t="s">
        <v>16</v>
      </c>
      <c r="E9" s="42" t="s">
        <v>1907</v>
      </c>
      <c r="F9" s="42">
        <v>1944</v>
      </c>
      <c r="G9" s="42"/>
      <c r="H9" s="42">
        <v>13080</v>
      </c>
      <c r="I9" s="42">
        <v>262</v>
      </c>
      <c r="J9" s="42">
        <v>0.13</v>
      </c>
      <c r="K9" s="42">
        <f t="shared" ref="K9:K10" si="4">I9*J9</f>
        <v>34.06</v>
      </c>
      <c r="L9" s="43">
        <f t="shared" ref="L9:L10" si="5">H9-K9</f>
        <v>13045.94</v>
      </c>
      <c r="M9" s="43"/>
      <c r="N9" s="43">
        <f t="shared" ref="N9:N10" si="6">L9-M9</f>
        <v>13045.94</v>
      </c>
      <c r="O9" s="43">
        <f t="shared" ref="O9:O10" si="7">H9/1000*70</f>
        <v>915.6</v>
      </c>
      <c r="P9" s="42">
        <v>0</v>
      </c>
      <c r="Q9" s="42">
        <v>46.5</v>
      </c>
      <c r="R9" s="42">
        <f t="shared" ref="R9:R10" si="8">L9*Q9</f>
        <v>606636.21000000008</v>
      </c>
      <c r="S9" s="62"/>
      <c r="T9" s="62"/>
    </row>
    <row r="10" spans="1:21">
      <c r="A10" s="21" t="s">
        <v>2180</v>
      </c>
      <c r="B10" s="42" t="s">
        <v>1835</v>
      </c>
      <c r="C10" s="42" t="s">
        <v>353</v>
      </c>
      <c r="D10" s="42" t="s">
        <v>16</v>
      </c>
      <c r="E10" s="42" t="s">
        <v>2181</v>
      </c>
      <c r="F10" s="42">
        <v>246</v>
      </c>
      <c r="G10" s="42">
        <v>1397</v>
      </c>
      <c r="H10" s="42">
        <v>12970</v>
      </c>
      <c r="I10" s="42">
        <v>260</v>
      </c>
      <c r="J10" s="42">
        <v>0.13</v>
      </c>
      <c r="K10" s="43">
        <f t="shared" si="4"/>
        <v>33.800000000000004</v>
      </c>
      <c r="L10" s="43">
        <f t="shared" si="5"/>
        <v>12936.2</v>
      </c>
      <c r="M10" s="43"/>
      <c r="N10" s="43">
        <f t="shared" si="6"/>
        <v>12936.2</v>
      </c>
      <c r="O10" s="43">
        <f t="shared" si="7"/>
        <v>907.90000000000009</v>
      </c>
      <c r="P10" s="42">
        <v>30500</v>
      </c>
      <c r="Q10" s="42">
        <v>54</v>
      </c>
      <c r="R10" s="42">
        <f t="shared" si="8"/>
        <v>698554.8</v>
      </c>
      <c r="S10" s="62"/>
      <c r="T10" s="62"/>
    </row>
    <row r="11" spans="1:21">
      <c r="A11" s="62" t="s">
        <v>2231</v>
      </c>
      <c r="B11" s="42" t="s">
        <v>1835</v>
      </c>
      <c r="C11" s="42" t="s">
        <v>353</v>
      </c>
      <c r="D11" s="42" t="s">
        <v>16</v>
      </c>
      <c r="E11" s="42" t="s">
        <v>2232</v>
      </c>
      <c r="F11" s="42">
        <v>1802</v>
      </c>
      <c r="G11" s="42"/>
      <c r="H11" s="42">
        <v>13440</v>
      </c>
      <c r="I11" s="42">
        <v>262</v>
      </c>
      <c r="J11" s="42">
        <v>0.13</v>
      </c>
      <c r="K11" s="43">
        <f t="shared" ref="K11" si="9">I11*J11</f>
        <v>34.06</v>
      </c>
      <c r="L11" s="43">
        <f t="shared" ref="L11" si="10">H11-K11</f>
        <v>13405.94</v>
      </c>
      <c r="M11" s="43"/>
      <c r="N11" s="43">
        <f t="shared" ref="N11" si="11">L11-M11</f>
        <v>13405.94</v>
      </c>
      <c r="O11" s="43">
        <f t="shared" ref="O11" si="12">H11/1000*70</f>
        <v>940.8</v>
      </c>
      <c r="P11" s="42">
        <v>25000</v>
      </c>
      <c r="Q11" s="42">
        <v>54</v>
      </c>
      <c r="R11" s="42">
        <f t="shared" ref="R11" si="13">L11*Q11</f>
        <v>723920.76</v>
      </c>
      <c r="S11" s="62"/>
      <c r="T11" s="62"/>
      <c r="U11" s="1">
        <v>41</v>
      </c>
    </row>
    <row r="12" spans="1:21">
      <c r="A12" s="62"/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</row>
    <row r="13" spans="1:21">
      <c r="A13" s="62"/>
      <c r="B13" s="67"/>
      <c r="C13" s="67"/>
      <c r="D13" s="67"/>
      <c r="E13" s="67"/>
      <c r="F13" s="67"/>
      <c r="G13" s="67"/>
      <c r="H13" s="67"/>
      <c r="I13" s="67"/>
      <c r="J13" s="67"/>
      <c r="K13" s="67"/>
      <c r="L13" s="68"/>
      <c r="M13" s="68"/>
      <c r="N13" s="68"/>
      <c r="O13" s="68"/>
      <c r="P13" s="67"/>
      <c r="Q13" s="67"/>
      <c r="R13" s="67"/>
      <c r="S13" s="62"/>
      <c r="T13" s="62"/>
    </row>
    <row r="14" spans="1:21">
      <c r="A14" s="62"/>
      <c r="B14" s="67"/>
      <c r="C14" s="67"/>
      <c r="D14" s="67"/>
      <c r="E14" s="67"/>
      <c r="F14" s="67"/>
      <c r="G14" s="67"/>
      <c r="H14" s="67"/>
      <c r="I14" s="67"/>
      <c r="J14" s="67"/>
      <c r="K14" s="67"/>
      <c r="L14" s="68"/>
      <c r="M14" s="68"/>
      <c r="N14" s="68"/>
      <c r="O14" s="68"/>
      <c r="P14" s="67"/>
      <c r="Q14" s="67"/>
      <c r="R14" s="67"/>
      <c r="S14" s="62"/>
      <c r="T14" s="62"/>
    </row>
    <row r="15" spans="1:21">
      <c r="A15" s="62"/>
      <c r="B15" s="67"/>
      <c r="C15" s="67"/>
      <c r="D15" s="67"/>
      <c r="E15" s="67"/>
      <c r="F15" s="67"/>
      <c r="G15" s="67"/>
      <c r="H15" s="67"/>
      <c r="I15" s="67"/>
      <c r="J15" s="67"/>
      <c r="K15" s="67"/>
      <c r="L15" s="68"/>
      <c r="M15" s="68"/>
      <c r="N15" s="68"/>
      <c r="O15" s="68"/>
      <c r="P15" s="67"/>
      <c r="Q15" s="67"/>
      <c r="R15" s="67"/>
      <c r="S15" s="62"/>
      <c r="T15" s="62"/>
    </row>
    <row r="16" spans="1:21">
      <c r="A16" s="62"/>
      <c r="B16" s="62"/>
      <c r="C16" s="62"/>
      <c r="D16" s="62"/>
      <c r="E16" s="62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</row>
    <row r="17" spans="1:20">
      <c r="A17" s="62"/>
      <c r="B17" s="62"/>
      <c r="C17" s="62"/>
      <c r="D17" s="62"/>
      <c r="E17" s="62"/>
      <c r="F17" s="62"/>
      <c r="G17" s="62"/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</row>
    <row r="18" spans="1:20">
      <c r="A18" s="62"/>
      <c r="B18" s="62"/>
      <c r="C18" s="62"/>
      <c r="D18" s="62"/>
      <c r="E18" s="62"/>
      <c r="F18" s="62"/>
      <c r="G18" s="62"/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</row>
  </sheetData>
  <pageMargins left="0.7" right="0.7" top="0.75" bottom="0.75" header="0.3" footer="0.3"/>
  <pageSetup paperSize="9" orientation="portrait" verticalDpi="0" r:id="rId1"/>
</worksheet>
</file>

<file path=xl/worksheets/sheet138.xml><?xml version="1.0" encoding="utf-8"?>
<worksheet xmlns="http://schemas.openxmlformats.org/spreadsheetml/2006/main" xmlns:r="http://schemas.openxmlformats.org/officeDocument/2006/relationships">
  <dimension ref="A5:U12"/>
  <sheetViews>
    <sheetView workbookViewId="0">
      <selection activeCell="A9" sqref="A9:A10"/>
    </sheetView>
  </sheetViews>
  <sheetFormatPr defaultRowHeight="14.4"/>
  <cols>
    <col min="1" max="1" width="8.88671875" style="1"/>
    <col min="2" max="2" width="21.44140625" style="1" customWidth="1"/>
    <col min="3" max="3" width="8.88671875" style="1"/>
    <col min="4" max="4" width="5.5546875" style="1" customWidth="1"/>
    <col min="5" max="5" width="11.2187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0.399999999999999">
      <c r="A5" s="58" t="s">
        <v>3</v>
      </c>
      <c r="B5" s="58" t="s">
        <v>4</v>
      </c>
      <c r="C5" s="58" t="s">
        <v>5</v>
      </c>
      <c r="D5" s="58" t="s">
        <v>6</v>
      </c>
      <c r="E5" s="58" t="s">
        <v>37</v>
      </c>
      <c r="F5" s="59" t="s">
        <v>7</v>
      </c>
      <c r="G5" s="58" t="s">
        <v>8</v>
      </c>
      <c r="H5" s="58" t="s">
        <v>9</v>
      </c>
      <c r="I5" s="58" t="s">
        <v>10</v>
      </c>
      <c r="J5" s="59" t="s">
        <v>18</v>
      </c>
      <c r="K5" s="59" t="s">
        <v>17</v>
      </c>
      <c r="L5" s="58" t="s">
        <v>11</v>
      </c>
      <c r="M5" s="59" t="s">
        <v>36</v>
      </c>
      <c r="N5" s="58" t="s">
        <v>12</v>
      </c>
      <c r="O5" s="58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128</v>
      </c>
    </row>
    <row r="6" spans="1:21">
      <c r="A6" s="62"/>
      <c r="B6" s="255"/>
      <c r="C6" s="255"/>
      <c r="D6" s="255"/>
      <c r="E6" s="255"/>
      <c r="F6" s="255"/>
      <c r="G6" s="255"/>
      <c r="H6" s="255"/>
      <c r="I6" s="255"/>
      <c r="J6" s="255"/>
      <c r="K6" s="255"/>
      <c r="L6" s="61"/>
      <c r="M6" s="61"/>
      <c r="N6" s="255"/>
      <c r="O6" s="62"/>
      <c r="P6" s="62"/>
      <c r="Q6" s="62"/>
      <c r="R6" s="62"/>
      <c r="S6" s="62"/>
      <c r="T6" s="62"/>
      <c r="U6" s="1">
        <v>46</v>
      </c>
    </row>
    <row r="7" spans="1:21">
      <c r="A7" s="62" t="s">
        <v>2245</v>
      </c>
      <c r="B7" s="42" t="s">
        <v>1819</v>
      </c>
      <c r="C7" s="42" t="s">
        <v>353</v>
      </c>
      <c r="D7" s="42" t="s">
        <v>16</v>
      </c>
      <c r="E7" s="42" t="s">
        <v>2246</v>
      </c>
      <c r="F7" s="42">
        <v>22065</v>
      </c>
      <c r="G7" s="42"/>
      <c r="H7" s="42">
        <v>12750</v>
      </c>
      <c r="I7" s="42">
        <v>235</v>
      </c>
      <c r="J7" s="42">
        <v>0.13</v>
      </c>
      <c r="K7" s="43">
        <f t="shared" ref="K7" si="0">I7*J7</f>
        <v>30.55</v>
      </c>
      <c r="L7" s="43">
        <f t="shared" ref="L7" si="1">H7-K7</f>
        <v>12719.45</v>
      </c>
      <c r="M7" s="43"/>
      <c r="N7" s="43">
        <f t="shared" ref="N7" si="2">L7-M7</f>
        <v>12719.45</v>
      </c>
      <c r="O7" s="43">
        <f t="shared" ref="O7" si="3">H7/1000*70</f>
        <v>892.5</v>
      </c>
      <c r="P7" s="42">
        <v>10000</v>
      </c>
      <c r="Q7" s="42">
        <v>62</v>
      </c>
      <c r="R7" s="42">
        <f t="shared" ref="R7" si="4">L7*Q7</f>
        <v>788605.9</v>
      </c>
      <c r="S7" s="42"/>
      <c r="T7" s="62"/>
    </row>
    <row r="8" spans="1:21">
      <c r="A8" s="62"/>
      <c r="B8" s="67"/>
      <c r="C8" s="67"/>
      <c r="D8" s="67"/>
      <c r="E8" s="67"/>
      <c r="F8" s="67"/>
      <c r="G8" s="67"/>
      <c r="H8" s="67"/>
      <c r="I8" s="67"/>
      <c r="J8" s="67"/>
      <c r="K8" s="67"/>
      <c r="L8" s="68"/>
      <c r="M8" s="68"/>
      <c r="N8" s="68"/>
      <c r="O8" s="68"/>
      <c r="P8" s="67"/>
      <c r="Q8" s="67"/>
      <c r="R8" s="67"/>
      <c r="S8" s="62"/>
      <c r="T8" s="62"/>
    </row>
    <row r="9" spans="1:21">
      <c r="A9" s="374" t="s">
        <v>2363</v>
      </c>
      <c r="B9" s="42" t="s">
        <v>1819</v>
      </c>
      <c r="C9" s="42" t="s">
        <v>353</v>
      </c>
      <c r="D9" s="42" t="s">
        <v>16</v>
      </c>
      <c r="E9" s="42" t="s">
        <v>2364</v>
      </c>
      <c r="F9" s="42">
        <v>4096</v>
      </c>
      <c r="G9" s="42"/>
      <c r="H9" s="42">
        <v>15050</v>
      </c>
      <c r="I9" s="42">
        <v>250</v>
      </c>
      <c r="J9" s="42">
        <v>0.13</v>
      </c>
      <c r="K9" s="43">
        <f t="shared" ref="K9:K10" si="5">I9*J9</f>
        <v>32.5</v>
      </c>
      <c r="L9" s="43">
        <f t="shared" ref="L9:L10" si="6">H9-K9</f>
        <v>15017.5</v>
      </c>
      <c r="M9" s="43"/>
      <c r="N9" s="43">
        <f t="shared" ref="N9:N10" si="7">L9-M9</f>
        <v>15017.5</v>
      </c>
      <c r="O9" s="43">
        <f t="shared" ref="O9:O10" si="8">H9/1000*70</f>
        <v>1053.5</v>
      </c>
      <c r="P9" s="42">
        <v>18000</v>
      </c>
      <c r="Q9" s="42">
        <v>61</v>
      </c>
      <c r="R9" s="42">
        <f t="shared" ref="R9:R10" si="9">L9*Q9</f>
        <v>916067.5</v>
      </c>
      <c r="S9" s="62"/>
      <c r="T9" s="62"/>
    </row>
    <row r="10" spans="1:21">
      <c r="A10" s="374"/>
      <c r="B10" s="42" t="s">
        <v>1819</v>
      </c>
      <c r="C10" s="42" t="s">
        <v>353</v>
      </c>
      <c r="D10" s="42" t="s">
        <v>16</v>
      </c>
      <c r="E10" s="42" t="s">
        <v>2365</v>
      </c>
      <c r="F10" s="42">
        <v>4097</v>
      </c>
      <c r="G10" s="42"/>
      <c r="H10" s="42">
        <v>15060</v>
      </c>
      <c r="I10" s="42">
        <v>250</v>
      </c>
      <c r="J10" s="42">
        <v>0.13</v>
      </c>
      <c r="K10" s="43">
        <f t="shared" si="5"/>
        <v>32.5</v>
      </c>
      <c r="L10" s="43">
        <f t="shared" si="6"/>
        <v>15027.5</v>
      </c>
      <c r="M10" s="43"/>
      <c r="N10" s="43">
        <f t="shared" si="7"/>
        <v>15027.5</v>
      </c>
      <c r="O10" s="43">
        <f t="shared" si="8"/>
        <v>1054.2</v>
      </c>
      <c r="P10" s="42">
        <v>18000</v>
      </c>
      <c r="Q10" s="42">
        <v>61</v>
      </c>
      <c r="R10" s="42">
        <f t="shared" si="9"/>
        <v>916677.5</v>
      </c>
      <c r="S10" s="62"/>
      <c r="T10" s="62"/>
    </row>
    <row r="11" spans="1:21">
      <c r="A11" s="62"/>
      <c r="B11" s="62"/>
      <c r="C11" s="62"/>
      <c r="D11" s="62"/>
      <c r="E11" s="62"/>
      <c r="F11" s="62"/>
      <c r="G11" s="62"/>
      <c r="H11" s="62"/>
      <c r="I11" s="62"/>
      <c r="J11" s="62"/>
      <c r="K11" s="62"/>
      <c r="L11" s="62"/>
      <c r="M11" s="62"/>
      <c r="N11" s="62"/>
      <c r="O11" s="62"/>
      <c r="P11" s="62"/>
      <c r="Q11" s="62"/>
      <c r="R11" s="62"/>
      <c r="S11" s="62"/>
      <c r="T11" s="62"/>
    </row>
    <row r="12" spans="1:21">
      <c r="A12" s="62"/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</row>
  </sheetData>
  <mergeCells count="1">
    <mergeCell ref="A9:A10"/>
  </mergeCells>
  <pageMargins left="0.7" right="0.7" top="0.75" bottom="0.75" header="0.3" footer="0.3"/>
  <pageSetup paperSize="9" orientation="portrait" verticalDpi="0" r:id="rId1"/>
</worksheet>
</file>

<file path=xl/worksheets/sheet139.xml><?xml version="1.0" encoding="utf-8"?>
<worksheet xmlns="http://schemas.openxmlformats.org/spreadsheetml/2006/main" xmlns:r="http://schemas.openxmlformats.org/officeDocument/2006/relationships">
  <dimension ref="A5:U12"/>
  <sheetViews>
    <sheetView workbookViewId="0">
      <selection activeCell="A9" sqref="A9"/>
    </sheetView>
  </sheetViews>
  <sheetFormatPr defaultRowHeight="14.4"/>
  <cols>
    <col min="1" max="1" width="8.88671875" style="1"/>
    <col min="2" max="2" width="21.44140625" style="1" customWidth="1"/>
    <col min="3" max="3" width="8.88671875" style="1"/>
    <col min="4" max="4" width="5.5546875" style="1" customWidth="1"/>
    <col min="5" max="5" width="11.2187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0.399999999999999">
      <c r="A5" s="58" t="s">
        <v>3</v>
      </c>
      <c r="B5" s="58" t="s">
        <v>4</v>
      </c>
      <c r="C5" s="58" t="s">
        <v>5</v>
      </c>
      <c r="D5" s="58" t="s">
        <v>6</v>
      </c>
      <c r="E5" s="58" t="s">
        <v>37</v>
      </c>
      <c r="F5" s="59" t="s">
        <v>7</v>
      </c>
      <c r="G5" s="58" t="s">
        <v>8</v>
      </c>
      <c r="H5" s="58" t="s">
        <v>9</v>
      </c>
      <c r="I5" s="58" t="s">
        <v>10</v>
      </c>
      <c r="J5" s="59" t="s">
        <v>18</v>
      </c>
      <c r="K5" s="59" t="s">
        <v>17</v>
      </c>
      <c r="L5" s="58" t="s">
        <v>11</v>
      </c>
      <c r="M5" s="59" t="s">
        <v>36</v>
      </c>
      <c r="N5" s="58" t="s">
        <v>12</v>
      </c>
      <c r="O5" s="58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128</v>
      </c>
    </row>
    <row r="6" spans="1:21">
      <c r="A6" s="62"/>
      <c r="B6" s="259"/>
      <c r="C6" s="259"/>
      <c r="D6" s="259"/>
      <c r="E6" s="259"/>
      <c r="F6" s="259"/>
      <c r="G6" s="259"/>
      <c r="H6" s="259"/>
      <c r="I6" s="259"/>
      <c r="J6" s="259"/>
      <c r="K6" s="259"/>
      <c r="L6" s="61"/>
      <c r="M6" s="61"/>
      <c r="N6" s="259"/>
      <c r="O6" s="62"/>
      <c r="P6" s="62"/>
      <c r="Q6" s="62"/>
      <c r="R6" s="62"/>
      <c r="S6" s="62"/>
      <c r="T6" s="62"/>
      <c r="U6" s="1">
        <v>46</v>
      </c>
    </row>
    <row r="7" spans="1:21">
      <c r="A7" s="62"/>
      <c r="B7" s="67"/>
      <c r="C7" s="67"/>
      <c r="D7" s="67"/>
      <c r="E7" s="67"/>
      <c r="F7" s="67"/>
      <c r="G7" s="67"/>
      <c r="H7" s="67"/>
      <c r="I7" s="67"/>
      <c r="J7" s="67"/>
      <c r="K7" s="67"/>
      <c r="L7" s="68"/>
      <c r="M7" s="68"/>
      <c r="N7" s="68"/>
      <c r="O7" s="68"/>
      <c r="P7" s="67"/>
      <c r="Q7" s="67"/>
      <c r="R7" s="67"/>
      <c r="S7" s="62"/>
      <c r="T7" s="62"/>
    </row>
    <row r="8" spans="1:21">
      <c r="A8" s="62" t="s">
        <v>2360</v>
      </c>
      <c r="B8" s="42" t="s">
        <v>2361</v>
      </c>
      <c r="C8" s="42" t="s">
        <v>353</v>
      </c>
      <c r="D8" s="42" t="s">
        <v>16</v>
      </c>
      <c r="E8" s="42" t="s">
        <v>2362</v>
      </c>
      <c r="F8" s="42">
        <v>1094</v>
      </c>
      <c r="G8" s="42"/>
      <c r="H8" s="42">
        <v>13330</v>
      </c>
      <c r="I8" s="42">
        <v>260</v>
      </c>
      <c r="J8" s="42">
        <v>0.13</v>
      </c>
      <c r="K8" s="43">
        <f t="shared" ref="K8" si="0">I8*J8</f>
        <v>33.800000000000004</v>
      </c>
      <c r="L8" s="43">
        <f t="shared" ref="L8" si="1">H8-K8</f>
        <v>13296.2</v>
      </c>
      <c r="M8" s="43"/>
      <c r="N8" s="43">
        <f t="shared" ref="N8" si="2">L8-M8</f>
        <v>13296.2</v>
      </c>
      <c r="O8" s="43">
        <f t="shared" ref="O8" si="3">H8/1000*70</f>
        <v>933.1</v>
      </c>
      <c r="P8" s="42">
        <v>25000</v>
      </c>
      <c r="Q8" s="42">
        <v>60</v>
      </c>
      <c r="R8" s="42">
        <f t="shared" ref="R8" si="4">L8*Q8</f>
        <v>797772</v>
      </c>
      <c r="S8" s="42"/>
      <c r="T8" s="62"/>
    </row>
    <row r="9" spans="1:21">
      <c r="A9" s="62"/>
      <c r="B9" s="67"/>
      <c r="C9" s="67"/>
      <c r="D9" s="67"/>
      <c r="E9" s="67"/>
      <c r="F9" s="67"/>
      <c r="G9" s="67"/>
      <c r="H9" s="67"/>
      <c r="I9" s="67"/>
      <c r="J9" s="67"/>
      <c r="K9" s="67"/>
      <c r="L9" s="68"/>
      <c r="M9" s="68"/>
      <c r="N9" s="68"/>
      <c r="O9" s="68"/>
      <c r="P9" s="67"/>
      <c r="Q9" s="67"/>
      <c r="R9" s="67"/>
      <c r="S9" s="62"/>
      <c r="T9" s="62"/>
    </row>
    <row r="10" spans="1:21">
      <c r="A10" s="62"/>
      <c r="B10" s="62"/>
      <c r="C10" s="62"/>
      <c r="D10" s="62"/>
      <c r="E10" s="62"/>
      <c r="F10" s="62"/>
      <c r="G10" s="62"/>
      <c r="H10" s="62"/>
      <c r="I10" s="62"/>
      <c r="J10" s="62"/>
      <c r="K10" s="62"/>
      <c r="L10" s="62"/>
      <c r="M10" s="62"/>
      <c r="N10" s="62"/>
      <c r="O10" s="62"/>
      <c r="P10" s="62"/>
      <c r="Q10" s="62"/>
      <c r="R10" s="62"/>
      <c r="S10" s="62"/>
      <c r="T10" s="62"/>
    </row>
    <row r="11" spans="1:21">
      <c r="A11" s="62"/>
      <c r="B11" s="62"/>
      <c r="C11" s="62"/>
      <c r="D11" s="62"/>
      <c r="E11" s="62"/>
      <c r="F11" s="62"/>
      <c r="G11" s="62"/>
      <c r="H11" s="62"/>
      <c r="I11" s="62"/>
      <c r="J11" s="62"/>
      <c r="K11" s="62"/>
      <c r="L11" s="62"/>
      <c r="M11" s="62"/>
      <c r="N11" s="62"/>
      <c r="O11" s="62"/>
      <c r="P11" s="62"/>
      <c r="Q11" s="62"/>
      <c r="R11" s="62"/>
      <c r="S11" s="62"/>
      <c r="T11" s="62"/>
    </row>
    <row r="12" spans="1:21">
      <c r="A12" s="62"/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</row>
  </sheetData>
  <pageMargins left="0.7" right="0.7" top="0.75" bottom="0.75" header="0.3" footer="0.3"/>
  <pageSetup paperSize="9" orientation="portrait" verticalDpi="0" r:id="rId1"/>
</worksheet>
</file>

<file path=xl/worksheets/sheet140.xml><?xml version="1.0" encoding="utf-8"?>
<worksheet xmlns="http://schemas.openxmlformats.org/spreadsheetml/2006/main" xmlns:r="http://schemas.openxmlformats.org/officeDocument/2006/relationships">
  <dimension ref="A5:U17"/>
  <sheetViews>
    <sheetView workbookViewId="0">
      <selection activeCell="B18" sqref="B18"/>
    </sheetView>
  </sheetViews>
  <sheetFormatPr defaultRowHeight="14.4"/>
  <cols>
    <col min="1" max="1" width="8.88671875" style="1"/>
    <col min="2" max="2" width="21.44140625" style="1" customWidth="1"/>
    <col min="3" max="3" width="8.88671875" style="1"/>
    <col min="4" max="4" width="5.5546875" style="1" customWidth="1"/>
    <col min="5" max="5" width="11.2187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128</v>
      </c>
    </row>
    <row r="6" spans="1:21">
      <c r="B6" s="101"/>
      <c r="C6" s="101"/>
      <c r="D6" s="101"/>
      <c r="E6" s="101"/>
      <c r="F6" s="101"/>
      <c r="G6" s="101"/>
      <c r="H6" s="101"/>
      <c r="I6" s="101"/>
      <c r="J6" s="101"/>
      <c r="K6" s="101"/>
      <c r="L6" s="102"/>
      <c r="M6" s="102"/>
      <c r="N6" s="101"/>
      <c r="U6" s="1">
        <v>47</v>
      </c>
    </row>
    <row r="7" spans="1:21">
      <c r="A7" s="62" t="s">
        <v>753</v>
      </c>
      <c r="B7" s="42" t="s">
        <v>618</v>
      </c>
      <c r="C7" s="42" t="s">
        <v>754</v>
      </c>
      <c r="D7" s="42" t="s">
        <v>16</v>
      </c>
      <c r="E7" s="92" t="s">
        <v>755</v>
      </c>
      <c r="F7" s="42">
        <v>2373</v>
      </c>
      <c r="G7" s="42"/>
      <c r="H7" s="42">
        <v>20530</v>
      </c>
      <c r="I7" s="42">
        <v>400</v>
      </c>
      <c r="J7" s="42">
        <v>0.13</v>
      </c>
      <c r="K7" s="42">
        <f t="shared" ref="K7" si="0">I7*J7</f>
        <v>52</v>
      </c>
      <c r="L7" s="43">
        <f t="shared" ref="L7" si="1">H7-K7</f>
        <v>20478</v>
      </c>
      <c r="M7" s="43"/>
      <c r="N7" s="43">
        <f t="shared" ref="N7" si="2">L7-M7</f>
        <v>20478</v>
      </c>
      <c r="O7" s="43">
        <f t="shared" ref="O7" si="3">H7/1000*70</f>
        <v>1437.1000000000001</v>
      </c>
      <c r="P7" s="42">
        <v>0</v>
      </c>
      <c r="Q7" s="42"/>
      <c r="R7" s="42">
        <f t="shared" ref="R7" si="4">L7*Q7</f>
        <v>0</v>
      </c>
    </row>
    <row r="8" spans="1:21">
      <c r="A8" s="62"/>
      <c r="B8" s="62"/>
      <c r="C8" s="62"/>
      <c r="D8" s="62"/>
      <c r="E8" s="62"/>
      <c r="F8" s="62"/>
      <c r="G8" s="62"/>
      <c r="H8" s="62"/>
      <c r="I8" s="62"/>
      <c r="J8" s="62"/>
      <c r="K8" s="62"/>
      <c r="L8" s="62"/>
      <c r="M8" s="62"/>
      <c r="N8" s="62"/>
      <c r="O8" s="62"/>
      <c r="P8" s="62"/>
    </row>
    <row r="9" spans="1:21">
      <c r="A9" s="62"/>
      <c r="B9" s="67"/>
      <c r="C9" s="67"/>
      <c r="D9" s="67"/>
      <c r="E9" s="67"/>
      <c r="F9" s="98"/>
      <c r="G9" s="98"/>
      <c r="H9" s="98"/>
      <c r="I9" s="98"/>
      <c r="J9" s="98"/>
      <c r="K9" s="68"/>
      <c r="L9" s="68"/>
      <c r="M9" s="68"/>
      <c r="N9" s="98"/>
      <c r="O9" s="62"/>
      <c r="P9" s="62"/>
    </row>
    <row r="10" spans="1:21">
      <c r="A10" s="62"/>
      <c r="B10" s="62"/>
      <c r="C10" s="62"/>
      <c r="D10" s="62"/>
      <c r="E10" s="62"/>
      <c r="F10" s="62"/>
      <c r="G10" s="62"/>
      <c r="H10" s="62"/>
      <c r="I10" s="62"/>
      <c r="J10" s="62"/>
      <c r="K10" s="62"/>
      <c r="L10" s="62"/>
      <c r="M10" s="62"/>
      <c r="N10" s="62"/>
      <c r="O10" s="62"/>
      <c r="P10" s="62"/>
    </row>
    <row r="11" spans="1:21">
      <c r="A11" s="62"/>
      <c r="B11" s="62"/>
      <c r="C11" s="62"/>
      <c r="D11" s="62"/>
      <c r="E11" s="62"/>
      <c r="F11" s="62"/>
      <c r="G11" s="62"/>
      <c r="H11" s="62"/>
      <c r="I11" s="62"/>
      <c r="J11" s="62"/>
      <c r="K11" s="62"/>
      <c r="L11" s="62"/>
      <c r="M11" s="62"/>
      <c r="N11" s="62"/>
      <c r="O11" s="62"/>
      <c r="P11" s="62"/>
    </row>
    <row r="12" spans="1:21">
      <c r="A12" s="62"/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</row>
    <row r="13" spans="1:21">
      <c r="A13" s="62"/>
      <c r="B13" s="62"/>
      <c r="C13" s="62"/>
      <c r="D13" s="62"/>
      <c r="E13" s="62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</row>
    <row r="14" spans="1:21">
      <c r="A14" s="62"/>
      <c r="B14" s="62"/>
      <c r="C14" s="62"/>
      <c r="D14" s="62"/>
      <c r="E14" s="62"/>
      <c r="F14" s="62"/>
      <c r="G14" s="62"/>
      <c r="H14" s="62"/>
      <c r="I14" s="62"/>
      <c r="J14" s="62"/>
      <c r="K14" s="62"/>
      <c r="L14" s="66"/>
      <c r="M14" s="62"/>
      <c r="N14" s="62"/>
      <c r="O14" s="62"/>
      <c r="P14" s="62"/>
    </row>
    <row r="15" spans="1:21">
      <c r="A15" s="62"/>
      <c r="B15" s="62"/>
      <c r="C15" s="62"/>
      <c r="D15" s="62"/>
      <c r="E15" s="62"/>
      <c r="F15" s="62"/>
      <c r="G15" s="62"/>
      <c r="H15" s="62"/>
      <c r="I15" s="62"/>
      <c r="J15" s="62"/>
      <c r="K15" s="62"/>
      <c r="L15" s="62"/>
      <c r="M15" s="62"/>
      <c r="N15" s="62"/>
      <c r="O15" s="62"/>
      <c r="P15" s="62"/>
    </row>
    <row r="16" spans="1:21">
      <c r="A16" s="62"/>
      <c r="B16" s="62"/>
      <c r="C16" s="62"/>
      <c r="D16" s="62"/>
      <c r="E16" s="62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</row>
    <row r="17" spans="1:16">
      <c r="A17" s="62"/>
      <c r="B17" s="62"/>
      <c r="C17" s="62"/>
      <c r="D17" s="62"/>
      <c r="E17" s="62"/>
      <c r="F17" s="62"/>
      <c r="G17" s="62"/>
      <c r="H17" s="62"/>
      <c r="I17" s="62"/>
      <c r="J17" s="62"/>
      <c r="K17" s="62"/>
      <c r="L17" s="62"/>
      <c r="M17" s="62"/>
      <c r="N17" s="62"/>
      <c r="O17" s="62"/>
      <c r="P17" s="62"/>
    </row>
  </sheetData>
  <pageMargins left="0.7" right="0.7" top="0.75" bottom="0.75" header="0.3" footer="0.3"/>
  <pageSetup paperSize="9" orientation="portrait" verticalDpi="0" r:id="rId1"/>
</worksheet>
</file>

<file path=xl/worksheets/sheet141.xml><?xml version="1.0" encoding="utf-8"?>
<worksheet xmlns="http://schemas.openxmlformats.org/spreadsheetml/2006/main" xmlns:r="http://schemas.openxmlformats.org/officeDocument/2006/relationships">
  <dimension ref="A5:V17"/>
  <sheetViews>
    <sheetView workbookViewId="0">
      <selection activeCell="L7" sqref="L7"/>
    </sheetView>
  </sheetViews>
  <sheetFormatPr defaultRowHeight="14.4"/>
  <cols>
    <col min="1" max="1" width="8.88671875" style="1"/>
    <col min="2" max="2" width="21.44140625" style="1" customWidth="1"/>
    <col min="3" max="3" width="8.88671875" style="1"/>
    <col min="4" max="4" width="5.5546875" style="1" customWidth="1"/>
    <col min="5" max="5" width="11.2187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2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128</v>
      </c>
    </row>
    <row r="6" spans="1:22">
      <c r="B6" s="106"/>
      <c r="C6" s="106"/>
      <c r="D6" s="106"/>
      <c r="E6" s="106"/>
      <c r="F6" s="106"/>
      <c r="G6" s="106"/>
      <c r="H6" s="106"/>
      <c r="I6" s="106"/>
      <c r="J6" s="106"/>
      <c r="K6" s="106"/>
      <c r="L6" s="102"/>
      <c r="M6" s="102"/>
      <c r="N6" s="106"/>
      <c r="P6" s="1" t="s">
        <v>935</v>
      </c>
      <c r="Q6" s="1" t="s">
        <v>863</v>
      </c>
      <c r="R6" s="1">
        <v>241</v>
      </c>
      <c r="S6" s="1">
        <v>50000</v>
      </c>
      <c r="U6" s="17">
        <v>53.5</v>
      </c>
      <c r="V6" s="1" t="s">
        <v>936</v>
      </c>
    </row>
    <row r="7" spans="1:22">
      <c r="A7" s="62" t="s">
        <v>877</v>
      </c>
      <c r="B7" s="42" t="s">
        <v>864</v>
      </c>
      <c r="C7" s="42" t="s">
        <v>754</v>
      </c>
      <c r="D7" s="42" t="s">
        <v>16</v>
      </c>
      <c r="E7" s="42" t="s">
        <v>880</v>
      </c>
      <c r="F7" s="42">
        <v>207329</v>
      </c>
      <c r="G7" s="42"/>
      <c r="H7" s="42">
        <v>20060</v>
      </c>
      <c r="I7" s="42">
        <v>410</v>
      </c>
      <c r="J7" s="42">
        <v>0.13</v>
      </c>
      <c r="K7" s="42">
        <f t="shared" ref="K7" si="0">I7*J7</f>
        <v>53.300000000000004</v>
      </c>
      <c r="L7" s="43">
        <f t="shared" ref="L7" si="1">H7-K7</f>
        <v>20006.7</v>
      </c>
      <c r="M7" s="43"/>
      <c r="N7" s="43">
        <f t="shared" ref="N7" si="2">L7-M7</f>
        <v>20006.7</v>
      </c>
      <c r="O7" s="43">
        <f t="shared" ref="O7" si="3">H7/1000*70</f>
        <v>1404.1999999999998</v>
      </c>
      <c r="P7" s="42">
        <v>0</v>
      </c>
      <c r="Q7" s="42">
        <v>53</v>
      </c>
      <c r="R7" s="42">
        <f t="shared" ref="R7" si="4">L7*Q7</f>
        <v>1060355.1000000001</v>
      </c>
    </row>
    <row r="8" spans="1:22">
      <c r="A8" s="62"/>
      <c r="B8" s="62"/>
      <c r="C8" s="62"/>
      <c r="D8" s="62"/>
      <c r="E8" s="62"/>
      <c r="F8" s="62"/>
      <c r="G8" s="62"/>
      <c r="H8" s="62"/>
      <c r="I8" s="62"/>
      <c r="J8" s="62"/>
      <c r="K8" s="62"/>
      <c r="L8" s="62"/>
      <c r="M8" s="62"/>
      <c r="N8" s="62"/>
      <c r="O8" s="62"/>
      <c r="P8" s="62"/>
    </row>
    <row r="9" spans="1:22">
      <c r="A9" s="62"/>
      <c r="B9" s="67"/>
      <c r="C9" s="67"/>
      <c r="D9" s="67"/>
      <c r="E9" s="67"/>
      <c r="F9" s="98"/>
      <c r="G9" s="98"/>
      <c r="H9" s="98"/>
      <c r="I9" s="98"/>
      <c r="J9" s="98"/>
      <c r="K9" s="68"/>
      <c r="L9" s="68"/>
      <c r="M9" s="68"/>
      <c r="N9" s="98"/>
      <c r="O9" s="62"/>
      <c r="P9" s="62"/>
    </row>
    <row r="10" spans="1:22">
      <c r="A10" s="62"/>
      <c r="B10" s="62"/>
      <c r="C10" s="62"/>
      <c r="D10" s="62"/>
      <c r="E10" s="62"/>
      <c r="F10" s="62"/>
      <c r="G10" s="62"/>
      <c r="H10" s="62"/>
      <c r="I10" s="62"/>
      <c r="J10" s="62"/>
      <c r="K10" s="62"/>
      <c r="L10" s="62"/>
      <c r="M10" s="62"/>
      <c r="N10" s="62"/>
      <c r="O10" s="62"/>
      <c r="P10" s="62"/>
    </row>
    <row r="11" spans="1:22">
      <c r="A11" s="62"/>
      <c r="B11" s="62"/>
      <c r="C11" s="62"/>
      <c r="D11" s="62"/>
      <c r="E11" s="62"/>
      <c r="F11" s="62"/>
      <c r="G11" s="62"/>
      <c r="H11" s="62"/>
      <c r="I11" s="62"/>
      <c r="J11" s="62"/>
      <c r="K11" s="62"/>
      <c r="L11" s="62"/>
      <c r="M11" s="62"/>
      <c r="N11" s="62"/>
      <c r="O11" s="62"/>
      <c r="P11" s="62"/>
    </row>
    <row r="12" spans="1:22">
      <c r="A12" s="62"/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</row>
    <row r="13" spans="1:22">
      <c r="A13" s="62"/>
      <c r="B13" s="62"/>
      <c r="C13" s="62"/>
      <c r="D13" s="62"/>
      <c r="E13" s="62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</row>
    <row r="14" spans="1:22">
      <c r="A14" s="62"/>
      <c r="B14" s="62"/>
      <c r="C14" s="62"/>
      <c r="D14" s="62"/>
      <c r="E14" s="62"/>
      <c r="F14" s="62"/>
      <c r="G14" s="62"/>
      <c r="H14" s="62"/>
      <c r="I14" s="62"/>
      <c r="J14" s="62"/>
      <c r="K14" s="62"/>
      <c r="L14" s="66"/>
      <c r="M14" s="62"/>
      <c r="N14" s="62"/>
      <c r="O14" s="62"/>
      <c r="P14" s="62"/>
    </row>
    <row r="15" spans="1:22">
      <c r="A15" s="62"/>
      <c r="B15" s="62"/>
      <c r="C15" s="62"/>
      <c r="D15" s="62"/>
      <c r="E15" s="62"/>
      <c r="F15" s="62"/>
      <c r="G15" s="62"/>
      <c r="H15" s="62"/>
      <c r="I15" s="62"/>
      <c r="J15" s="62"/>
      <c r="K15" s="62"/>
      <c r="L15" s="62"/>
      <c r="M15" s="62"/>
      <c r="N15" s="62"/>
      <c r="O15" s="62"/>
      <c r="P15" s="62"/>
    </row>
    <row r="16" spans="1:22">
      <c r="A16" s="62"/>
      <c r="B16" s="62"/>
      <c r="C16" s="62"/>
      <c r="D16" s="62"/>
      <c r="E16" s="62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</row>
    <row r="17" spans="1:16">
      <c r="A17" s="62"/>
      <c r="B17" s="62"/>
      <c r="C17" s="62"/>
      <c r="D17" s="62"/>
      <c r="E17" s="62"/>
      <c r="F17" s="62"/>
      <c r="G17" s="62"/>
      <c r="H17" s="62"/>
      <c r="I17" s="62"/>
      <c r="J17" s="62"/>
      <c r="K17" s="62"/>
      <c r="L17" s="62"/>
      <c r="M17" s="62"/>
      <c r="N17" s="62"/>
      <c r="O17" s="62"/>
      <c r="P17" s="62"/>
    </row>
  </sheetData>
  <pageMargins left="0.7" right="0.7" top="0.75" bottom="0.75" header="0.3" footer="0.3"/>
  <pageSetup paperSize="9" orientation="portrait" verticalDpi="0" r:id="rId1"/>
</worksheet>
</file>

<file path=xl/worksheets/sheet142.xml><?xml version="1.0" encoding="utf-8"?>
<worksheet xmlns="http://schemas.openxmlformats.org/spreadsheetml/2006/main" xmlns:r="http://schemas.openxmlformats.org/officeDocument/2006/relationships">
  <dimension ref="A5:U17"/>
  <sheetViews>
    <sheetView workbookViewId="0">
      <selection activeCell="N7" sqref="N7:N8"/>
    </sheetView>
  </sheetViews>
  <sheetFormatPr defaultRowHeight="14.4"/>
  <cols>
    <col min="1" max="1" width="8.88671875" style="1"/>
    <col min="2" max="2" width="21.44140625" style="1" customWidth="1"/>
    <col min="3" max="3" width="8.88671875" style="1"/>
    <col min="4" max="4" width="5.5546875" style="1" customWidth="1"/>
    <col min="5" max="5" width="11.2187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3.4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3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676</v>
      </c>
      <c r="M5" s="95" t="s">
        <v>677</v>
      </c>
      <c r="N5" s="3" t="s">
        <v>11</v>
      </c>
      <c r="O5" s="3" t="s">
        <v>36</v>
      </c>
      <c r="P5" s="3" t="s">
        <v>12</v>
      </c>
      <c r="Q5" s="3" t="s">
        <v>256</v>
      </c>
      <c r="R5" s="3" t="s">
        <v>257</v>
      </c>
      <c r="S5" s="3" t="s">
        <v>2</v>
      </c>
      <c r="T5" s="14" t="s">
        <v>80</v>
      </c>
      <c r="U5" s="14" t="s">
        <v>128</v>
      </c>
    </row>
    <row r="6" spans="1:21">
      <c r="B6" s="112"/>
      <c r="C6" s="112"/>
      <c r="D6" s="112"/>
      <c r="E6" s="112"/>
      <c r="F6" s="112"/>
      <c r="G6" s="112"/>
      <c r="H6" s="112"/>
      <c r="I6" s="112"/>
      <c r="J6" s="112"/>
      <c r="K6" s="112"/>
      <c r="L6" s="102"/>
      <c r="M6" s="102"/>
      <c r="N6" s="112"/>
    </row>
    <row r="7" spans="1:21">
      <c r="A7" s="62" t="s">
        <v>931</v>
      </c>
      <c r="B7" s="42" t="s">
        <v>0</v>
      </c>
      <c r="C7" s="42" t="s">
        <v>754</v>
      </c>
      <c r="D7" s="42" t="s">
        <v>16</v>
      </c>
      <c r="E7" s="42" t="s">
        <v>359</v>
      </c>
      <c r="F7" s="42">
        <v>10649</v>
      </c>
      <c r="G7" s="42"/>
      <c r="H7" s="42">
        <v>17080</v>
      </c>
      <c r="I7" s="42">
        <v>342</v>
      </c>
      <c r="J7" s="42">
        <v>0.13</v>
      </c>
      <c r="K7" s="42">
        <f t="shared" ref="K7:K8" si="0">I7*J7</f>
        <v>44.46</v>
      </c>
      <c r="L7" s="43">
        <f t="shared" ref="L7:L8" si="1">H7-K7</f>
        <v>17035.54</v>
      </c>
      <c r="M7" s="43"/>
      <c r="N7" s="43">
        <f t="shared" ref="N7:N8" si="2">L7-M7</f>
        <v>17035.54</v>
      </c>
      <c r="O7" s="43">
        <f t="shared" ref="O7:O8" si="3">H7/1000*70</f>
        <v>1195.5999999999999</v>
      </c>
      <c r="P7" s="42">
        <v>5000</v>
      </c>
      <c r="Q7" s="42">
        <v>52</v>
      </c>
      <c r="R7" s="42">
        <f t="shared" ref="R7:R8" si="4">L7*Q7</f>
        <v>885848.08000000007</v>
      </c>
    </row>
    <row r="8" spans="1:21">
      <c r="A8" s="62" t="s">
        <v>935</v>
      </c>
      <c r="B8" s="42" t="s">
        <v>864</v>
      </c>
      <c r="C8" s="42" t="s">
        <v>754</v>
      </c>
      <c r="D8" s="42" t="s">
        <v>16</v>
      </c>
      <c r="E8" s="42" t="s">
        <v>323</v>
      </c>
      <c r="F8" s="42">
        <v>10681</v>
      </c>
      <c r="G8" s="42"/>
      <c r="H8" s="42">
        <v>16950</v>
      </c>
      <c r="I8" s="42">
        <v>339</v>
      </c>
      <c r="J8" s="42">
        <v>0.13</v>
      </c>
      <c r="K8" s="42">
        <f t="shared" si="0"/>
        <v>44.07</v>
      </c>
      <c r="L8" s="43">
        <f t="shared" si="1"/>
        <v>16905.93</v>
      </c>
      <c r="M8" s="43"/>
      <c r="N8" s="43">
        <f t="shared" si="2"/>
        <v>16905.93</v>
      </c>
      <c r="O8" s="43">
        <f t="shared" si="3"/>
        <v>1186.5</v>
      </c>
      <c r="P8" s="42">
        <v>5000</v>
      </c>
      <c r="Q8" s="42">
        <v>53.5</v>
      </c>
      <c r="R8" s="42">
        <f t="shared" si="4"/>
        <v>904467.255</v>
      </c>
    </row>
    <row r="9" spans="1:21">
      <c r="A9" s="62"/>
      <c r="B9" s="67"/>
      <c r="C9" s="67"/>
      <c r="D9" s="67"/>
      <c r="E9" s="67"/>
      <c r="F9" s="98"/>
      <c r="G9" s="98"/>
      <c r="H9" s="98"/>
      <c r="I9" s="98"/>
      <c r="J9" s="98"/>
      <c r="K9" s="68"/>
      <c r="L9" s="68"/>
      <c r="M9" s="68"/>
      <c r="N9" s="98"/>
      <c r="O9" s="62"/>
      <c r="P9" s="62"/>
    </row>
    <row r="10" spans="1:21">
      <c r="A10" s="62"/>
      <c r="B10" s="62"/>
      <c r="C10" s="62"/>
      <c r="D10" s="62"/>
      <c r="E10" s="62"/>
      <c r="F10" s="62"/>
      <c r="G10" s="62"/>
      <c r="H10" s="62"/>
      <c r="I10" s="62"/>
      <c r="J10" s="62"/>
      <c r="K10" s="62"/>
      <c r="L10" s="62"/>
      <c r="M10" s="62"/>
      <c r="N10" s="62"/>
      <c r="O10" s="62"/>
      <c r="P10" s="62"/>
    </row>
    <row r="11" spans="1:21">
      <c r="A11" s="62"/>
      <c r="B11" s="62"/>
      <c r="C11" s="62"/>
      <c r="D11" s="62"/>
      <c r="E11" s="62"/>
      <c r="F11" s="62"/>
      <c r="G11" s="62"/>
      <c r="H11" s="62"/>
      <c r="I11" s="62"/>
      <c r="J11" s="62"/>
      <c r="K11" s="62"/>
      <c r="L11" s="62"/>
      <c r="M11" s="62"/>
      <c r="N11" s="62"/>
      <c r="O11" s="62"/>
      <c r="P11" s="62"/>
    </row>
    <row r="12" spans="1:21">
      <c r="A12" s="62"/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</row>
    <row r="13" spans="1:21">
      <c r="A13" s="62"/>
      <c r="B13" s="62"/>
      <c r="C13" s="62"/>
      <c r="D13" s="62"/>
      <c r="E13" s="62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</row>
    <row r="14" spans="1:21">
      <c r="A14" s="62"/>
      <c r="B14" s="62"/>
      <c r="C14" s="62"/>
      <c r="D14" s="62"/>
      <c r="E14" s="62"/>
      <c r="F14" s="62"/>
      <c r="G14" s="62"/>
      <c r="H14" s="62"/>
      <c r="I14" s="62"/>
      <c r="J14" s="62"/>
      <c r="K14" s="62"/>
      <c r="L14" s="66"/>
      <c r="M14" s="62"/>
      <c r="N14" s="62"/>
      <c r="O14" s="62"/>
      <c r="P14" s="62"/>
    </row>
    <row r="15" spans="1:21">
      <c r="A15" s="62"/>
      <c r="B15" s="62"/>
      <c r="C15" s="62"/>
      <c r="D15" s="62"/>
      <c r="E15" s="62"/>
      <c r="F15" s="62"/>
      <c r="G15" s="62"/>
      <c r="H15" s="62"/>
      <c r="I15" s="62"/>
      <c r="J15" s="62"/>
      <c r="K15" s="62"/>
      <c r="L15" s="62"/>
      <c r="M15" s="62"/>
      <c r="N15" s="62"/>
      <c r="O15" s="62"/>
      <c r="P15" s="62"/>
    </row>
    <row r="16" spans="1:21">
      <c r="A16" s="62"/>
      <c r="B16" s="62"/>
      <c r="C16" s="62"/>
      <c r="D16" s="62"/>
      <c r="E16" s="62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</row>
    <row r="17" spans="1:16">
      <c r="A17" s="62"/>
      <c r="B17" s="62"/>
      <c r="C17" s="62"/>
      <c r="D17" s="62"/>
      <c r="E17" s="62"/>
      <c r="F17" s="62"/>
      <c r="G17" s="62"/>
      <c r="H17" s="62"/>
      <c r="I17" s="62"/>
      <c r="J17" s="62"/>
      <c r="K17" s="62"/>
      <c r="L17" s="62"/>
      <c r="M17" s="62"/>
      <c r="N17" s="62"/>
      <c r="O17" s="62"/>
      <c r="P17" s="62"/>
    </row>
  </sheetData>
  <pageMargins left="0.7" right="0.7" top="0.75" bottom="0.75" header="0.3" footer="0.3"/>
  <pageSetup paperSize="9" orientation="portrait" verticalDpi="0" r:id="rId1"/>
</worksheet>
</file>

<file path=xl/worksheets/sheet143.xml><?xml version="1.0" encoding="utf-8"?>
<worksheet xmlns="http://schemas.openxmlformats.org/spreadsheetml/2006/main" xmlns:r="http://schemas.openxmlformats.org/officeDocument/2006/relationships">
  <dimension ref="A5:U16"/>
  <sheetViews>
    <sheetView workbookViewId="0">
      <selection activeCell="E9" sqref="E9"/>
    </sheetView>
  </sheetViews>
  <sheetFormatPr defaultRowHeight="14.4"/>
  <cols>
    <col min="1" max="1" width="8.88671875" style="1"/>
    <col min="2" max="2" width="21.44140625" style="1" customWidth="1"/>
    <col min="3" max="3" width="8.88671875" style="1"/>
    <col min="4" max="4" width="5.5546875" style="1" customWidth="1"/>
    <col min="5" max="5" width="11.2187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3.4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3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676</v>
      </c>
      <c r="M5" s="95" t="s">
        <v>677</v>
      </c>
      <c r="N5" s="3" t="s">
        <v>11</v>
      </c>
      <c r="O5" s="3" t="s">
        <v>36</v>
      </c>
      <c r="P5" s="3" t="s">
        <v>12</v>
      </c>
      <c r="Q5" s="3" t="s">
        <v>256</v>
      </c>
      <c r="R5" s="3" t="s">
        <v>257</v>
      </c>
      <c r="S5" s="3" t="s">
        <v>2</v>
      </c>
      <c r="T5" s="14" t="s">
        <v>80</v>
      </c>
      <c r="U5" s="14" t="s">
        <v>128</v>
      </c>
    </row>
    <row r="6" spans="1:21">
      <c r="B6" s="152"/>
      <c r="C6" s="152"/>
      <c r="D6" s="152"/>
      <c r="E6" s="152"/>
      <c r="F6" s="152"/>
      <c r="G6" s="152"/>
      <c r="H6" s="152"/>
      <c r="I6" s="152"/>
      <c r="J6" s="152"/>
      <c r="K6" s="152"/>
      <c r="L6" s="102"/>
      <c r="M6" s="102"/>
      <c r="N6" s="152"/>
    </row>
    <row r="7" spans="1:21">
      <c r="A7" s="62" t="s">
        <v>1170</v>
      </c>
      <c r="B7" s="42" t="s">
        <v>1174</v>
      </c>
      <c r="C7" s="42" t="s">
        <v>1175</v>
      </c>
      <c r="D7" s="42" t="s">
        <v>16</v>
      </c>
      <c r="E7" s="42" t="s">
        <v>666</v>
      </c>
      <c r="F7" s="42">
        <v>6312</v>
      </c>
      <c r="G7" s="42"/>
      <c r="H7" s="42">
        <v>18170</v>
      </c>
      <c r="I7" s="42">
        <v>460</v>
      </c>
      <c r="J7" s="42">
        <v>0.13</v>
      </c>
      <c r="K7" s="42">
        <v>60</v>
      </c>
      <c r="L7" s="43">
        <f t="shared" ref="L7" si="0">H7-K7</f>
        <v>18110</v>
      </c>
      <c r="M7" s="43"/>
      <c r="N7" s="43">
        <f t="shared" ref="N7" si="1">L7-M7</f>
        <v>18110</v>
      </c>
      <c r="O7" s="43">
        <f t="shared" ref="O7" si="2">H7/1000*70</f>
        <v>1271.9000000000001</v>
      </c>
      <c r="P7" s="42">
        <v>6000</v>
      </c>
      <c r="Q7" s="42"/>
      <c r="R7" s="42">
        <f t="shared" ref="R7" si="3">L7*Q7</f>
        <v>0</v>
      </c>
    </row>
    <row r="8" spans="1:21">
      <c r="A8" s="62"/>
      <c r="B8" s="42"/>
      <c r="C8" s="42"/>
      <c r="D8" s="42"/>
      <c r="E8" s="42"/>
      <c r="F8" s="42"/>
      <c r="G8" s="42"/>
      <c r="H8" s="42"/>
      <c r="I8" s="42"/>
      <c r="J8" s="42"/>
      <c r="K8" s="42"/>
      <c r="L8" s="43"/>
      <c r="M8" s="43"/>
      <c r="N8" s="43"/>
      <c r="O8" s="43"/>
      <c r="P8" s="42"/>
      <c r="Q8" s="42"/>
      <c r="R8" s="42"/>
    </row>
    <row r="9" spans="1:21">
      <c r="A9" s="62"/>
      <c r="B9" s="62"/>
      <c r="C9" s="62"/>
      <c r="D9" s="62"/>
      <c r="E9" s="62"/>
      <c r="F9" s="62"/>
      <c r="G9" s="62"/>
      <c r="H9" s="62"/>
      <c r="I9" s="62"/>
      <c r="J9" s="62"/>
      <c r="K9" s="62"/>
      <c r="L9" s="62"/>
      <c r="M9" s="62"/>
      <c r="N9" s="62"/>
      <c r="O9" s="62"/>
      <c r="P9" s="62"/>
    </row>
    <row r="10" spans="1:21">
      <c r="A10" s="62"/>
      <c r="B10" s="62"/>
      <c r="C10" s="62"/>
      <c r="D10" s="62"/>
      <c r="E10" s="62"/>
      <c r="F10" s="62"/>
      <c r="G10" s="62"/>
      <c r="H10" s="62"/>
      <c r="I10" s="62"/>
      <c r="J10" s="62"/>
      <c r="K10" s="62"/>
      <c r="L10" s="62"/>
      <c r="M10" s="62"/>
      <c r="N10" s="62"/>
      <c r="O10" s="62"/>
      <c r="P10" s="62"/>
    </row>
    <row r="11" spans="1:21">
      <c r="A11" s="62"/>
      <c r="B11" s="62"/>
      <c r="C11" s="62"/>
      <c r="D11" s="62"/>
      <c r="E11" s="62"/>
      <c r="F11" s="62"/>
      <c r="G11" s="62"/>
      <c r="H11" s="62"/>
      <c r="I11" s="62"/>
      <c r="J11" s="62"/>
      <c r="K11" s="62"/>
      <c r="L11" s="62"/>
      <c r="M11" s="62"/>
      <c r="N11" s="62"/>
      <c r="O11" s="62"/>
      <c r="P11" s="62"/>
    </row>
    <row r="12" spans="1:21">
      <c r="A12" s="62"/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</row>
    <row r="13" spans="1:21">
      <c r="A13" s="62"/>
      <c r="B13" s="62"/>
      <c r="C13" s="62"/>
      <c r="D13" s="62"/>
      <c r="E13" s="62"/>
      <c r="F13" s="62"/>
      <c r="G13" s="62"/>
      <c r="H13" s="62"/>
      <c r="I13" s="62"/>
      <c r="J13" s="62"/>
      <c r="K13" s="62"/>
      <c r="L13" s="66"/>
      <c r="M13" s="62"/>
      <c r="N13" s="62"/>
      <c r="O13" s="62"/>
      <c r="P13" s="62"/>
    </row>
    <row r="14" spans="1:21">
      <c r="A14" s="62"/>
      <c r="B14" s="62"/>
      <c r="C14" s="62"/>
      <c r="D14" s="62"/>
      <c r="E14" s="62"/>
      <c r="F14" s="62"/>
      <c r="G14" s="62"/>
      <c r="H14" s="62"/>
      <c r="I14" s="62"/>
      <c r="J14" s="62"/>
      <c r="K14" s="62"/>
      <c r="L14" s="62"/>
      <c r="M14" s="62"/>
      <c r="N14" s="62"/>
      <c r="O14" s="62"/>
      <c r="P14" s="62"/>
    </row>
    <row r="15" spans="1:21">
      <c r="A15" s="62"/>
      <c r="B15" s="62"/>
      <c r="C15" s="62"/>
      <c r="D15" s="62"/>
      <c r="E15" s="62"/>
      <c r="F15" s="62"/>
      <c r="G15" s="62"/>
      <c r="H15" s="62"/>
      <c r="I15" s="62"/>
      <c r="J15" s="62"/>
      <c r="K15" s="62"/>
      <c r="L15" s="62"/>
      <c r="M15" s="62"/>
      <c r="N15" s="62"/>
      <c r="O15" s="62"/>
      <c r="P15" s="62"/>
    </row>
    <row r="16" spans="1:21">
      <c r="A16" s="62"/>
      <c r="B16" s="62"/>
      <c r="C16" s="62"/>
      <c r="D16" s="62"/>
      <c r="E16" s="62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</row>
  </sheetData>
  <pageMargins left="0.7" right="0.7" top="0.75" bottom="0.75" header="0.3" footer="0.3"/>
  <pageSetup paperSize="9" orientation="portrait" verticalDpi="0" r:id="rId1"/>
</worksheet>
</file>

<file path=xl/worksheets/sheet144.xml><?xml version="1.0" encoding="utf-8"?>
<worksheet xmlns="http://schemas.openxmlformats.org/spreadsheetml/2006/main" xmlns:r="http://schemas.openxmlformats.org/officeDocument/2006/relationships">
  <dimension ref="A5:U16"/>
  <sheetViews>
    <sheetView workbookViewId="0">
      <selection activeCell="F16" sqref="F16"/>
    </sheetView>
  </sheetViews>
  <sheetFormatPr defaultRowHeight="14.4"/>
  <cols>
    <col min="1" max="1" width="8.88671875" style="1"/>
    <col min="2" max="2" width="21.44140625" style="1" customWidth="1"/>
    <col min="3" max="3" width="8.88671875" style="1"/>
    <col min="4" max="4" width="5.5546875" style="1" customWidth="1"/>
    <col min="5" max="5" width="11.2187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3.4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3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676</v>
      </c>
      <c r="M5" s="95" t="s">
        <v>677</v>
      </c>
      <c r="N5" s="3" t="s">
        <v>11</v>
      </c>
      <c r="O5" s="3" t="s">
        <v>36</v>
      </c>
      <c r="P5" s="3" t="s">
        <v>12</v>
      </c>
      <c r="Q5" s="3" t="s">
        <v>256</v>
      </c>
      <c r="R5" s="3" t="s">
        <v>257</v>
      </c>
      <c r="S5" s="3" t="s">
        <v>2</v>
      </c>
      <c r="T5" s="14" t="s">
        <v>80</v>
      </c>
      <c r="U5" s="14" t="s">
        <v>128</v>
      </c>
    </row>
    <row r="6" spans="1:21">
      <c r="B6" s="292"/>
      <c r="C6" s="292"/>
      <c r="D6" s="292"/>
      <c r="E6" s="292"/>
      <c r="F6" s="292"/>
      <c r="G6" s="292"/>
      <c r="H6" s="292"/>
      <c r="I6" s="292"/>
      <c r="J6" s="292"/>
      <c r="K6" s="292"/>
      <c r="L6" s="102"/>
      <c r="M6" s="102"/>
      <c r="N6" s="292"/>
    </row>
    <row r="7" spans="1:21">
      <c r="A7" s="62"/>
      <c r="B7" s="42"/>
      <c r="C7" s="42"/>
      <c r="D7" s="42"/>
      <c r="E7" s="42"/>
      <c r="F7" s="42"/>
      <c r="G7" s="42"/>
      <c r="H7" s="42"/>
      <c r="I7" s="42"/>
      <c r="J7" s="42"/>
      <c r="K7" s="42"/>
      <c r="L7" s="43"/>
      <c r="M7" s="43"/>
      <c r="N7" s="43"/>
      <c r="O7" s="43"/>
      <c r="P7" s="42"/>
      <c r="Q7" s="42"/>
      <c r="R7" s="42"/>
    </row>
    <row r="8" spans="1:21">
      <c r="A8" s="62" t="s">
        <v>2795</v>
      </c>
      <c r="B8" s="42" t="s">
        <v>696</v>
      </c>
      <c r="C8" s="42" t="s">
        <v>1175</v>
      </c>
      <c r="D8" s="42" t="s">
        <v>16</v>
      </c>
      <c r="E8" s="42" t="s">
        <v>2800</v>
      </c>
      <c r="F8" s="42">
        <v>1587</v>
      </c>
      <c r="G8" s="42"/>
      <c r="H8" s="42">
        <v>13040</v>
      </c>
      <c r="I8" s="42">
        <v>325</v>
      </c>
      <c r="J8" s="42">
        <v>0.13</v>
      </c>
      <c r="K8" s="43">
        <f t="shared" ref="K8" si="0">I8*J8</f>
        <v>42.25</v>
      </c>
      <c r="L8" s="43">
        <f t="shared" ref="L8" si="1">H8-K8</f>
        <v>12997.75</v>
      </c>
      <c r="M8" s="43"/>
      <c r="N8" s="43">
        <f t="shared" ref="N8" si="2">L8-M8</f>
        <v>12997.75</v>
      </c>
      <c r="O8" s="43">
        <f t="shared" ref="O8" si="3">H8/1000*70</f>
        <v>912.8</v>
      </c>
      <c r="P8" s="42">
        <v>23200</v>
      </c>
      <c r="Q8" s="42">
        <v>78</v>
      </c>
      <c r="R8" s="42">
        <f t="shared" ref="R8" si="4">L8*Q8</f>
        <v>1013824.5</v>
      </c>
    </row>
    <row r="9" spans="1:21">
      <c r="A9" s="62"/>
      <c r="B9" s="62"/>
      <c r="C9" s="62"/>
      <c r="D9" s="62"/>
      <c r="E9" s="62"/>
      <c r="F9" s="62"/>
      <c r="G9" s="62"/>
      <c r="H9" s="62"/>
      <c r="I9" s="62"/>
      <c r="J9" s="62"/>
      <c r="K9" s="62"/>
      <c r="L9" s="62"/>
      <c r="M9" s="62"/>
      <c r="N9" s="62"/>
      <c r="O9" s="62"/>
      <c r="P9" s="62"/>
    </row>
    <row r="10" spans="1:21">
      <c r="A10" s="62"/>
      <c r="B10" s="62"/>
      <c r="C10" s="62"/>
      <c r="D10" s="62"/>
      <c r="E10" s="62"/>
      <c r="F10" s="62"/>
      <c r="G10" s="62"/>
      <c r="H10" s="62"/>
      <c r="I10" s="62"/>
      <c r="J10" s="62"/>
      <c r="K10" s="62"/>
      <c r="L10" s="62"/>
      <c r="M10" s="62"/>
      <c r="N10" s="62"/>
      <c r="O10" s="62"/>
      <c r="P10" s="62"/>
    </row>
    <row r="11" spans="1:21">
      <c r="A11" s="62"/>
      <c r="B11" s="62"/>
      <c r="C11" s="62"/>
      <c r="D11" s="62"/>
      <c r="E11" s="62"/>
      <c r="F11" s="62"/>
      <c r="G11" s="62"/>
      <c r="H11" s="62"/>
      <c r="I11" s="62"/>
      <c r="J11" s="62"/>
      <c r="K11" s="62"/>
      <c r="L11" s="62"/>
      <c r="M11" s="62"/>
      <c r="N11" s="62"/>
      <c r="O11" s="62"/>
      <c r="P11" s="62"/>
    </row>
    <row r="12" spans="1:21">
      <c r="A12" s="62"/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</row>
    <row r="13" spans="1:21">
      <c r="A13" s="62"/>
      <c r="B13" s="62"/>
      <c r="C13" s="62"/>
      <c r="D13" s="62"/>
      <c r="E13" s="62"/>
      <c r="F13" s="62"/>
      <c r="G13" s="62"/>
      <c r="H13" s="62"/>
      <c r="I13" s="62"/>
      <c r="J13" s="62"/>
      <c r="K13" s="62"/>
      <c r="L13" s="66"/>
      <c r="M13" s="62"/>
      <c r="N13" s="62"/>
      <c r="O13" s="62"/>
      <c r="P13" s="62"/>
    </row>
    <row r="14" spans="1:21">
      <c r="A14" s="62"/>
      <c r="B14" s="62"/>
      <c r="C14" s="62"/>
      <c r="D14" s="62"/>
      <c r="E14" s="62"/>
      <c r="F14" s="62"/>
      <c r="G14" s="62"/>
      <c r="H14" s="62"/>
      <c r="I14" s="62"/>
      <c r="J14" s="62"/>
      <c r="K14" s="62"/>
      <c r="L14" s="62"/>
      <c r="M14" s="62"/>
      <c r="N14" s="62"/>
      <c r="O14" s="62"/>
      <c r="P14" s="62"/>
    </row>
    <row r="15" spans="1:21">
      <c r="A15" s="62"/>
      <c r="B15" s="62"/>
      <c r="C15" s="62"/>
      <c r="D15" s="62"/>
      <c r="E15" s="62"/>
      <c r="F15" s="62"/>
      <c r="G15" s="62"/>
      <c r="H15" s="62"/>
      <c r="I15" s="62"/>
      <c r="J15" s="62"/>
      <c r="K15" s="62"/>
      <c r="L15" s="62"/>
      <c r="M15" s="62"/>
      <c r="N15" s="62"/>
      <c r="O15" s="62"/>
      <c r="P15" s="62"/>
    </row>
    <row r="16" spans="1:21">
      <c r="A16" s="62"/>
      <c r="B16" s="62"/>
      <c r="C16" s="62"/>
      <c r="D16" s="62"/>
      <c r="E16" s="62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</row>
  </sheetData>
  <pageMargins left="0.7" right="0.7" top="0.75" bottom="0.75" header="0.3" footer="0.3"/>
  <pageSetup paperSize="9" orientation="portrait" verticalDpi="0" r:id="rId1"/>
</worksheet>
</file>

<file path=xl/worksheets/sheet145.xml><?xml version="1.0" encoding="utf-8"?>
<worksheet xmlns="http://schemas.openxmlformats.org/spreadsheetml/2006/main" xmlns:r="http://schemas.openxmlformats.org/officeDocument/2006/relationships">
  <dimension ref="A5:U63"/>
  <sheetViews>
    <sheetView topLeftCell="A47" workbookViewId="0">
      <selection activeCell="S43" sqref="S43:S63"/>
    </sheetView>
  </sheetViews>
  <sheetFormatPr defaultRowHeight="14.4"/>
  <cols>
    <col min="1" max="1" width="8.88671875" style="1"/>
    <col min="2" max="2" width="13.88671875" style="1" customWidth="1"/>
    <col min="3" max="3" width="8.88671875" style="1"/>
    <col min="4" max="4" width="5.5546875" style="1" customWidth="1"/>
    <col min="5" max="5" width="11.2187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128</v>
      </c>
    </row>
    <row r="6" spans="1:21">
      <c r="A6" s="393" t="s">
        <v>267</v>
      </c>
      <c r="B6" s="2" t="s">
        <v>19</v>
      </c>
      <c r="C6" s="2" t="s">
        <v>268</v>
      </c>
      <c r="D6" s="2" t="s">
        <v>16</v>
      </c>
      <c r="E6" s="2" t="s">
        <v>269</v>
      </c>
      <c r="F6" s="2">
        <v>1802</v>
      </c>
      <c r="G6" s="2"/>
      <c r="H6" s="2">
        <v>14980</v>
      </c>
      <c r="I6" s="2">
        <v>300</v>
      </c>
      <c r="J6" s="2">
        <v>0.13</v>
      </c>
      <c r="K6" s="5">
        <f t="shared" ref="K6:K11" si="0">I6*J6</f>
        <v>39</v>
      </c>
      <c r="L6" s="19">
        <f t="shared" ref="L6:L11" si="1">H6-K6</f>
        <v>14941</v>
      </c>
      <c r="M6" s="5">
        <f t="shared" ref="M6:M11" si="2">H6/1000*70</f>
        <v>1048.6000000000001</v>
      </c>
      <c r="N6" s="2">
        <v>28900</v>
      </c>
      <c r="O6" s="2"/>
      <c r="P6" s="2">
        <f t="shared" ref="P6:P11" si="3">L6*O6</f>
        <v>0</v>
      </c>
    </row>
    <row r="7" spans="1:21">
      <c r="A7" s="394"/>
      <c r="B7" s="2" t="s">
        <v>19</v>
      </c>
      <c r="C7" s="2" t="s">
        <v>268</v>
      </c>
      <c r="D7" s="2" t="s">
        <v>16</v>
      </c>
      <c r="E7" s="2" t="s">
        <v>270</v>
      </c>
      <c r="F7" s="2">
        <v>1801</v>
      </c>
      <c r="G7" s="2"/>
      <c r="H7" s="2">
        <v>15020</v>
      </c>
      <c r="I7" s="2">
        <v>300</v>
      </c>
      <c r="J7" s="2">
        <v>0.13</v>
      </c>
      <c r="K7" s="5">
        <f t="shared" si="0"/>
        <v>39</v>
      </c>
      <c r="L7" s="19">
        <f t="shared" si="1"/>
        <v>14981</v>
      </c>
      <c r="M7" s="5">
        <f t="shared" si="2"/>
        <v>1051.3999999999999</v>
      </c>
      <c r="N7" s="2">
        <v>28900</v>
      </c>
      <c r="O7" s="2"/>
      <c r="P7" s="2">
        <f t="shared" si="3"/>
        <v>0</v>
      </c>
    </row>
    <row r="8" spans="1:21">
      <c r="A8" s="393" t="s">
        <v>273</v>
      </c>
      <c r="B8" s="2" t="s">
        <v>19</v>
      </c>
      <c r="C8" s="2" t="s">
        <v>268</v>
      </c>
      <c r="D8" s="2" t="s">
        <v>16</v>
      </c>
      <c r="E8" s="2" t="s">
        <v>282</v>
      </c>
      <c r="F8" s="2">
        <v>1803</v>
      </c>
      <c r="G8" s="2"/>
      <c r="H8" s="2">
        <v>16980</v>
      </c>
      <c r="I8" s="2">
        <v>340</v>
      </c>
      <c r="J8" s="2">
        <v>0.13</v>
      </c>
      <c r="K8" s="5">
        <f t="shared" si="0"/>
        <v>44.2</v>
      </c>
      <c r="L8" s="19">
        <f t="shared" si="1"/>
        <v>16935.8</v>
      </c>
      <c r="M8" s="5">
        <f t="shared" si="2"/>
        <v>1188.6000000000001</v>
      </c>
      <c r="N8" s="2">
        <v>30050</v>
      </c>
      <c r="O8" s="2"/>
      <c r="P8" s="2">
        <f t="shared" si="3"/>
        <v>0</v>
      </c>
    </row>
    <row r="9" spans="1:21">
      <c r="A9" s="395"/>
      <c r="B9" s="2" t="s">
        <v>19</v>
      </c>
      <c r="C9" s="2" t="s">
        <v>268</v>
      </c>
      <c r="D9" s="2" t="s">
        <v>16</v>
      </c>
      <c r="E9" s="2" t="s">
        <v>114</v>
      </c>
      <c r="F9" s="2">
        <v>1805</v>
      </c>
      <c r="G9" s="2"/>
      <c r="H9" s="2">
        <v>17660</v>
      </c>
      <c r="I9" s="2">
        <v>354</v>
      </c>
      <c r="J9" s="2">
        <v>0.13</v>
      </c>
      <c r="K9" s="5">
        <f t="shared" si="0"/>
        <v>46.02</v>
      </c>
      <c r="L9" s="19">
        <f t="shared" si="1"/>
        <v>17613.98</v>
      </c>
      <c r="M9" s="5">
        <f t="shared" si="2"/>
        <v>1236.2</v>
      </c>
      <c r="N9" s="2">
        <v>31330</v>
      </c>
      <c r="O9" s="2"/>
      <c r="P9" s="2">
        <f t="shared" si="3"/>
        <v>0</v>
      </c>
    </row>
    <row r="10" spans="1:21">
      <c r="A10" s="395"/>
      <c r="B10" s="2" t="s">
        <v>19</v>
      </c>
      <c r="C10" s="2" t="s">
        <v>268</v>
      </c>
      <c r="D10" s="2" t="s">
        <v>16</v>
      </c>
      <c r="E10" s="2" t="s">
        <v>283</v>
      </c>
      <c r="F10" s="2">
        <v>1806</v>
      </c>
      <c r="G10" s="2"/>
      <c r="H10" s="2">
        <v>17910</v>
      </c>
      <c r="I10" s="2">
        <v>360</v>
      </c>
      <c r="J10" s="2">
        <v>0.13</v>
      </c>
      <c r="K10" s="5">
        <f t="shared" si="0"/>
        <v>46.800000000000004</v>
      </c>
      <c r="L10" s="19">
        <f t="shared" si="1"/>
        <v>17863.2</v>
      </c>
      <c r="M10" s="5">
        <f t="shared" si="2"/>
        <v>1253.7</v>
      </c>
      <c r="N10" s="2">
        <v>31700</v>
      </c>
      <c r="O10" s="2"/>
      <c r="P10" s="2">
        <f t="shared" si="3"/>
        <v>0</v>
      </c>
    </row>
    <row r="11" spans="1:21">
      <c r="A11" s="11" t="s">
        <v>284</v>
      </c>
      <c r="B11" s="2" t="s">
        <v>19</v>
      </c>
      <c r="C11" s="2" t="s">
        <v>268</v>
      </c>
      <c r="D11" s="2" t="s">
        <v>16</v>
      </c>
      <c r="E11" s="2" t="s">
        <v>290</v>
      </c>
      <c r="F11" s="2">
        <v>1804</v>
      </c>
      <c r="G11" s="2"/>
      <c r="H11" s="2">
        <v>17570</v>
      </c>
      <c r="I11" s="2">
        <v>350</v>
      </c>
      <c r="J11" s="2">
        <v>0.13</v>
      </c>
      <c r="K11" s="5">
        <f t="shared" si="0"/>
        <v>45.5</v>
      </c>
      <c r="L11" s="19">
        <f t="shared" si="1"/>
        <v>17524.5</v>
      </c>
      <c r="M11" s="5">
        <f t="shared" si="2"/>
        <v>1229.9000000000001</v>
      </c>
      <c r="N11" s="2">
        <v>31100</v>
      </c>
      <c r="O11" s="2"/>
      <c r="P11" s="2">
        <f t="shared" si="3"/>
        <v>0</v>
      </c>
    </row>
    <row r="12" spans="1:21">
      <c r="B12" s="2"/>
      <c r="C12" s="2"/>
      <c r="D12" s="2"/>
      <c r="E12" s="2"/>
      <c r="F12" s="2"/>
      <c r="G12" s="2"/>
      <c r="H12" s="2"/>
      <c r="I12" s="2"/>
      <c r="J12" s="2"/>
      <c r="K12" s="2"/>
      <c r="L12" s="5"/>
      <c r="M12" s="5"/>
      <c r="N12" s="2"/>
    </row>
    <row r="13" spans="1:21">
      <c r="B13" s="2"/>
      <c r="C13" s="2"/>
      <c r="D13" s="2"/>
      <c r="E13" s="2"/>
      <c r="F13" s="2"/>
      <c r="G13" s="2"/>
      <c r="H13" s="2"/>
      <c r="I13" s="2"/>
      <c r="J13" s="2"/>
      <c r="K13" s="2"/>
      <c r="L13" s="5"/>
      <c r="M13" s="5"/>
      <c r="N13" s="2"/>
    </row>
    <row r="14" spans="1:21">
      <c r="L14" s="16">
        <f>SUM(L6:L13)</f>
        <v>99859.48</v>
      </c>
      <c r="M14" s="16">
        <f t="shared" ref="M14:N14" si="4">SUM(M6:M13)</f>
        <v>7008.4</v>
      </c>
      <c r="N14" s="16">
        <f t="shared" si="4"/>
        <v>181980</v>
      </c>
    </row>
    <row r="17" spans="1:16">
      <c r="A17" s="1" t="s">
        <v>413</v>
      </c>
      <c r="B17" s="42" t="s">
        <v>19</v>
      </c>
      <c r="C17" s="42" t="s">
        <v>414</v>
      </c>
      <c r="D17" s="42" t="s">
        <v>16</v>
      </c>
      <c r="E17" s="42" t="s">
        <v>415</v>
      </c>
      <c r="F17" s="42">
        <v>1807</v>
      </c>
      <c r="G17" s="42"/>
      <c r="H17" s="42">
        <v>10050</v>
      </c>
      <c r="I17" s="42">
        <v>200</v>
      </c>
      <c r="J17" s="42">
        <v>0.13</v>
      </c>
      <c r="K17" s="43">
        <f t="shared" ref="K17" si="5">I17*J17</f>
        <v>26</v>
      </c>
      <c r="L17" s="43">
        <f t="shared" ref="L17" si="6">H17-K17</f>
        <v>10024</v>
      </c>
      <c r="M17" s="43">
        <f t="shared" ref="M17" si="7">H17/1000*70</f>
        <v>703.5</v>
      </c>
      <c r="N17" s="42">
        <v>25300</v>
      </c>
      <c r="O17" s="42">
        <v>1</v>
      </c>
      <c r="P17" s="42">
        <f t="shared" ref="P17" si="8">L17*O17</f>
        <v>10024</v>
      </c>
    </row>
    <row r="19" spans="1:16">
      <c r="A19" s="374" t="s">
        <v>475</v>
      </c>
      <c r="B19" s="42" t="s">
        <v>19</v>
      </c>
      <c r="C19" s="42" t="s">
        <v>414</v>
      </c>
      <c r="D19" s="42" t="s">
        <v>16</v>
      </c>
      <c r="E19" s="42" t="s">
        <v>478</v>
      </c>
      <c r="F19" s="42">
        <v>807</v>
      </c>
      <c r="G19" s="42"/>
      <c r="H19" s="42">
        <v>12600</v>
      </c>
      <c r="I19" s="42">
        <v>226</v>
      </c>
      <c r="J19" s="42">
        <v>0.13</v>
      </c>
      <c r="K19" s="42">
        <f t="shared" ref="K19:K32" si="9">I19*J19</f>
        <v>29.380000000000003</v>
      </c>
      <c r="L19" s="43">
        <f t="shared" ref="L19:L32" si="10">H19-K19</f>
        <v>12570.62</v>
      </c>
      <c r="M19" s="43">
        <f t="shared" ref="M19:M32" si="11">H19/1000*70</f>
        <v>882</v>
      </c>
      <c r="N19" s="42">
        <v>28000</v>
      </c>
      <c r="O19" s="1">
        <v>1</v>
      </c>
    </row>
    <row r="20" spans="1:16">
      <c r="A20" s="374"/>
      <c r="B20" s="42" t="s">
        <v>19</v>
      </c>
      <c r="C20" s="42" t="s">
        <v>414</v>
      </c>
      <c r="D20" s="42" t="s">
        <v>16</v>
      </c>
      <c r="E20" s="42" t="s">
        <v>479</v>
      </c>
      <c r="F20" s="42">
        <v>802</v>
      </c>
      <c r="G20" s="42"/>
      <c r="H20" s="42">
        <v>17140</v>
      </c>
      <c r="I20" s="42">
        <v>305</v>
      </c>
      <c r="J20" s="42">
        <v>0.13</v>
      </c>
      <c r="K20" s="42">
        <f t="shared" si="9"/>
        <v>39.65</v>
      </c>
      <c r="L20" s="43">
        <f t="shared" si="10"/>
        <v>17100.349999999999</v>
      </c>
      <c r="M20" s="43">
        <f t="shared" si="11"/>
        <v>1199.8</v>
      </c>
      <c r="N20" s="42">
        <v>28000</v>
      </c>
      <c r="O20" s="1">
        <v>2</v>
      </c>
    </row>
    <row r="21" spans="1:16">
      <c r="A21" s="374"/>
      <c r="B21" s="42" t="s">
        <v>19</v>
      </c>
      <c r="C21" s="42" t="s">
        <v>414</v>
      </c>
      <c r="D21" s="42" t="s">
        <v>16</v>
      </c>
      <c r="E21" s="42" t="s">
        <v>480</v>
      </c>
      <c r="F21" s="42">
        <v>806</v>
      </c>
      <c r="G21" s="42"/>
      <c r="H21" s="42">
        <v>12060</v>
      </c>
      <c r="I21" s="42">
        <v>230</v>
      </c>
      <c r="J21" s="42">
        <v>0.13</v>
      </c>
      <c r="K21" s="42">
        <f t="shared" si="9"/>
        <v>29.900000000000002</v>
      </c>
      <c r="L21" s="43">
        <f t="shared" si="10"/>
        <v>12030.1</v>
      </c>
      <c r="M21" s="43">
        <f t="shared" si="11"/>
        <v>844.2</v>
      </c>
      <c r="N21" s="42">
        <v>28000</v>
      </c>
      <c r="O21" s="1">
        <v>3</v>
      </c>
    </row>
    <row r="22" spans="1:16">
      <c r="A22" s="374" t="s">
        <v>483</v>
      </c>
      <c r="B22" s="42" t="s">
        <v>19</v>
      </c>
      <c r="C22" s="42" t="s">
        <v>414</v>
      </c>
      <c r="D22" s="42" t="s">
        <v>16</v>
      </c>
      <c r="E22" s="42" t="s">
        <v>489</v>
      </c>
      <c r="F22" s="42">
        <v>315</v>
      </c>
      <c r="G22" s="42"/>
      <c r="H22" s="42">
        <v>17520</v>
      </c>
      <c r="I22" s="42">
        <v>315</v>
      </c>
      <c r="J22" s="42">
        <v>0.13</v>
      </c>
      <c r="K22" s="43">
        <f t="shared" si="9"/>
        <v>40.950000000000003</v>
      </c>
      <c r="L22" s="43">
        <f t="shared" si="10"/>
        <v>17479.05</v>
      </c>
      <c r="M22" s="43">
        <f t="shared" si="11"/>
        <v>1226.3999999999999</v>
      </c>
      <c r="N22" s="42">
        <v>28000</v>
      </c>
      <c r="O22" s="1">
        <v>4</v>
      </c>
    </row>
    <row r="23" spans="1:16">
      <c r="A23" s="374"/>
      <c r="B23" s="42" t="s">
        <v>19</v>
      </c>
      <c r="C23" s="42" t="s">
        <v>414</v>
      </c>
      <c r="D23" s="42" t="s">
        <v>16</v>
      </c>
      <c r="E23" s="42" t="s">
        <v>490</v>
      </c>
      <c r="F23" s="42">
        <v>624</v>
      </c>
      <c r="G23" s="42"/>
      <c r="H23" s="42">
        <v>17030</v>
      </c>
      <c r="I23" s="42">
        <v>316</v>
      </c>
      <c r="J23" s="42">
        <v>0.13</v>
      </c>
      <c r="K23" s="42">
        <f t="shared" si="9"/>
        <v>41.08</v>
      </c>
      <c r="L23" s="43">
        <f t="shared" si="10"/>
        <v>16988.919999999998</v>
      </c>
      <c r="M23" s="43">
        <f t="shared" si="11"/>
        <v>1192.1000000000001</v>
      </c>
      <c r="N23" s="42">
        <v>28000</v>
      </c>
      <c r="O23" s="1">
        <v>5</v>
      </c>
    </row>
    <row r="24" spans="1:16">
      <c r="A24" s="375" t="s">
        <v>491</v>
      </c>
      <c r="B24" s="42" t="s">
        <v>19</v>
      </c>
      <c r="C24" s="42" t="s">
        <v>414</v>
      </c>
      <c r="D24" s="42" t="s">
        <v>16</v>
      </c>
      <c r="E24" s="42" t="s">
        <v>496</v>
      </c>
      <c r="F24" s="42">
        <v>630</v>
      </c>
      <c r="G24" s="42"/>
      <c r="H24" s="42">
        <v>16950</v>
      </c>
      <c r="I24" s="42">
        <v>310</v>
      </c>
      <c r="J24" s="42">
        <v>0.13</v>
      </c>
      <c r="K24" s="43">
        <f t="shared" si="9"/>
        <v>40.300000000000004</v>
      </c>
      <c r="L24" s="43">
        <f t="shared" si="10"/>
        <v>16909.7</v>
      </c>
      <c r="M24" s="43">
        <f t="shared" si="11"/>
        <v>1186.5</v>
      </c>
      <c r="N24" s="42">
        <v>29000</v>
      </c>
      <c r="O24" s="1">
        <v>6</v>
      </c>
    </row>
    <row r="25" spans="1:16">
      <c r="A25" s="375"/>
      <c r="B25" s="42" t="s">
        <v>19</v>
      </c>
      <c r="C25" s="42" t="s">
        <v>414</v>
      </c>
      <c r="D25" s="42" t="s">
        <v>16</v>
      </c>
      <c r="E25" s="42" t="s">
        <v>497</v>
      </c>
      <c r="F25" s="42">
        <v>633</v>
      </c>
      <c r="G25" s="42"/>
      <c r="H25" s="42">
        <v>17410</v>
      </c>
      <c r="I25" s="42">
        <v>300</v>
      </c>
      <c r="J25" s="42">
        <v>0.13</v>
      </c>
      <c r="K25" s="42">
        <f t="shared" si="9"/>
        <v>39</v>
      </c>
      <c r="L25" s="43">
        <f t="shared" si="10"/>
        <v>17371</v>
      </c>
      <c r="M25" s="43">
        <f t="shared" si="11"/>
        <v>1218.7</v>
      </c>
      <c r="N25" s="42">
        <v>29000</v>
      </c>
      <c r="O25" s="1">
        <v>7</v>
      </c>
    </row>
    <row r="26" spans="1:16">
      <c r="A26" s="375"/>
      <c r="B26" s="42" t="s">
        <v>19</v>
      </c>
      <c r="C26" s="42" t="s">
        <v>414</v>
      </c>
      <c r="D26" s="42" t="s">
        <v>16</v>
      </c>
      <c r="E26" s="42" t="s">
        <v>498</v>
      </c>
      <c r="F26" s="42">
        <v>629</v>
      </c>
      <c r="G26" s="42"/>
      <c r="H26" s="42">
        <v>16960</v>
      </c>
      <c r="I26" s="42">
        <v>306</v>
      </c>
      <c r="J26" s="42">
        <v>0.13</v>
      </c>
      <c r="K26" s="43">
        <f t="shared" si="9"/>
        <v>39.78</v>
      </c>
      <c r="L26" s="43">
        <f t="shared" si="10"/>
        <v>16920.22</v>
      </c>
      <c r="M26" s="43">
        <f t="shared" si="11"/>
        <v>1187.2</v>
      </c>
      <c r="N26" s="42">
        <v>29000</v>
      </c>
      <c r="O26" s="1">
        <v>8</v>
      </c>
    </row>
    <row r="27" spans="1:16">
      <c r="A27" s="375"/>
      <c r="B27" s="42" t="s">
        <v>19</v>
      </c>
      <c r="C27" s="42" t="s">
        <v>414</v>
      </c>
      <c r="D27" s="42" t="s">
        <v>16</v>
      </c>
      <c r="E27" s="42" t="s">
        <v>499</v>
      </c>
      <c r="F27" s="42">
        <v>626</v>
      </c>
      <c r="G27" s="42"/>
      <c r="H27" s="42">
        <v>17290</v>
      </c>
      <c r="I27" s="42">
        <v>320</v>
      </c>
      <c r="J27" s="42">
        <v>0.13</v>
      </c>
      <c r="K27" s="43">
        <f t="shared" si="9"/>
        <v>41.6</v>
      </c>
      <c r="L27" s="43">
        <f t="shared" si="10"/>
        <v>17248.400000000001</v>
      </c>
      <c r="M27" s="43">
        <f t="shared" si="11"/>
        <v>1210.3</v>
      </c>
      <c r="N27" s="42">
        <v>29000</v>
      </c>
      <c r="O27" s="1">
        <v>9</v>
      </c>
    </row>
    <row r="28" spans="1:16">
      <c r="A28" s="375"/>
      <c r="B28" s="42" t="s">
        <v>19</v>
      </c>
      <c r="C28" s="42" t="s">
        <v>414</v>
      </c>
      <c r="D28" s="42" t="s">
        <v>16</v>
      </c>
      <c r="E28" s="42" t="s">
        <v>500</v>
      </c>
      <c r="F28" s="42">
        <v>628</v>
      </c>
      <c r="G28" s="42"/>
      <c r="H28" s="42">
        <v>18430</v>
      </c>
      <c r="I28" s="42">
        <v>331</v>
      </c>
      <c r="J28" s="42">
        <v>0.13</v>
      </c>
      <c r="K28" s="43">
        <f t="shared" si="9"/>
        <v>43.03</v>
      </c>
      <c r="L28" s="43">
        <f t="shared" si="10"/>
        <v>18386.97</v>
      </c>
      <c r="M28" s="43">
        <f t="shared" si="11"/>
        <v>1290.0999999999999</v>
      </c>
      <c r="N28" s="42">
        <v>32000</v>
      </c>
      <c r="O28" s="1">
        <v>10</v>
      </c>
    </row>
    <row r="29" spans="1:16">
      <c r="A29" s="375"/>
      <c r="B29" s="42" t="s">
        <v>19</v>
      </c>
      <c r="C29" s="42" t="s">
        <v>414</v>
      </c>
      <c r="D29" s="42" t="s">
        <v>16</v>
      </c>
      <c r="E29" s="42" t="s">
        <v>501</v>
      </c>
      <c r="F29" s="42">
        <v>625</v>
      </c>
      <c r="G29" s="42"/>
      <c r="H29" s="42">
        <v>17350</v>
      </c>
      <c r="I29" s="42">
        <v>318</v>
      </c>
      <c r="J29" s="42">
        <v>0.13</v>
      </c>
      <c r="K29" s="42">
        <f t="shared" si="9"/>
        <v>41.34</v>
      </c>
      <c r="L29" s="43">
        <f t="shared" si="10"/>
        <v>17308.66</v>
      </c>
      <c r="M29" s="43">
        <f t="shared" si="11"/>
        <v>1214.5</v>
      </c>
      <c r="N29" s="42">
        <v>29000</v>
      </c>
      <c r="O29" s="1">
        <v>11</v>
      </c>
    </row>
    <row r="30" spans="1:16">
      <c r="A30" s="375" t="s">
        <v>502</v>
      </c>
      <c r="B30" s="42" t="s">
        <v>19</v>
      </c>
      <c r="C30" s="42" t="s">
        <v>414</v>
      </c>
      <c r="D30" s="42" t="s">
        <v>16</v>
      </c>
      <c r="E30" s="42" t="s">
        <v>508</v>
      </c>
      <c r="F30" s="42">
        <v>631</v>
      </c>
      <c r="G30" s="42"/>
      <c r="H30" s="42">
        <v>16880</v>
      </c>
      <c r="I30" s="42">
        <v>320</v>
      </c>
      <c r="J30" s="42">
        <v>0.13</v>
      </c>
      <c r="K30" s="43">
        <f t="shared" si="9"/>
        <v>41.6</v>
      </c>
      <c r="L30" s="43">
        <f t="shared" si="10"/>
        <v>16838.400000000001</v>
      </c>
      <c r="M30" s="43">
        <f t="shared" si="11"/>
        <v>1181.5999999999999</v>
      </c>
      <c r="N30" s="42">
        <v>29000</v>
      </c>
      <c r="O30" s="1">
        <v>12</v>
      </c>
    </row>
    <row r="31" spans="1:16">
      <c r="A31" s="375"/>
      <c r="B31" s="42" t="s">
        <v>19</v>
      </c>
      <c r="C31" s="42" t="s">
        <v>414</v>
      </c>
      <c r="D31" s="42" t="s">
        <v>16</v>
      </c>
      <c r="E31" s="42" t="s">
        <v>509</v>
      </c>
      <c r="F31" s="42">
        <v>632</v>
      </c>
      <c r="G31" s="42"/>
      <c r="H31" s="42">
        <v>17250</v>
      </c>
      <c r="I31" s="42">
        <v>310</v>
      </c>
      <c r="J31" s="42">
        <v>0.13</v>
      </c>
      <c r="K31" s="43">
        <f t="shared" si="9"/>
        <v>40.300000000000004</v>
      </c>
      <c r="L31" s="43">
        <f t="shared" si="10"/>
        <v>17209.7</v>
      </c>
      <c r="M31" s="43">
        <f t="shared" si="11"/>
        <v>1207.5</v>
      </c>
      <c r="N31" s="42">
        <v>29000</v>
      </c>
      <c r="O31" s="1">
        <v>13</v>
      </c>
    </row>
    <row r="32" spans="1:16">
      <c r="A32" s="375"/>
      <c r="B32" s="42" t="s">
        <v>19</v>
      </c>
      <c r="C32" s="42" t="s">
        <v>414</v>
      </c>
      <c r="D32" s="42" t="s">
        <v>16</v>
      </c>
      <c r="E32" s="42" t="s">
        <v>510</v>
      </c>
      <c r="F32" s="42">
        <v>814</v>
      </c>
      <c r="G32" s="42"/>
      <c r="H32" s="42">
        <v>3310</v>
      </c>
      <c r="I32" s="42">
        <v>63</v>
      </c>
      <c r="J32" s="42">
        <v>0.13</v>
      </c>
      <c r="K32" s="42">
        <f t="shared" si="9"/>
        <v>8.19</v>
      </c>
      <c r="L32" s="43">
        <f t="shared" si="10"/>
        <v>3301.81</v>
      </c>
      <c r="M32" s="43">
        <f t="shared" si="11"/>
        <v>231.70000000000002</v>
      </c>
      <c r="N32" s="42">
        <v>27000</v>
      </c>
      <c r="O32" s="1">
        <v>14</v>
      </c>
    </row>
    <row r="35" spans="1:19">
      <c r="A35" s="374" t="s">
        <v>542</v>
      </c>
      <c r="B35" s="42" t="s">
        <v>19</v>
      </c>
      <c r="C35" s="42" t="s">
        <v>414</v>
      </c>
      <c r="D35" s="42" t="s">
        <v>16</v>
      </c>
      <c r="E35" s="42" t="s">
        <v>547</v>
      </c>
      <c r="F35" s="47">
        <v>787</v>
      </c>
      <c r="G35" s="47"/>
      <c r="H35" s="47">
        <v>17610</v>
      </c>
      <c r="I35" s="47">
        <v>300</v>
      </c>
      <c r="J35" s="47">
        <v>0.13</v>
      </c>
      <c r="K35" s="43">
        <f t="shared" ref="K35:K37" si="12">I35*J35</f>
        <v>39</v>
      </c>
      <c r="L35" s="43">
        <f t="shared" ref="L35:L37" si="13">H35-K35</f>
        <v>17571</v>
      </c>
      <c r="M35" s="43">
        <f t="shared" ref="M35:M37" si="14">H35/1000*70</f>
        <v>1232.7</v>
      </c>
      <c r="N35" s="47">
        <v>39500</v>
      </c>
      <c r="O35" s="21">
        <v>15</v>
      </c>
    </row>
    <row r="36" spans="1:19">
      <c r="A36" s="374"/>
      <c r="B36" s="42" t="s">
        <v>19</v>
      </c>
      <c r="C36" s="42" t="s">
        <v>414</v>
      </c>
      <c r="D36" s="42" t="s">
        <v>16</v>
      </c>
      <c r="E36" s="42" t="s">
        <v>548</v>
      </c>
      <c r="F36" s="42">
        <v>788</v>
      </c>
      <c r="G36" s="42"/>
      <c r="H36" s="42">
        <v>17120</v>
      </c>
      <c r="I36" s="42">
        <v>300</v>
      </c>
      <c r="J36" s="42">
        <v>0.13</v>
      </c>
      <c r="K36" s="43">
        <f t="shared" si="12"/>
        <v>39</v>
      </c>
      <c r="L36" s="43">
        <f t="shared" si="13"/>
        <v>17081</v>
      </c>
      <c r="M36" s="43">
        <f t="shared" si="14"/>
        <v>1198.4000000000001</v>
      </c>
      <c r="N36" s="42">
        <v>39500</v>
      </c>
      <c r="O36" s="21">
        <v>16</v>
      </c>
    </row>
    <row r="37" spans="1:19">
      <c r="A37" s="1" t="s">
        <v>520</v>
      </c>
      <c r="B37" s="42" t="s">
        <v>19</v>
      </c>
      <c r="C37" s="42" t="s">
        <v>414</v>
      </c>
      <c r="D37" s="42" t="s">
        <v>16</v>
      </c>
      <c r="E37" s="42" t="s">
        <v>556</v>
      </c>
      <c r="F37" s="42">
        <v>789</v>
      </c>
      <c r="G37" s="42"/>
      <c r="H37" s="42">
        <v>16870</v>
      </c>
      <c r="I37" s="42">
        <v>306</v>
      </c>
      <c r="J37" s="42">
        <v>0.13</v>
      </c>
      <c r="K37" s="43">
        <f t="shared" si="12"/>
        <v>39.78</v>
      </c>
      <c r="L37" s="43">
        <f t="shared" si="13"/>
        <v>16830.22</v>
      </c>
      <c r="M37" s="43">
        <f t="shared" si="14"/>
        <v>1180.9000000000001</v>
      </c>
      <c r="N37" s="42">
        <v>39500</v>
      </c>
      <c r="O37" s="21">
        <v>17</v>
      </c>
    </row>
    <row r="38" spans="1:19">
      <c r="I38" s="1">
        <f>SUM(I19:I37)</f>
        <v>4876</v>
      </c>
      <c r="L38" s="16">
        <f>SUM(L19:L37)</f>
        <v>269146.12</v>
      </c>
      <c r="M38" s="16">
        <f t="shared" ref="M38:N38" si="15">SUM(M19:M37)</f>
        <v>18884.600000000002</v>
      </c>
      <c r="N38" s="16">
        <f t="shared" si="15"/>
        <v>520500</v>
      </c>
    </row>
    <row r="43" spans="1:19">
      <c r="A43" s="374" t="s">
        <v>3988</v>
      </c>
      <c r="B43" s="347" t="s">
        <v>3667</v>
      </c>
      <c r="C43" s="347" t="s">
        <v>414</v>
      </c>
      <c r="D43" s="42" t="s">
        <v>16</v>
      </c>
      <c r="E43" s="347" t="s">
        <v>3991</v>
      </c>
      <c r="F43" s="347">
        <v>26846</v>
      </c>
      <c r="G43" s="347"/>
      <c r="H43" s="347">
        <v>12460</v>
      </c>
      <c r="I43" s="347">
        <v>185</v>
      </c>
      <c r="J43" s="347">
        <v>0.13</v>
      </c>
      <c r="K43" s="43">
        <f t="shared" ref="K43:K63" si="16">I43*J43</f>
        <v>24.05</v>
      </c>
      <c r="L43" s="43">
        <f t="shared" ref="L43:L63" si="17">H43-K43</f>
        <v>12435.95</v>
      </c>
      <c r="M43" s="43"/>
      <c r="N43" s="43">
        <f t="shared" ref="N43:N63" si="18">L43-M43</f>
        <v>12435.95</v>
      </c>
      <c r="O43" s="43">
        <f t="shared" ref="O43:O63" si="19">H43/1000*70</f>
        <v>872.2</v>
      </c>
      <c r="P43" s="42">
        <v>0</v>
      </c>
      <c r="Q43" s="42"/>
      <c r="R43" s="42">
        <f t="shared" ref="R43:R63" si="20">L43*Q43</f>
        <v>0</v>
      </c>
      <c r="S43" s="85">
        <v>1</v>
      </c>
    </row>
    <row r="44" spans="1:19">
      <c r="A44" s="374"/>
      <c r="B44" s="347" t="s">
        <v>3667</v>
      </c>
      <c r="C44" s="347" t="s">
        <v>414</v>
      </c>
      <c r="D44" s="42" t="s">
        <v>16</v>
      </c>
      <c r="E44" s="347" t="s">
        <v>3690</v>
      </c>
      <c r="F44" s="347">
        <v>26845</v>
      </c>
      <c r="G44" s="347"/>
      <c r="H44" s="347">
        <v>12600</v>
      </c>
      <c r="I44" s="347">
        <v>187</v>
      </c>
      <c r="J44" s="347">
        <v>0.13</v>
      </c>
      <c r="K44" s="43">
        <f t="shared" si="16"/>
        <v>24.310000000000002</v>
      </c>
      <c r="L44" s="43">
        <f t="shared" si="17"/>
        <v>12575.69</v>
      </c>
      <c r="M44" s="43"/>
      <c r="N44" s="43">
        <f t="shared" si="18"/>
        <v>12575.69</v>
      </c>
      <c r="O44" s="43">
        <f t="shared" si="19"/>
        <v>882</v>
      </c>
      <c r="P44" s="42">
        <v>0</v>
      </c>
      <c r="Q44" s="42"/>
      <c r="R44" s="42">
        <f t="shared" si="20"/>
        <v>0</v>
      </c>
      <c r="S44" s="85">
        <v>2</v>
      </c>
    </row>
    <row r="45" spans="1:19">
      <c r="A45" s="374"/>
      <c r="B45" s="347" t="s">
        <v>3667</v>
      </c>
      <c r="C45" s="347" t="s">
        <v>414</v>
      </c>
      <c r="D45" s="42" t="s">
        <v>16</v>
      </c>
      <c r="E45" s="347" t="s">
        <v>3992</v>
      </c>
      <c r="F45" s="347">
        <v>26839</v>
      </c>
      <c r="G45" s="347"/>
      <c r="H45" s="347">
        <v>12680</v>
      </c>
      <c r="I45" s="347">
        <v>198</v>
      </c>
      <c r="J45" s="347">
        <v>0.13</v>
      </c>
      <c r="K45" s="43">
        <f t="shared" si="16"/>
        <v>25.740000000000002</v>
      </c>
      <c r="L45" s="43">
        <f t="shared" si="17"/>
        <v>12654.26</v>
      </c>
      <c r="M45" s="43"/>
      <c r="N45" s="43">
        <f t="shared" si="18"/>
        <v>12654.26</v>
      </c>
      <c r="O45" s="43">
        <f t="shared" si="19"/>
        <v>887.6</v>
      </c>
      <c r="P45" s="42">
        <v>0</v>
      </c>
      <c r="Q45" s="42"/>
      <c r="R45" s="42">
        <f t="shared" si="20"/>
        <v>0</v>
      </c>
      <c r="S45" s="85">
        <v>3</v>
      </c>
    </row>
    <row r="46" spans="1:19">
      <c r="A46" s="374"/>
      <c r="B46" s="347" t="s">
        <v>3667</v>
      </c>
      <c r="C46" s="347" t="s">
        <v>414</v>
      </c>
      <c r="D46" s="42" t="s">
        <v>16</v>
      </c>
      <c r="E46" s="347" t="s">
        <v>3993</v>
      </c>
      <c r="F46" s="347">
        <v>26841</v>
      </c>
      <c r="G46" s="347"/>
      <c r="H46" s="347">
        <v>12650</v>
      </c>
      <c r="I46" s="347">
        <v>191</v>
      </c>
      <c r="J46" s="347">
        <v>0.13</v>
      </c>
      <c r="K46" s="43">
        <f t="shared" si="16"/>
        <v>24.830000000000002</v>
      </c>
      <c r="L46" s="43">
        <f t="shared" si="17"/>
        <v>12625.17</v>
      </c>
      <c r="M46" s="43"/>
      <c r="N46" s="43">
        <f t="shared" si="18"/>
        <v>12625.17</v>
      </c>
      <c r="O46" s="43">
        <f t="shared" si="19"/>
        <v>885.5</v>
      </c>
      <c r="P46" s="42">
        <v>0</v>
      </c>
      <c r="Q46" s="42"/>
      <c r="R46" s="42">
        <f t="shared" si="20"/>
        <v>0</v>
      </c>
      <c r="S46" s="85">
        <v>4</v>
      </c>
    </row>
    <row r="47" spans="1:19">
      <c r="A47" s="374"/>
      <c r="B47" s="347" t="s">
        <v>3667</v>
      </c>
      <c r="C47" s="347" t="s">
        <v>414</v>
      </c>
      <c r="D47" s="42" t="s">
        <v>16</v>
      </c>
      <c r="E47" s="347" t="s">
        <v>3691</v>
      </c>
      <c r="F47" s="347">
        <v>26840</v>
      </c>
      <c r="G47" s="347"/>
      <c r="H47" s="347">
        <v>12710</v>
      </c>
      <c r="I47" s="347">
        <v>196</v>
      </c>
      <c r="J47" s="347">
        <v>0.13</v>
      </c>
      <c r="K47" s="43">
        <f t="shared" si="16"/>
        <v>25.48</v>
      </c>
      <c r="L47" s="43">
        <f t="shared" si="17"/>
        <v>12684.52</v>
      </c>
      <c r="M47" s="43"/>
      <c r="N47" s="43">
        <f t="shared" si="18"/>
        <v>12684.52</v>
      </c>
      <c r="O47" s="43">
        <f t="shared" si="19"/>
        <v>889.7</v>
      </c>
      <c r="P47" s="42">
        <v>0</v>
      </c>
      <c r="Q47" s="42"/>
      <c r="R47" s="42">
        <f t="shared" si="20"/>
        <v>0</v>
      </c>
      <c r="S47" s="85">
        <v>5</v>
      </c>
    </row>
    <row r="48" spans="1:19">
      <c r="A48" s="374"/>
      <c r="B48" s="347" t="s">
        <v>3667</v>
      </c>
      <c r="C48" s="347" t="s">
        <v>414</v>
      </c>
      <c r="D48" s="42" t="s">
        <v>16</v>
      </c>
      <c r="E48" s="347" t="s">
        <v>3915</v>
      </c>
      <c r="F48" s="347">
        <v>26838</v>
      </c>
      <c r="G48" s="347"/>
      <c r="H48" s="347">
        <v>12810</v>
      </c>
      <c r="I48" s="347">
        <v>195</v>
      </c>
      <c r="J48" s="347">
        <v>0.13</v>
      </c>
      <c r="K48" s="43">
        <f t="shared" si="16"/>
        <v>25.35</v>
      </c>
      <c r="L48" s="43">
        <f t="shared" si="17"/>
        <v>12784.65</v>
      </c>
      <c r="M48" s="43"/>
      <c r="N48" s="43">
        <f t="shared" si="18"/>
        <v>12784.65</v>
      </c>
      <c r="O48" s="43">
        <f t="shared" si="19"/>
        <v>896.7</v>
      </c>
      <c r="P48" s="42">
        <v>0</v>
      </c>
      <c r="Q48" s="42"/>
      <c r="R48" s="42">
        <f t="shared" si="20"/>
        <v>0</v>
      </c>
      <c r="S48" s="85">
        <v>6</v>
      </c>
    </row>
    <row r="49" spans="1:19">
      <c r="A49" s="374"/>
      <c r="B49" s="347" t="s">
        <v>3667</v>
      </c>
      <c r="C49" s="347" t="s">
        <v>414</v>
      </c>
      <c r="D49" s="42" t="s">
        <v>16</v>
      </c>
      <c r="E49" s="347" t="s">
        <v>3553</v>
      </c>
      <c r="F49" s="347">
        <v>26843</v>
      </c>
      <c r="G49" s="347"/>
      <c r="H49" s="347">
        <v>12510</v>
      </c>
      <c r="I49" s="347">
        <v>193</v>
      </c>
      <c r="J49" s="347">
        <v>0.13</v>
      </c>
      <c r="K49" s="43">
        <f t="shared" si="16"/>
        <v>25.09</v>
      </c>
      <c r="L49" s="43">
        <f t="shared" si="17"/>
        <v>12484.91</v>
      </c>
      <c r="M49" s="43"/>
      <c r="N49" s="43">
        <f t="shared" si="18"/>
        <v>12484.91</v>
      </c>
      <c r="O49" s="43">
        <f t="shared" si="19"/>
        <v>875.69999999999993</v>
      </c>
      <c r="P49" s="42">
        <v>0</v>
      </c>
      <c r="Q49" s="42"/>
      <c r="R49" s="42">
        <f t="shared" si="20"/>
        <v>0</v>
      </c>
      <c r="S49" s="85">
        <v>7</v>
      </c>
    </row>
    <row r="50" spans="1:19">
      <c r="A50" s="374"/>
      <c r="B50" s="347" t="s">
        <v>3667</v>
      </c>
      <c r="C50" s="347" t="s">
        <v>414</v>
      </c>
      <c r="D50" s="42" t="s">
        <v>16</v>
      </c>
      <c r="E50" s="347" t="s">
        <v>3994</v>
      </c>
      <c r="F50" s="347">
        <v>26842</v>
      </c>
      <c r="G50" s="347"/>
      <c r="H50" s="347">
        <v>12540</v>
      </c>
      <c r="I50" s="347">
        <v>188</v>
      </c>
      <c r="J50" s="347">
        <v>0.13</v>
      </c>
      <c r="K50" s="43">
        <f t="shared" si="16"/>
        <v>24.44</v>
      </c>
      <c r="L50" s="43">
        <f t="shared" si="17"/>
        <v>12515.56</v>
      </c>
      <c r="M50" s="43"/>
      <c r="N50" s="43">
        <f t="shared" si="18"/>
        <v>12515.56</v>
      </c>
      <c r="O50" s="43">
        <f t="shared" si="19"/>
        <v>877.8</v>
      </c>
      <c r="P50" s="42">
        <v>0</v>
      </c>
      <c r="Q50" s="42"/>
      <c r="R50" s="42">
        <f t="shared" si="20"/>
        <v>0</v>
      </c>
      <c r="S50" s="85">
        <v>8</v>
      </c>
    </row>
    <row r="51" spans="1:19">
      <c r="A51" s="374" t="s">
        <v>3995</v>
      </c>
      <c r="B51" s="348" t="s">
        <v>3667</v>
      </c>
      <c r="C51" s="348" t="s">
        <v>414</v>
      </c>
      <c r="D51" s="42" t="s">
        <v>16</v>
      </c>
      <c r="E51" s="348" t="s">
        <v>4001</v>
      </c>
      <c r="F51" s="348">
        <v>26844</v>
      </c>
      <c r="G51" s="348"/>
      <c r="H51" s="348">
        <v>12500</v>
      </c>
      <c r="I51" s="348">
        <v>192</v>
      </c>
      <c r="J51" s="348">
        <v>0.13</v>
      </c>
      <c r="K51" s="43">
        <f t="shared" si="16"/>
        <v>24.96</v>
      </c>
      <c r="L51" s="43">
        <f t="shared" si="17"/>
        <v>12475.04</v>
      </c>
      <c r="M51" s="43"/>
      <c r="N51" s="43">
        <f t="shared" si="18"/>
        <v>12475.04</v>
      </c>
      <c r="O51" s="43">
        <f t="shared" si="19"/>
        <v>875</v>
      </c>
      <c r="P51" s="42">
        <v>0</v>
      </c>
      <c r="Q51" s="42"/>
      <c r="R51" s="42">
        <f t="shared" si="20"/>
        <v>0</v>
      </c>
      <c r="S51" s="85">
        <v>9</v>
      </c>
    </row>
    <row r="52" spans="1:19">
      <c r="A52" s="374"/>
      <c r="B52" s="348" t="s">
        <v>3667</v>
      </c>
      <c r="C52" s="348" t="s">
        <v>414</v>
      </c>
      <c r="D52" s="42" t="s">
        <v>16</v>
      </c>
      <c r="E52" s="348" t="s">
        <v>4002</v>
      </c>
      <c r="F52" s="348">
        <v>26837</v>
      </c>
      <c r="G52" s="348"/>
      <c r="H52" s="348">
        <v>12700</v>
      </c>
      <c r="I52" s="348">
        <v>190</v>
      </c>
      <c r="J52" s="348">
        <v>0.13</v>
      </c>
      <c r="K52" s="43">
        <f t="shared" si="16"/>
        <v>24.7</v>
      </c>
      <c r="L52" s="43">
        <f t="shared" si="17"/>
        <v>12675.3</v>
      </c>
      <c r="M52" s="43"/>
      <c r="N52" s="43">
        <f t="shared" si="18"/>
        <v>12675.3</v>
      </c>
      <c r="O52" s="43">
        <f t="shared" si="19"/>
        <v>889</v>
      </c>
      <c r="P52" s="42">
        <v>0</v>
      </c>
      <c r="Q52" s="42"/>
      <c r="R52" s="42">
        <f t="shared" si="20"/>
        <v>0</v>
      </c>
      <c r="S52" s="85">
        <v>10</v>
      </c>
    </row>
    <row r="53" spans="1:19">
      <c r="A53" s="374"/>
      <c r="B53" s="348" t="s">
        <v>3667</v>
      </c>
      <c r="C53" s="348" t="s">
        <v>414</v>
      </c>
      <c r="D53" s="42" t="s">
        <v>16</v>
      </c>
      <c r="E53" s="348" t="s">
        <v>4003</v>
      </c>
      <c r="F53" s="348">
        <v>26852</v>
      </c>
      <c r="G53" s="348"/>
      <c r="H53" s="348">
        <v>12650</v>
      </c>
      <c r="I53" s="348">
        <v>230</v>
      </c>
      <c r="J53" s="348">
        <v>0.13</v>
      </c>
      <c r="K53" s="43">
        <f t="shared" si="16"/>
        <v>29.900000000000002</v>
      </c>
      <c r="L53" s="43">
        <f t="shared" si="17"/>
        <v>12620.1</v>
      </c>
      <c r="M53" s="43"/>
      <c r="N53" s="43">
        <f t="shared" si="18"/>
        <v>12620.1</v>
      </c>
      <c r="O53" s="43">
        <f t="shared" si="19"/>
        <v>885.5</v>
      </c>
      <c r="P53" s="42">
        <v>0</v>
      </c>
      <c r="Q53" s="42"/>
      <c r="R53" s="42">
        <f t="shared" si="20"/>
        <v>0</v>
      </c>
      <c r="S53" s="85">
        <v>11</v>
      </c>
    </row>
    <row r="54" spans="1:19">
      <c r="A54" s="374"/>
      <c r="B54" s="348" t="s">
        <v>3667</v>
      </c>
      <c r="C54" s="348" t="s">
        <v>414</v>
      </c>
      <c r="D54" s="42" t="s">
        <v>16</v>
      </c>
      <c r="E54" s="348" t="s">
        <v>3689</v>
      </c>
      <c r="F54" s="348">
        <v>26836</v>
      </c>
      <c r="G54" s="348"/>
      <c r="H54" s="348">
        <v>12440</v>
      </c>
      <c r="I54" s="348">
        <v>191</v>
      </c>
      <c r="J54" s="348">
        <v>0.13</v>
      </c>
      <c r="K54" s="43">
        <f t="shared" si="16"/>
        <v>24.830000000000002</v>
      </c>
      <c r="L54" s="43">
        <f t="shared" si="17"/>
        <v>12415.17</v>
      </c>
      <c r="M54" s="43"/>
      <c r="N54" s="43">
        <f t="shared" si="18"/>
        <v>12415.17</v>
      </c>
      <c r="O54" s="43">
        <f t="shared" si="19"/>
        <v>870.8</v>
      </c>
      <c r="P54" s="42">
        <v>0</v>
      </c>
      <c r="Q54" s="42"/>
      <c r="R54" s="42">
        <f t="shared" si="20"/>
        <v>0</v>
      </c>
      <c r="S54" s="85">
        <v>12</v>
      </c>
    </row>
    <row r="55" spans="1:19">
      <c r="A55" s="374"/>
      <c r="B55" s="348" t="s">
        <v>3667</v>
      </c>
      <c r="C55" s="348" t="s">
        <v>414</v>
      </c>
      <c r="D55" s="42" t="s">
        <v>16</v>
      </c>
      <c r="E55" s="348" t="s">
        <v>4004</v>
      </c>
      <c r="F55" s="348">
        <v>26847</v>
      </c>
      <c r="G55" s="348"/>
      <c r="H55" s="348">
        <v>12600</v>
      </c>
      <c r="I55" s="348">
        <v>190</v>
      </c>
      <c r="J55" s="348">
        <v>0.13</v>
      </c>
      <c r="K55" s="43">
        <f t="shared" si="16"/>
        <v>24.7</v>
      </c>
      <c r="L55" s="43">
        <f t="shared" si="17"/>
        <v>12575.3</v>
      </c>
      <c r="M55" s="43"/>
      <c r="N55" s="43">
        <f t="shared" si="18"/>
        <v>12575.3</v>
      </c>
      <c r="O55" s="43">
        <f t="shared" si="19"/>
        <v>882</v>
      </c>
      <c r="P55" s="42">
        <v>0</v>
      </c>
      <c r="Q55" s="42"/>
      <c r="R55" s="42">
        <f t="shared" si="20"/>
        <v>0</v>
      </c>
      <c r="S55" s="85">
        <v>13</v>
      </c>
    </row>
    <row r="56" spans="1:19">
      <c r="A56" s="374"/>
      <c r="B56" s="348" t="s">
        <v>3667</v>
      </c>
      <c r="C56" s="348" t="s">
        <v>414</v>
      </c>
      <c r="D56" s="42" t="s">
        <v>16</v>
      </c>
      <c r="E56" s="348" t="s">
        <v>4005</v>
      </c>
      <c r="F56" s="348">
        <v>26849</v>
      </c>
      <c r="G56" s="348"/>
      <c r="H56" s="348">
        <v>12720</v>
      </c>
      <c r="I56" s="348">
        <v>191</v>
      </c>
      <c r="J56" s="348">
        <v>0.13</v>
      </c>
      <c r="K56" s="43">
        <f t="shared" si="16"/>
        <v>24.830000000000002</v>
      </c>
      <c r="L56" s="43">
        <f t="shared" si="17"/>
        <v>12695.17</v>
      </c>
      <c r="M56" s="43"/>
      <c r="N56" s="43">
        <f t="shared" si="18"/>
        <v>12695.17</v>
      </c>
      <c r="O56" s="43">
        <f t="shared" si="19"/>
        <v>890.40000000000009</v>
      </c>
      <c r="P56" s="42">
        <v>0</v>
      </c>
      <c r="Q56" s="42"/>
      <c r="R56" s="42">
        <f t="shared" si="20"/>
        <v>0</v>
      </c>
      <c r="S56" s="85">
        <v>14</v>
      </c>
    </row>
    <row r="57" spans="1:19">
      <c r="A57" s="374"/>
      <c r="B57" s="348" t="s">
        <v>3667</v>
      </c>
      <c r="C57" s="348" t="s">
        <v>414</v>
      </c>
      <c r="D57" s="42" t="s">
        <v>16</v>
      </c>
      <c r="E57" s="348" t="s">
        <v>3923</v>
      </c>
      <c r="F57" s="348">
        <v>26853</v>
      </c>
      <c r="G57" s="348"/>
      <c r="H57" s="348">
        <v>12490</v>
      </c>
      <c r="I57" s="348">
        <v>175</v>
      </c>
      <c r="J57" s="348">
        <v>0.13</v>
      </c>
      <c r="K57" s="43">
        <f t="shared" si="16"/>
        <v>22.75</v>
      </c>
      <c r="L57" s="43">
        <f t="shared" si="17"/>
        <v>12467.25</v>
      </c>
      <c r="M57" s="43"/>
      <c r="N57" s="43">
        <f t="shared" si="18"/>
        <v>12467.25</v>
      </c>
      <c r="O57" s="43">
        <f t="shared" si="19"/>
        <v>874.30000000000007</v>
      </c>
      <c r="P57" s="42">
        <v>0</v>
      </c>
      <c r="Q57" s="42"/>
      <c r="R57" s="42">
        <f t="shared" si="20"/>
        <v>0</v>
      </c>
      <c r="S57" s="85">
        <v>15</v>
      </c>
    </row>
    <row r="58" spans="1:19">
      <c r="A58" s="374"/>
      <c r="B58" s="348" t="s">
        <v>3667</v>
      </c>
      <c r="C58" s="348" t="s">
        <v>414</v>
      </c>
      <c r="D58" s="42" t="s">
        <v>16</v>
      </c>
      <c r="E58" s="348" t="s">
        <v>4006</v>
      </c>
      <c r="F58" s="348">
        <v>26851</v>
      </c>
      <c r="G58" s="348"/>
      <c r="H58" s="348">
        <v>8650</v>
      </c>
      <c r="I58" s="348">
        <v>130</v>
      </c>
      <c r="J58" s="348">
        <v>0.13</v>
      </c>
      <c r="K58" s="43">
        <f t="shared" si="16"/>
        <v>16.900000000000002</v>
      </c>
      <c r="L58" s="43">
        <f t="shared" si="17"/>
        <v>8633.1</v>
      </c>
      <c r="M58" s="43"/>
      <c r="N58" s="43">
        <f t="shared" si="18"/>
        <v>8633.1</v>
      </c>
      <c r="O58" s="43">
        <f t="shared" si="19"/>
        <v>605.5</v>
      </c>
      <c r="P58" s="42">
        <v>0</v>
      </c>
      <c r="Q58" s="42"/>
      <c r="R58" s="42">
        <f t="shared" si="20"/>
        <v>0</v>
      </c>
      <c r="S58" s="85">
        <v>16</v>
      </c>
    </row>
    <row r="59" spans="1:19">
      <c r="A59" s="374"/>
      <c r="B59" s="348" t="s">
        <v>3667</v>
      </c>
      <c r="C59" s="348" t="s">
        <v>414</v>
      </c>
      <c r="D59" s="42" t="s">
        <v>16</v>
      </c>
      <c r="E59" s="348" t="s">
        <v>3132</v>
      </c>
      <c r="F59" s="348">
        <v>26854</v>
      </c>
      <c r="G59" s="348"/>
      <c r="H59" s="348">
        <v>12350</v>
      </c>
      <c r="I59" s="348">
        <v>175</v>
      </c>
      <c r="J59" s="348">
        <v>0.13</v>
      </c>
      <c r="K59" s="43">
        <f t="shared" si="16"/>
        <v>22.75</v>
      </c>
      <c r="L59" s="43">
        <f t="shared" si="17"/>
        <v>12327.25</v>
      </c>
      <c r="M59" s="43"/>
      <c r="N59" s="43">
        <f t="shared" si="18"/>
        <v>12327.25</v>
      </c>
      <c r="O59" s="43">
        <f t="shared" si="19"/>
        <v>864.5</v>
      </c>
      <c r="P59" s="42">
        <v>0</v>
      </c>
      <c r="Q59" s="42"/>
      <c r="R59" s="42">
        <f t="shared" si="20"/>
        <v>0</v>
      </c>
      <c r="S59" s="85">
        <v>17</v>
      </c>
    </row>
    <row r="60" spans="1:19">
      <c r="A60" s="374"/>
      <c r="B60" s="348" t="s">
        <v>3667</v>
      </c>
      <c r="C60" s="348" t="s">
        <v>414</v>
      </c>
      <c r="D60" s="42" t="s">
        <v>16</v>
      </c>
      <c r="E60" s="348" t="s">
        <v>4007</v>
      </c>
      <c r="F60" s="348">
        <v>26855</v>
      </c>
      <c r="G60" s="348"/>
      <c r="H60" s="348">
        <v>12570</v>
      </c>
      <c r="I60" s="348">
        <v>190</v>
      </c>
      <c r="J60" s="348">
        <v>0.13</v>
      </c>
      <c r="K60" s="43">
        <f t="shared" si="16"/>
        <v>24.7</v>
      </c>
      <c r="L60" s="43">
        <f t="shared" si="17"/>
        <v>12545.3</v>
      </c>
      <c r="M60" s="43"/>
      <c r="N60" s="43">
        <f t="shared" si="18"/>
        <v>12545.3</v>
      </c>
      <c r="O60" s="43">
        <f t="shared" si="19"/>
        <v>879.9</v>
      </c>
      <c r="P60" s="42">
        <v>0</v>
      </c>
      <c r="Q60" s="42"/>
      <c r="R60" s="42">
        <f t="shared" si="20"/>
        <v>0</v>
      </c>
      <c r="S60" s="85">
        <v>18</v>
      </c>
    </row>
    <row r="61" spans="1:19">
      <c r="A61" s="374"/>
      <c r="B61" s="348" t="s">
        <v>3667</v>
      </c>
      <c r="C61" s="348" t="s">
        <v>414</v>
      </c>
      <c r="D61" s="42" t="s">
        <v>16</v>
      </c>
      <c r="E61" s="348" t="s">
        <v>4008</v>
      </c>
      <c r="F61" s="348">
        <v>26848</v>
      </c>
      <c r="G61" s="348"/>
      <c r="H61" s="348">
        <v>12790</v>
      </c>
      <c r="I61" s="348">
        <v>190</v>
      </c>
      <c r="J61" s="348">
        <v>0.13</v>
      </c>
      <c r="K61" s="43">
        <f t="shared" si="16"/>
        <v>24.7</v>
      </c>
      <c r="L61" s="43">
        <f t="shared" si="17"/>
        <v>12765.3</v>
      </c>
      <c r="M61" s="43"/>
      <c r="N61" s="43">
        <f t="shared" si="18"/>
        <v>12765.3</v>
      </c>
      <c r="O61" s="43">
        <f t="shared" si="19"/>
        <v>895.3</v>
      </c>
      <c r="P61" s="42">
        <v>0</v>
      </c>
      <c r="Q61" s="42"/>
      <c r="R61" s="42">
        <f t="shared" si="20"/>
        <v>0</v>
      </c>
      <c r="S61" s="85">
        <v>19</v>
      </c>
    </row>
    <row r="62" spans="1:19">
      <c r="A62" s="374" t="s">
        <v>4009</v>
      </c>
      <c r="B62" s="348" t="s">
        <v>3667</v>
      </c>
      <c r="C62" s="348" t="s">
        <v>414</v>
      </c>
      <c r="D62" s="42" t="s">
        <v>16</v>
      </c>
      <c r="E62" s="348" t="s">
        <v>4012</v>
      </c>
      <c r="F62" s="348">
        <v>26850</v>
      </c>
      <c r="G62" s="348"/>
      <c r="H62" s="348">
        <v>12860</v>
      </c>
      <c r="I62" s="348">
        <v>195</v>
      </c>
      <c r="J62" s="348">
        <v>0.13</v>
      </c>
      <c r="K62" s="43">
        <f t="shared" si="16"/>
        <v>25.35</v>
      </c>
      <c r="L62" s="43">
        <f t="shared" si="17"/>
        <v>12834.65</v>
      </c>
      <c r="M62" s="43"/>
      <c r="N62" s="43">
        <f t="shared" si="18"/>
        <v>12834.65</v>
      </c>
      <c r="O62" s="43">
        <f t="shared" si="19"/>
        <v>900.19999999999993</v>
      </c>
      <c r="P62" s="42"/>
      <c r="Q62" s="42"/>
      <c r="R62" s="42">
        <f t="shared" si="20"/>
        <v>0</v>
      </c>
      <c r="S62" s="85">
        <v>20</v>
      </c>
    </row>
    <row r="63" spans="1:19">
      <c r="A63" s="374"/>
      <c r="B63" s="348" t="s">
        <v>3667</v>
      </c>
      <c r="C63" s="348" t="s">
        <v>414</v>
      </c>
      <c r="D63" s="42" t="s">
        <v>16</v>
      </c>
      <c r="E63" s="348" t="s">
        <v>4013</v>
      </c>
      <c r="F63" s="348">
        <v>26856</v>
      </c>
      <c r="G63" s="348"/>
      <c r="H63" s="348">
        <v>12790</v>
      </c>
      <c r="I63" s="348">
        <v>200</v>
      </c>
      <c r="J63" s="348">
        <v>0.13</v>
      </c>
      <c r="K63" s="43">
        <f t="shared" si="16"/>
        <v>26</v>
      </c>
      <c r="L63" s="43">
        <f t="shared" si="17"/>
        <v>12764</v>
      </c>
      <c r="M63" s="43"/>
      <c r="N63" s="43">
        <f t="shared" si="18"/>
        <v>12764</v>
      </c>
      <c r="O63" s="43">
        <f t="shared" si="19"/>
        <v>895.3</v>
      </c>
      <c r="P63" s="42"/>
      <c r="Q63" s="42"/>
      <c r="R63" s="42">
        <f t="shared" si="20"/>
        <v>0</v>
      </c>
      <c r="S63" s="85">
        <v>21</v>
      </c>
    </row>
  </sheetData>
  <mergeCells count="10">
    <mergeCell ref="A51:A61"/>
    <mergeCell ref="A62:A63"/>
    <mergeCell ref="A43:A50"/>
    <mergeCell ref="A35:A36"/>
    <mergeCell ref="A30:A32"/>
    <mergeCell ref="A6:A7"/>
    <mergeCell ref="A8:A10"/>
    <mergeCell ref="A19:A21"/>
    <mergeCell ref="A22:A23"/>
    <mergeCell ref="A24:A29"/>
  </mergeCells>
  <pageMargins left="0.7" right="0.7" top="0.75" bottom="0.75" header="0.3" footer="0.3"/>
  <pageSetup paperSize="9" orientation="portrait" verticalDpi="0" r:id="rId1"/>
</worksheet>
</file>

<file path=xl/worksheets/sheet146.xml><?xml version="1.0" encoding="utf-8"?>
<worksheet xmlns="http://schemas.openxmlformats.org/spreadsheetml/2006/main" xmlns:r="http://schemas.openxmlformats.org/officeDocument/2006/relationships">
  <dimension ref="A5:U38"/>
  <sheetViews>
    <sheetView workbookViewId="0">
      <selection activeCell="A12" sqref="A12"/>
    </sheetView>
  </sheetViews>
  <sheetFormatPr defaultRowHeight="14.4"/>
  <cols>
    <col min="1" max="1" width="8.88671875" style="1"/>
    <col min="2" max="2" width="23.33203125" style="1" customWidth="1"/>
    <col min="3" max="3" width="8.88671875" style="1"/>
    <col min="4" max="4" width="5.5546875" style="1" customWidth="1"/>
    <col min="5" max="5" width="11.2187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0.399999999999999">
      <c r="A5" s="58" t="s">
        <v>3</v>
      </c>
      <c r="B5" s="58" t="s">
        <v>4</v>
      </c>
      <c r="C5" s="58" t="s">
        <v>5</v>
      </c>
      <c r="D5" s="58" t="s">
        <v>6</v>
      </c>
      <c r="E5" s="58" t="s">
        <v>37</v>
      </c>
      <c r="F5" s="59" t="s">
        <v>7</v>
      </c>
      <c r="G5" s="58" t="s">
        <v>8</v>
      </c>
      <c r="H5" s="58" t="s">
        <v>9</v>
      </c>
      <c r="I5" s="58" t="s">
        <v>10</v>
      </c>
      <c r="J5" s="59" t="s">
        <v>18</v>
      </c>
      <c r="K5" s="59" t="s">
        <v>17</v>
      </c>
      <c r="L5" s="58" t="s">
        <v>11</v>
      </c>
      <c r="M5" s="59" t="s">
        <v>36</v>
      </c>
      <c r="N5" s="58" t="s">
        <v>12</v>
      </c>
      <c r="O5" s="58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128</v>
      </c>
    </row>
    <row r="6" spans="1:21">
      <c r="A6" s="129"/>
      <c r="B6" s="60"/>
      <c r="C6" s="60"/>
      <c r="D6" s="60"/>
      <c r="E6" s="60"/>
      <c r="F6" s="60"/>
      <c r="G6" s="60"/>
      <c r="H6" s="60"/>
      <c r="I6" s="60"/>
      <c r="J6" s="60"/>
      <c r="K6" s="61"/>
      <c r="L6" s="65"/>
      <c r="M6" s="61"/>
      <c r="N6" s="60"/>
      <c r="O6" s="60"/>
      <c r="P6" s="60"/>
    </row>
    <row r="7" spans="1:21" ht="46.2">
      <c r="A7" s="129" t="s">
        <v>990</v>
      </c>
      <c r="B7" s="42" t="s">
        <v>991</v>
      </c>
      <c r="C7" s="42" t="s">
        <v>414</v>
      </c>
      <c r="D7" s="42" t="s">
        <v>16</v>
      </c>
      <c r="E7" s="42" t="s">
        <v>992</v>
      </c>
      <c r="F7" s="42">
        <v>1971</v>
      </c>
      <c r="G7" s="42"/>
      <c r="H7" s="42">
        <v>12930</v>
      </c>
      <c r="I7" s="42">
        <v>281</v>
      </c>
      <c r="J7" s="42">
        <v>0.13</v>
      </c>
      <c r="K7" s="42">
        <f t="shared" ref="K7" si="0">I7*J7</f>
        <v>36.53</v>
      </c>
      <c r="L7" s="43">
        <f t="shared" ref="L7" si="1">H7-K7</f>
        <v>12893.47</v>
      </c>
      <c r="M7" s="43"/>
      <c r="N7" s="43">
        <f t="shared" ref="N7" si="2">L7-M7</f>
        <v>12893.47</v>
      </c>
      <c r="O7" s="43">
        <f t="shared" ref="O7" si="3">H7/1000*70</f>
        <v>905.1</v>
      </c>
      <c r="P7" s="42">
        <v>20010</v>
      </c>
      <c r="Q7" s="42"/>
      <c r="R7" s="42">
        <f t="shared" ref="R7" si="4">L7*Q7</f>
        <v>0</v>
      </c>
      <c r="S7" s="119" t="s">
        <v>993</v>
      </c>
    </row>
    <row r="8" spans="1:21">
      <c r="A8" s="129"/>
      <c r="B8" s="60"/>
      <c r="C8" s="60"/>
      <c r="D8" s="60"/>
      <c r="E8" s="60"/>
      <c r="F8" s="60"/>
      <c r="G8" s="60"/>
      <c r="H8" s="60"/>
      <c r="I8" s="60"/>
      <c r="J8" s="60"/>
      <c r="K8" s="61"/>
      <c r="L8" s="65"/>
      <c r="M8" s="61"/>
      <c r="N8" s="60"/>
      <c r="O8" s="60"/>
      <c r="P8" s="60"/>
    </row>
    <row r="9" spans="1:21">
      <c r="A9" s="129" t="s">
        <v>3007</v>
      </c>
      <c r="B9" s="42" t="s">
        <v>684</v>
      </c>
      <c r="C9" s="42" t="s">
        <v>414</v>
      </c>
      <c r="D9" s="42" t="s">
        <v>16</v>
      </c>
      <c r="E9" s="42" t="s">
        <v>3008</v>
      </c>
      <c r="F9" s="42">
        <v>3371</v>
      </c>
      <c r="G9" s="42"/>
      <c r="H9" s="42">
        <v>11740</v>
      </c>
      <c r="I9" s="42">
        <v>235</v>
      </c>
      <c r="J9" s="42">
        <v>0.13</v>
      </c>
      <c r="K9" s="43">
        <f t="shared" ref="K9" si="5">I9*J9</f>
        <v>30.55</v>
      </c>
      <c r="L9" s="43">
        <f t="shared" ref="L9" si="6">H9-K9</f>
        <v>11709.45</v>
      </c>
      <c r="M9" s="43"/>
      <c r="N9" s="43">
        <f t="shared" ref="N9" si="7">L9-M9</f>
        <v>11709.45</v>
      </c>
      <c r="O9" s="43">
        <f t="shared" ref="O9" si="8">H9/1000*70</f>
        <v>821.80000000000007</v>
      </c>
      <c r="P9" s="42">
        <v>0</v>
      </c>
      <c r="Q9" s="42"/>
      <c r="R9" s="42">
        <f t="shared" ref="R9" si="9">L9*Q9</f>
        <v>0</v>
      </c>
    </row>
    <row r="10" spans="1:21">
      <c r="A10" s="129"/>
      <c r="B10" s="60"/>
      <c r="C10" s="60"/>
      <c r="D10" s="60"/>
      <c r="E10" s="60"/>
      <c r="F10" s="60"/>
      <c r="G10" s="60"/>
      <c r="H10" s="60"/>
      <c r="I10" s="60"/>
      <c r="J10" s="60"/>
      <c r="K10" s="61"/>
      <c r="L10" s="65"/>
      <c r="M10" s="61"/>
      <c r="N10" s="60"/>
      <c r="O10" s="60"/>
      <c r="P10" s="60"/>
    </row>
    <row r="11" spans="1:21">
      <c r="A11" s="63" t="s">
        <v>3028</v>
      </c>
      <c r="B11" s="42" t="s">
        <v>684</v>
      </c>
      <c r="C11" s="42" t="s">
        <v>414</v>
      </c>
      <c r="D11" s="42" t="s">
        <v>16</v>
      </c>
      <c r="E11" s="42" t="s">
        <v>1577</v>
      </c>
      <c r="F11" s="42">
        <v>661</v>
      </c>
      <c r="G11" s="42"/>
      <c r="H11" s="42">
        <v>9990</v>
      </c>
      <c r="I11" s="42">
        <v>200</v>
      </c>
      <c r="J11" s="42">
        <v>0.13</v>
      </c>
      <c r="K11" s="43">
        <f t="shared" ref="K11" si="10">I11*J11</f>
        <v>26</v>
      </c>
      <c r="L11" s="43">
        <f t="shared" ref="L11" si="11">H11-K11</f>
        <v>9964</v>
      </c>
      <c r="M11" s="43"/>
      <c r="N11" s="43">
        <f t="shared" ref="N11" si="12">L11-M11</f>
        <v>9964</v>
      </c>
      <c r="O11" s="43">
        <f t="shared" ref="O11" si="13">H11/1000*70</f>
        <v>699.30000000000007</v>
      </c>
      <c r="P11" s="42">
        <v>22500</v>
      </c>
      <c r="Q11" s="42">
        <v>62</v>
      </c>
      <c r="R11" s="42">
        <f t="shared" ref="R11" si="14">L11*Q11</f>
        <v>617768</v>
      </c>
    </row>
    <row r="12" spans="1:21">
      <c r="A12" s="62"/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1"/>
      <c r="M12" s="61"/>
      <c r="N12" s="60"/>
      <c r="O12" s="62"/>
      <c r="P12" s="62"/>
    </row>
    <row r="13" spans="1:21">
      <c r="A13" s="62"/>
      <c r="B13" s="60"/>
      <c r="C13" s="60"/>
      <c r="D13" s="60"/>
      <c r="E13" s="60"/>
      <c r="F13" s="60"/>
      <c r="G13" s="60"/>
      <c r="H13" s="60"/>
      <c r="I13" s="60"/>
      <c r="J13" s="60"/>
      <c r="K13" s="60"/>
      <c r="L13" s="61"/>
      <c r="M13" s="61"/>
      <c r="N13" s="60"/>
      <c r="O13" s="62"/>
      <c r="P13" s="62"/>
    </row>
    <row r="14" spans="1:21">
      <c r="A14" s="62"/>
      <c r="B14" s="62"/>
      <c r="C14" s="62"/>
      <c r="D14" s="62"/>
      <c r="E14" s="62"/>
      <c r="F14" s="62"/>
      <c r="G14" s="62"/>
      <c r="H14" s="62"/>
      <c r="I14" s="62"/>
      <c r="J14" s="62"/>
      <c r="K14" s="62"/>
      <c r="L14" s="66"/>
      <c r="M14" s="66"/>
      <c r="N14" s="66"/>
      <c r="O14" s="62"/>
      <c r="P14" s="62"/>
    </row>
    <row r="15" spans="1:21">
      <c r="A15" s="62"/>
      <c r="B15" s="62"/>
      <c r="C15" s="62"/>
      <c r="D15" s="62"/>
      <c r="E15" s="62"/>
      <c r="F15" s="62"/>
      <c r="G15" s="62"/>
      <c r="H15" s="62"/>
      <c r="I15" s="62"/>
      <c r="J15" s="62"/>
      <c r="K15" s="62"/>
      <c r="L15" s="62"/>
      <c r="M15" s="62"/>
      <c r="N15" s="62"/>
      <c r="O15" s="62"/>
      <c r="P15" s="62"/>
    </row>
    <row r="16" spans="1:21">
      <c r="A16" s="62"/>
      <c r="B16" s="62"/>
      <c r="C16" s="62"/>
      <c r="D16" s="62"/>
      <c r="E16" s="62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</row>
    <row r="17" spans="1:16">
      <c r="A17" s="62"/>
      <c r="B17" s="67"/>
      <c r="C17" s="67"/>
      <c r="D17" s="67"/>
      <c r="E17" s="67"/>
      <c r="F17" s="67"/>
      <c r="G17" s="67"/>
      <c r="H17" s="67"/>
      <c r="I17" s="67"/>
      <c r="J17" s="67"/>
      <c r="K17" s="68"/>
      <c r="L17" s="68"/>
      <c r="M17" s="68"/>
      <c r="N17" s="67"/>
      <c r="O17" s="67"/>
      <c r="P17" s="67"/>
    </row>
    <row r="18" spans="1:16">
      <c r="A18" s="62"/>
      <c r="B18" s="62"/>
      <c r="C18" s="62"/>
      <c r="D18" s="62"/>
      <c r="E18" s="62"/>
      <c r="F18" s="62"/>
      <c r="G18" s="62"/>
      <c r="H18" s="62"/>
      <c r="I18" s="62"/>
      <c r="J18" s="62"/>
      <c r="K18" s="62"/>
      <c r="L18" s="62"/>
      <c r="M18" s="62"/>
      <c r="N18" s="62"/>
      <c r="O18" s="62"/>
      <c r="P18" s="62"/>
    </row>
    <row r="19" spans="1:16">
      <c r="A19" s="380"/>
      <c r="B19" s="67"/>
      <c r="C19" s="67"/>
      <c r="D19" s="67"/>
      <c r="E19" s="67"/>
      <c r="F19" s="67"/>
      <c r="G19" s="67"/>
      <c r="H19" s="67"/>
      <c r="I19" s="67"/>
      <c r="J19" s="67"/>
      <c r="K19" s="67"/>
      <c r="L19" s="68"/>
      <c r="M19" s="68"/>
      <c r="N19" s="67"/>
      <c r="O19" s="62"/>
      <c r="P19" s="62"/>
    </row>
    <row r="20" spans="1:16">
      <c r="A20" s="380"/>
      <c r="B20" s="67"/>
      <c r="C20" s="67"/>
      <c r="D20" s="67"/>
      <c r="E20" s="67"/>
      <c r="F20" s="67"/>
      <c r="G20" s="67"/>
      <c r="H20" s="67"/>
      <c r="I20" s="67"/>
      <c r="J20" s="67"/>
      <c r="K20" s="67"/>
      <c r="L20" s="68"/>
      <c r="M20" s="68"/>
      <c r="N20" s="67"/>
      <c r="O20" s="62"/>
      <c r="P20" s="62"/>
    </row>
    <row r="21" spans="1:16">
      <c r="A21" s="380"/>
      <c r="B21" s="67"/>
      <c r="C21" s="67"/>
      <c r="D21" s="67"/>
      <c r="E21" s="67"/>
      <c r="F21" s="67"/>
      <c r="G21" s="67"/>
      <c r="H21" s="67"/>
      <c r="I21" s="67"/>
      <c r="J21" s="67"/>
      <c r="K21" s="67"/>
      <c r="L21" s="68"/>
      <c r="M21" s="68"/>
      <c r="N21" s="67"/>
      <c r="O21" s="62"/>
      <c r="P21" s="62"/>
    </row>
    <row r="22" spans="1:16">
      <c r="A22" s="380"/>
      <c r="B22" s="67"/>
      <c r="C22" s="67"/>
      <c r="D22" s="67"/>
      <c r="E22" s="67"/>
      <c r="F22" s="67"/>
      <c r="G22" s="67"/>
      <c r="H22" s="67"/>
      <c r="I22" s="67"/>
      <c r="J22" s="67"/>
      <c r="K22" s="68"/>
      <c r="L22" s="68"/>
      <c r="M22" s="68"/>
      <c r="N22" s="67"/>
      <c r="O22" s="62"/>
      <c r="P22" s="62"/>
    </row>
    <row r="23" spans="1:16">
      <c r="A23" s="380"/>
      <c r="B23" s="67"/>
      <c r="C23" s="67"/>
      <c r="D23" s="67"/>
      <c r="E23" s="67"/>
      <c r="F23" s="67"/>
      <c r="G23" s="67"/>
      <c r="H23" s="67"/>
      <c r="I23" s="67"/>
      <c r="J23" s="67"/>
      <c r="K23" s="67"/>
      <c r="L23" s="68"/>
      <c r="M23" s="68"/>
      <c r="N23" s="67"/>
      <c r="O23" s="62"/>
      <c r="P23" s="62"/>
    </row>
    <row r="24" spans="1:16">
      <c r="A24" s="380"/>
      <c r="B24" s="67"/>
      <c r="C24" s="67"/>
      <c r="D24" s="67"/>
      <c r="E24" s="67"/>
      <c r="F24" s="67"/>
      <c r="G24" s="67"/>
      <c r="H24" s="67"/>
      <c r="I24" s="67"/>
      <c r="J24" s="67"/>
      <c r="K24" s="68"/>
      <c r="L24" s="68"/>
      <c r="M24" s="68"/>
      <c r="N24" s="67"/>
      <c r="O24" s="62"/>
      <c r="P24" s="62"/>
    </row>
    <row r="25" spans="1:16">
      <c r="A25" s="380"/>
      <c r="B25" s="67"/>
      <c r="C25" s="67"/>
      <c r="D25" s="67"/>
      <c r="E25" s="67"/>
      <c r="F25" s="67"/>
      <c r="G25" s="67"/>
      <c r="H25" s="67"/>
      <c r="I25" s="67"/>
      <c r="J25" s="67"/>
      <c r="K25" s="67"/>
      <c r="L25" s="68"/>
      <c r="M25" s="68"/>
      <c r="N25" s="67"/>
      <c r="O25" s="62"/>
      <c r="P25" s="62"/>
    </row>
    <row r="26" spans="1:16">
      <c r="A26" s="380"/>
      <c r="B26" s="67"/>
      <c r="C26" s="67"/>
      <c r="D26" s="67"/>
      <c r="E26" s="67"/>
      <c r="F26" s="67"/>
      <c r="G26" s="67"/>
      <c r="H26" s="67"/>
      <c r="I26" s="67"/>
      <c r="J26" s="67"/>
      <c r="K26" s="68"/>
      <c r="L26" s="68"/>
      <c r="M26" s="68"/>
      <c r="N26" s="67"/>
      <c r="O26" s="62"/>
      <c r="P26" s="62"/>
    </row>
    <row r="27" spans="1:16">
      <c r="A27" s="380"/>
      <c r="B27" s="67"/>
      <c r="C27" s="67"/>
      <c r="D27" s="67"/>
      <c r="E27" s="67"/>
      <c r="F27" s="67"/>
      <c r="G27" s="67"/>
      <c r="H27" s="67"/>
      <c r="I27" s="67"/>
      <c r="J27" s="67"/>
      <c r="K27" s="68"/>
      <c r="L27" s="68"/>
      <c r="M27" s="68"/>
      <c r="N27" s="67"/>
      <c r="O27" s="62"/>
      <c r="P27" s="62"/>
    </row>
    <row r="28" spans="1:16">
      <c r="A28" s="380"/>
      <c r="B28" s="67"/>
      <c r="C28" s="67"/>
      <c r="D28" s="67"/>
      <c r="E28" s="67"/>
      <c r="F28" s="67"/>
      <c r="G28" s="67"/>
      <c r="H28" s="67"/>
      <c r="I28" s="67"/>
      <c r="J28" s="67"/>
      <c r="K28" s="68"/>
      <c r="L28" s="68"/>
      <c r="M28" s="68"/>
      <c r="N28" s="67"/>
      <c r="O28" s="62"/>
      <c r="P28" s="62"/>
    </row>
    <row r="29" spans="1:16">
      <c r="A29" s="380"/>
      <c r="B29" s="67"/>
      <c r="C29" s="67"/>
      <c r="D29" s="67"/>
      <c r="E29" s="67"/>
      <c r="F29" s="67"/>
      <c r="G29" s="67"/>
      <c r="H29" s="67"/>
      <c r="I29" s="67"/>
      <c r="J29" s="67"/>
      <c r="K29" s="67"/>
      <c r="L29" s="68"/>
      <c r="M29" s="68"/>
      <c r="N29" s="67"/>
      <c r="O29" s="62"/>
      <c r="P29" s="62"/>
    </row>
    <row r="30" spans="1:16">
      <c r="A30" s="380"/>
      <c r="B30" s="67"/>
      <c r="C30" s="67"/>
      <c r="D30" s="67"/>
      <c r="E30" s="67"/>
      <c r="F30" s="67"/>
      <c r="G30" s="67"/>
      <c r="H30" s="67"/>
      <c r="I30" s="67"/>
      <c r="J30" s="67"/>
      <c r="K30" s="68"/>
      <c r="L30" s="68"/>
      <c r="M30" s="68"/>
      <c r="N30" s="67"/>
      <c r="O30" s="62"/>
      <c r="P30" s="62"/>
    </row>
    <row r="31" spans="1:16">
      <c r="A31" s="380"/>
      <c r="B31" s="67"/>
      <c r="C31" s="67"/>
      <c r="D31" s="67"/>
      <c r="E31" s="67"/>
      <c r="F31" s="67"/>
      <c r="G31" s="67"/>
      <c r="H31" s="67"/>
      <c r="I31" s="67"/>
      <c r="J31" s="67"/>
      <c r="K31" s="68"/>
      <c r="L31" s="68"/>
      <c r="M31" s="68"/>
      <c r="N31" s="67"/>
      <c r="O31" s="62"/>
      <c r="P31" s="62"/>
    </row>
    <row r="32" spans="1:16">
      <c r="A32" s="380"/>
      <c r="B32" s="67"/>
      <c r="C32" s="67"/>
      <c r="D32" s="67"/>
      <c r="E32" s="67"/>
      <c r="F32" s="67"/>
      <c r="G32" s="67"/>
      <c r="H32" s="67"/>
      <c r="I32" s="67"/>
      <c r="J32" s="67"/>
      <c r="K32" s="67"/>
      <c r="L32" s="68"/>
      <c r="M32" s="68"/>
      <c r="N32" s="67"/>
      <c r="O32" s="62"/>
      <c r="P32" s="62"/>
    </row>
    <row r="33" spans="1:16">
      <c r="A33" s="62"/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</row>
    <row r="34" spans="1:16">
      <c r="A34" s="62"/>
      <c r="B34" s="62"/>
      <c r="C34" s="62"/>
      <c r="D34" s="62"/>
      <c r="E34" s="62"/>
      <c r="F34" s="62"/>
      <c r="G34" s="62"/>
      <c r="H34" s="62"/>
      <c r="I34" s="62"/>
      <c r="J34" s="62"/>
      <c r="K34" s="62"/>
      <c r="L34" s="62"/>
      <c r="M34" s="62"/>
      <c r="N34" s="62"/>
      <c r="O34" s="62"/>
      <c r="P34" s="62"/>
    </row>
    <row r="35" spans="1:16">
      <c r="A35" s="380"/>
      <c r="B35" s="67"/>
      <c r="C35" s="67"/>
      <c r="D35" s="67"/>
      <c r="E35" s="67"/>
      <c r="F35" s="98"/>
      <c r="G35" s="98"/>
      <c r="H35" s="98"/>
      <c r="I35" s="98"/>
      <c r="J35" s="98"/>
      <c r="K35" s="68"/>
      <c r="L35" s="68"/>
      <c r="M35" s="68"/>
      <c r="N35" s="98"/>
      <c r="O35" s="21"/>
      <c r="P35" s="62"/>
    </row>
    <row r="36" spans="1:16">
      <c r="A36" s="380"/>
      <c r="B36" s="67"/>
      <c r="C36" s="67"/>
      <c r="D36" s="67"/>
      <c r="E36" s="67"/>
      <c r="F36" s="67"/>
      <c r="G36" s="67"/>
      <c r="H36" s="67"/>
      <c r="I36" s="67"/>
      <c r="J36" s="67"/>
      <c r="K36" s="68"/>
      <c r="L36" s="68"/>
      <c r="M36" s="68"/>
      <c r="N36" s="67"/>
      <c r="O36" s="21"/>
      <c r="P36" s="62"/>
    </row>
    <row r="37" spans="1:16">
      <c r="A37" s="62"/>
      <c r="B37" s="67"/>
      <c r="C37" s="67"/>
      <c r="D37" s="67"/>
      <c r="E37" s="67"/>
      <c r="F37" s="67"/>
      <c r="G37" s="67"/>
      <c r="H37" s="67"/>
      <c r="I37" s="67"/>
      <c r="J37" s="67"/>
      <c r="K37" s="68"/>
      <c r="L37" s="68"/>
      <c r="M37" s="68"/>
      <c r="N37" s="67"/>
      <c r="O37" s="21"/>
      <c r="P37" s="62"/>
    </row>
    <row r="38" spans="1:16">
      <c r="A38" s="62"/>
      <c r="B38" s="62"/>
      <c r="C38" s="62"/>
      <c r="D38" s="62"/>
      <c r="E38" s="62"/>
      <c r="F38" s="62"/>
      <c r="G38" s="62"/>
      <c r="H38" s="62"/>
      <c r="I38" s="62"/>
      <c r="J38" s="62"/>
      <c r="K38" s="62"/>
      <c r="L38" s="66"/>
      <c r="M38" s="66"/>
      <c r="N38" s="66"/>
      <c r="O38" s="62"/>
      <c r="P38" s="62"/>
    </row>
  </sheetData>
  <mergeCells count="5">
    <mergeCell ref="A35:A36"/>
    <mergeCell ref="A19:A21"/>
    <mergeCell ref="A22:A23"/>
    <mergeCell ref="A24:A29"/>
    <mergeCell ref="A30:A32"/>
  </mergeCells>
  <pageMargins left="0.7" right="0.7" top="0.75" bottom="0.75" header="0.3" footer="0.3"/>
  <pageSetup paperSize="9" orientation="portrait" verticalDpi="0" r:id="rId1"/>
</worksheet>
</file>

<file path=xl/worksheets/sheet147.xml><?xml version="1.0" encoding="utf-8"?>
<worksheet xmlns="http://schemas.openxmlformats.org/spreadsheetml/2006/main" xmlns:r="http://schemas.openxmlformats.org/officeDocument/2006/relationships">
  <dimension ref="A5:U37"/>
  <sheetViews>
    <sheetView workbookViewId="0">
      <selection activeCell="E12" sqref="E12"/>
    </sheetView>
  </sheetViews>
  <sheetFormatPr defaultRowHeight="14.4"/>
  <cols>
    <col min="1" max="1" width="8.88671875" style="1"/>
    <col min="2" max="2" width="23.33203125" style="1" customWidth="1"/>
    <col min="3" max="3" width="8.88671875" style="1"/>
    <col min="4" max="4" width="5.5546875" style="1" customWidth="1"/>
    <col min="5" max="5" width="11.2187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0.399999999999999">
      <c r="A5" s="58" t="s">
        <v>3</v>
      </c>
      <c r="B5" s="58" t="s">
        <v>4</v>
      </c>
      <c r="C5" s="58" t="s">
        <v>5</v>
      </c>
      <c r="D5" s="58" t="s">
        <v>6</v>
      </c>
      <c r="E5" s="58" t="s">
        <v>37</v>
      </c>
      <c r="F5" s="59" t="s">
        <v>7</v>
      </c>
      <c r="G5" s="58" t="s">
        <v>8</v>
      </c>
      <c r="H5" s="58" t="s">
        <v>9</v>
      </c>
      <c r="I5" s="58" t="s">
        <v>10</v>
      </c>
      <c r="J5" s="59" t="s">
        <v>18</v>
      </c>
      <c r="K5" s="59" t="s">
        <v>17</v>
      </c>
      <c r="L5" s="58" t="s">
        <v>11</v>
      </c>
      <c r="M5" s="59" t="s">
        <v>36</v>
      </c>
      <c r="N5" s="58" t="s">
        <v>12</v>
      </c>
      <c r="O5" s="58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128</v>
      </c>
    </row>
    <row r="6" spans="1:21">
      <c r="A6" s="129"/>
      <c r="B6" s="133"/>
      <c r="C6" s="133"/>
      <c r="D6" s="133"/>
      <c r="E6" s="133"/>
      <c r="F6" s="133"/>
      <c r="G6" s="133"/>
      <c r="H6" s="133"/>
      <c r="I6" s="133"/>
      <c r="J6" s="133"/>
      <c r="K6" s="61"/>
      <c r="L6" s="65"/>
      <c r="M6" s="61"/>
      <c r="N6" s="133"/>
      <c r="O6" s="133"/>
      <c r="P6" s="133"/>
    </row>
    <row r="7" spans="1:21">
      <c r="A7" s="129" t="s">
        <v>1022</v>
      </c>
      <c r="B7" s="42" t="s">
        <v>1023</v>
      </c>
      <c r="C7" s="42" t="s">
        <v>414</v>
      </c>
      <c r="D7" s="42" t="s">
        <v>16</v>
      </c>
      <c r="E7" s="42" t="s">
        <v>1024</v>
      </c>
      <c r="F7" s="42">
        <v>6585</v>
      </c>
      <c r="G7" s="42"/>
      <c r="H7" s="42">
        <v>14090</v>
      </c>
      <c r="I7" s="42">
        <v>311</v>
      </c>
      <c r="J7" s="42">
        <v>0.13</v>
      </c>
      <c r="K7" s="42">
        <f t="shared" ref="K7" si="0">I7*J7</f>
        <v>40.43</v>
      </c>
      <c r="L7" s="43">
        <f t="shared" ref="L7" si="1">H7-K7</f>
        <v>14049.57</v>
      </c>
      <c r="M7" s="43"/>
      <c r="N7" s="43">
        <f t="shared" ref="N7" si="2">L7-M7</f>
        <v>14049.57</v>
      </c>
      <c r="O7" s="43">
        <f t="shared" ref="O7" si="3">H7/1000*70</f>
        <v>986.3</v>
      </c>
      <c r="P7" s="42">
        <v>0</v>
      </c>
      <c r="Q7" s="42">
        <v>62</v>
      </c>
      <c r="R7" s="42">
        <f t="shared" ref="R7" si="4">L7*Q7</f>
        <v>871073.34</v>
      </c>
      <c r="S7" s="119"/>
    </row>
    <row r="8" spans="1:21">
      <c r="A8" s="129"/>
      <c r="B8" s="133"/>
      <c r="C8" s="133"/>
      <c r="D8" s="133"/>
      <c r="E8" s="133"/>
      <c r="F8" s="133"/>
      <c r="G8" s="133"/>
      <c r="H8" s="133"/>
      <c r="I8" s="133"/>
      <c r="J8" s="133"/>
      <c r="K8" s="61"/>
      <c r="L8" s="65"/>
      <c r="M8" s="61"/>
      <c r="N8" s="133"/>
      <c r="O8" s="133"/>
      <c r="P8" s="133"/>
    </row>
    <row r="9" spans="1:21">
      <c r="A9" s="129"/>
      <c r="B9" s="133"/>
      <c r="C9" s="133"/>
      <c r="D9" s="133"/>
      <c r="E9" s="133"/>
      <c r="F9" s="133"/>
      <c r="G9" s="133"/>
      <c r="H9" s="133"/>
      <c r="I9" s="133"/>
      <c r="J9" s="133"/>
      <c r="K9" s="61"/>
      <c r="L9" s="65"/>
      <c r="M9" s="61"/>
      <c r="N9" s="133"/>
      <c r="O9" s="133"/>
      <c r="P9" s="133"/>
    </row>
    <row r="10" spans="1:21">
      <c r="A10" s="129" t="s">
        <v>1161</v>
      </c>
      <c r="B10" s="42" t="s">
        <v>1166</v>
      </c>
      <c r="C10" s="42" t="s">
        <v>414</v>
      </c>
      <c r="D10" s="42" t="s">
        <v>16</v>
      </c>
      <c r="E10" s="42" t="s">
        <v>1167</v>
      </c>
      <c r="F10" s="42">
        <v>725</v>
      </c>
      <c r="G10" s="42"/>
      <c r="H10" s="42">
        <v>10310</v>
      </c>
      <c r="I10" s="42">
        <v>237</v>
      </c>
      <c r="J10" s="42">
        <v>0.13</v>
      </c>
      <c r="K10" s="42">
        <v>31</v>
      </c>
      <c r="L10" s="43">
        <f t="shared" ref="L10" si="5">H10-K10</f>
        <v>10279</v>
      </c>
      <c r="M10" s="43"/>
      <c r="N10" s="43">
        <f t="shared" ref="N10" si="6">L10-M10</f>
        <v>10279</v>
      </c>
      <c r="O10" s="43">
        <f t="shared" ref="O10" si="7">H10/1000*70</f>
        <v>721.7</v>
      </c>
      <c r="P10" s="42">
        <v>0</v>
      </c>
      <c r="Q10" s="42">
        <v>62</v>
      </c>
      <c r="R10" s="42">
        <f t="shared" ref="R10" si="8">L10*Q10</f>
        <v>637298</v>
      </c>
    </row>
    <row r="11" spans="1:21">
      <c r="A11" s="63"/>
      <c r="B11" s="133"/>
      <c r="C11" s="133"/>
      <c r="D11" s="133"/>
      <c r="E11" s="133"/>
      <c r="F11" s="133"/>
      <c r="G11" s="133"/>
      <c r="H11" s="133"/>
      <c r="I11" s="133"/>
      <c r="J11" s="133"/>
      <c r="K11" s="61"/>
      <c r="L11" s="65"/>
      <c r="M11" s="61"/>
      <c r="N11" s="133"/>
      <c r="O11" s="133"/>
      <c r="P11" s="133"/>
    </row>
    <row r="12" spans="1:21">
      <c r="A12" s="62"/>
      <c r="B12" s="133"/>
      <c r="C12" s="133"/>
      <c r="D12" s="133"/>
      <c r="E12" s="133"/>
      <c r="F12" s="133"/>
      <c r="G12" s="133"/>
      <c r="H12" s="133"/>
      <c r="I12" s="133"/>
      <c r="J12" s="133"/>
      <c r="K12" s="133"/>
      <c r="L12" s="61"/>
      <c r="M12" s="61"/>
      <c r="N12" s="133"/>
      <c r="O12" s="62"/>
      <c r="P12" s="62"/>
    </row>
    <row r="13" spans="1:21">
      <c r="A13" s="62"/>
      <c r="B13" s="62"/>
      <c r="C13" s="62"/>
      <c r="D13" s="62"/>
      <c r="E13" s="62"/>
      <c r="F13" s="62"/>
      <c r="G13" s="62"/>
      <c r="H13" s="62"/>
      <c r="I13" s="62"/>
      <c r="J13" s="62"/>
      <c r="K13" s="62"/>
      <c r="L13" s="66"/>
      <c r="M13" s="66"/>
      <c r="N13" s="66"/>
      <c r="O13" s="62"/>
      <c r="P13" s="62"/>
    </row>
    <row r="14" spans="1:21">
      <c r="A14" s="62"/>
      <c r="B14" s="62"/>
      <c r="C14" s="62"/>
      <c r="D14" s="62"/>
      <c r="E14" s="62"/>
      <c r="F14" s="62"/>
      <c r="G14" s="62"/>
      <c r="H14" s="62"/>
      <c r="I14" s="62"/>
      <c r="J14" s="62"/>
      <c r="K14" s="62"/>
      <c r="L14" s="62"/>
      <c r="M14" s="62"/>
      <c r="N14" s="62"/>
      <c r="O14" s="62"/>
      <c r="P14" s="62"/>
    </row>
    <row r="15" spans="1:21">
      <c r="A15" s="62"/>
      <c r="B15" s="62"/>
      <c r="C15" s="62"/>
      <c r="D15" s="62"/>
      <c r="E15" s="62"/>
      <c r="F15" s="62"/>
      <c r="G15" s="62"/>
      <c r="H15" s="62"/>
      <c r="I15" s="62"/>
      <c r="J15" s="62"/>
      <c r="K15" s="62"/>
      <c r="L15" s="62"/>
      <c r="M15" s="62"/>
      <c r="N15" s="62"/>
      <c r="O15" s="62"/>
      <c r="P15" s="62"/>
    </row>
    <row r="16" spans="1:21">
      <c r="A16" s="62"/>
      <c r="B16" s="67"/>
      <c r="C16" s="67"/>
      <c r="D16" s="67"/>
      <c r="E16" s="67"/>
      <c r="F16" s="67"/>
      <c r="G16" s="67"/>
      <c r="H16" s="67"/>
      <c r="I16" s="67"/>
      <c r="J16" s="67"/>
      <c r="K16" s="68"/>
      <c r="L16" s="68"/>
      <c r="M16" s="68"/>
      <c r="N16" s="67"/>
      <c r="O16" s="67"/>
      <c r="P16" s="67"/>
    </row>
    <row r="17" spans="1:16">
      <c r="A17" s="62"/>
      <c r="B17" s="62"/>
      <c r="C17" s="62"/>
      <c r="D17" s="62"/>
      <c r="E17" s="62"/>
      <c r="F17" s="62"/>
      <c r="G17" s="62"/>
      <c r="H17" s="62"/>
      <c r="I17" s="62"/>
      <c r="J17" s="62"/>
      <c r="K17" s="62"/>
      <c r="L17" s="62"/>
      <c r="M17" s="62"/>
      <c r="N17" s="62"/>
      <c r="O17" s="62"/>
      <c r="P17" s="62"/>
    </row>
    <row r="18" spans="1:16">
      <c r="A18" s="380"/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8"/>
      <c r="M18" s="68"/>
      <c r="N18" s="67"/>
      <c r="O18" s="62"/>
      <c r="P18" s="62"/>
    </row>
    <row r="19" spans="1:16">
      <c r="A19" s="380"/>
      <c r="B19" s="67"/>
      <c r="C19" s="67"/>
      <c r="D19" s="67"/>
      <c r="E19" s="67"/>
      <c r="F19" s="67"/>
      <c r="G19" s="67"/>
      <c r="H19" s="67"/>
      <c r="I19" s="67"/>
      <c r="J19" s="67"/>
      <c r="K19" s="67"/>
      <c r="L19" s="68"/>
      <c r="M19" s="68"/>
      <c r="N19" s="67"/>
      <c r="O19" s="62"/>
      <c r="P19" s="62"/>
    </row>
    <row r="20" spans="1:16">
      <c r="A20" s="380"/>
      <c r="B20" s="67"/>
      <c r="C20" s="67"/>
      <c r="D20" s="67"/>
      <c r="E20" s="67"/>
      <c r="F20" s="67"/>
      <c r="G20" s="67"/>
      <c r="H20" s="67"/>
      <c r="I20" s="67"/>
      <c r="J20" s="67"/>
      <c r="K20" s="67"/>
      <c r="L20" s="68"/>
      <c r="M20" s="68"/>
      <c r="N20" s="67"/>
      <c r="O20" s="62"/>
      <c r="P20" s="62"/>
    </row>
    <row r="21" spans="1:16">
      <c r="A21" s="380"/>
      <c r="B21" s="67"/>
      <c r="C21" s="67"/>
      <c r="D21" s="67"/>
      <c r="E21" s="67"/>
      <c r="F21" s="67"/>
      <c r="G21" s="67"/>
      <c r="H21" s="67"/>
      <c r="I21" s="67"/>
      <c r="J21" s="67"/>
      <c r="K21" s="68"/>
      <c r="L21" s="68"/>
      <c r="M21" s="68"/>
      <c r="N21" s="67"/>
      <c r="O21" s="62"/>
      <c r="P21" s="62"/>
    </row>
    <row r="22" spans="1:16">
      <c r="A22" s="380"/>
      <c r="B22" s="67"/>
      <c r="C22" s="67"/>
      <c r="D22" s="67"/>
      <c r="E22" s="67"/>
      <c r="F22" s="67"/>
      <c r="G22" s="67"/>
      <c r="H22" s="67"/>
      <c r="I22" s="67"/>
      <c r="J22" s="67"/>
      <c r="K22" s="67"/>
      <c r="L22" s="68"/>
      <c r="M22" s="68"/>
      <c r="N22" s="67"/>
      <c r="O22" s="62"/>
      <c r="P22" s="62"/>
    </row>
    <row r="23" spans="1:16">
      <c r="A23" s="380"/>
      <c r="B23" s="67"/>
      <c r="C23" s="67"/>
      <c r="D23" s="67"/>
      <c r="E23" s="67"/>
      <c r="F23" s="67"/>
      <c r="G23" s="67"/>
      <c r="H23" s="67"/>
      <c r="I23" s="67"/>
      <c r="J23" s="67"/>
      <c r="K23" s="68"/>
      <c r="L23" s="68"/>
      <c r="M23" s="68"/>
      <c r="N23" s="67"/>
      <c r="O23" s="62"/>
      <c r="P23" s="62"/>
    </row>
    <row r="24" spans="1:16">
      <c r="A24" s="380"/>
      <c r="B24" s="67"/>
      <c r="C24" s="67"/>
      <c r="D24" s="67"/>
      <c r="E24" s="67"/>
      <c r="F24" s="67"/>
      <c r="G24" s="67"/>
      <c r="H24" s="67"/>
      <c r="I24" s="67"/>
      <c r="J24" s="67"/>
      <c r="K24" s="67"/>
      <c r="L24" s="68"/>
      <c r="M24" s="68"/>
      <c r="N24" s="67"/>
      <c r="O24" s="62"/>
      <c r="P24" s="62"/>
    </row>
    <row r="25" spans="1:16">
      <c r="A25" s="380"/>
      <c r="B25" s="67"/>
      <c r="C25" s="67"/>
      <c r="D25" s="67"/>
      <c r="E25" s="67"/>
      <c r="F25" s="67"/>
      <c r="G25" s="67"/>
      <c r="H25" s="67"/>
      <c r="I25" s="67"/>
      <c r="J25" s="67"/>
      <c r="K25" s="68"/>
      <c r="L25" s="68"/>
      <c r="M25" s="68"/>
      <c r="N25" s="67"/>
      <c r="O25" s="62"/>
      <c r="P25" s="62"/>
    </row>
    <row r="26" spans="1:16">
      <c r="A26" s="380"/>
      <c r="B26" s="67"/>
      <c r="C26" s="67"/>
      <c r="D26" s="67"/>
      <c r="E26" s="67"/>
      <c r="F26" s="67"/>
      <c r="G26" s="67"/>
      <c r="H26" s="67"/>
      <c r="I26" s="67"/>
      <c r="J26" s="67"/>
      <c r="K26" s="68"/>
      <c r="L26" s="68"/>
      <c r="M26" s="68"/>
      <c r="N26" s="67"/>
      <c r="O26" s="62"/>
      <c r="P26" s="62"/>
    </row>
    <row r="27" spans="1:16">
      <c r="A27" s="380"/>
      <c r="B27" s="67"/>
      <c r="C27" s="67"/>
      <c r="D27" s="67"/>
      <c r="E27" s="67"/>
      <c r="F27" s="67"/>
      <c r="G27" s="67"/>
      <c r="H27" s="67"/>
      <c r="I27" s="67"/>
      <c r="J27" s="67"/>
      <c r="K27" s="68"/>
      <c r="L27" s="68"/>
      <c r="M27" s="68"/>
      <c r="N27" s="67"/>
      <c r="O27" s="62"/>
      <c r="P27" s="62"/>
    </row>
    <row r="28" spans="1:16">
      <c r="A28" s="380"/>
      <c r="B28" s="67"/>
      <c r="C28" s="67"/>
      <c r="D28" s="67"/>
      <c r="E28" s="67"/>
      <c r="F28" s="67"/>
      <c r="G28" s="67"/>
      <c r="H28" s="67"/>
      <c r="I28" s="67"/>
      <c r="J28" s="67"/>
      <c r="K28" s="67"/>
      <c r="L28" s="68"/>
      <c r="M28" s="68"/>
      <c r="N28" s="67"/>
      <c r="O28" s="62"/>
      <c r="P28" s="62"/>
    </row>
    <row r="29" spans="1:16">
      <c r="A29" s="380"/>
      <c r="B29" s="67"/>
      <c r="C29" s="67"/>
      <c r="D29" s="67"/>
      <c r="E29" s="67"/>
      <c r="F29" s="67"/>
      <c r="G29" s="67"/>
      <c r="H29" s="67"/>
      <c r="I29" s="67"/>
      <c r="J29" s="67"/>
      <c r="K29" s="68"/>
      <c r="L29" s="68"/>
      <c r="M29" s="68"/>
      <c r="N29" s="67"/>
      <c r="O29" s="62"/>
      <c r="P29" s="62"/>
    </row>
    <row r="30" spans="1:16">
      <c r="A30" s="380"/>
      <c r="B30" s="67"/>
      <c r="C30" s="67"/>
      <c r="D30" s="67"/>
      <c r="E30" s="67"/>
      <c r="F30" s="67"/>
      <c r="G30" s="67"/>
      <c r="H30" s="67"/>
      <c r="I30" s="67"/>
      <c r="J30" s="67"/>
      <c r="K30" s="68"/>
      <c r="L30" s="68"/>
      <c r="M30" s="68"/>
      <c r="N30" s="67"/>
      <c r="O30" s="62"/>
      <c r="P30" s="62"/>
    </row>
    <row r="31" spans="1:16">
      <c r="A31" s="380"/>
      <c r="B31" s="67"/>
      <c r="C31" s="67"/>
      <c r="D31" s="67"/>
      <c r="E31" s="67"/>
      <c r="F31" s="67"/>
      <c r="G31" s="67"/>
      <c r="H31" s="67"/>
      <c r="I31" s="67"/>
      <c r="J31" s="67"/>
      <c r="K31" s="67"/>
      <c r="L31" s="68"/>
      <c r="M31" s="68"/>
      <c r="N31" s="67"/>
      <c r="O31" s="62"/>
      <c r="P31" s="62"/>
    </row>
    <row r="32" spans="1:16">
      <c r="A32" s="62"/>
      <c r="B32" s="62"/>
      <c r="C32" s="62"/>
      <c r="D32" s="62"/>
      <c r="E32" s="62"/>
      <c r="F32" s="62"/>
      <c r="G32" s="62"/>
      <c r="H32" s="62"/>
      <c r="I32" s="62"/>
      <c r="J32" s="62"/>
      <c r="K32" s="62"/>
      <c r="L32" s="62"/>
      <c r="M32" s="62"/>
      <c r="N32" s="62"/>
      <c r="O32" s="62"/>
      <c r="P32" s="62"/>
    </row>
    <row r="33" spans="1:16">
      <c r="A33" s="62"/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</row>
    <row r="34" spans="1:16">
      <c r="A34" s="380"/>
      <c r="B34" s="67"/>
      <c r="C34" s="67"/>
      <c r="D34" s="67"/>
      <c r="E34" s="67"/>
      <c r="F34" s="98"/>
      <c r="G34" s="98"/>
      <c r="H34" s="98"/>
      <c r="I34" s="98"/>
      <c r="J34" s="98"/>
      <c r="K34" s="68"/>
      <c r="L34" s="68"/>
      <c r="M34" s="68"/>
      <c r="N34" s="98"/>
      <c r="O34" s="21"/>
      <c r="P34" s="62"/>
    </row>
    <row r="35" spans="1:16">
      <c r="A35" s="380"/>
      <c r="B35" s="67"/>
      <c r="C35" s="67"/>
      <c r="D35" s="67"/>
      <c r="E35" s="67"/>
      <c r="F35" s="67"/>
      <c r="G35" s="67"/>
      <c r="H35" s="67"/>
      <c r="I35" s="67"/>
      <c r="J35" s="67"/>
      <c r="K35" s="68"/>
      <c r="L35" s="68"/>
      <c r="M35" s="68"/>
      <c r="N35" s="67"/>
      <c r="O35" s="21"/>
      <c r="P35" s="62"/>
    </row>
    <row r="36" spans="1:16">
      <c r="A36" s="62"/>
      <c r="B36" s="67"/>
      <c r="C36" s="67"/>
      <c r="D36" s="67"/>
      <c r="E36" s="67"/>
      <c r="F36" s="67"/>
      <c r="G36" s="67"/>
      <c r="H36" s="67"/>
      <c r="I36" s="67"/>
      <c r="J36" s="67"/>
      <c r="K36" s="68"/>
      <c r="L36" s="68"/>
      <c r="M36" s="68"/>
      <c r="N36" s="67"/>
      <c r="O36" s="21"/>
      <c r="P36" s="62"/>
    </row>
    <row r="37" spans="1:16">
      <c r="A37" s="62"/>
      <c r="B37" s="62"/>
      <c r="C37" s="62"/>
      <c r="D37" s="62"/>
      <c r="E37" s="62"/>
      <c r="F37" s="62"/>
      <c r="G37" s="62"/>
      <c r="H37" s="62"/>
      <c r="I37" s="62"/>
      <c r="J37" s="62"/>
      <c r="K37" s="62"/>
      <c r="L37" s="66"/>
      <c r="M37" s="66"/>
      <c r="N37" s="66"/>
      <c r="O37" s="62"/>
      <c r="P37" s="62"/>
    </row>
  </sheetData>
  <mergeCells count="5">
    <mergeCell ref="A34:A35"/>
    <mergeCell ref="A18:A20"/>
    <mergeCell ref="A21:A22"/>
    <mergeCell ref="A23:A28"/>
    <mergeCell ref="A29:A31"/>
  </mergeCells>
  <pageMargins left="0.7" right="0.7" top="0.75" bottom="0.75" header="0.3" footer="0.3"/>
  <pageSetup paperSize="9" orientation="portrait" verticalDpi="0" r:id="rId1"/>
</worksheet>
</file>

<file path=xl/worksheets/sheet148.xml><?xml version="1.0" encoding="utf-8"?>
<worksheet xmlns="http://schemas.openxmlformats.org/spreadsheetml/2006/main" xmlns:r="http://schemas.openxmlformats.org/officeDocument/2006/relationships">
  <dimension ref="A5:U34"/>
  <sheetViews>
    <sheetView workbookViewId="0">
      <selection activeCell="B10" sqref="B10:R10"/>
    </sheetView>
  </sheetViews>
  <sheetFormatPr defaultRowHeight="14.4"/>
  <cols>
    <col min="1" max="1" width="8.88671875" style="1"/>
    <col min="2" max="2" width="23.33203125" style="1" customWidth="1"/>
    <col min="3" max="3" width="8.88671875" style="1"/>
    <col min="4" max="4" width="5.5546875" style="1" customWidth="1"/>
    <col min="5" max="5" width="11.2187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0.399999999999999">
      <c r="A5" s="58" t="s">
        <v>3</v>
      </c>
      <c r="B5" s="58" t="s">
        <v>4</v>
      </c>
      <c r="C5" s="58" t="s">
        <v>5</v>
      </c>
      <c r="D5" s="58" t="s">
        <v>6</v>
      </c>
      <c r="E5" s="58" t="s">
        <v>37</v>
      </c>
      <c r="F5" s="59" t="s">
        <v>7</v>
      </c>
      <c r="G5" s="58" t="s">
        <v>8</v>
      </c>
      <c r="H5" s="58" t="s">
        <v>9</v>
      </c>
      <c r="I5" s="58" t="s">
        <v>10</v>
      </c>
      <c r="J5" s="59" t="s">
        <v>18</v>
      </c>
      <c r="K5" s="59" t="s">
        <v>17</v>
      </c>
      <c r="L5" s="58" t="s">
        <v>11</v>
      </c>
      <c r="M5" s="59" t="s">
        <v>36</v>
      </c>
      <c r="N5" s="58" t="s">
        <v>12</v>
      </c>
      <c r="O5" s="58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128</v>
      </c>
    </row>
    <row r="6" spans="1:21">
      <c r="A6" s="129"/>
      <c r="B6" s="301"/>
      <c r="C6" s="301"/>
      <c r="D6" s="301"/>
      <c r="E6" s="301"/>
      <c r="F6" s="301"/>
      <c r="G6" s="301"/>
      <c r="H6" s="301"/>
      <c r="I6" s="301"/>
      <c r="J6" s="301"/>
      <c r="K6" s="61"/>
      <c r="L6" s="65"/>
      <c r="M6" s="61"/>
      <c r="N6" s="301"/>
      <c r="O6" s="301"/>
      <c r="P6" s="301"/>
    </row>
    <row r="7" spans="1:21">
      <c r="A7" s="63"/>
      <c r="B7" s="301"/>
      <c r="C7" s="301"/>
      <c r="D7" s="301"/>
      <c r="E7" s="301"/>
      <c r="F7" s="301"/>
      <c r="G7" s="301"/>
      <c r="H7" s="301"/>
      <c r="I7" s="301"/>
      <c r="J7" s="301"/>
      <c r="K7" s="61"/>
      <c r="L7" s="65"/>
      <c r="M7" s="61"/>
      <c r="N7" s="301"/>
      <c r="O7" s="301"/>
      <c r="P7" s="301"/>
    </row>
    <row r="8" spans="1:21">
      <c r="A8" s="62" t="s">
        <v>3183</v>
      </c>
      <c r="B8" s="42" t="s">
        <v>2546</v>
      </c>
      <c r="C8" s="42" t="s">
        <v>414</v>
      </c>
      <c r="D8" s="42" t="s">
        <v>16</v>
      </c>
      <c r="E8" s="42" t="s">
        <v>3025</v>
      </c>
      <c r="F8" s="42">
        <v>5758</v>
      </c>
      <c r="G8" s="42"/>
      <c r="H8" s="42">
        <v>5000</v>
      </c>
      <c r="I8" s="42">
        <v>200</v>
      </c>
      <c r="J8" s="42">
        <v>0.13</v>
      </c>
      <c r="K8" s="43">
        <f t="shared" ref="K8" si="0">I8*J8</f>
        <v>26</v>
      </c>
      <c r="L8" s="43">
        <f t="shared" ref="L8" si="1">H8-K8</f>
        <v>4974</v>
      </c>
      <c r="M8" s="43"/>
      <c r="N8" s="43">
        <f t="shared" ref="N8" si="2">L8-M8</f>
        <v>4974</v>
      </c>
      <c r="O8" s="43">
        <f t="shared" ref="O8" si="3">H8/1000*70</f>
        <v>350</v>
      </c>
      <c r="P8" s="42">
        <v>0</v>
      </c>
      <c r="Q8" s="42"/>
      <c r="R8" s="42">
        <f t="shared" ref="R8" si="4">L8*Q8</f>
        <v>0</v>
      </c>
    </row>
    <row r="9" spans="1:21">
      <c r="A9" s="62"/>
      <c r="B9" s="301"/>
      <c r="C9" s="301"/>
      <c r="D9" s="301"/>
      <c r="E9" s="301"/>
      <c r="F9" s="301"/>
      <c r="G9" s="301"/>
      <c r="H9" s="301"/>
      <c r="I9" s="301"/>
      <c r="J9" s="301"/>
      <c r="K9" s="301"/>
      <c r="L9" s="61"/>
      <c r="M9" s="61"/>
      <c r="N9" s="301"/>
      <c r="O9" s="62"/>
      <c r="P9" s="62"/>
    </row>
    <row r="10" spans="1:21">
      <c r="A10" s="62"/>
      <c r="B10" s="42" t="s">
        <v>696</v>
      </c>
      <c r="C10" s="42" t="s">
        <v>414</v>
      </c>
      <c r="D10" s="42" t="s">
        <v>16</v>
      </c>
      <c r="E10" s="42" t="s">
        <v>3116</v>
      </c>
      <c r="F10" s="42">
        <v>3137</v>
      </c>
      <c r="G10" s="42"/>
      <c r="H10" s="42">
        <v>12960</v>
      </c>
      <c r="I10" s="42">
        <v>220</v>
      </c>
      <c r="J10" s="42">
        <v>0.13</v>
      </c>
      <c r="K10" s="43">
        <f t="shared" ref="K10" si="5">I10*J10</f>
        <v>28.6</v>
      </c>
      <c r="L10" s="43">
        <f t="shared" ref="L10" si="6">H10-K10</f>
        <v>12931.4</v>
      </c>
      <c r="M10" s="43"/>
      <c r="N10" s="43">
        <f t="shared" ref="N10" si="7">L10-M10</f>
        <v>12931.4</v>
      </c>
      <c r="O10" s="43">
        <f t="shared" ref="O10" si="8">H10/1000*70</f>
        <v>907.2</v>
      </c>
      <c r="P10" s="42">
        <v>18000</v>
      </c>
      <c r="Q10" s="42">
        <v>61</v>
      </c>
      <c r="R10" s="42">
        <f t="shared" ref="R10" si="9">L10*Q10</f>
        <v>788815.4</v>
      </c>
    </row>
    <row r="11" spans="1:21">
      <c r="A11" s="62"/>
      <c r="B11" s="62"/>
      <c r="C11" s="62"/>
      <c r="D11" s="62"/>
      <c r="E11" s="62"/>
      <c r="F11" s="62"/>
      <c r="G11" s="62"/>
      <c r="H11" s="62"/>
      <c r="I11" s="62"/>
      <c r="J11" s="62"/>
      <c r="K11" s="62"/>
      <c r="L11" s="62"/>
      <c r="M11" s="62"/>
      <c r="N11" s="62"/>
      <c r="O11" s="62"/>
      <c r="P11" s="62"/>
    </row>
    <row r="12" spans="1:21">
      <c r="A12" s="62"/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</row>
    <row r="13" spans="1:21">
      <c r="A13" s="62"/>
      <c r="B13" s="67"/>
      <c r="C13" s="67"/>
      <c r="D13" s="67"/>
      <c r="E13" s="67"/>
      <c r="F13" s="67"/>
      <c r="G13" s="67"/>
      <c r="H13" s="67"/>
      <c r="I13" s="67"/>
      <c r="J13" s="67"/>
      <c r="K13" s="68"/>
      <c r="L13" s="68"/>
      <c r="M13" s="68"/>
      <c r="N13" s="67"/>
      <c r="O13" s="67"/>
      <c r="P13" s="67"/>
    </row>
    <row r="14" spans="1:21">
      <c r="A14" s="62"/>
      <c r="B14" s="62"/>
      <c r="C14" s="62"/>
      <c r="D14" s="62"/>
      <c r="E14" s="62"/>
      <c r="F14" s="62"/>
      <c r="G14" s="62"/>
      <c r="H14" s="62"/>
      <c r="I14" s="62"/>
      <c r="J14" s="62"/>
      <c r="K14" s="62"/>
      <c r="L14" s="62"/>
      <c r="M14" s="62"/>
      <c r="N14" s="62"/>
      <c r="O14" s="62"/>
      <c r="P14" s="62"/>
    </row>
    <row r="15" spans="1:21">
      <c r="A15" s="380"/>
      <c r="B15" s="67"/>
      <c r="C15" s="67"/>
      <c r="D15" s="67"/>
      <c r="E15" s="67"/>
      <c r="F15" s="67"/>
      <c r="G15" s="67"/>
      <c r="H15" s="67"/>
      <c r="I15" s="67"/>
      <c r="J15" s="67"/>
      <c r="K15" s="67"/>
      <c r="L15" s="68"/>
      <c r="M15" s="68"/>
      <c r="N15" s="67"/>
      <c r="O15" s="62"/>
      <c r="P15" s="62"/>
    </row>
    <row r="16" spans="1:21">
      <c r="A16" s="380"/>
      <c r="B16" s="67"/>
      <c r="C16" s="67"/>
      <c r="D16" s="67"/>
      <c r="E16" s="67"/>
      <c r="F16" s="67"/>
      <c r="G16" s="67"/>
      <c r="H16" s="67"/>
      <c r="I16" s="67"/>
      <c r="J16" s="67"/>
      <c r="K16" s="67"/>
      <c r="L16" s="68"/>
      <c r="M16" s="68"/>
      <c r="N16" s="67"/>
      <c r="O16" s="62"/>
      <c r="P16" s="62"/>
    </row>
    <row r="17" spans="1:16">
      <c r="A17" s="380"/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8"/>
      <c r="M17" s="68"/>
      <c r="N17" s="67"/>
      <c r="O17" s="62"/>
      <c r="P17" s="62"/>
    </row>
    <row r="18" spans="1:16">
      <c r="A18" s="380"/>
      <c r="B18" s="67"/>
      <c r="C18" s="67"/>
      <c r="D18" s="67"/>
      <c r="E18" s="67"/>
      <c r="F18" s="67"/>
      <c r="G18" s="67"/>
      <c r="H18" s="67"/>
      <c r="I18" s="67"/>
      <c r="J18" s="67"/>
      <c r="K18" s="68"/>
      <c r="L18" s="68"/>
      <c r="M18" s="68"/>
      <c r="N18" s="67"/>
      <c r="O18" s="62"/>
      <c r="P18" s="62"/>
    </row>
    <row r="19" spans="1:16">
      <c r="A19" s="380"/>
      <c r="B19" s="67"/>
      <c r="C19" s="67"/>
      <c r="D19" s="67"/>
      <c r="E19" s="67"/>
      <c r="F19" s="67"/>
      <c r="G19" s="67"/>
      <c r="H19" s="67"/>
      <c r="I19" s="67"/>
      <c r="J19" s="67"/>
      <c r="K19" s="67"/>
      <c r="L19" s="68"/>
      <c r="M19" s="68"/>
      <c r="N19" s="67"/>
      <c r="O19" s="62"/>
      <c r="P19" s="62"/>
    </row>
    <row r="20" spans="1:16">
      <c r="A20" s="380"/>
      <c r="B20" s="67"/>
      <c r="C20" s="67"/>
      <c r="D20" s="67"/>
      <c r="E20" s="67"/>
      <c r="F20" s="67"/>
      <c r="G20" s="67"/>
      <c r="H20" s="67"/>
      <c r="I20" s="67"/>
      <c r="J20" s="67"/>
      <c r="K20" s="68"/>
      <c r="L20" s="68"/>
      <c r="M20" s="68"/>
      <c r="N20" s="67"/>
      <c r="O20" s="62"/>
      <c r="P20" s="62"/>
    </row>
    <row r="21" spans="1:16">
      <c r="A21" s="380"/>
      <c r="B21" s="67"/>
      <c r="C21" s="67"/>
      <c r="D21" s="67"/>
      <c r="E21" s="67"/>
      <c r="F21" s="67"/>
      <c r="G21" s="67"/>
      <c r="H21" s="67"/>
      <c r="I21" s="67"/>
      <c r="J21" s="67"/>
      <c r="K21" s="67"/>
      <c r="L21" s="68"/>
      <c r="M21" s="68"/>
      <c r="N21" s="67"/>
      <c r="O21" s="62"/>
      <c r="P21" s="62"/>
    </row>
    <row r="22" spans="1:16">
      <c r="A22" s="380"/>
      <c r="B22" s="67"/>
      <c r="C22" s="67"/>
      <c r="D22" s="67"/>
      <c r="E22" s="67"/>
      <c r="F22" s="67"/>
      <c r="G22" s="67"/>
      <c r="H22" s="67"/>
      <c r="I22" s="67"/>
      <c r="J22" s="67"/>
      <c r="K22" s="68"/>
      <c r="L22" s="68"/>
      <c r="M22" s="68"/>
      <c r="N22" s="67"/>
      <c r="O22" s="62"/>
      <c r="P22" s="62"/>
    </row>
    <row r="23" spans="1:16">
      <c r="A23" s="380"/>
      <c r="B23" s="67"/>
      <c r="C23" s="67"/>
      <c r="D23" s="67"/>
      <c r="E23" s="67"/>
      <c r="F23" s="67"/>
      <c r="G23" s="67"/>
      <c r="H23" s="67"/>
      <c r="I23" s="67"/>
      <c r="J23" s="67"/>
      <c r="K23" s="68"/>
      <c r="L23" s="68"/>
      <c r="M23" s="68"/>
      <c r="N23" s="67"/>
      <c r="O23" s="62"/>
      <c r="P23" s="62"/>
    </row>
    <row r="24" spans="1:16">
      <c r="A24" s="380"/>
      <c r="B24" s="67"/>
      <c r="C24" s="67"/>
      <c r="D24" s="67"/>
      <c r="E24" s="67"/>
      <c r="F24" s="67"/>
      <c r="G24" s="67"/>
      <c r="H24" s="67"/>
      <c r="I24" s="67"/>
      <c r="J24" s="67"/>
      <c r="K24" s="68"/>
      <c r="L24" s="68"/>
      <c r="M24" s="68"/>
      <c r="N24" s="67"/>
      <c r="O24" s="62"/>
      <c r="P24" s="62"/>
    </row>
    <row r="25" spans="1:16">
      <c r="A25" s="380"/>
      <c r="B25" s="67"/>
      <c r="C25" s="67"/>
      <c r="D25" s="67"/>
      <c r="E25" s="67"/>
      <c r="F25" s="67"/>
      <c r="G25" s="67"/>
      <c r="H25" s="67"/>
      <c r="I25" s="67"/>
      <c r="J25" s="67"/>
      <c r="K25" s="67"/>
      <c r="L25" s="68"/>
      <c r="M25" s="68"/>
      <c r="N25" s="67"/>
      <c r="O25" s="62"/>
      <c r="P25" s="62"/>
    </row>
    <row r="26" spans="1:16">
      <c r="A26" s="380"/>
      <c r="B26" s="67"/>
      <c r="C26" s="67"/>
      <c r="D26" s="67"/>
      <c r="E26" s="67"/>
      <c r="F26" s="67"/>
      <c r="G26" s="67"/>
      <c r="H26" s="67"/>
      <c r="I26" s="67"/>
      <c r="J26" s="67"/>
      <c r="K26" s="68"/>
      <c r="L26" s="68"/>
      <c r="M26" s="68"/>
      <c r="N26" s="67"/>
      <c r="O26" s="62"/>
      <c r="P26" s="62"/>
    </row>
    <row r="27" spans="1:16">
      <c r="A27" s="380"/>
      <c r="B27" s="67"/>
      <c r="C27" s="67"/>
      <c r="D27" s="67"/>
      <c r="E27" s="67"/>
      <c r="F27" s="67"/>
      <c r="G27" s="67"/>
      <c r="H27" s="67"/>
      <c r="I27" s="67"/>
      <c r="J27" s="67"/>
      <c r="K27" s="68"/>
      <c r="L27" s="68"/>
      <c r="M27" s="68"/>
      <c r="N27" s="67"/>
      <c r="O27" s="62"/>
      <c r="P27" s="62"/>
    </row>
    <row r="28" spans="1:16">
      <c r="A28" s="380"/>
      <c r="B28" s="67"/>
      <c r="C28" s="67"/>
      <c r="D28" s="67"/>
      <c r="E28" s="67"/>
      <c r="F28" s="67"/>
      <c r="G28" s="67"/>
      <c r="H28" s="67"/>
      <c r="I28" s="67"/>
      <c r="J28" s="67"/>
      <c r="K28" s="67"/>
      <c r="L28" s="68"/>
      <c r="M28" s="68"/>
      <c r="N28" s="67"/>
      <c r="O28" s="62"/>
      <c r="P28" s="62"/>
    </row>
    <row r="29" spans="1:16">
      <c r="A29" s="62"/>
      <c r="B29" s="62"/>
      <c r="C29" s="62"/>
      <c r="D29" s="62"/>
      <c r="E29" s="62"/>
      <c r="F29" s="62"/>
      <c r="G29" s="62"/>
      <c r="H29" s="62"/>
      <c r="I29" s="62"/>
      <c r="J29" s="62"/>
      <c r="K29" s="62"/>
      <c r="L29" s="62"/>
      <c r="M29" s="62"/>
      <c r="N29" s="62"/>
      <c r="O29" s="62"/>
      <c r="P29" s="62"/>
    </row>
    <row r="30" spans="1:16">
      <c r="A30" s="62"/>
      <c r="B30" s="62"/>
      <c r="C30" s="62"/>
      <c r="D30" s="62"/>
      <c r="E30" s="62"/>
      <c r="F30" s="62"/>
      <c r="G30" s="62"/>
      <c r="H30" s="62"/>
      <c r="I30" s="62"/>
      <c r="J30" s="62"/>
      <c r="K30" s="62"/>
      <c r="L30" s="62"/>
      <c r="M30" s="62"/>
      <c r="N30" s="62"/>
      <c r="O30" s="62"/>
      <c r="P30" s="62"/>
    </row>
    <row r="31" spans="1:16">
      <c r="A31" s="380"/>
      <c r="B31" s="67"/>
      <c r="C31" s="67"/>
      <c r="D31" s="67"/>
      <c r="E31" s="67"/>
      <c r="F31" s="98"/>
      <c r="G31" s="98"/>
      <c r="H31" s="98"/>
      <c r="I31" s="98"/>
      <c r="J31" s="98"/>
      <c r="K31" s="68"/>
      <c r="L31" s="68"/>
      <c r="M31" s="68"/>
      <c r="N31" s="98"/>
      <c r="O31" s="21"/>
      <c r="P31" s="62"/>
    </row>
    <row r="32" spans="1:16">
      <c r="A32" s="380"/>
      <c r="B32" s="67"/>
      <c r="C32" s="67"/>
      <c r="D32" s="67"/>
      <c r="E32" s="67"/>
      <c r="F32" s="67"/>
      <c r="G32" s="67"/>
      <c r="H32" s="67"/>
      <c r="I32" s="67"/>
      <c r="J32" s="67"/>
      <c r="K32" s="68"/>
      <c r="L32" s="68"/>
      <c r="M32" s="68"/>
      <c r="N32" s="67"/>
      <c r="O32" s="21"/>
      <c r="P32" s="62"/>
    </row>
    <row r="33" spans="1:16">
      <c r="A33" s="62"/>
      <c r="B33" s="67"/>
      <c r="C33" s="67"/>
      <c r="D33" s="67"/>
      <c r="E33" s="67"/>
      <c r="F33" s="67"/>
      <c r="G33" s="67"/>
      <c r="H33" s="67"/>
      <c r="I33" s="67"/>
      <c r="J33" s="67"/>
      <c r="K33" s="68"/>
      <c r="L33" s="68"/>
      <c r="M33" s="68"/>
      <c r="N33" s="67"/>
      <c r="O33" s="21"/>
      <c r="P33" s="62"/>
    </row>
    <row r="34" spans="1:16">
      <c r="A34" s="62"/>
      <c r="B34" s="62"/>
      <c r="C34" s="62"/>
      <c r="D34" s="62"/>
      <c r="E34" s="62"/>
      <c r="F34" s="62"/>
      <c r="G34" s="62"/>
      <c r="H34" s="62"/>
      <c r="I34" s="62"/>
      <c r="J34" s="62"/>
      <c r="K34" s="62"/>
      <c r="L34" s="66"/>
      <c r="M34" s="66"/>
      <c r="N34" s="66"/>
      <c r="O34" s="62"/>
      <c r="P34" s="62"/>
    </row>
  </sheetData>
  <mergeCells count="5">
    <mergeCell ref="A15:A17"/>
    <mergeCell ref="A18:A19"/>
    <mergeCell ref="A20:A25"/>
    <mergeCell ref="A26:A28"/>
    <mergeCell ref="A31:A32"/>
  </mergeCells>
  <pageMargins left="0.7" right="0.7" top="0.75" bottom="0.75" header="0.3" footer="0.3"/>
  <pageSetup paperSize="9" orientation="portrait" verticalDpi="0" r:id="rId1"/>
</worksheet>
</file>

<file path=xl/worksheets/sheet149.xml><?xml version="1.0" encoding="utf-8"?>
<worksheet xmlns="http://schemas.openxmlformats.org/spreadsheetml/2006/main" xmlns:r="http://schemas.openxmlformats.org/officeDocument/2006/relationships">
  <dimension ref="A5:U33"/>
  <sheetViews>
    <sheetView workbookViewId="0">
      <selection activeCell="J23" sqref="J23"/>
    </sheetView>
  </sheetViews>
  <sheetFormatPr defaultRowHeight="14.4"/>
  <cols>
    <col min="1" max="1" width="8.88671875" style="1"/>
    <col min="2" max="2" width="23.33203125" style="1" customWidth="1"/>
    <col min="3" max="3" width="8.88671875" style="1"/>
    <col min="4" max="4" width="5.5546875" style="1" customWidth="1"/>
    <col min="5" max="5" width="11.2187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0.399999999999999">
      <c r="A5" s="58" t="s">
        <v>3</v>
      </c>
      <c r="B5" s="58" t="s">
        <v>4</v>
      </c>
      <c r="C5" s="58" t="s">
        <v>5</v>
      </c>
      <c r="D5" s="58" t="s">
        <v>6</v>
      </c>
      <c r="E5" s="58" t="s">
        <v>37</v>
      </c>
      <c r="F5" s="59" t="s">
        <v>7</v>
      </c>
      <c r="G5" s="58" t="s">
        <v>8</v>
      </c>
      <c r="H5" s="58" t="s">
        <v>9</v>
      </c>
      <c r="I5" s="58" t="s">
        <v>10</v>
      </c>
      <c r="J5" s="59" t="s">
        <v>18</v>
      </c>
      <c r="K5" s="59" t="s">
        <v>17</v>
      </c>
      <c r="L5" s="58" t="s">
        <v>11</v>
      </c>
      <c r="M5" s="59" t="s">
        <v>36</v>
      </c>
      <c r="N5" s="58" t="s">
        <v>12</v>
      </c>
      <c r="O5" s="58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128</v>
      </c>
    </row>
    <row r="6" spans="1:21">
      <c r="A6" s="129"/>
      <c r="B6" s="301"/>
      <c r="C6" s="301"/>
      <c r="D6" s="301"/>
      <c r="E6" s="301"/>
      <c r="F6" s="301"/>
      <c r="G6" s="301"/>
      <c r="H6" s="301"/>
      <c r="I6" s="301"/>
      <c r="J6" s="301"/>
      <c r="K6" s="61"/>
      <c r="L6" s="65"/>
      <c r="M6" s="61"/>
      <c r="N6" s="301"/>
      <c r="O6" s="301"/>
      <c r="P6" s="301"/>
    </row>
    <row r="7" spans="1:21">
      <c r="A7" s="63"/>
      <c r="B7" s="301"/>
      <c r="C7" s="301"/>
      <c r="D7" s="301"/>
      <c r="E7" s="301"/>
      <c r="F7" s="301"/>
      <c r="G7" s="301"/>
      <c r="H7" s="301"/>
      <c r="I7" s="301"/>
      <c r="J7" s="301"/>
      <c r="K7" s="61"/>
      <c r="L7" s="65"/>
      <c r="M7" s="61"/>
      <c r="N7" s="301"/>
      <c r="O7" s="301"/>
      <c r="P7" s="301"/>
    </row>
    <row r="8" spans="1:21">
      <c r="A8" s="62"/>
      <c r="B8" s="301"/>
      <c r="C8" s="301"/>
      <c r="D8" s="301"/>
      <c r="E8" s="301"/>
      <c r="F8" s="301"/>
      <c r="G8" s="301"/>
      <c r="H8" s="301"/>
      <c r="I8" s="301"/>
      <c r="J8" s="301"/>
      <c r="K8" s="301"/>
      <c r="L8" s="61"/>
      <c r="M8" s="61"/>
      <c r="N8" s="301"/>
      <c r="O8" s="62"/>
      <c r="P8" s="62"/>
    </row>
    <row r="9" spans="1:21">
      <c r="A9" s="62" t="s">
        <v>3226</v>
      </c>
      <c r="B9" s="42" t="s">
        <v>696</v>
      </c>
      <c r="C9" s="42" t="s">
        <v>414</v>
      </c>
      <c r="D9" s="42" t="s">
        <v>16</v>
      </c>
      <c r="E9" s="42" t="s">
        <v>3116</v>
      </c>
      <c r="F9" s="42">
        <v>3137</v>
      </c>
      <c r="G9" s="42"/>
      <c r="H9" s="42">
        <v>12960</v>
      </c>
      <c r="I9" s="42">
        <v>220</v>
      </c>
      <c r="J9" s="42">
        <v>0.13</v>
      </c>
      <c r="K9" s="43">
        <f t="shared" ref="K9" si="0">I9*J9</f>
        <v>28.6</v>
      </c>
      <c r="L9" s="43">
        <f t="shared" ref="L9" si="1">H9-K9</f>
        <v>12931.4</v>
      </c>
      <c r="M9" s="43"/>
      <c r="N9" s="43">
        <f t="shared" ref="N9" si="2">L9-M9</f>
        <v>12931.4</v>
      </c>
      <c r="O9" s="43">
        <f t="shared" ref="O9" si="3">H9/1000*70</f>
        <v>907.2</v>
      </c>
      <c r="P9" s="42">
        <v>18000</v>
      </c>
      <c r="Q9" s="42">
        <v>61</v>
      </c>
      <c r="R9" s="42">
        <f t="shared" ref="R9" si="4">L9*Q9</f>
        <v>788815.4</v>
      </c>
    </row>
    <row r="10" spans="1:21">
      <c r="A10" s="62"/>
      <c r="B10" s="62"/>
      <c r="C10" s="62"/>
      <c r="D10" s="62"/>
      <c r="E10" s="62"/>
      <c r="F10" s="62"/>
      <c r="G10" s="62"/>
      <c r="H10" s="62"/>
      <c r="I10" s="62"/>
      <c r="J10" s="62"/>
      <c r="K10" s="62"/>
      <c r="L10" s="62"/>
      <c r="M10" s="62"/>
      <c r="N10" s="62"/>
      <c r="O10" s="62"/>
      <c r="P10" s="62"/>
    </row>
    <row r="11" spans="1:21">
      <c r="A11" s="62" t="s">
        <v>3477</v>
      </c>
      <c r="B11" s="42" t="s">
        <v>696</v>
      </c>
      <c r="C11" s="42" t="s">
        <v>414</v>
      </c>
      <c r="D11" s="42" t="s">
        <v>16</v>
      </c>
      <c r="E11" s="47" t="s">
        <v>3478</v>
      </c>
      <c r="F11" s="47">
        <v>4192</v>
      </c>
      <c r="G11" s="47"/>
      <c r="H11" s="47">
        <v>13040</v>
      </c>
      <c r="I11" s="47">
        <v>217</v>
      </c>
      <c r="J11" s="47">
        <v>0.13</v>
      </c>
      <c r="K11" s="43">
        <f t="shared" ref="K11" si="5">I11*J11</f>
        <v>28.21</v>
      </c>
      <c r="L11" s="43">
        <f t="shared" ref="L11" si="6">H11-K11</f>
        <v>13011.79</v>
      </c>
      <c r="M11" s="43"/>
      <c r="N11" s="43">
        <f t="shared" ref="N11" si="7">L11-M11</f>
        <v>13011.79</v>
      </c>
      <c r="O11" s="43">
        <f t="shared" ref="O11" si="8">H11/1000*70</f>
        <v>912.8</v>
      </c>
      <c r="P11" s="42">
        <v>18300</v>
      </c>
      <c r="Q11" s="42"/>
      <c r="R11" s="42">
        <f t="shared" ref="R11" si="9">L11*Q11</f>
        <v>0</v>
      </c>
    </row>
    <row r="12" spans="1:21">
      <c r="A12" s="62"/>
      <c r="B12" s="67"/>
      <c r="C12" s="67"/>
      <c r="D12" s="67"/>
      <c r="E12" s="67"/>
      <c r="F12" s="67"/>
      <c r="G12" s="67"/>
      <c r="H12" s="67"/>
      <c r="I12" s="67"/>
      <c r="J12" s="67"/>
      <c r="K12" s="68"/>
      <c r="L12" s="68"/>
      <c r="M12" s="68"/>
      <c r="N12" s="67"/>
      <c r="O12" s="67"/>
      <c r="P12" s="67"/>
    </row>
    <row r="13" spans="1:21">
      <c r="A13" s="62"/>
      <c r="B13" s="62"/>
      <c r="C13" s="62"/>
      <c r="D13" s="62"/>
      <c r="E13" s="62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</row>
    <row r="14" spans="1:21">
      <c r="A14" s="380"/>
      <c r="B14" s="67"/>
      <c r="C14" s="67"/>
      <c r="D14" s="67"/>
      <c r="E14" s="67"/>
      <c r="F14" s="67"/>
      <c r="G14" s="67"/>
      <c r="H14" s="67"/>
      <c r="I14" s="67"/>
      <c r="J14" s="67"/>
      <c r="K14" s="67"/>
      <c r="L14" s="68"/>
      <c r="M14" s="68"/>
      <c r="N14" s="67"/>
      <c r="O14" s="62"/>
      <c r="P14" s="62"/>
    </row>
    <row r="15" spans="1:21">
      <c r="A15" s="380"/>
      <c r="B15" s="42" t="s">
        <v>3703</v>
      </c>
      <c r="C15" s="42" t="s">
        <v>414</v>
      </c>
      <c r="D15" s="42" t="s">
        <v>16</v>
      </c>
      <c r="E15" s="47" t="s">
        <v>3704</v>
      </c>
      <c r="F15" s="47">
        <v>1369</v>
      </c>
      <c r="G15" s="47"/>
      <c r="H15" s="47">
        <v>14950</v>
      </c>
      <c r="I15" s="47">
        <v>299</v>
      </c>
      <c r="J15" s="47">
        <v>0.13</v>
      </c>
      <c r="K15" s="43">
        <f t="shared" ref="K15" si="10">I15*J15</f>
        <v>38.870000000000005</v>
      </c>
      <c r="L15" s="43">
        <f t="shared" ref="L15" si="11">H15-K15</f>
        <v>14911.13</v>
      </c>
      <c r="M15" s="43"/>
      <c r="N15" s="43">
        <f t="shared" ref="N15" si="12">L15-M15</f>
        <v>14911.13</v>
      </c>
      <c r="O15" s="43">
        <f t="shared" ref="O15" si="13">H15/1000*70</f>
        <v>1046.5</v>
      </c>
      <c r="P15" s="42">
        <v>13000</v>
      </c>
      <c r="Q15" s="42"/>
      <c r="R15" s="42">
        <f t="shared" ref="R15" si="14">L15*Q15</f>
        <v>0</v>
      </c>
      <c r="S15" s="42"/>
    </row>
    <row r="16" spans="1:21">
      <c r="A16" s="380"/>
      <c r="B16" s="67"/>
      <c r="C16" s="67"/>
      <c r="D16" s="67"/>
      <c r="E16" s="67"/>
      <c r="F16" s="67"/>
      <c r="G16" s="67"/>
      <c r="H16" s="67"/>
      <c r="I16" s="67"/>
      <c r="J16" s="67"/>
      <c r="K16" s="67"/>
      <c r="L16" s="68"/>
      <c r="M16" s="68"/>
      <c r="N16" s="67"/>
      <c r="O16" s="62"/>
      <c r="P16" s="62"/>
    </row>
    <row r="17" spans="1:16">
      <c r="A17" s="380"/>
      <c r="B17" s="67"/>
      <c r="C17" s="67"/>
      <c r="D17" s="67"/>
      <c r="E17" s="67"/>
      <c r="F17" s="67"/>
      <c r="G17" s="67"/>
      <c r="H17" s="67"/>
      <c r="I17" s="67"/>
      <c r="J17" s="67"/>
      <c r="K17" s="68"/>
      <c r="L17" s="68"/>
      <c r="M17" s="68"/>
      <c r="N17" s="67"/>
      <c r="O17" s="62"/>
      <c r="P17" s="62"/>
    </row>
    <row r="18" spans="1:16">
      <c r="A18" s="380"/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8"/>
      <c r="M18" s="68"/>
      <c r="N18" s="67"/>
      <c r="O18" s="62"/>
      <c r="P18" s="62"/>
    </row>
    <row r="19" spans="1:16">
      <c r="A19" s="380"/>
      <c r="B19" s="67"/>
      <c r="C19" s="67"/>
      <c r="D19" s="67"/>
      <c r="E19" s="67"/>
      <c r="F19" s="67"/>
      <c r="G19" s="67"/>
      <c r="H19" s="67"/>
      <c r="I19" s="67"/>
      <c r="J19" s="67"/>
      <c r="K19" s="68"/>
      <c r="L19" s="68"/>
      <c r="M19" s="68"/>
      <c r="N19" s="67"/>
      <c r="O19" s="62"/>
      <c r="P19" s="62"/>
    </row>
    <row r="20" spans="1:16">
      <c r="A20" s="380"/>
      <c r="B20" s="67"/>
      <c r="C20" s="67"/>
      <c r="D20" s="67"/>
      <c r="E20" s="67"/>
      <c r="F20" s="67"/>
      <c r="G20" s="67"/>
      <c r="H20" s="67"/>
      <c r="I20" s="67"/>
      <c r="J20" s="67"/>
      <c r="K20" s="67"/>
      <c r="L20" s="68"/>
      <c r="M20" s="68"/>
      <c r="N20" s="67"/>
      <c r="O20" s="62"/>
      <c r="P20" s="62"/>
    </row>
    <row r="21" spans="1:16">
      <c r="A21" s="380"/>
      <c r="B21" s="67"/>
      <c r="C21" s="67"/>
      <c r="D21" s="67"/>
      <c r="E21" s="67"/>
      <c r="F21" s="67"/>
      <c r="G21" s="67"/>
      <c r="H21" s="67"/>
      <c r="I21" s="67"/>
      <c r="J21" s="67"/>
      <c r="K21" s="68"/>
      <c r="L21" s="68"/>
      <c r="M21" s="68"/>
      <c r="N21" s="67"/>
      <c r="O21" s="62"/>
      <c r="P21" s="62"/>
    </row>
    <row r="22" spans="1:16">
      <c r="A22" s="380"/>
      <c r="B22" s="67"/>
      <c r="C22" s="67"/>
      <c r="D22" s="67"/>
      <c r="E22" s="67"/>
      <c r="F22" s="67"/>
      <c r="G22" s="67"/>
      <c r="H22" s="67"/>
      <c r="I22" s="67"/>
      <c r="J22" s="67"/>
      <c r="K22" s="68"/>
      <c r="L22" s="68"/>
      <c r="M22" s="68"/>
      <c r="N22" s="67"/>
      <c r="O22" s="62"/>
      <c r="P22" s="62"/>
    </row>
    <row r="23" spans="1:16">
      <c r="A23" s="380"/>
      <c r="B23" s="67"/>
      <c r="C23" s="67"/>
      <c r="D23" s="67"/>
      <c r="E23" s="67"/>
      <c r="F23" s="67"/>
      <c r="G23" s="67"/>
      <c r="H23" s="67"/>
      <c r="I23" s="67"/>
      <c r="J23" s="67"/>
      <c r="K23" s="68"/>
      <c r="L23" s="68"/>
      <c r="M23" s="68"/>
      <c r="N23" s="67"/>
      <c r="O23" s="62"/>
      <c r="P23" s="62"/>
    </row>
    <row r="24" spans="1:16">
      <c r="A24" s="380"/>
      <c r="B24" s="67"/>
      <c r="C24" s="67"/>
      <c r="D24" s="67"/>
      <c r="E24" s="67"/>
      <c r="F24" s="67"/>
      <c r="G24" s="67"/>
      <c r="H24" s="67"/>
      <c r="I24" s="67"/>
      <c r="J24" s="67"/>
      <c r="K24" s="67"/>
      <c r="L24" s="68"/>
      <c r="M24" s="68"/>
      <c r="N24" s="67"/>
      <c r="O24" s="62"/>
      <c r="P24" s="62"/>
    </row>
    <row r="25" spans="1:16">
      <c r="A25" s="380"/>
      <c r="B25" s="67"/>
      <c r="C25" s="67"/>
      <c r="D25" s="67"/>
      <c r="E25" s="67"/>
      <c r="F25" s="67"/>
      <c r="G25" s="67"/>
      <c r="H25" s="67"/>
      <c r="I25" s="67"/>
      <c r="J25" s="67"/>
      <c r="K25" s="68"/>
      <c r="L25" s="68"/>
      <c r="M25" s="68"/>
      <c r="N25" s="67"/>
      <c r="O25" s="62"/>
      <c r="P25" s="62"/>
    </row>
    <row r="26" spans="1:16">
      <c r="A26" s="380"/>
      <c r="B26" s="67"/>
      <c r="C26" s="67"/>
      <c r="D26" s="67"/>
      <c r="E26" s="67"/>
      <c r="F26" s="67"/>
      <c r="G26" s="67"/>
      <c r="H26" s="67"/>
      <c r="I26" s="67"/>
      <c r="J26" s="67"/>
      <c r="K26" s="68"/>
      <c r="L26" s="68"/>
      <c r="M26" s="68"/>
      <c r="N26" s="67"/>
      <c r="O26" s="62"/>
      <c r="P26" s="62"/>
    </row>
    <row r="27" spans="1:16">
      <c r="A27" s="380"/>
      <c r="B27" s="67"/>
      <c r="C27" s="67"/>
      <c r="D27" s="67"/>
      <c r="E27" s="67"/>
      <c r="F27" s="67"/>
      <c r="G27" s="67"/>
      <c r="H27" s="67"/>
      <c r="I27" s="67"/>
      <c r="J27" s="67"/>
      <c r="K27" s="67"/>
      <c r="L27" s="68"/>
      <c r="M27" s="68"/>
      <c r="N27" s="67"/>
      <c r="O27" s="62"/>
      <c r="P27" s="62"/>
    </row>
    <row r="28" spans="1:16">
      <c r="A28" s="62"/>
      <c r="B28" s="62"/>
      <c r="C28" s="62"/>
      <c r="D28" s="62"/>
      <c r="E28" s="62"/>
      <c r="F28" s="62"/>
      <c r="G28" s="62"/>
      <c r="H28" s="62"/>
      <c r="I28" s="62"/>
      <c r="J28" s="62"/>
      <c r="K28" s="62"/>
      <c r="L28" s="62"/>
      <c r="M28" s="62"/>
      <c r="N28" s="62"/>
      <c r="O28" s="62"/>
      <c r="P28" s="62"/>
    </row>
    <row r="29" spans="1:16">
      <c r="A29" s="62"/>
      <c r="B29" s="62"/>
      <c r="C29" s="62"/>
      <c r="D29" s="62"/>
      <c r="E29" s="62"/>
      <c r="F29" s="62"/>
      <c r="G29" s="62"/>
      <c r="H29" s="62"/>
      <c r="I29" s="62"/>
      <c r="J29" s="62"/>
      <c r="K29" s="62"/>
      <c r="L29" s="62"/>
      <c r="M29" s="62"/>
      <c r="N29" s="62"/>
      <c r="O29" s="62"/>
      <c r="P29" s="62"/>
    </row>
    <row r="30" spans="1:16">
      <c r="A30" s="380"/>
      <c r="B30" s="67"/>
      <c r="C30" s="67"/>
      <c r="D30" s="67"/>
      <c r="E30" s="67"/>
      <c r="F30" s="98"/>
      <c r="G30" s="98"/>
      <c r="H30" s="98"/>
      <c r="I30" s="98"/>
      <c r="J30" s="98"/>
      <c r="K30" s="68"/>
      <c r="L30" s="68"/>
      <c r="M30" s="68"/>
      <c r="N30" s="98"/>
      <c r="O30" s="21"/>
      <c r="P30" s="62"/>
    </row>
    <row r="31" spans="1:16">
      <c r="A31" s="380"/>
      <c r="B31" s="67"/>
      <c r="C31" s="67"/>
      <c r="D31" s="67"/>
      <c r="E31" s="67"/>
      <c r="F31" s="67"/>
      <c r="G31" s="67"/>
      <c r="H31" s="67"/>
      <c r="I31" s="67"/>
      <c r="J31" s="67"/>
      <c r="K31" s="68"/>
      <c r="L31" s="68"/>
      <c r="M31" s="68"/>
      <c r="N31" s="67"/>
      <c r="O31" s="21"/>
      <c r="P31" s="62"/>
    </row>
    <row r="32" spans="1:16">
      <c r="A32" s="62"/>
      <c r="B32" s="67"/>
      <c r="C32" s="67"/>
      <c r="D32" s="67"/>
      <c r="E32" s="67"/>
      <c r="F32" s="67"/>
      <c r="G32" s="67"/>
      <c r="H32" s="67"/>
      <c r="I32" s="67"/>
      <c r="J32" s="67"/>
      <c r="K32" s="68"/>
      <c r="L32" s="68"/>
      <c r="M32" s="68"/>
      <c r="N32" s="67"/>
      <c r="O32" s="21"/>
      <c r="P32" s="62"/>
    </row>
    <row r="33" spans="1:16">
      <c r="A33" s="62"/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6"/>
      <c r="M33" s="66"/>
      <c r="N33" s="66"/>
      <c r="O33" s="62"/>
      <c r="P33" s="62"/>
    </row>
  </sheetData>
  <mergeCells count="5">
    <mergeCell ref="A14:A16"/>
    <mergeCell ref="A17:A18"/>
    <mergeCell ref="A19:A24"/>
    <mergeCell ref="A25:A27"/>
    <mergeCell ref="A30:A31"/>
  </mergeCells>
  <pageMargins left="0.7" right="0.7" top="0.75" bottom="0.75" header="0.3" footer="0.3"/>
  <pageSetup paperSize="9" orientation="portrait" verticalDpi="0" r:id="rId1"/>
</worksheet>
</file>

<file path=xl/worksheets/sheet150.xml><?xml version="1.0" encoding="utf-8"?>
<worksheet xmlns="http://schemas.openxmlformats.org/spreadsheetml/2006/main" xmlns:r="http://schemas.openxmlformats.org/officeDocument/2006/relationships">
  <dimension ref="A5:U28"/>
  <sheetViews>
    <sheetView workbookViewId="0">
      <selection activeCell="A11" sqref="A11"/>
    </sheetView>
  </sheetViews>
  <sheetFormatPr defaultRowHeight="14.4"/>
  <cols>
    <col min="1" max="1" width="8.88671875" style="1"/>
    <col min="2" max="2" width="23.33203125" style="1" customWidth="1"/>
    <col min="3" max="3" width="8.88671875" style="1"/>
    <col min="4" max="4" width="5.5546875" style="1" customWidth="1"/>
    <col min="5" max="5" width="11.2187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0.399999999999999">
      <c r="A5" s="58" t="s">
        <v>3</v>
      </c>
      <c r="B5" s="58" t="s">
        <v>4</v>
      </c>
      <c r="C5" s="58" t="s">
        <v>5</v>
      </c>
      <c r="D5" s="58" t="s">
        <v>6</v>
      </c>
      <c r="E5" s="58" t="s">
        <v>37</v>
      </c>
      <c r="F5" s="59" t="s">
        <v>7</v>
      </c>
      <c r="G5" s="58" t="s">
        <v>8</v>
      </c>
      <c r="H5" s="58" t="s">
        <v>9</v>
      </c>
      <c r="I5" s="58" t="s">
        <v>10</v>
      </c>
      <c r="J5" s="59" t="s">
        <v>18</v>
      </c>
      <c r="K5" s="59" t="s">
        <v>17</v>
      </c>
      <c r="L5" s="58" t="s">
        <v>11</v>
      </c>
      <c r="M5" s="59" t="s">
        <v>36</v>
      </c>
      <c r="N5" s="58" t="s">
        <v>12</v>
      </c>
      <c r="O5" s="58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128</v>
      </c>
    </row>
    <row r="6" spans="1:21">
      <c r="A6" s="129"/>
      <c r="B6" s="301"/>
      <c r="C6" s="301"/>
      <c r="D6" s="301"/>
      <c r="E6" s="301"/>
      <c r="F6" s="301"/>
      <c r="G6" s="301"/>
      <c r="H6" s="301"/>
      <c r="I6" s="301"/>
      <c r="J6" s="301"/>
      <c r="K6" s="61"/>
      <c r="L6" s="65"/>
      <c r="M6" s="61"/>
      <c r="N6" s="301"/>
      <c r="O6" s="301"/>
      <c r="P6" s="301"/>
    </row>
    <row r="7" spans="1:21">
      <c r="A7" s="63"/>
      <c r="B7" s="301"/>
      <c r="C7" s="301"/>
      <c r="D7" s="301"/>
      <c r="E7" s="301"/>
      <c r="F7" s="301"/>
      <c r="G7" s="301"/>
      <c r="H7" s="301"/>
      <c r="I7" s="301"/>
      <c r="J7" s="301"/>
      <c r="K7" s="61"/>
      <c r="L7" s="65"/>
      <c r="M7" s="61"/>
      <c r="N7" s="301"/>
      <c r="O7" s="301"/>
      <c r="P7" s="301"/>
    </row>
    <row r="8" spans="1:21">
      <c r="A8" s="62"/>
      <c r="B8" s="301"/>
      <c r="C8" s="301"/>
      <c r="D8" s="301"/>
      <c r="E8" s="301"/>
      <c r="F8" s="301"/>
      <c r="G8" s="301"/>
      <c r="H8" s="301"/>
      <c r="I8" s="301"/>
      <c r="J8" s="301"/>
      <c r="K8" s="301"/>
      <c r="L8" s="61"/>
      <c r="M8" s="61"/>
      <c r="N8" s="301"/>
      <c r="O8" s="62"/>
      <c r="P8" s="62"/>
    </row>
    <row r="9" spans="1:21">
      <c r="A9" s="63"/>
      <c r="B9" s="67"/>
      <c r="C9" s="67"/>
      <c r="D9" s="67"/>
      <c r="E9" s="67"/>
      <c r="F9" s="67"/>
      <c r="G9" s="67"/>
      <c r="H9" s="67"/>
      <c r="I9" s="67"/>
      <c r="J9" s="67"/>
      <c r="K9" s="67"/>
      <c r="L9" s="68"/>
      <c r="M9" s="68"/>
      <c r="N9" s="67"/>
      <c r="O9" s="62"/>
      <c r="P9" s="62"/>
    </row>
    <row r="10" spans="1:21">
      <c r="A10" s="63" t="s">
        <v>3705</v>
      </c>
      <c r="B10" s="42" t="s">
        <v>3703</v>
      </c>
      <c r="C10" s="42" t="s">
        <v>414</v>
      </c>
      <c r="D10" s="42" t="s">
        <v>16</v>
      </c>
      <c r="E10" s="47" t="s">
        <v>3704</v>
      </c>
      <c r="F10" s="47">
        <v>1369</v>
      </c>
      <c r="G10" s="47"/>
      <c r="H10" s="47">
        <v>14950</v>
      </c>
      <c r="I10" s="47">
        <v>299</v>
      </c>
      <c r="J10" s="47">
        <v>0.13</v>
      </c>
      <c r="K10" s="43">
        <f t="shared" ref="K10" si="0">I10*J10</f>
        <v>38.870000000000005</v>
      </c>
      <c r="L10" s="43">
        <f t="shared" ref="L10" si="1">H10-K10</f>
        <v>14911.13</v>
      </c>
      <c r="M10" s="43"/>
      <c r="N10" s="43">
        <f t="shared" ref="N10" si="2">L10-M10</f>
        <v>14911.13</v>
      </c>
      <c r="O10" s="43">
        <f t="shared" ref="O10" si="3">H10/1000*70</f>
        <v>1046.5</v>
      </c>
      <c r="P10" s="42">
        <v>13000</v>
      </c>
      <c r="Q10" s="42"/>
      <c r="R10" s="42">
        <f t="shared" ref="R10" si="4">L10*Q10</f>
        <v>0</v>
      </c>
      <c r="S10" s="42"/>
    </row>
    <row r="11" spans="1:21">
      <c r="A11" s="63"/>
      <c r="B11" s="67"/>
      <c r="C11" s="67"/>
      <c r="D11" s="67"/>
      <c r="E11" s="67"/>
      <c r="F11" s="67"/>
      <c r="G11" s="67"/>
      <c r="H11" s="67"/>
      <c r="I11" s="67"/>
      <c r="J11" s="67"/>
      <c r="K11" s="67"/>
      <c r="L11" s="68"/>
      <c r="M11" s="68"/>
      <c r="N11" s="67"/>
      <c r="O11" s="62"/>
      <c r="P11" s="62"/>
    </row>
    <row r="12" spans="1:21">
      <c r="A12" s="380"/>
      <c r="B12" s="67"/>
      <c r="C12" s="67"/>
      <c r="D12" s="67"/>
      <c r="E12" s="67"/>
      <c r="F12" s="67"/>
      <c r="G12" s="67"/>
      <c r="H12" s="67"/>
      <c r="I12" s="67"/>
      <c r="J12" s="67"/>
      <c r="K12" s="68"/>
      <c r="L12" s="68"/>
      <c r="M12" s="68"/>
      <c r="N12" s="67"/>
      <c r="O12" s="62"/>
      <c r="P12" s="62"/>
    </row>
    <row r="13" spans="1:21">
      <c r="A13" s="380"/>
      <c r="B13" s="67"/>
      <c r="C13" s="67"/>
      <c r="D13" s="67"/>
      <c r="E13" s="67"/>
      <c r="F13" s="67"/>
      <c r="G13" s="67"/>
      <c r="H13" s="67"/>
      <c r="I13" s="67"/>
      <c r="J13" s="67"/>
      <c r="K13" s="67"/>
      <c r="L13" s="68"/>
      <c r="M13" s="68"/>
      <c r="N13" s="67"/>
      <c r="O13" s="62"/>
      <c r="P13" s="62"/>
    </row>
    <row r="14" spans="1:21">
      <c r="A14" s="380"/>
      <c r="B14" s="67"/>
      <c r="C14" s="67"/>
      <c r="D14" s="67"/>
      <c r="E14" s="67"/>
      <c r="F14" s="67"/>
      <c r="G14" s="67"/>
      <c r="H14" s="67"/>
      <c r="I14" s="67"/>
      <c r="J14" s="67"/>
      <c r="K14" s="68"/>
      <c r="L14" s="68"/>
      <c r="M14" s="68"/>
      <c r="N14" s="67"/>
      <c r="O14" s="62"/>
      <c r="P14" s="62"/>
    </row>
    <row r="15" spans="1:21">
      <c r="A15" s="380"/>
      <c r="B15" s="67"/>
      <c r="C15" s="67"/>
      <c r="D15" s="67"/>
      <c r="E15" s="67"/>
      <c r="F15" s="67"/>
      <c r="G15" s="67"/>
      <c r="H15" s="67"/>
      <c r="I15" s="67"/>
      <c r="J15" s="67"/>
      <c r="K15" s="67"/>
      <c r="L15" s="68"/>
      <c r="M15" s="68"/>
      <c r="N15" s="67"/>
      <c r="O15" s="62"/>
      <c r="P15" s="62"/>
    </row>
    <row r="16" spans="1:21">
      <c r="A16" s="380"/>
      <c r="B16" s="67"/>
      <c r="C16" s="67"/>
      <c r="D16" s="67"/>
      <c r="E16" s="67"/>
      <c r="F16" s="67"/>
      <c r="G16" s="67"/>
      <c r="H16" s="67"/>
      <c r="I16" s="67"/>
      <c r="J16" s="67"/>
      <c r="K16" s="68"/>
      <c r="L16" s="68"/>
      <c r="M16" s="68"/>
      <c r="N16" s="67"/>
      <c r="O16" s="62"/>
      <c r="P16" s="62"/>
    </row>
    <row r="17" spans="1:16">
      <c r="A17" s="380"/>
      <c r="B17" s="67"/>
      <c r="C17" s="67"/>
      <c r="D17" s="67"/>
      <c r="E17" s="67"/>
      <c r="F17" s="67"/>
      <c r="G17" s="67"/>
      <c r="H17" s="67"/>
      <c r="I17" s="67"/>
      <c r="J17" s="67"/>
      <c r="K17" s="68"/>
      <c r="L17" s="68"/>
      <c r="M17" s="68"/>
      <c r="N17" s="67"/>
      <c r="O17" s="62"/>
      <c r="P17" s="62"/>
    </row>
    <row r="18" spans="1:16">
      <c r="A18" s="380"/>
      <c r="B18" s="67"/>
      <c r="C18" s="67"/>
      <c r="D18" s="67"/>
      <c r="E18" s="67"/>
      <c r="F18" s="67"/>
      <c r="G18" s="67"/>
      <c r="H18" s="67"/>
      <c r="I18" s="67"/>
      <c r="J18" s="67"/>
      <c r="K18" s="68"/>
      <c r="L18" s="68"/>
      <c r="M18" s="68"/>
      <c r="N18" s="67"/>
      <c r="O18" s="62"/>
      <c r="P18" s="62"/>
    </row>
    <row r="19" spans="1:16">
      <c r="A19" s="380"/>
      <c r="B19" s="67"/>
      <c r="C19" s="67"/>
      <c r="D19" s="67"/>
      <c r="E19" s="67"/>
      <c r="F19" s="67"/>
      <c r="G19" s="67"/>
      <c r="H19" s="67"/>
      <c r="I19" s="67"/>
      <c r="J19" s="67"/>
      <c r="K19" s="67"/>
      <c r="L19" s="68"/>
      <c r="M19" s="68"/>
      <c r="N19" s="67"/>
      <c r="O19" s="62"/>
      <c r="P19" s="62"/>
    </row>
    <row r="20" spans="1:16">
      <c r="A20" s="380"/>
      <c r="B20" s="67"/>
      <c r="C20" s="67"/>
      <c r="D20" s="67"/>
      <c r="E20" s="67"/>
      <c r="F20" s="67"/>
      <c r="G20" s="67"/>
      <c r="H20" s="67"/>
      <c r="I20" s="67"/>
      <c r="J20" s="67"/>
      <c r="K20" s="68"/>
      <c r="L20" s="68"/>
      <c r="M20" s="68"/>
      <c r="N20" s="67"/>
      <c r="O20" s="62"/>
      <c r="P20" s="62"/>
    </row>
    <row r="21" spans="1:16">
      <c r="A21" s="380"/>
      <c r="B21" s="67"/>
      <c r="C21" s="67"/>
      <c r="D21" s="67"/>
      <c r="E21" s="67"/>
      <c r="F21" s="67"/>
      <c r="G21" s="67"/>
      <c r="H21" s="67"/>
      <c r="I21" s="67"/>
      <c r="J21" s="67"/>
      <c r="K21" s="68"/>
      <c r="L21" s="68"/>
      <c r="M21" s="68"/>
      <c r="N21" s="67"/>
      <c r="O21" s="62"/>
      <c r="P21" s="62"/>
    </row>
    <row r="22" spans="1:16">
      <c r="A22" s="380"/>
      <c r="B22" s="67"/>
      <c r="C22" s="67"/>
      <c r="D22" s="67"/>
      <c r="E22" s="67"/>
      <c r="F22" s="67"/>
      <c r="G22" s="67"/>
      <c r="H22" s="67"/>
      <c r="I22" s="67"/>
      <c r="J22" s="67"/>
      <c r="K22" s="67"/>
      <c r="L22" s="68"/>
      <c r="M22" s="68"/>
      <c r="N22" s="67"/>
      <c r="O22" s="62"/>
      <c r="P22" s="62"/>
    </row>
    <row r="23" spans="1:16">
      <c r="A23" s="62"/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</row>
    <row r="24" spans="1:16">
      <c r="A24" s="62"/>
      <c r="B24" s="62"/>
      <c r="C24" s="62"/>
      <c r="D24" s="62"/>
      <c r="E24" s="6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</row>
    <row r="25" spans="1:16">
      <c r="A25" s="380"/>
      <c r="B25" s="67"/>
      <c r="C25" s="67"/>
      <c r="D25" s="67"/>
      <c r="E25" s="67"/>
      <c r="F25" s="98"/>
      <c r="G25" s="98"/>
      <c r="H25" s="98"/>
      <c r="I25" s="98"/>
      <c r="J25" s="98"/>
      <c r="K25" s="68"/>
      <c r="L25" s="68"/>
      <c r="M25" s="68"/>
      <c r="N25" s="98"/>
      <c r="O25" s="21"/>
      <c r="P25" s="62"/>
    </row>
    <row r="26" spans="1:16">
      <c r="A26" s="380"/>
      <c r="B26" s="67"/>
      <c r="C26" s="67"/>
      <c r="D26" s="67"/>
      <c r="E26" s="67"/>
      <c r="F26" s="67"/>
      <c r="G26" s="67"/>
      <c r="H26" s="67"/>
      <c r="I26" s="67"/>
      <c r="J26" s="67"/>
      <c r="K26" s="68"/>
      <c r="L26" s="68"/>
      <c r="M26" s="68"/>
      <c r="N26" s="67"/>
      <c r="O26" s="21"/>
      <c r="P26" s="62"/>
    </row>
    <row r="27" spans="1:16">
      <c r="A27" s="62"/>
      <c r="B27" s="67"/>
      <c r="C27" s="67"/>
      <c r="D27" s="67"/>
      <c r="E27" s="67"/>
      <c r="F27" s="67"/>
      <c r="G27" s="67"/>
      <c r="H27" s="67"/>
      <c r="I27" s="67"/>
      <c r="J27" s="67"/>
      <c r="K27" s="68"/>
      <c r="L27" s="68"/>
      <c r="M27" s="68"/>
      <c r="N27" s="67"/>
      <c r="O27" s="21"/>
      <c r="P27" s="62"/>
    </row>
    <row r="28" spans="1:16">
      <c r="A28" s="62"/>
      <c r="B28" s="62"/>
      <c r="C28" s="62"/>
      <c r="D28" s="62"/>
      <c r="E28" s="62"/>
      <c r="F28" s="62"/>
      <c r="G28" s="62"/>
      <c r="H28" s="62"/>
      <c r="I28" s="62"/>
      <c r="J28" s="62"/>
      <c r="K28" s="62"/>
      <c r="L28" s="66"/>
      <c r="M28" s="66"/>
      <c r="N28" s="66"/>
      <c r="O28" s="62"/>
      <c r="P28" s="62"/>
    </row>
  </sheetData>
  <mergeCells count="4">
    <mergeCell ref="A12:A13"/>
    <mergeCell ref="A14:A19"/>
    <mergeCell ref="A20:A22"/>
    <mergeCell ref="A25:A26"/>
  </mergeCells>
  <pageMargins left="0.7" right="0.7" top="0.75" bottom="0.75" header="0.3" footer="0.3"/>
  <pageSetup paperSize="9" orientation="portrait" verticalDpi="0" r:id="rId1"/>
</worksheet>
</file>

<file path=xl/worksheets/sheet151.xml><?xml version="1.0" encoding="utf-8"?>
<worksheet xmlns="http://schemas.openxmlformats.org/spreadsheetml/2006/main" xmlns:r="http://schemas.openxmlformats.org/officeDocument/2006/relationships">
  <dimension ref="A5:U38"/>
  <sheetViews>
    <sheetView topLeftCell="A7" workbookViewId="0">
      <selection activeCell="B29" sqref="B29"/>
    </sheetView>
  </sheetViews>
  <sheetFormatPr defaultRowHeight="14.4"/>
  <cols>
    <col min="1" max="1" width="8.88671875" style="1"/>
    <col min="2" max="2" width="23.33203125" style="1" customWidth="1"/>
    <col min="3" max="3" width="8.88671875" style="1"/>
    <col min="4" max="4" width="5.5546875" style="1" customWidth="1"/>
    <col min="5" max="5" width="11.2187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0.399999999999999">
      <c r="A5" s="58" t="s">
        <v>3</v>
      </c>
      <c r="B5" s="58" t="s">
        <v>4</v>
      </c>
      <c r="C5" s="58" t="s">
        <v>5</v>
      </c>
      <c r="D5" s="58" t="s">
        <v>6</v>
      </c>
      <c r="E5" s="58" t="s">
        <v>37</v>
      </c>
      <c r="F5" s="59" t="s">
        <v>7</v>
      </c>
      <c r="G5" s="58" t="s">
        <v>8</v>
      </c>
      <c r="H5" s="58" t="s">
        <v>9</v>
      </c>
      <c r="I5" s="58" t="s">
        <v>10</v>
      </c>
      <c r="J5" s="59" t="s">
        <v>18</v>
      </c>
      <c r="K5" s="59" t="s">
        <v>17</v>
      </c>
      <c r="L5" s="58" t="s">
        <v>11</v>
      </c>
      <c r="M5" s="59" t="s">
        <v>36</v>
      </c>
      <c r="N5" s="58" t="s">
        <v>12</v>
      </c>
      <c r="O5" s="58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128</v>
      </c>
    </row>
    <row r="6" spans="1:21">
      <c r="A6" s="129"/>
      <c r="B6" s="162"/>
      <c r="C6" s="162"/>
      <c r="D6" s="162"/>
      <c r="E6" s="162"/>
      <c r="F6" s="162"/>
      <c r="G6" s="162"/>
      <c r="H6" s="162"/>
      <c r="I6" s="162"/>
      <c r="J6" s="162"/>
      <c r="K6" s="61"/>
      <c r="L6" s="65"/>
      <c r="M6" s="61"/>
      <c r="N6" s="162"/>
      <c r="O6" s="162"/>
      <c r="P6" s="162"/>
    </row>
    <row r="7" spans="1:21">
      <c r="A7" s="129" t="s">
        <v>1372</v>
      </c>
      <c r="B7" s="42" t="s">
        <v>1172</v>
      </c>
      <c r="C7" s="42" t="s">
        <v>1377</v>
      </c>
      <c r="D7" s="42" t="s">
        <v>16</v>
      </c>
      <c r="E7" s="42" t="s">
        <v>1378</v>
      </c>
      <c r="F7" s="42">
        <v>62</v>
      </c>
      <c r="G7" s="42"/>
      <c r="H7" s="42">
        <v>17340</v>
      </c>
      <c r="I7" s="42">
        <v>325</v>
      </c>
      <c r="J7" s="42">
        <v>0.75</v>
      </c>
      <c r="K7" s="42">
        <v>244</v>
      </c>
      <c r="L7" s="43">
        <f t="shared" ref="L7:L9" si="0">H7-K7</f>
        <v>17096</v>
      </c>
      <c r="M7" s="43"/>
      <c r="N7" s="43">
        <f t="shared" ref="N7:N9" si="1">L7-M7</f>
        <v>17096</v>
      </c>
      <c r="O7" s="43">
        <f t="shared" ref="O7:O9" si="2">H7/1000*70</f>
        <v>1213.8</v>
      </c>
      <c r="P7" s="42">
        <v>0</v>
      </c>
      <c r="Q7" s="42">
        <v>20</v>
      </c>
      <c r="R7" s="42">
        <f t="shared" ref="R7:R9" si="3">L7*Q7</f>
        <v>341920</v>
      </c>
      <c r="S7" s="119"/>
    </row>
    <row r="8" spans="1:21">
      <c r="A8" s="129" t="s">
        <v>1419</v>
      </c>
      <c r="B8" s="42" t="s">
        <v>1172</v>
      </c>
      <c r="C8" s="42" t="s">
        <v>1377</v>
      </c>
      <c r="D8" s="42" t="s">
        <v>16</v>
      </c>
      <c r="E8" s="42" t="s">
        <v>1421</v>
      </c>
      <c r="F8" s="42">
        <v>832</v>
      </c>
      <c r="G8" s="42"/>
      <c r="H8" s="42">
        <v>17330</v>
      </c>
      <c r="I8" s="42">
        <v>322</v>
      </c>
      <c r="J8" s="42">
        <v>0.75</v>
      </c>
      <c r="K8" s="42">
        <v>242</v>
      </c>
      <c r="L8" s="43">
        <f t="shared" si="0"/>
        <v>17088</v>
      </c>
      <c r="M8" s="43"/>
      <c r="N8" s="43">
        <f t="shared" si="1"/>
        <v>17088</v>
      </c>
      <c r="O8" s="43">
        <f t="shared" si="2"/>
        <v>1213.0999999999999</v>
      </c>
      <c r="P8" s="42">
        <v>0</v>
      </c>
      <c r="Q8" s="42">
        <v>20</v>
      </c>
      <c r="R8" s="42">
        <f t="shared" si="3"/>
        <v>341760</v>
      </c>
    </row>
    <row r="9" spans="1:21">
      <c r="A9" s="129" t="s">
        <v>1437</v>
      </c>
      <c r="B9" s="42" t="s">
        <v>1172</v>
      </c>
      <c r="C9" s="42" t="s">
        <v>1377</v>
      </c>
      <c r="D9" s="42" t="s">
        <v>16</v>
      </c>
      <c r="E9" s="42" t="s">
        <v>1439</v>
      </c>
      <c r="F9" s="42">
        <v>63</v>
      </c>
      <c r="G9" s="42"/>
      <c r="H9" s="42">
        <v>17560</v>
      </c>
      <c r="I9" s="42">
        <v>320</v>
      </c>
      <c r="J9" s="42">
        <v>0.75</v>
      </c>
      <c r="K9" s="42">
        <f t="shared" ref="K9" si="4">I9*J9</f>
        <v>240</v>
      </c>
      <c r="L9" s="43">
        <f t="shared" si="0"/>
        <v>17320</v>
      </c>
      <c r="M9" s="43"/>
      <c r="N9" s="43">
        <f t="shared" si="1"/>
        <v>17320</v>
      </c>
      <c r="O9" s="43">
        <f t="shared" si="2"/>
        <v>1229.1999999999998</v>
      </c>
      <c r="P9" s="42">
        <v>0</v>
      </c>
      <c r="Q9" s="42">
        <v>20</v>
      </c>
      <c r="R9" s="42">
        <f t="shared" si="3"/>
        <v>346400</v>
      </c>
    </row>
    <row r="10" spans="1:21">
      <c r="A10" s="129"/>
      <c r="B10" s="42"/>
      <c r="C10" s="42"/>
      <c r="D10" s="42"/>
      <c r="E10" s="42"/>
      <c r="F10" s="42"/>
      <c r="G10" s="42"/>
      <c r="H10" s="42"/>
      <c r="I10" s="42"/>
      <c r="J10" s="42"/>
      <c r="K10" s="42"/>
      <c r="L10" s="43"/>
      <c r="M10" s="43"/>
      <c r="N10" s="43"/>
      <c r="O10" s="43"/>
      <c r="P10" s="42"/>
      <c r="Q10" s="42"/>
      <c r="R10" s="42"/>
    </row>
    <row r="11" spans="1:21">
      <c r="A11" s="63"/>
      <c r="B11" s="162"/>
      <c r="C11" s="162"/>
      <c r="D11" s="162"/>
      <c r="E11" s="162"/>
      <c r="F11" s="162"/>
      <c r="G11" s="162"/>
      <c r="H11" s="162"/>
      <c r="I11" s="162"/>
      <c r="J11" s="162"/>
      <c r="K11" s="61"/>
      <c r="L11" s="65"/>
      <c r="M11" s="61"/>
      <c r="N11" s="162"/>
      <c r="O11" s="162"/>
      <c r="P11" s="162"/>
    </row>
    <row r="12" spans="1:21">
      <c r="A12" s="247" t="s">
        <v>2042</v>
      </c>
      <c r="B12" s="42" t="s">
        <v>1172</v>
      </c>
      <c r="C12" s="42" t="s">
        <v>1377</v>
      </c>
      <c r="D12" s="42" t="s">
        <v>16</v>
      </c>
      <c r="E12" s="42" t="s">
        <v>2050</v>
      </c>
      <c r="F12" s="42">
        <v>0</v>
      </c>
      <c r="G12" s="42"/>
      <c r="H12" s="42">
        <v>18870</v>
      </c>
      <c r="I12" s="42">
        <v>350</v>
      </c>
      <c r="J12" s="42">
        <v>0.75</v>
      </c>
      <c r="K12" s="43">
        <f t="shared" ref="K12" si="5">I12*J12</f>
        <v>262.5</v>
      </c>
      <c r="L12" s="43">
        <f t="shared" ref="L12" si="6">H12-K12</f>
        <v>18607.5</v>
      </c>
      <c r="M12" s="43"/>
      <c r="N12" s="43">
        <f t="shared" ref="N12" si="7">L12-M12</f>
        <v>18607.5</v>
      </c>
      <c r="O12" s="43">
        <f t="shared" ref="O12" si="8">H12/1000*70</f>
        <v>1320.9</v>
      </c>
      <c r="P12" s="42">
        <v>0</v>
      </c>
      <c r="Q12" s="42">
        <v>17.2</v>
      </c>
      <c r="R12" s="42">
        <f t="shared" ref="R12" si="9">L12*Q12</f>
        <v>320049</v>
      </c>
    </row>
    <row r="13" spans="1:21">
      <c r="A13" s="62"/>
      <c r="B13" s="162"/>
      <c r="C13" s="162"/>
      <c r="D13" s="162"/>
      <c r="E13" s="162"/>
      <c r="F13" s="162"/>
      <c r="G13" s="162"/>
      <c r="H13" s="162"/>
      <c r="I13" s="162"/>
      <c r="J13" s="162"/>
      <c r="K13" s="162"/>
      <c r="L13" s="61"/>
      <c r="M13" s="61"/>
      <c r="N13" s="162"/>
      <c r="O13" s="62"/>
      <c r="P13" s="62"/>
    </row>
    <row r="14" spans="1:21">
      <c r="A14" s="62" t="s">
        <v>2060</v>
      </c>
      <c r="B14" s="42" t="s">
        <v>1172</v>
      </c>
      <c r="C14" s="42" t="s">
        <v>1377</v>
      </c>
      <c r="D14" s="42" t="s">
        <v>16</v>
      </c>
      <c r="E14" s="42" t="s">
        <v>2061</v>
      </c>
      <c r="F14" s="42">
        <v>874</v>
      </c>
      <c r="G14" s="42"/>
      <c r="H14" s="42">
        <v>17360</v>
      </c>
      <c r="I14" s="42">
        <v>320</v>
      </c>
      <c r="J14" s="42">
        <v>0.75</v>
      </c>
      <c r="K14" s="43">
        <f t="shared" ref="K14" si="10">I14*J14</f>
        <v>240</v>
      </c>
      <c r="L14" s="43">
        <f t="shared" ref="L14" si="11">H14-K14</f>
        <v>17120</v>
      </c>
      <c r="M14" s="43"/>
      <c r="N14" s="43">
        <f t="shared" ref="N14" si="12">L14-M14</f>
        <v>17120</v>
      </c>
      <c r="O14" s="43">
        <f t="shared" ref="O14" si="13">H14/1000*70</f>
        <v>1215.2</v>
      </c>
      <c r="P14" s="42">
        <v>0</v>
      </c>
      <c r="Q14" s="42">
        <v>17.2</v>
      </c>
      <c r="R14" s="42">
        <f t="shared" ref="R14" si="14">L14*Q14</f>
        <v>294464</v>
      </c>
    </row>
    <row r="15" spans="1:21">
      <c r="A15" s="62"/>
      <c r="B15" s="62"/>
      <c r="C15" s="62"/>
      <c r="D15" s="62"/>
      <c r="E15" s="62"/>
      <c r="F15" s="62"/>
      <c r="G15" s="62"/>
      <c r="H15" s="62"/>
      <c r="I15" s="62"/>
      <c r="J15" s="62"/>
      <c r="K15" s="62"/>
      <c r="L15" s="62"/>
      <c r="M15" s="62"/>
      <c r="N15" s="62"/>
      <c r="O15" s="62"/>
      <c r="P15" s="62"/>
    </row>
    <row r="16" spans="1:21">
      <c r="A16" s="62" t="s">
        <v>2121</v>
      </c>
      <c r="B16" s="42" t="s">
        <v>1172</v>
      </c>
      <c r="C16" s="42" t="s">
        <v>1377</v>
      </c>
      <c r="D16" s="42" t="s">
        <v>16</v>
      </c>
      <c r="E16" s="42" t="s">
        <v>2125</v>
      </c>
      <c r="F16" s="42">
        <v>880</v>
      </c>
      <c r="G16" s="42"/>
      <c r="H16" s="42">
        <v>16170</v>
      </c>
      <c r="I16" s="42">
        <v>301</v>
      </c>
      <c r="J16" s="42">
        <v>0.75</v>
      </c>
      <c r="K16" s="43">
        <f t="shared" ref="K16" si="15">I16*J16</f>
        <v>225.75</v>
      </c>
      <c r="L16" s="43">
        <f t="shared" ref="L16" si="16">H16-K16</f>
        <v>15944.25</v>
      </c>
      <c r="M16" s="43"/>
      <c r="N16" s="43">
        <f t="shared" ref="N16" si="17">L16-M16</f>
        <v>15944.25</v>
      </c>
      <c r="O16" s="43">
        <f t="shared" ref="O16" si="18">H16/1000*70</f>
        <v>1131.9000000000001</v>
      </c>
      <c r="P16" s="42">
        <v>0</v>
      </c>
      <c r="Q16" s="42">
        <v>17.2</v>
      </c>
      <c r="R16" s="42">
        <f t="shared" ref="R16" si="19">L16*Q16</f>
        <v>274241.09999999998</v>
      </c>
      <c r="S16" s="48"/>
    </row>
    <row r="17" spans="1:19">
      <c r="A17" s="62"/>
      <c r="B17" s="67"/>
      <c r="C17" s="67"/>
      <c r="D17" s="67"/>
      <c r="E17" s="67"/>
      <c r="F17" s="67"/>
      <c r="G17" s="67"/>
      <c r="H17" s="67"/>
      <c r="I17" s="67"/>
      <c r="J17" s="67"/>
      <c r="K17" s="68"/>
      <c r="L17" s="68"/>
      <c r="M17" s="68"/>
      <c r="N17" s="67"/>
      <c r="O17" s="67"/>
      <c r="P17" s="67"/>
    </row>
    <row r="18" spans="1:19">
      <c r="A18" s="62" t="s">
        <v>2318</v>
      </c>
      <c r="B18" s="42" t="s">
        <v>1172</v>
      </c>
      <c r="C18" s="42" t="s">
        <v>2319</v>
      </c>
      <c r="D18" s="42" t="s">
        <v>16</v>
      </c>
      <c r="E18" s="42" t="s">
        <v>2320</v>
      </c>
      <c r="F18" s="42">
        <v>85</v>
      </c>
      <c r="G18" s="42"/>
      <c r="H18" s="42">
        <v>15760</v>
      </c>
      <c r="I18" s="42">
        <v>312</v>
      </c>
      <c r="J18" s="42">
        <v>0.75</v>
      </c>
      <c r="K18" s="43">
        <f t="shared" ref="K18" si="20">I18*J18</f>
        <v>234</v>
      </c>
      <c r="L18" s="43">
        <f t="shared" ref="L18" si="21">H18-K18</f>
        <v>15526</v>
      </c>
      <c r="M18" s="43"/>
      <c r="N18" s="43">
        <f t="shared" ref="N18" si="22">L18-M18</f>
        <v>15526</v>
      </c>
      <c r="O18" s="43">
        <f t="shared" ref="O18" si="23">H18/1000*70</f>
        <v>1103.2</v>
      </c>
      <c r="P18" s="42">
        <v>0</v>
      </c>
      <c r="Q18" s="42">
        <v>16.5</v>
      </c>
      <c r="R18" s="42">
        <f t="shared" ref="R18" si="24">L18*Q18</f>
        <v>256179</v>
      </c>
    </row>
    <row r="19" spans="1:19">
      <c r="A19" s="63"/>
      <c r="B19" s="67"/>
      <c r="C19" s="67"/>
      <c r="D19" s="67"/>
      <c r="E19" s="67"/>
      <c r="F19" s="67"/>
      <c r="G19" s="67"/>
      <c r="H19" s="67"/>
      <c r="I19" s="67"/>
      <c r="J19" s="67"/>
      <c r="K19" s="67"/>
      <c r="L19" s="68"/>
      <c r="M19" s="68"/>
      <c r="N19" s="67"/>
      <c r="O19" s="62"/>
      <c r="P19" s="62"/>
    </row>
    <row r="20" spans="1:19">
      <c r="A20" s="63" t="s">
        <v>2382</v>
      </c>
      <c r="B20" s="42" t="s">
        <v>1172</v>
      </c>
      <c r="C20" s="42" t="s">
        <v>2319</v>
      </c>
      <c r="D20" s="42" t="s">
        <v>16</v>
      </c>
      <c r="E20" s="42" t="s">
        <v>2383</v>
      </c>
      <c r="F20" s="42">
        <v>450</v>
      </c>
      <c r="G20" s="42"/>
      <c r="H20" s="42">
        <v>19140</v>
      </c>
      <c r="I20" s="42">
        <v>350</v>
      </c>
      <c r="J20" s="42">
        <v>0.75</v>
      </c>
      <c r="K20" s="43">
        <f t="shared" ref="K20" si="25">I20*J20</f>
        <v>262.5</v>
      </c>
      <c r="L20" s="43">
        <f t="shared" ref="L20" si="26">H20-K20</f>
        <v>18877.5</v>
      </c>
      <c r="M20" s="43"/>
      <c r="N20" s="43">
        <f t="shared" ref="N20" si="27">L20-M20</f>
        <v>18877.5</v>
      </c>
      <c r="O20" s="43">
        <f t="shared" ref="O20" si="28">H20/1000*70</f>
        <v>1339.8</v>
      </c>
      <c r="P20" s="42">
        <v>0</v>
      </c>
      <c r="Q20" s="42"/>
      <c r="R20" s="42">
        <f t="shared" ref="R20" si="29">L20*Q20</f>
        <v>0</v>
      </c>
      <c r="S20" s="42"/>
    </row>
    <row r="21" spans="1:19">
      <c r="A21" s="63"/>
      <c r="B21" s="67"/>
      <c r="C21" s="67"/>
      <c r="D21" s="67"/>
      <c r="E21" s="67"/>
      <c r="F21" s="67"/>
      <c r="G21" s="67"/>
      <c r="H21" s="67"/>
      <c r="I21" s="67"/>
      <c r="J21" s="67"/>
      <c r="K21" s="67"/>
      <c r="L21" s="68"/>
      <c r="M21" s="68"/>
      <c r="N21" s="67"/>
      <c r="O21" s="62"/>
      <c r="P21" s="62"/>
    </row>
    <row r="22" spans="1:19">
      <c r="A22" s="63" t="s">
        <v>2721</v>
      </c>
      <c r="B22" s="284" t="s">
        <v>1172</v>
      </c>
      <c r="C22" s="284" t="s">
        <v>1377</v>
      </c>
      <c r="D22" s="42" t="s">
        <v>16</v>
      </c>
      <c r="E22" s="284" t="s">
        <v>2723</v>
      </c>
      <c r="F22" s="284">
        <v>15</v>
      </c>
      <c r="G22" s="284"/>
      <c r="H22" s="284">
        <v>17640</v>
      </c>
      <c r="I22" s="284">
        <v>322</v>
      </c>
      <c r="J22" s="284">
        <v>0.75</v>
      </c>
      <c r="K22" s="43">
        <f t="shared" ref="K22" si="30">I22*J22</f>
        <v>241.5</v>
      </c>
      <c r="L22" s="43">
        <f t="shared" ref="L22" si="31">H22-K22</f>
        <v>17398.5</v>
      </c>
      <c r="M22" s="43"/>
      <c r="N22" s="43">
        <f t="shared" ref="N22" si="32">L22-M22</f>
        <v>17398.5</v>
      </c>
      <c r="O22" s="43">
        <f t="shared" ref="O22" si="33">H22/1000*70</f>
        <v>1234.8</v>
      </c>
      <c r="P22" s="42">
        <v>0</v>
      </c>
      <c r="Q22" s="42">
        <v>15.7</v>
      </c>
      <c r="R22" s="42">
        <f t="shared" ref="R22" si="34">L22*Q22</f>
        <v>273156.45</v>
      </c>
    </row>
    <row r="23" spans="1:19">
      <c r="A23" s="63"/>
      <c r="B23" s="67"/>
      <c r="C23" s="67"/>
      <c r="D23" s="67"/>
      <c r="E23" s="67"/>
      <c r="F23" s="67"/>
      <c r="G23" s="67"/>
      <c r="H23" s="67"/>
      <c r="I23" s="67"/>
      <c r="J23" s="67"/>
      <c r="K23" s="67"/>
      <c r="L23" s="68"/>
      <c r="M23" s="68"/>
      <c r="N23" s="67"/>
      <c r="O23" s="62"/>
      <c r="P23" s="62"/>
    </row>
    <row r="24" spans="1:19">
      <c r="A24" s="63" t="s">
        <v>2795</v>
      </c>
      <c r="B24" s="42" t="s">
        <v>1172</v>
      </c>
      <c r="C24" s="42" t="s">
        <v>1377</v>
      </c>
      <c r="D24" s="42" t="s">
        <v>16</v>
      </c>
      <c r="E24" s="42" t="s">
        <v>2798</v>
      </c>
      <c r="F24" s="42">
        <v>0</v>
      </c>
      <c r="G24" s="42"/>
      <c r="H24" s="42">
        <v>16520</v>
      </c>
      <c r="I24" s="42">
        <v>300</v>
      </c>
      <c r="J24" s="42">
        <v>0.75</v>
      </c>
      <c r="K24" s="43">
        <f t="shared" ref="K24" si="35">I24*J24</f>
        <v>225</v>
      </c>
      <c r="L24" s="43">
        <f t="shared" ref="L24" si="36">H24-K24</f>
        <v>16295</v>
      </c>
      <c r="M24" s="43"/>
      <c r="N24" s="43">
        <f t="shared" ref="N24" si="37">L24-M24</f>
        <v>16295</v>
      </c>
      <c r="O24" s="43">
        <f t="shared" ref="O24" si="38">H24/1000*70</f>
        <v>1156.3999999999999</v>
      </c>
      <c r="P24" s="42">
        <v>0</v>
      </c>
      <c r="Q24" s="42">
        <v>15.7</v>
      </c>
      <c r="R24" s="42">
        <f t="shared" ref="R24" si="39">L24*Q24</f>
        <v>255831.5</v>
      </c>
    </row>
    <row r="25" spans="1:19">
      <c r="A25" s="63"/>
      <c r="B25" s="67"/>
      <c r="C25" s="67"/>
      <c r="D25" s="67"/>
      <c r="E25" s="67"/>
      <c r="F25" s="67"/>
      <c r="G25" s="67"/>
      <c r="H25" s="67"/>
      <c r="I25" s="67"/>
      <c r="J25" s="67"/>
      <c r="K25" s="67"/>
      <c r="L25" s="68"/>
      <c r="M25" s="68"/>
      <c r="N25" s="67"/>
      <c r="O25" s="62"/>
      <c r="P25" s="62"/>
    </row>
    <row r="26" spans="1:19">
      <c r="A26" s="63" t="s">
        <v>3248</v>
      </c>
      <c r="B26" s="42" t="s">
        <v>1172</v>
      </c>
      <c r="C26" s="42" t="s">
        <v>1377</v>
      </c>
      <c r="D26" s="42" t="s">
        <v>16</v>
      </c>
      <c r="E26" s="42" t="s">
        <v>3251</v>
      </c>
      <c r="F26" s="42">
        <v>2651</v>
      </c>
      <c r="G26" s="42"/>
      <c r="H26" s="42">
        <v>15200</v>
      </c>
      <c r="I26" s="42">
        <f>H26/50</f>
        <v>304</v>
      </c>
      <c r="J26" s="42">
        <v>0.75</v>
      </c>
      <c r="K26" s="43">
        <f t="shared" ref="K26" si="40">I26*J26</f>
        <v>228</v>
      </c>
      <c r="L26" s="43">
        <f t="shared" ref="L26" si="41">H26-K26</f>
        <v>14972</v>
      </c>
      <c r="M26" s="43"/>
      <c r="N26" s="43">
        <f t="shared" ref="N26" si="42">L26-M26</f>
        <v>14972</v>
      </c>
      <c r="O26" s="43">
        <f t="shared" ref="O26" si="43">H26/1000*70</f>
        <v>1064</v>
      </c>
      <c r="P26" s="42">
        <v>10000</v>
      </c>
      <c r="Q26" s="42">
        <v>17.5</v>
      </c>
      <c r="R26" s="42">
        <f t="shared" ref="R26" si="44">L26*Q26</f>
        <v>262010</v>
      </c>
    </row>
    <row r="27" spans="1:19">
      <c r="A27" s="63"/>
      <c r="B27" s="67"/>
      <c r="C27" s="67"/>
      <c r="D27" s="67"/>
      <c r="E27" s="67"/>
      <c r="F27" s="67"/>
      <c r="G27" s="67"/>
      <c r="H27" s="67"/>
      <c r="I27" s="67"/>
      <c r="J27" s="67"/>
      <c r="K27" s="68"/>
      <c r="L27" s="68"/>
      <c r="M27" s="68"/>
      <c r="N27" s="67"/>
      <c r="O27" s="62"/>
      <c r="P27" s="62"/>
    </row>
    <row r="28" spans="1:19">
      <c r="A28" s="63" t="s">
        <v>3956</v>
      </c>
      <c r="B28" s="335" t="s">
        <v>1172</v>
      </c>
      <c r="C28" s="335" t="s">
        <v>1377</v>
      </c>
      <c r="D28" s="42" t="s">
        <v>16</v>
      </c>
      <c r="E28" s="335" t="s">
        <v>1781</v>
      </c>
      <c r="F28" s="335">
        <v>252</v>
      </c>
      <c r="G28" s="335"/>
      <c r="H28" s="335">
        <v>16510</v>
      </c>
      <c r="I28" s="335">
        <v>300</v>
      </c>
      <c r="J28" s="335">
        <v>0.75</v>
      </c>
      <c r="K28" s="43">
        <f t="shared" ref="K28" si="45">I28*J28</f>
        <v>225</v>
      </c>
      <c r="L28" s="43">
        <f t="shared" ref="L28" si="46">H28-K28</f>
        <v>16285</v>
      </c>
      <c r="M28" s="43"/>
      <c r="N28" s="43">
        <f t="shared" ref="N28" si="47">L28-M28</f>
        <v>16285</v>
      </c>
      <c r="O28" s="43">
        <f t="shared" ref="O28" si="48">H28/1000*70</f>
        <v>1155.7</v>
      </c>
      <c r="P28" s="42">
        <v>18700</v>
      </c>
      <c r="Q28" s="42"/>
      <c r="R28" s="42">
        <f t="shared" ref="R28" si="49">L28*Q28</f>
        <v>0</v>
      </c>
      <c r="S28" s="85"/>
    </row>
    <row r="29" spans="1:19">
      <c r="A29" s="63"/>
      <c r="B29" s="67"/>
      <c r="C29" s="67"/>
      <c r="D29" s="67"/>
      <c r="E29" s="67"/>
      <c r="F29" s="67"/>
      <c r="G29" s="67"/>
      <c r="H29" s="67"/>
      <c r="I29" s="67"/>
      <c r="J29" s="67"/>
      <c r="K29" s="67"/>
      <c r="L29" s="68"/>
      <c r="M29" s="68"/>
      <c r="N29" s="67"/>
      <c r="O29" s="62"/>
      <c r="P29" s="62"/>
    </row>
    <row r="30" spans="1:19">
      <c r="A30" s="380"/>
      <c r="B30" s="67"/>
      <c r="C30" s="67"/>
      <c r="D30" s="67"/>
      <c r="E30" s="67"/>
      <c r="F30" s="67"/>
      <c r="G30" s="67"/>
      <c r="H30" s="67"/>
      <c r="I30" s="67"/>
      <c r="J30" s="67"/>
      <c r="K30" s="68"/>
      <c r="L30" s="68"/>
      <c r="M30" s="68"/>
      <c r="N30" s="67"/>
      <c r="O30" s="62"/>
      <c r="P30" s="62"/>
    </row>
    <row r="31" spans="1:19">
      <c r="A31" s="380"/>
      <c r="B31" s="67"/>
      <c r="C31" s="67"/>
      <c r="D31" s="67"/>
      <c r="E31" s="67"/>
      <c r="F31" s="67"/>
      <c r="G31" s="67"/>
      <c r="H31" s="67"/>
      <c r="I31" s="67"/>
      <c r="J31" s="67"/>
      <c r="K31" s="68"/>
      <c r="L31" s="68"/>
      <c r="M31" s="68"/>
      <c r="N31" s="67"/>
      <c r="O31" s="62"/>
      <c r="P31" s="62"/>
    </row>
    <row r="32" spans="1:19">
      <c r="A32" s="380"/>
      <c r="B32" s="67"/>
      <c r="C32" s="67"/>
      <c r="D32" s="67"/>
      <c r="E32" s="67"/>
      <c r="F32" s="67"/>
      <c r="G32" s="67"/>
      <c r="H32" s="67"/>
      <c r="I32" s="67"/>
      <c r="J32" s="67"/>
      <c r="K32" s="67"/>
      <c r="L32" s="68"/>
      <c r="M32" s="68"/>
      <c r="N32" s="67"/>
      <c r="O32" s="62"/>
      <c r="P32" s="62"/>
    </row>
    <row r="33" spans="1:16">
      <c r="A33" s="62"/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</row>
    <row r="34" spans="1:16">
      <c r="A34" s="62"/>
      <c r="B34" s="62"/>
      <c r="C34" s="62"/>
      <c r="D34" s="62"/>
      <c r="E34" s="62"/>
      <c r="F34" s="62"/>
      <c r="G34" s="62"/>
      <c r="H34" s="62"/>
      <c r="I34" s="62"/>
      <c r="J34" s="62"/>
      <c r="K34" s="62"/>
      <c r="L34" s="62"/>
      <c r="M34" s="62"/>
      <c r="N34" s="62"/>
      <c r="O34" s="62"/>
      <c r="P34" s="62"/>
    </row>
    <row r="35" spans="1:16">
      <c r="A35" s="380"/>
      <c r="B35" s="67"/>
      <c r="C35" s="67"/>
      <c r="D35" s="67"/>
      <c r="E35" s="67"/>
      <c r="F35" s="98"/>
      <c r="G35" s="98"/>
      <c r="H35" s="98"/>
      <c r="I35" s="98"/>
      <c r="J35" s="98"/>
      <c r="K35" s="68"/>
      <c r="L35" s="68"/>
      <c r="M35" s="68"/>
      <c r="N35" s="98"/>
      <c r="O35" s="21"/>
      <c r="P35" s="62"/>
    </row>
    <row r="36" spans="1:16">
      <c r="A36" s="380"/>
      <c r="B36" s="67"/>
      <c r="C36" s="67"/>
      <c r="D36" s="67"/>
      <c r="E36" s="67"/>
      <c r="F36" s="67"/>
      <c r="G36" s="67"/>
      <c r="H36" s="67"/>
      <c r="I36" s="67"/>
      <c r="J36" s="67"/>
      <c r="K36" s="68"/>
      <c r="L36" s="68"/>
      <c r="M36" s="68"/>
      <c r="N36" s="67"/>
      <c r="O36" s="21"/>
      <c r="P36" s="62"/>
    </row>
    <row r="37" spans="1:16">
      <c r="A37" s="62"/>
      <c r="B37" s="67"/>
      <c r="C37" s="67"/>
      <c r="D37" s="67"/>
      <c r="E37" s="67"/>
      <c r="F37" s="67"/>
      <c r="G37" s="67"/>
      <c r="H37" s="67"/>
      <c r="I37" s="67"/>
      <c r="J37" s="67"/>
      <c r="K37" s="68"/>
      <c r="L37" s="68"/>
      <c r="M37" s="68"/>
      <c r="N37" s="67"/>
      <c r="O37" s="21"/>
      <c r="P37" s="62"/>
    </row>
    <row r="38" spans="1:16">
      <c r="A38" s="62"/>
      <c r="B38" s="62"/>
      <c r="C38" s="62"/>
      <c r="D38" s="62"/>
      <c r="E38" s="62"/>
      <c r="F38" s="62"/>
      <c r="G38" s="62"/>
      <c r="H38" s="62"/>
      <c r="I38" s="62"/>
      <c r="J38" s="62"/>
      <c r="K38" s="62"/>
      <c r="L38" s="66"/>
      <c r="M38" s="66"/>
      <c r="N38" s="66"/>
      <c r="O38" s="62"/>
      <c r="P38" s="62"/>
    </row>
  </sheetData>
  <mergeCells count="2">
    <mergeCell ref="A30:A32"/>
    <mergeCell ref="A35:A36"/>
  </mergeCells>
  <pageMargins left="0.7" right="0.7" top="0.75" bottom="0.75" header="0.3" footer="0.3"/>
  <pageSetup paperSize="9" orientation="portrait" verticalDpi="0" r:id="rId1"/>
</worksheet>
</file>

<file path=xl/worksheets/sheet152.xml><?xml version="1.0" encoding="utf-8"?>
<worksheet xmlns="http://schemas.openxmlformats.org/spreadsheetml/2006/main" xmlns:r="http://schemas.openxmlformats.org/officeDocument/2006/relationships">
  <dimension ref="A5:U38"/>
  <sheetViews>
    <sheetView workbookViewId="0">
      <selection activeCell="B10" sqref="B10"/>
    </sheetView>
  </sheetViews>
  <sheetFormatPr defaultRowHeight="14.4"/>
  <cols>
    <col min="1" max="1" width="8.88671875" style="1"/>
    <col min="2" max="2" width="23.33203125" style="1" customWidth="1"/>
    <col min="3" max="3" width="8.88671875" style="1"/>
    <col min="4" max="4" width="5.5546875" style="1" customWidth="1"/>
    <col min="5" max="5" width="11.2187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0.399999999999999">
      <c r="A5" s="58" t="s">
        <v>3</v>
      </c>
      <c r="B5" s="58" t="s">
        <v>4</v>
      </c>
      <c r="C5" s="58" t="s">
        <v>5</v>
      </c>
      <c r="D5" s="58" t="s">
        <v>6</v>
      </c>
      <c r="E5" s="58" t="s">
        <v>37</v>
      </c>
      <c r="F5" s="59" t="s">
        <v>7</v>
      </c>
      <c r="G5" s="58" t="s">
        <v>8</v>
      </c>
      <c r="H5" s="58" t="s">
        <v>9</v>
      </c>
      <c r="I5" s="58" t="s">
        <v>10</v>
      </c>
      <c r="J5" s="59" t="s">
        <v>18</v>
      </c>
      <c r="K5" s="59" t="s">
        <v>17</v>
      </c>
      <c r="L5" s="58" t="s">
        <v>11</v>
      </c>
      <c r="M5" s="59" t="s">
        <v>36</v>
      </c>
      <c r="N5" s="58" t="s">
        <v>12</v>
      </c>
      <c r="O5" s="58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128</v>
      </c>
    </row>
    <row r="6" spans="1:21">
      <c r="A6" s="129"/>
      <c r="B6" s="164"/>
      <c r="C6" s="164"/>
      <c r="D6" s="164"/>
      <c r="E6" s="164"/>
      <c r="F6" s="164"/>
      <c r="G6" s="164"/>
      <c r="H6" s="164"/>
      <c r="I6" s="164"/>
      <c r="J6" s="164"/>
      <c r="K6" s="61"/>
      <c r="L6" s="65"/>
      <c r="M6" s="61"/>
      <c r="N6" s="164"/>
      <c r="O6" s="164"/>
      <c r="P6" s="164"/>
    </row>
    <row r="7" spans="1:21">
      <c r="A7" s="129" t="s">
        <v>1384</v>
      </c>
      <c r="B7" s="42" t="s">
        <v>1387</v>
      </c>
      <c r="C7" s="42" t="s">
        <v>1377</v>
      </c>
      <c r="D7" s="42" t="s">
        <v>16</v>
      </c>
      <c r="E7" s="42" t="s">
        <v>1388</v>
      </c>
      <c r="F7" s="42">
        <v>889</v>
      </c>
      <c r="G7" s="42"/>
      <c r="H7" s="42">
        <v>15230</v>
      </c>
      <c r="I7" s="42">
        <v>284</v>
      </c>
      <c r="J7" s="42">
        <v>0.75</v>
      </c>
      <c r="K7" s="42">
        <f t="shared" ref="K7" si="0">I7*J7</f>
        <v>213</v>
      </c>
      <c r="L7" s="43">
        <f t="shared" ref="L7" si="1">H7-K7</f>
        <v>15017</v>
      </c>
      <c r="M7" s="43"/>
      <c r="N7" s="43">
        <f t="shared" ref="N7" si="2">L7-M7</f>
        <v>15017</v>
      </c>
      <c r="O7" s="43">
        <f t="shared" ref="O7" si="3">H7/1000*70</f>
        <v>1066.1000000000001</v>
      </c>
      <c r="P7" s="42">
        <v>0</v>
      </c>
      <c r="Q7" s="42"/>
      <c r="R7" s="42">
        <f t="shared" ref="R7" si="4">L7*Q7</f>
        <v>0</v>
      </c>
      <c r="S7" s="119"/>
    </row>
    <row r="8" spans="1:21">
      <c r="A8" s="129"/>
      <c r="B8" s="164"/>
      <c r="C8" s="164"/>
      <c r="D8" s="164"/>
      <c r="E8" s="164"/>
      <c r="F8" s="164"/>
      <c r="G8" s="164"/>
      <c r="H8" s="164"/>
      <c r="I8" s="164"/>
      <c r="J8" s="164"/>
      <c r="K8" s="61"/>
      <c r="L8" s="65"/>
      <c r="M8" s="61"/>
      <c r="N8" s="164"/>
      <c r="O8" s="164"/>
      <c r="P8" s="164"/>
    </row>
    <row r="9" spans="1:21">
      <c r="A9" s="1" t="s">
        <v>1989</v>
      </c>
      <c r="B9" s="234" t="s">
        <v>1387</v>
      </c>
      <c r="C9" s="234" t="s">
        <v>1377</v>
      </c>
      <c r="D9" s="234" t="s">
        <v>16</v>
      </c>
      <c r="E9" s="234" t="s">
        <v>1991</v>
      </c>
      <c r="F9" s="234">
        <v>574</v>
      </c>
      <c r="G9" s="234"/>
      <c r="H9" s="234">
        <v>15220</v>
      </c>
      <c r="I9" s="234">
        <v>272</v>
      </c>
      <c r="J9" s="234">
        <v>0.75</v>
      </c>
      <c r="K9" s="5">
        <f t="shared" ref="K9" si="5">I9*J9</f>
        <v>204</v>
      </c>
      <c r="L9" s="19">
        <f t="shared" ref="L9" si="6">H9-K9</f>
        <v>15016</v>
      </c>
      <c r="M9" s="19"/>
      <c r="N9" s="43">
        <f t="shared" ref="N9" si="7">L9-M9</f>
        <v>15016</v>
      </c>
      <c r="O9" s="5">
        <f t="shared" ref="O9" si="8">H9/1000*70</f>
        <v>1065.4000000000001</v>
      </c>
      <c r="P9" s="234">
        <v>17000</v>
      </c>
      <c r="Q9" s="234">
        <v>17.8</v>
      </c>
      <c r="R9" s="42">
        <f t="shared" ref="R9" si="9">L9*Q9</f>
        <v>267284.8</v>
      </c>
    </row>
    <row r="13" spans="1:21">
      <c r="A13" s="62"/>
      <c r="B13" s="164"/>
      <c r="C13" s="164"/>
      <c r="D13" s="164"/>
      <c r="E13" s="164"/>
      <c r="F13" s="164"/>
      <c r="G13" s="164"/>
      <c r="H13" s="164"/>
      <c r="I13" s="164"/>
      <c r="J13" s="164"/>
      <c r="K13" s="164"/>
      <c r="L13" s="61"/>
      <c r="M13" s="61"/>
      <c r="N13" s="164"/>
      <c r="O13" s="62"/>
      <c r="P13" s="62"/>
    </row>
    <row r="14" spans="1:21">
      <c r="A14" s="62"/>
      <c r="B14" s="62"/>
      <c r="C14" s="62"/>
      <c r="D14" s="62"/>
      <c r="E14" s="62"/>
      <c r="F14" s="62"/>
      <c r="G14" s="62"/>
      <c r="H14" s="62"/>
      <c r="I14" s="62"/>
      <c r="J14" s="62"/>
      <c r="K14" s="62"/>
      <c r="L14" s="66"/>
      <c r="M14" s="66"/>
      <c r="N14" s="66"/>
      <c r="O14" s="62"/>
      <c r="P14" s="62"/>
    </row>
    <row r="15" spans="1:21">
      <c r="A15" s="62"/>
      <c r="B15" s="62"/>
      <c r="C15" s="62"/>
      <c r="D15" s="62"/>
      <c r="E15" s="62"/>
      <c r="F15" s="62"/>
      <c r="G15" s="62"/>
      <c r="H15" s="62"/>
      <c r="I15" s="62"/>
      <c r="J15" s="62"/>
      <c r="K15" s="62"/>
      <c r="L15" s="62"/>
      <c r="M15" s="62"/>
      <c r="N15" s="62"/>
      <c r="O15" s="62"/>
      <c r="P15" s="62"/>
    </row>
    <row r="16" spans="1:21">
      <c r="A16" s="62"/>
      <c r="B16" s="62"/>
      <c r="C16" s="62"/>
      <c r="D16" s="62"/>
      <c r="E16" s="62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</row>
    <row r="17" spans="1:16">
      <c r="A17" s="62"/>
      <c r="B17" s="67"/>
      <c r="C17" s="67"/>
      <c r="D17" s="67"/>
      <c r="E17" s="67"/>
      <c r="F17" s="67"/>
      <c r="G17" s="67"/>
      <c r="H17" s="67"/>
      <c r="I17" s="67"/>
      <c r="J17" s="67"/>
      <c r="K17" s="68"/>
      <c r="L17" s="68"/>
      <c r="M17" s="68"/>
      <c r="N17" s="67"/>
      <c r="O17" s="67"/>
      <c r="P17" s="67"/>
    </row>
    <row r="18" spans="1:16">
      <c r="A18" s="62"/>
      <c r="B18" s="62"/>
      <c r="C18" s="62"/>
      <c r="D18" s="62"/>
      <c r="E18" s="62"/>
      <c r="F18" s="62"/>
      <c r="G18" s="62"/>
      <c r="H18" s="62"/>
      <c r="I18" s="62"/>
      <c r="J18" s="62"/>
      <c r="K18" s="62"/>
      <c r="L18" s="62"/>
      <c r="M18" s="62"/>
      <c r="N18" s="62"/>
      <c r="O18" s="62"/>
      <c r="P18" s="62"/>
    </row>
    <row r="19" spans="1:16">
      <c r="A19" s="380"/>
      <c r="B19" s="67"/>
      <c r="C19" s="67"/>
      <c r="D19" s="67"/>
      <c r="E19" s="67"/>
      <c r="F19" s="67"/>
      <c r="G19" s="67"/>
      <c r="H19" s="67"/>
      <c r="I19" s="67"/>
      <c r="J19" s="67"/>
      <c r="K19" s="67"/>
      <c r="L19" s="68"/>
      <c r="M19" s="68"/>
      <c r="N19" s="67"/>
      <c r="O19" s="62"/>
      <c r="P19" s="62"/>
    </row>
    <row r="20" spans="1:16">
      <c r="A20" s="380"/>
      <c r="B20" s="67"/>
      <c r="C20" s="67"/>
      <c r="D20" s="67"/>
      <c r="E20" s="67"/>
      <c r="F20" s="67"/>
      <c r="G20" s="67"/>
      <c r="H20" s="67"/>
      <c r="I20" s="67"/>
      <c r="J20" s="67"/>
      <c r="K20" s="67"/>
      <c r="L20" s="68"/>
      <c r="M20" s="68"/>
      <c r="N20" s="67"/>
      <c r="O20" s="62"/>
      <c r="P20" s="62"/>
    </row>
    <row r="21" spans="1:16">
      <c r="A21" s="380"/>
      <c r="B21" s="67"/>
      <c r="C21" s="67"/>
      <c r="D21" s="67"/>
      <c r="E21" s="67"/>
      <c r="F21" s="67"/>
      <c r="G21" s="67"/>
      <c r="H21" s="67"/>
      <c r="I21" s="67"/>
      <c r="J21" s="67"/>
      <c r="K21" s="67"/>
      <c r="L21" s="68"/>
      <c r="M21" s="68"/>
      <c r="N21" s="67"/>
      <c r="O21" s="62"/>
      <c r="P21" s="62"/>
    </row>
    <row r="22" spans="1:16">
      <c r="A22" s="380"/>
      <c r="B22" s="67"/>
      <c r="C22" s="67"/>
      <c r="D22" s="67"/>
      <c r="E22" s="67"/>
      <c r="F22" s="67"/>
      <c r="G22" s="67"/>
      <c r="H22" s="67"/>
      <c r="I22" s="67"/>
      <c r="J22" s="67"/>
      <c r="K22" s="68"/>
      <c r="L22" s="68"/>
      <c r="M22" s="68"/>
      <c r="N22" s="67"/>
      <c r="O22" s="62"/>
      <c r="P22" s="62"/>
    </row>
    <row r="23" spans="1:16">
      <c r="A23" s="380"/>
      <c r="B23" s="67"/>
      <c r="C23" s="67"/>
      <c r="D23" s="67"/>
      <c r="E23" s="67"/>
      <c r="F23" s="67"/>
      <c r="G23" s="67"/>
      <c r="H23" s="67"/>
      <c r="I23" s="67"/>
      <c r="J23" s="67"/>
      <c r="K23" s="67"/>
      <c r="L23" s="68"/>
      <c r="M23" s="68"/>
      <c r="N23" s="67"/>
      <c r="O23" s="62"/>
      <c r="P23" s="62"/>
    </row>
    <row r="24" spans="1:16">
      <c r="A24" s="380"/>
      <c r="B24" s="67"/>
      <c r="C24" s="67"/>
      <c r="D24" s="67"/>
      <c r="E24" s="67"/>
      <c r="F24" s="67"/>
      <c r="G24" s="67"/>
      <c r="H24" s="67"/>
      <c r="I24" s="67"/>
      <c r="J24" s="67"/>
      <c r="K24" s="68"/>
      <c r="L24" s="68"/>
      <c r="M24" s="68"/>
      <c r="N24" s="67"/>
      <c r="O24" s="62"/>
      <c r="P24" s="62"/>
    </row>
    <row r="25" spans="1:16">
      <c r="A25" s="380"/>
      <c r="B25" s="67"/>
      <c r="C25" s="67"/>
      <c r="D25" s="67"/>
      <c r="E25" s="67"/>
      <c r="F25" s="67"/>
      <c r="G25" s="67"/>
      <c r="H25" s="67"/>
      <c r="I25" s="67"/>
      <c r="J25" s="67"/>
      <c r="K25" s="67"/>
      <c r="L25" s="68"/>
      <c r="M25" s="68"/>
      <c r="N25" s="67"/>
      <c r="O25" s="62"/>
      <c r="P25" s="62"/>
    </row>
    <row r="26" spans="1:16">
      <c r="A26" s="380"/>
      <c r="B26" s="67"/>
      <c r="C26" s="67"/>
      <c r="D26" s="67"/>
      <c r="E26" s="67"/>
      <c r="F26" s="67"/>
      <c r="G26" s="67"/>
      <c r="H26" s="67"/>
      <c r="I26" s="67"/>
      <c r="J26" s="67"/>
      <c r="K26" s="68"/>
      <c r="L26" s="68"/>
      <c r="M26" s="68"/>
      <c r="N26" s="67"/>
      <c r="O26" s="62"/>
      <c r="P26" s="62"/>
    </row>
    <row r="27" spans="1:16">
      <c r="A27" s="380"/>
      <c r="B27" s="67"/>
      <c r="C27" s="67"/>
      <c r="D27" s="67"/>
      <c r="E27" s="67"/>
      <c r="F27" s="67"/>
      <c r="G27" s="67"/>
      <c r="H27" s="67"/>
      <c r="I27" s="67"/>
      <c r="J27" s="67"/>
      <c r="K27" s="68"/>
      <c r="L27" s="68"/>
      <c r="M27" s="68"/>
      <c r="N27" s="67"/>
      <c r="O27" s="62"/>
      <c r="P27" s="62"/>
    </row>
    <row r="28" spans="1:16">
      <c r="A28" s="380"/>
      <c r="B28" s="67"/>
      <c r="C28" s="67"/>
      <c r="D28" s="67"/>
      <c r="E28" s="67"/>
      <c r="F28" s="67"/>
      <c r="G28" s="67"/>
      <c r="H28" s="67"/>
      <c r="I28" s="67"/>
      <c r="J28" s="67"/>
      <c r="K28" s="68"/>
      <c r="L28" s="68"/>
      <c r="M28" s="68"/>
      <c r="N28" s="67"/>
      <c r="O28" s="62"/>
      <c r="P28" s="62"/>
    </row>
    <row r="29" spans="1:16">
      <c r="A29" s="380"/>
      <c r="B29" s="67"/>
      <c r="C29" s="67"/>
      <c r="D29" s="67"/>
      <c r="E29" s="67"/>
      <c r="F29" s="67"/>
      <c r="G29" s="67"/>
      <c r="H29" s="67"/>
      <c r="I29" s="67"/>
      <c r="J29" s="67"/>
      <c r="K29" s="67"/>
      <c r="L29" s="68"/>
      <c r="M29" s="68"/>
      <c r="N29" s="67"/>
      <c r="O29" s="62"/>
      <c r="P29" s="62"/>
    </row>
    <row r="30" spans="1:16">
      <c r="A30" s="380"/>
      <c r="B30" s="67"/>
      <c r="C30" s="67"/>
      <c r="D30" s="67"/>
      <c r="E30" s="67"/>
      <c r="F30" s="67"/>
      <c r="G30" s="67"/>
      <c r="H30" s="67"/>
      <c r="I30" s="67"/>
      <c r="J30" s="67"/>
      <c r="K30" s="68"/>
      <c r="L30" s="68"/>
      <c r="M30" s="68"/>
      <c r="N30" s="67"/>
      <c r="O30" s="62"/>
      <c r="P30" s="62"/>
    </row>
    <row r="31" spans="1:16">
      <c r="A31" s="380"/>
      <c r="B31" s="67"/>
      <c r="C31" s="67"/>
      <c r="D31" s="67"/>
      <c r="E31" s="67"/>
      <c r="F31" s="67"/>
      <c r="G31" s="67"/>
      <c r="H31" s="67"/>
      <c r="I31" s="67"/>
      <c r="J31" s="67"/>
      <c r="K31" s="68"/>
      <c r="L31" s="68"/>
      <c r="M31" s="68"/>
      <c r="N31" s="67"/>
      <c r="O31" s="62"/>
      <c r="P31" s="62"/>
    </row>
    <row r="32" spans="1:16">
      <c r="A32" s="380"/>
      <c r="B32" s="67"/>
      <c r="C32" s="67"/>
      <c r="D32" s="67"/>
      <c r="E32" s="67"/>
      <c r="F32" s="67"/>
      <c r="G32" s="67"/>
      <c r="H32" s="67"/>
      <c r="I32" s="67"/>
      <c r="J32" s="67"/>
      <c r="K32" s="67"/>
      <c r="L32" s="68"/>
      <c r="M32" s="68"/>
      <c r="N32" s="67"/>
      <c r="O32" s="62"/>
      <c r="P32" s="62"/>
    </row>
    <row r="33" spans="1:16">
      <c r="A33" s="62"/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</row>
    <row r="34" spans="1:16">
      <c r="A34" s="62"/>
      <c r="B34" s="62"/>
      <c r="C34" s="62"/>
      <c r="D34" s="62"/>
      <c r="E34" s="62"/>
      <c r="F34" s="62"/>
      <c r="G34" s="62"/>
      <c r="H34" s="62"/>
      <c r="I34" s="62"/>
      <c r="J34" s="62"/>
      <c r="K34" s="62"/>
      <c r="L34" s="62"/>
      <c r="M34" s="62"/>
      <c r="N34" s="62"/>
      <c r="O34" s="62"/>
      <c r="P34" s="62"/>
    </row>
    <row r="35" spans="1:16">
      <c r="A35" s="380"/>
      <c r="B35" s="67"/>
      <c r="C35" s="67"/>
      <c r="D35" s="67"/>
      <c r="E35" s="67"/>
      <c r="F35" s="98"/>
      <c r="G35" s="98"/>
      <c r="H35" s="98"/>
      <c r="I35" s="98"/>
      <c r="J35" s="98"/>
      <c r="K35" s="68"/>
      <c r="L35" s="68"/>
      <c r="M35" s="68"/>
      <c r="N35" s="98"/>
      <c r="O35" s="21"/>
      <c r="P35" s="62"/>
    </row>
    <row r="36" spans="1:16">
      <c r="A36" s="380"/>
      <c r="B36" s="67"/>
      <c r="C36" s="67"/>
      <c r="D36" s="67"/>
      <c r="E36" s="67"/>
      <c r="F36" s="67"/>
      <c r="G36" s="67"/>
      <c r="H36" s="67"/>
      <c r="I36" s="67"/>
      <c r="J36" s="67"/>
      <c r="K36" s="68"/>
      <c r="L36" s="68"/>
      <c r="M36" s="68"/>
      <c r="N36" s="67"/>
      <c r="O36" s="21"/>
      <c r="P36" s="62"/>
    </row>
    <row r="37" spans="1:16">
      <c r="A37" s="62"/>
      <c r="B37" s="67"/>
      <c r="C37" s="67"/>
      <c r="D37" s="67"/>
      <c r="E37" s="67"/>
      <c r="F37" s="67"/>
      <c r="G37" s="67"/>
      <c r="H37" s="67"/>
      <c r="I37" s="67"/>
      <c r="J37" s="67"/>
      <c r="K37" s="68"/>
      <c r="L37" s="68"/>
      <c r="M37" s="68"/>
      <c r="N37" s="67"/>
      <c r="O37" s="21"/>
      <c r="P37" s="62"/>
    </row>
    <row r="38" spans="1:16">
      <c r="A38" s="62"/>
      <c r="B38" s="62"/>
      <c r="C38" s="62"/>
      <c r="D38" s="62"/>
      <c r="E38" s="62"/>
      <c r="F38" s="62"/>
      <c r="G38" s="62"/>
      <c r="H38" s="62"/>
      <c r="I38" s="62"/>
      <c r="J38" s="62"/>
      <c r="K38" s="62"/>
      <c r="L38" s="66"/>
      <c r="M38" s="66"/>
      <c r="N38" s="66"/>
      <c r="O38" s="62"/>
      <c r="P38" s="62"/>
    </row>
  </sheetData>
  <mergeCells count="5">
    <mergeCell ref="A19:A21"/>
    <mergeCell ref="A22:A23"/>
    <mergeCell ref="A24:A29"/>
    <mergeCell ref="A30:A32"/>
    <mergeCell ref="A35:A36"/>
  </mergeCells>
  <pageMargins left="0.7" right="0.7" top="0.75" bottom="0.75" header="0.3" footer="0.3"/>
  <pageSetup paperSize="9" orientation="portrait" verticalDpi="0" r:id="rId1"/>
</worksheet>
</file>

<file path=xl/worksheets/sheet153.xml><?xml version="1.0" encoding="utf-8"?>
<worksheet xmlns="http://schemas.openxmlformats.org/spreadsheetml/2006/main" xmlns:r="http://schemas.openxmlformats.org/officeDocument/2006/relationships">
  <dimension ref="A5:U38"/>
  <sheetViews>
    <sheetView workbookViewId="0">
      <selection activeCell="C9" sqref="C9"/>
    </sheetView>
  </sheetViews>
  <sheetFormatPr defaultRowHeight="14.4"/>
  <cols>
    <col min="1" max="1" width="8.88671875" style="1"/>
    <col min="2" max="2" width="23.33203125" style="1" customWidth="1"/>
    <col min="3" max="3" width="8.88671875" style="1"/>
    <col min="4" max="4" width="5.5546875" style="1" customWidth="1"/>
    <col min="5" max="5" width="11.2187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0.399999999999999">
      <c r="A5" s="58" t="s">
        <v>3</v>
      </c>
      <c r="B5" s="58" t="s">
        <v>4</v>
      </c>
      <c r="C5" s="58" t="s">
        <v>5</v>
      </c>
      <c r="D5" s="58" t="s">
        <v>6</v>
      </c>
      <c r="E5" s="58" t="s">
        <v>37</v>
      </c>
      <c r="F5" s="59" t="s">
        <v>7</v>
      </c>
      <c r="G5" s="58" t="s">
        <v>8</v>
      </c>
      <c r="H5" s="58" t="s">
        <v>9</v>
      </c>
      <c r="I5" s="58" t="s">
        <v>10</v>
      </c>
      <c r="J5" s="59" t="s">
        <v>18</v>
      </c>
      <c r="K5" s="59" t="s">
        <v>17</v>
      </c>
      <c r="L5" s="58" t="s">
        <v>11</v>
      </c>
      <c r="M5" s="59" t="s">
        <v>36</v>
      </c>
      <c r="N5" s="58" t="s">
        <v>12</v>
      </c>
      <c r="O5" s="58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128</v>
      </c>
    </row>
    <row r="6" spans="1:21">
      <c r="A6" s="129"/>
      <c r="B6" s="206"/>
      <c r="C6" s="206"/>
      <c r="D6" s="206"/>
      <c r="E6" s="206"/>
      <c r="F6" s="206"/>
      <c r="G6" s="206"/>
      <c r="H6" s="206"/>
      <c r="I6" s="206"/>
      <c r="J6" s="206"/>
      <c r="K6" s="61"/>
      <c r="L6" s="65"/>
      <c r="M6" s="61"/>
      <c r="N6" s="206"/>
      <c r="O6" s="206"/>
      <c r="P6" s="206"/>
    </row>
    <row r="7" spans="1:21">
      <c r="A7" s="129" t="s">
        <v>1721</v>
      </c>
      <c r="B7" s="42" t="s">
        <v>1459</v>
      </c>
      <c r="C7" s="42" t="s">
        <v>1377</v>
      </c>
      <c r="D7" s="42" t="s">
        <v>16</v>
      </c>
      <c r="E7" s="42" t="s">
        <v>1722</v>
      </c>
      <c r="F7" s="42">
        <v>537</v>
      </c>
      <c r="G7" s="42"/>
      <c r="H7" s="42">
        <v>17380</v>
      </c>
      <c r="I7" s="42">
        <v>316</v>
      </c>
      <c r="J7" s="42">
        <v>0.5</v>
      </c>
      <c r="K7" s="42">
        <f t="shared" ref="K7" si="0">I7*J7</f>
        <v>158</v>
      </c>
      <c r="L7" s="43">
        <f t="shared" ref="L7" si="1">H7-K7</f>
        <v>17222</v>
      </c>
      <c r="M7" s="43"/>
      <c r="N7" s="43">
        <f t="shared" ref="N7" si="2">L7-M7</f>
        <v>17222</v>
      </c>
      <c r="O7" s="43">
        <f t="shared" ref="O7" si="3">H7/1000*70</f>
        <v>1216.5999999999999</v>
      </c>
      <c r="P7" s="207">
        <v>0</v>
      </c>
      <c r="Q7" s="207">
        <v>18.5</v>
      </c>
      <c r="R7" s="42">
        <f t="shared" ref="R7" si="4">L7*Q7</f>
        <v>318607</v>
      </c>
      <c r="S7" s="119"/>
    </row>
    <row r="8" spans="1:21">
      <c r="A8" s="129"/>
      <c r="B8" s="206"/>
      <c r="C8" s="206"/>
      <c r="D8" s="206"/>
      <c r="E8" s="206"/>
      <c r="F8" s="206"/>
      <c r="G8" s="206"/>
      <c r="H8" s="206"/>
      <c r="I8" s="206"/>
      <c r="J8" s="206"/>
      <c r="K8" s="61"/>
      <c r="L8" s="65"/>
      <c r="M8" s="61"/>
      <c r="N8" s="206"/>
      <c r="O8" s="206"/>
      <c r="P8" s="206"/>
    </row>
    <row r="9" spans="1:21">
      <c r="A9" s="129"/>
      <c r="B9" s="206"/>
      <c r="C9" s="206"/>
      <c r="D9" s="206"/>
      <c r="E9" s="206"/>
      <c r="F9" s="206"/>
      <c r="G9" s="206"/>
      <c r="H9" s="206"/>
      <c r="I9" s="206"/>
      <c r="J9" s="206"/>
      <c r="K9" s="61"/>
      <c r="L9" s="65"/>
      <c r="M9" s="61"/>
      <c r="N9" s="206"/>
      <c r="O9" s="206"/>
      <c r="P9" s="206"/>
    </row>
    <row r="10" spans="1:21">
      <c r="A10" s="129"/>
      <c r="B10" s="42"/>
      <c r="C10" s="42"/>
      <c r="D10" s="42"/>
      <c r="E10" s="42"/>
      <c r="F10" s="42"/>
      <c r="G10" s="42"/>
      <c r="H10" s="42"/>
      <c r="I10" s="42"/>
      <c r="J10" s="42"/>
      <c r="K10" s="42"/>
      <c r="L10" s="43"/>
      <c r="M10" s="43"/>
      <c r="N10" s="43"/>
      <c r="O10" s="43"/>
      <c r="P10" s="42"/>
      <c r="Q10" s="42"/>
      <c r="R10" s="42"/>
    </row>
    <row r="11" spans="1:21">
      <c r="A11" s="63"/>
      <c r="B11" s="206"/>
      <c r="C11" s="206"/>
      <c r="D11" s="206"/>
      <c r="E11" s="206"/>
      <c r="F11" s="206"/>
      <c r="G11" s="206"/>
      <c r="H11" s="206"/>
      <c r="I11" s="206"/>
      <c r="J11" s="206"/>
      <c r="K11" s="61"/>
      <c r="L11" s="65"/>
      <c r="M11" s="61"/>
      <c r="N11" s="206"/>
      <c r="O11" s="206"/>
      <c r="P11" s="206"/>
    </row>
    <row r="12" spans="1:21">
      <c r="A12" s="62"/>
      <c r="B12" s="206"/>
      <c r="C12" s="206"/>
      <c r="D12" s="206"/>
      <c r="E12" s="206"/>
      <c r="F12" s="206"/>
      <c r="G12" s="206"/>
      <c r="H12" s="206"/>
      <c r="I12" s="206"/>
      <c r="J12" s="206"/>
      <c r="K12" s="206"/>
      <c r="L12" s="61"/>
      <c r="M12" s="61"/>
      <c r="N12" s="206"/>
      <c r="O12" s="62"/>
      <c r="P12" s="62"/>
    </row>
    <row r="13" spans="1:21">
      <c r="A13" s="62"/>
      <c r="B13" s="206"/>
      <c r="C13" s="206"/>
      <c r="D13" s="206"/>
      <c r="E13" s="206"/>
      <c r="F13" s="206"/>
      <c r="G13" s="206"/>
      <c r="H13" s="206"/>
      <c r="I13" s="206"/>
      <c r="J13" s="206"/>
      <c r="K13" s="206"/>
      <c r="L13" s="61"/>
      <c r="M13" s="61"/>
      <c r="N13" s="206"/>
      <c r="O13" s="62"/>
      <c r="P13" s="62"/>
    </row>
    <row r="14" spans="1:21">
      <c r="A14" s="62"/>
      <c r="B14" s="62"/>
      <c r="C14" s="62"/>
      <c r="D14" s="62"/>
      <c r="E14" s="62"/>
      <c r="F14" s="62"/>
      <c r="G14" s="62"/>
      <c r="H14" s="62"/>
      <c r="I14" s="62"/>
      <c r="J14" s="62"/>
      <c r="K14" s="62"/>
      <c r="L14" s="66"/>
      <c r="M14" s="66"/>
      <c r="N14" s="66"/>
      <c r="O14" s="62"/>
      <c r="P14" s="62"/>
    </row>
    <row r="15" spans="1:21">
      <c r="A15" s="62"/>
      <c r="B15" s="62"/>
      <c r="C15" s="62"/>
      <c r="D15" s="62"/>
      <c r="E15" s="62"/>
      <c r="F15" s="62"/>
      <c r="G15" s="62"/>
      <c r="H15" s="62"/>
      <c r="I15" s="62"/>
      <c r="J15" s="62"/>
      <c r="K15" s="62"/>
      <c r="L15" s="62"/>
      <c r="M15" s="62"/>
      <c r="N15" s="62"/>
      <c r="O15" s="62"/>
      <c r="P15" s="62"/>
    </row>
    <row r="16" spans="1:21">
      <c r="A16" s="62"/>
      <c r="B16" s="62"/>
      <c r="C16" s="62"/>
      <c r="D16" s="62"/>
      <c r="E16" s="62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</row>
    <row r="17" spans="1:16">
      <c r="A17" s="62"/>
      <c r="B17" s="67"/>
      <c r="C17" s="67"/>
      <c r="D17" s="67"/>
      <c r="E17" s="67"/>
      <c r="F17" s="67"/>
      <c r="G17" s="67"/>
      <c r="H17" s="67"/>
      <c r="I17" s="67"/>
      <c r="J17" s="67"/>
      <c r="K17" s="68"/>
      <c r="L17" s="68"/>
      <c r="M17" s="68"/>
      <c r="N17" s="67"/>
      <c r="O17" s="67"/>
      <c r="P17" s="67"/>
    </row>
    <row r="18" spans="1:16">
      <c r="A18" s="62"/>
      <c r="B18" s="62"/>
      <c r="C18" s="62"/>
      <c r="D18" s="62"/>
      <c r="E18" s="62"/>
      <c r="F18" s="62"/>
      <c r="G18" s="62"/>
      <c r="H18" s="62"/>
      <c r="I18" s="62"/>
      <c r="J18" s="62"/>
      <c r="K18" s="62"/>
      <c r="L18" s="62"/>
      <c r="M18" s="62"/>
      <c r="N18" s="62"/>
      <c r="O18" s="62"/>
      <c r="P18" s="62"/>
    </row>
    <row r="19" spans="1:16">
      <c r="A19" s="380"/>
      <c r="B19" s="67"/>
      <c r="C19" s="67"/>
      <c r="D19" s="67"/>
      <c r="E19" s="67"/>
      <c r="F19" s="67"/>
      <c r="G19" s="67"/>
      <c r="H19" s="67"/>
      <c r="I19" s="67"/>
      <c r="J19" s="67"/>
      <c r="K19" s="67"/>
      <c r="L19" s="68"/>
      <c r="M19" s="68"/>
      <c r="N19" s="67"/>
      <c r="O19" s="62"/>
      <c r="P19" s="62"/>
    </row>
    <row r="20" spans="1:16">
      <c r="A20" s="380"/>
      <c r="B20" s="67"/>
      <c r="C20" s="67"/>
      <c r="D20" s="67"/>
      <c r="E20" s="67"/>
      <c r="F20" s="67"/>
      <c r="G20" s="67"/>
      <c r="H20" s="67"/>
      <c r="I20" s="67"/>
      <c r="J20" s="67"/>
      <c r="K20" s="67"/>
      <c r="L20" s="68"/>
      <c r="M20" s="68"/>
      <c r="N20" s="67"/>
      <c r="O20" s="62"/>
      <c r="P20" s="62"/>
    </row>
    <row r="21" spans="1:16">
      <c r="A21" s="380"/>
      <c r="B21" s="67"/>
      <c r="C21" s="67"/>
      <c r="D21" s="67"/>
      <c r="E21" s="67"/>
      <c r="F21" s="67"/>
      <c r="G21" s="67"/>
      <c r="H21" s="67"/>
      <c r="I21" s="67"/>
      <c r="J21" s="67"/>
      <c r="K21" s="67"/>
      <c r="L21" s="68"/>
      <c r="M21" s="68"/>
      <c r="N21" s="67"/>
      <c r="O21" s="62"/>
      <c r="P21" s="62"/>
    </row>
    <row r="22" spans="1:16">
      <c r="A22" s="380"/>
      <c r="B22" s="67"/>
      <c r="C22" s="67"/>
      <c r="D22" s="67"/>
      <c r="E22" s="67"/>
      <c r="F22" s="67"/>
      <c r="G22" s="67"/>
      <c r="H22" s="67"/>
      <c r="I22" s="67"/>
      <c r="J22" s="67"/>
      <c r="K22" s="68"/>
      <c r="L22" s="68"/>
      <c r="M22" s="68"/>
      <c r="N22" s="67"/>
      <c r="O22" s="62"/>
      <c r="P22" s="62"/>
    </row>
    <row r="23" spans="1:16">
      <c r="A23" s="380"/>
      <c r="B23" s="67"/>
      <c r="C23" s="67"/>
      <c r="D23" s="67"/>
      <c r="E23" s="67"/>
      <c r="F23" s="67"/>
      <c r="G23" s="67"/>
      <c r="H23" s="67"/>
      <c r="I23" s="67"/>
      <c r="J23" s="67"/>
      <c r="K23" s="67"/>
      <c r="L23" s="68"/>
      <c r="M23" s="68"/>
      <c r="N23" s="67"/>
      <c r="O23" s="62"/>
      <c r="P23" s="62"/>
    </row>
    <row r="24" spans="1:16">
      <c r="A24" s="380"/>
      <c r="B24" s="67"/>
      <c r="C24" s="67"/>
      <c r="D24" s="67"/>
      <c r="E24" s="67"/>
      <c r="F24" s="67"/>
      <c r="G24" s="67"/>
      <c r="H24" s="67"/>
      <c r="I24" s="67"/>
      <c r="J24" s="67"/>
      <c r="K24" s="68"/>
      <c r="L24" s="68"/>
      <c r="M24" s="68"/>
      <c r="N24" s="67"/>
      <c r="O24" s="62"/>
      <c r="P24" s="62"/>
    </row>
    <row r="25" spans="1:16">
      <c r="A25" s="380"/>
      <c r="B25" s="67"/>
      <c r="C25" s="67"/>
      <c r="D25" s="67"/>
      <c r="E25" s="67"/>
      <c r="F25" s="67"/>
      <c r="G25" s="67"/>
      <c r="H25" s="67"/>
      <c r="I25" s="67"/>
      <c r="J25" s="67"/>
      <c r="K25" s="67"/>
      <c r="L25" s="68"/>
      <c r="M25" s="68"/>
      <c r="N25" s="67"/>
      <c r="O25" s="62"/>
      <c r="P25" s="62"/>
    </row>
    <row r="26" spans="1:16">
      <c r="A26" s="380"/>
      <c r="B26" s="67"/>
      <c r="C26" s="67"/>
      <c r="D26" s="67"/>
      <c r="E26" s="67"/>
      <c r="F26" s="67"/>
      <c r="G26" s="67"/>
      <c r="H26" s="67"/>
      <c r="I26" s="67"/>
      <c r="J26" s="67"/>
      <c r="K26" s="68"/>
      <c r="L26" s="68"/>
      <c r="M26" s="68"/>
      <c r="N26" s="67"/>
      <c r="O26" s="62"/>
      <c r="P26" s="62"/>
    </row>
    <row r="27" spans="1:16">
      <c r="A27" s="380"/>
      <c r="B27" s="67"/>
      <c r="C27" s="67"/>
      <c r="D27" s="67"/>
      <c r="E27" s="67"/>
      <c r="F27" s="67"/>
      <c r="G27" s="67"/>
      <c r="H27" s="67"/>
      <c r="I27" s="67"/>
      <c r="J27" s="67"/>
      <c r="K27" s="68"/>
      <c r="L27" s="68"/>
      <c r="M27" s="68"/>
      <c r="N27" s="67"/>
      <c r="O27" s="62"/>
      <c r="P27" s="62"/>
    </row>
    <row r="28" spans="1:16">
      <c r="A28" s="380"/>
      <c r="B28" s="67"/>
      <c r="C28" s="67"/>
      <c r="D28" s="67"/>
      <c r="E28" s="67"/>
      <c r="F28" s="67"/>
      <c r="G28" s="67"/>
      <c r="H28" s="67"/>
      <c r="I28" s="67"/>
      <c r="J28" s="67"/>
      <c r="K28" s="68"/>
      <c r="L28" s="68"/>
      <c r="M28" s="68"/>
      <c r="N28" s="67"/>
      <c r="O28" s="62"/>
      <c r="P28" s="62"/>
    </row>
    <row r="29" spans="1:16">
      <c r="A29" s="380"/>
      <c r="B29" s="67"/>
      <c r="C29" s="67"/>
      <c r="D29" s="67"/>
      <c r="E29" s="67"/>
      <c r="F29" s="67"/>
      <c r="G29" s="67"/>
      <c r="H29" s="67"/>
      <c r="I29" s="67"/>
      <c r="J29" s="67"/>
      <c r="K29" s="67"/>
      <c r="L29" s="68"/>
      <c r="M29" s="68"/>
      <c r="N29" s="67"/>
      <c r="O29" s="62"/>
      <c r="P29" s="62"/>
    </row>
    <row r="30" spans="1:16">
      <c r="A30" s="380"/>
      <c r="B30" s="67"/>
      <c r="C30" s="67"/>
      <c r="D30" s="67"/>
      <c r="E30" s="67"/>
      <c r="F30" s="67"/>
      <c r="G30" s="67"/>
      <c r="H30" s="67"/>
      <c r="I30" s="67"/>
      <c r="J30" s="67"/>
      <c r="K30" s="68"/>
      <c r="L30" s="68"/>
      <c r="M30" s="68"/>
      <c r="N30" s="67"/>
      <c r="O30" s="62"/>
      <c r="P30" s="62"/>
    </row>
    <row r="31" spans="1:16">
      <c r="A31" s="380"/>
      <c r="B31" s="67"/>
      <c r="C31" s="67"/>
      <c r="D31" s="67"/>
      <c r="E31" s="67"/>
      <c r="F31" s="67"/>
      <c r="G31" s="67"/>
      <c r="H31" s="67"/>
      <c r="I31" s="67"/>
      <c r="J31" s="67"/>
      <c r="K31" s="68"/>
      <c r="L31" s="68"/>
      <c r="M31" s="68"/>
      <c r="N31" s="67"/>
      <c r="O31" s="62"/>
      <c r="P31" s="62"/>
    </row>
    <row r="32" spans="1:16">
      <c r="A32" s="380"/>
      <c r="B32" s="67"/>
      <c r="C32" s="67"/>
      <c r="D32" s="67"/>
      <c r="E32" s="67"/>
      <c r="F32" s="67"/>
      <c r="G32" s="67"/>
      <c r="H32" s="67"/>
      <c r="I32" s="67"/>
      <c r="J32" s="67"/>
      <c r="K32" s="67"/>
      <c r="L32" s="68"/>
      <c r="M32" s="68"/>
      <c r="N32" s="67"/>
      <c r="O32" s="62"/>
      <c r="P32" s="62"/>
    </row>
    <row r="33" spans="1:16">
      <c r="A33" s="62"/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</row>
    <row r="34" spans="1:16">
      <c r="A34" s="62"/>
      <c r="B34" s="62"/>
      <c r="C34" s="62"/>
      <c r="D34" s="62"/>
      <c r="E34" s="62"/>
      <c r="F34" s="62"/>
      <c r="G34" s="62"/>
      <c r="H34" s="62"/>
      <c r="I34" s="62"/>
      <c r="J34" s="62"/>
      <c r="K34" s="62"/>
      <c r="L34" s="62"/>
      <c r="M34" s="62"/>
      <c r="N34" s="62"/>
      <c r="O34" s="62"/>
      <c r="P34" s="62"/>
    </row>
    <row r="35" spans="1:16">
      <c r="A35" s="380"/>
      <c r="B35" s="67"/>
      <c r="C35" s="67"/>
      <c r="D35" s="67"/>
      <c r="E35" s="67"/>
      <c r="F35" s="98"/>
      <c r="G35" s="98"/>
      <c r="H35" s="98"/>
      <c r="I35" s="98"/>
      <c r="J35" s="98"/>
      <c r="K35" s="68"/>
      <c r="L35" s="68"/>
      <c r="M35" s="68"/>
      <c r="N35" s="98"/>
      <c r="O35" s="21"/>
      <c r="P35" s="62"/>
    </row>
    <row r="36" spans="1:16">
      <c r="A36" s="380"/>
      <c r="B36" s="67"/>
      <c r="C36" s="67"/>
      <c r="D36" s="67"/>
      <c r="E36" s="67"/>
      <c r="F36" s="67"/>
      <c r="G36" s="67"/>
      <c r="H36" s="67"/>
      <c r="I36" s="67"/>
      <c r="J36" s="67"/>
      <c r="K36" s="68"/>
      <c r="L36" s="68"/>
      <c r="M36" s="68"/>
      <c r="N36" s="67"/>
      <c r="O36" s="21"/>
      <c r="P36" s="62"/>
    </row>
    <row r="37" spans="1:16">
      <c r="A37" s="62"/>
      <c r="B37" s="67"/>
      <c r="C37" s="67"/>
      <c r="D37" s="67"/>
      <c r="E37" s="67"/>
      <c r="F37" s="67"/>
      <c r="G37" s="67"/>
      <c r="H37" s="67"/>
      <c r="I37" s="67"/>
      <c r="J37" s="67"/>
      <c r="K37" s="68"/>
      <c r="L37" s="68"/>
      <c r="M37" s="68"/>
      <c r="N37" s="67"/>
      <c r="O37" s="21"/>
      <c r="P37" s="62"/>
    </row>
    <row r="38" spans="1:16">
      <c r="A38" s="62"/>
      <c r="B38" s="62"/>
      <c r="C38" s="62"/>
      <c r="D38" s="62"/>
      <c r="E38" s="62"/>
      <c r="F38" s="62"/>
      <c r="G38" s="62"/>
      <c r="H38" s="62"/>
      <c r="I38" s="62"/>
      <c r="J38" s="62"/>
      <c r="K38" s="62"/>
      <c r="L38" s="66"/>
      <c r="M38" s="66"/>
      <c r="N38" s="66"/>
      <c r="O38" s="62"/>
      <c r="P38" s="62"/>
    </row>
  </sheetData>
  <mergeCells count="5">
    <mergeCell ref="A19:A21"/>
    <mergeCell ref="A22:A23"/>
    <mergeCell ref="A24:A29"/>
    <mergeCell ref="A30:A32"/>
    <mergeCell ref="A35:A36"/>
  </mergeCells>
  <pageMargins left="0.7" right="0.7" top="0.75" bottom="0.75" header="0.3" footer="0.3"/>
  <pageSetup paperSize="9" orientation="portrait" verticalDpi="0" r:id="rId1"/>
</worksheet>
</file>

<file path=xl/worksheets/sheet154.xml><?xml version="1.0" encoding="utf-8"?>
<worksheet xmlns="http://schemas.openxmlformats.org/spreadsheetml/2006/main" xmlns:r="http://schemas.openxmlformats.org/officeDocument/2006/relationships">
  <dimension ref="A5:U47"/>
  <sheetViews>
    <sheetView topLeftCell="A35" workbookViewId="0">
      <selection activeCell="A48" sqref="A48"/>
    </sheetView>
  </sheetViews>
  <sheetFormatPr defaultRowHeight="14.4"/>
  <cols>
    <col min="1" max="1" width="8.88671875" style="1"/>
    <col min="2" max="2" width="23.33203125" style="1" customWidth="1"/>
    <col min="3" max="3" width="8.88671875" style="1"/>
    <col min="4" max="4" width="5.5546875" style="1" customWidth="1"/>
    <col min="5" max="5" width="11.2187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0.399999999999999">
      <c r="A5" s="58" t="s">
        <v>3</v>
      </c>
      <c r="B5" s="58" t="s">
        <v>4</v>
      </c>
      <c r="C5" s="58" t="s">
        <v>5</v>
      </c>
      <c r="D5" s="58" t="s">
        <v>6</v>
      </c>
      <c r="E5" s="58" t="s">
        <v>37</v>
      </c>
      <c r="F5" s="59" t="s">
        <v>7</v>
      </c>
      <c r="G5" s="58" t="s">
        <v>8</v>
      </c>
      <c r="H5" s="58" t="s">
        <v>9</v>
      </c>
      <c r="I5" s="58" t="s">
        <v>10</v>
      </c>
      <c r="J5" s="59" t="s">
        <v>18</v>
      </c>
      <c r="K5" s="59" t="s">
        <v>17</v>
      </c>
      <c r="L5" s="58" t="s">
        <v>11</v>
      </c>
      <c r="M5" s="59" t="s">
        <v>36</v>
      </c>
      <c r="N5" s="58" t="s">
        <v>12</v>
      </c>
      <c r="O5" s="58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128</v>
      </c>
    </row>
    <row r="6" spans="1:21">
      <c r="A6" s="129"/>
      <c r="B6" s="223"/>
      <c r="C6" s="223"/>
      <c r="D6" s="223"/>
      <c r="E6" s="223"/>
      <c r="F6" s="223"/>
      <c r="G6" s="223"/>
      <c r="H6" s="223"/>
      <c r="I6" s="223"/>
      <c r="J6" s="223"/>
      <c r="K6" s="61"/>
      <c r="L6" s="65"/>
      <c r="M6" s="61"/>
      <c r="N6" s="223"/>
      <c r="O6" s="223"/>
      <c r="P6" s="223"/>
    </row>
    <row r="7" spans="1:21">
      <c r="A7" s="129" t="s">
        <v>1791</v>
      </c>
      <c r="B7" s="42" t="s">
        <v>1818</v>
      </c>
      <c r="C7" s="42" t="s">
        <v>1377</v>
      </c>
      <c r="D7" s="42" t="s">
        <v>16</v>
      </c>
      <c r="E7" s="42" t="s">
        <v>1792</v>
      </c>
      <c r="F7" s="42">
        <v>506</v>
      </c>
      <c r="G7" s="42"/>
      <c r="H7" s="42">
        <v>15120</v>
      </c>
      <c r="I7" s="42">
        <v>275</v>
      </c>
      <c r="J7" s="42">
        <v>0.75</v>
      </c>
      <c r="K7" s="42">
        <f>I7*J7</f>
        <v>206.25</v>
      </c>
      <c r="L7" s="43">
        <f>H7-K7</f>
        <v>14913.75</v>
      </c>
      <c r="M7" s="43"/>
      <c r="N7" s="43">
        <f>L7-M7</f>
        <v>14913.75</v>
      </c>
      <c r="O7" s="43">
        <f>H7/1000*70</f>
        <v>1058.3999999999999</v>
      </c>
      <c r="P7" s="217">
        <v>15000</v>
      </c>
      <c r="Q7" s="217">
        <v>17.5</v>
      </c>
      <c r="R7" s="42">
        <f>L7*Q7</f>
        <v>260990.625</v>
      </c>
      <c r="S7" s="119"/>
    </row>
    <row r="8" spans="1:21">
      <c r="A8" s="129"/>
      <c r="B8" s="42"/>
      <c r="C8" s="42"/>
      <c r="D8" s="42"/>
      <c r="E8" s="42"/>
      <c r="F8" s="42"/>
      <c r="G8" s="42"/>
      <c r="H8" s="42"/>
      <c r="I8" s="42"/>
      <c r="J8" s="42"/>
      <c r="K8" s="42"/>
      <c r="L8" s="43"/>
      <c r="M8" s="43"/>
      <c r="N8" s="43"/>
      <c r="O8" s="43"/>
      <c r="P8" s="42"/>
      <c r="Q8" s="42"/>
      <c r="R8" s="42"/>
    </row>
    <row r="9" spans="1:21">
      <c r="A9" s="63" t="s">
        <v>1796</v>
      </c>
      <c r="B9" s="42" t="s">
        <v>1818</v>
      </c>
      <c r="C9" s="42" t="s">
        <v>1377</v>
      </c>
      <c r="D9" s="42" t="s">
        <v>16</v>
      </c>
      <c r="E9" s="42" t="s">
        <v>1799</v>
      </c>
      <c r="F9" s="42">
        <v>568</v>
      </c>
      <c r="G9" s="42"/>
      <c r="H9" s="42">
        <v>15450</v>
      </c>
      <c r="I9" s="42">
        <v>277</v>
      </c>
      <c r="J9" s="42">
        <v>0.75</v>
      </c>
      <c r="K9" s="42">
        <v>208</v>
      </c>
      <c r="L9" s="43">
        <f>H9-K9</f>
        <v>15242</v>
      </c>
      <c r="M9" s="43"/>
      <c r="N9" s="43">
        <f>L9-M9</f>
        <v>15242</v>
      </c>
      <c r="O9" s="43">
        <f>H9/1000*70</f>
        <v>1081.5</v>
      </c>
      <c r="P9" s="219">
        <v>16000</v>
      </c>
      <c r="Q9" s="219">
        <v>17.5</v>
      </c>
      <c r="R9" s="42">
        <f>L9*Q9</f>
        <v>266735</v>
      </c>
    </row>
    <row r="10" spans="1:21">
      <c r="A10" s="62"/>
      <c r="B10" s="164"/>
      <c r="C10" s="164"/>
      <c r="D10" s="164"/>
      <c r="E10" s="164"/>
      <c r="F10" s="164"/>
      <c r="G10" s="164"/>
      <c r="H10" s="164"/>
      <c r="I10" s="164"/>
      <c r="J10" s="164"/>
      <c r="K10" s="164"/>
      <c r="L10" s="61"/>
      <c r="M10" s="61"/>
      <c r="N10" s="164"/>
      <c r="O10" s="62"/>
      <c r="P10" s="62"/>
    </row>
    <row r="11" spans="1:21">
      <c r="A11" s="63" t="s">
        <v>1817</v>
      </c>
      <c r="B11" s="42" t="s">
        <v>1818</v>
      </c>
      <c r="C11" s="42" t="s">
        <v>1377</v>
      </c>
      <c r="D11" s="42" t="s">
        <v>16</v>
      </c>
      <c r="E11" s="42" t="s">
        <v>1799</v>
      </c>
      <c r="F11" s="42">
        <v>570</v>
      </c>
      <c r="G11" s="42"/>
      <c r="H11" s="42">
        <v>15500</v>
      </c>
      <c r="I11" s="42">
        <v>282</v>
      </c>
      <c r="J11" s="42">
        <v>0.75</v>
      </c>
      <c r="K11" s="42">
        <v>212</v>
      </c>
      <c r="L11" s="43">
        <f t="shared" ref="L11" si="0">H11-K11</f>
        <v>15288</v>
      </c>
      <c r="M11" s="43"/>
      <c r="N11" s="43">
        <f t="shared" ref="N11" si="1">L11-M11</f>
        <v>15288</v>
      </c>
      <c r="O11" s="43">
        <f t="shared" ref="O11" si="2">H11/1000*70</f>
        <v>1085</v>
      </c>
      <c r="P11" s="224">
        <v>17000</v>
      </c>
      <c r="Q11" s="224">
        <v>17.5</v>
      </c>
      <c r="R11" s="42">
        <f t="shared" ref="R11" si="3">L11*Q11</f>
        <v>267540</v>
      </c>
    </row>
    <row r="12" spans="1:21">
      <c r="A12" s="62"/>
      <c r="B12" s="223"/>
      <c r="C12" s="223"/>
      <c r="D12" s="223"/>
      <c r="E12" s="223"/>
      <c r="F12" s="223"/>
      <c r="G12" s="223"/>
      <c r="H12" s="223"/>
      <c r="I12" s="223"/>
      <c r="J12" s="223"/>
      <c r="K12" s="223"/>
      <c r="L12" s="61"/>
      <c r="M12" s="61"/>
      <c r="N12" s="223"/>
      <c r="O12" s="62"/>
      <c r="P12" s="62"/>
    </row>
    <row r="13" spans="1:21">
      <c r="A13" s="62" t="s">
        <v>3077</v>
      </c>
      <c r="B13" s="42" t="s">
        <v>3078</v>
      </c>
      <c r="C13" s="42" t="s">
        <v>1377</v>
      </c>
      <c r="D13" s="42" t="s">
        <v>16</v>
      </c>
      <c r="E13" s="42" t="s">
        <v>3079</v>
      </c>
      <c r="F13" s="42">
        <v>58</v>
      </c>
      <c r="G13" s="42"/>
      <c r="H13" s="42">
        <v>16080</v>
      </c>
      <c r="I13" s="42">
        <v>320</v>
      </c>
      <c r="J13" s="42">
        <v>0.13</v>
      </c>
      <c r="K13" s="43">
        <f t="shared" ref="K13" si="4">I13*J13</f>
        <v>41.6</v>
      </c>
      <c r="L13" s="43">
        <f t="shared" ref="L13" si="5">H13-K13</f>
        <v>16038.4</v>
      </c>
      <c r="M13" s="43"/>
      <c r="N13" s="43">
        <f t="shared" ref="N13" si="6">L13-M13</f>
        <v>16038.4</v>
      </c>
      <c r="O13" s="43">
        <f t="shared" ref="O13" si="7">H13/1000*70</f>
        <v>1125.5999999999999</v>
      </c>
      <c r="P13" s="42">
        <v>16500</v>
      </c>
      <c r="Q13" s="42">
        <v>17.5</v>
      </c>
      <c r="R13" s="42">
        <f t="shared" ref="R13" si="8">L13*Q13</f>
        <v>280672</v>
      </c>
      <c r="S13" s="48"/>
    </row>
    <row r="14" spans="1:21">
      <c r="A14" s="62"/>
      <c r="B14" s="62"/>
      <c r="C14" s="62"/>
      <c r="D14" s="62"/>
      <c r="E14" s="62"/>
      <c r="F14" s="62"/>
      <c r="G14" s="62"/>
      <c r="H14" s="62"/>
      <c r="I14" s="62"/>
      <c r="J14" s="62"/>
      <c r="K14" s="62"/>
      <c r="L14" s="66"/>
      <c r="M14" s="66"/>
      <c r="N14" s="66"/>
      <c r="O14" s="62"/>
      <c r="P14" s="62"/>
    </row>
    <row r="15" spans="1:21">
      <c r="A15" s="62" t="s">
        <v>3103</v>
      </c>
      <c r="B15" s="42" t="s">
        <v>3045</v>
      </c>
      <c r="C15" s="42" t="s">
        <v>1377</v>
      </c>
      <c r="D15" s="42" t="s">
        <v>16</v>
      </c>
      <c r="E15" s="42" t="s">
        <v>3104</v>
      </c>
      <c r="F15" s="42">
        <v>57</v>
      </c>
      <c r="G15" s="42"/>
      <c r="H15" s="42">
        <v>16000</v>
      </c>
      <c r="I15" s="42">
        <v>320</v>
      </c>
      <c r="J15" s="42">
        <v>0.255</v>
      </c>
      <c r="K15" s="43">
        <f t="shared" ref="K15" si="9">I15*J15</f>
        <v>81.599999999999994</v>
      </c>
      <c r="L15" s="43">
        <f t="shared" ref="L15" si="10">H15-K15</f>
        <v>15918.4</v>
      </c>
      <c r="M15" s="43"/>
      <c r="N15" s="43">
        <f t="shared" ref="N15" si="11">L15-M15</f>
        <v>15918.4</v>
      </c>
      <c r="O15" s="43">
        <f t="shared" ref="O15" si="12">H15/1000*70</f>
        <v>1120</v>
      </c>
      <c r="P15" s="42">
        <v>18000</v>
      </c>
      <c r="Q15" s="42">
        <v>17.5</v>
      </c>
      <c r="R15" s="42">
        <f t="shared" ref="R15" si="13">L15*Q15</f>
        <v>278572</v>
      </c>
      <c r="S15" s="42" t="s">
        <v>3105</v>
      </c>
    </row>
    <row r="16" spans="1:21">
      <c r="A16" s="62"/>
      <c r="B16" s="62"/>
      <c r="C16" s="62"/>
      <c r="D16" s="62"/>
      <c r="E16" s="62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</row>
    <row r="17" spans="1:19">
      <c r="A17" s="62" t="s">
        <v>3117</v>
      </c>
      <c r="B17" s="42" t="s">
        <v>3045</v>
      </c>
      <c r="C17" s="42" t="s">
        <v>1377</v>
      </c>
      <c r="D17" s="42" t="s">
        <v>16</v>
      </c>
      <c r="E17" s="42" t="s">
        <v>1799</v>
      </c>
      <c r="F17" s="42">
        <v>952</v>
      </c>
      <c r="G17" s="42"/>
      <c r="H17" s="42">
        <v>15330</v>
      </c>
      <c r="I17" s="42">
        <v>285</v>
      </c>
      <c r="J17" s="42">
        <v>0.13</v>
      </c>
      <c r="K17" s="43">
        <f t="shared" ref="K17" si="14">I17*J17</f>
        <v>37.050000000000004</v>
      </c>
      <c r="L17" s="43">
        <f t="shared" ref="L17" si="15">H17-K17</f>
        <v>15292.95</v>
      </c>
      <c r="M17" s="43"/>
      <c r="N17" s="43">
        <f t="shared" ref="N17" si="16">L17-M17</f>
        <v>15292.95</v>
      </c>
      <c r="O17" s="43">
        <f t="shared" ref="O17" si="17">H17/1000*70</f>
        <v>1073.0999999999999</v>
      </c>
      <c r="P17" s="42">
        <v>16000</v>
      </c>
      <c r="Q17" s="42">
        <v>17.5</v>
      </c>
      <c r="R17" s="42">
        <f t="shared" ref="R17" si="18">L17*Q17</f>
        <v>267626.625</v>
      </c>
    </row>
    <row r="18" spans="1:19">
      <c r="A18" s="62"/>
      <c r="B18" s="62"/>
      <c r="C18" s="62"/>
      <c r="D18" s="62"/>
      <c r="E18" s="62"/>
      <c r="F18" s="62"/>
      <c r="G18" s="62"/>
      <c r="H18" s="62"/>
      <c r="I18" s="62"/>
      <c r="J18" s="62"/>
      <c r="K18" s="62"/>
      <c r="L18" s="62"/>
      <c r="M18" s="62"/>
      <c r="N18" s="62"/>
      <c r="O18" s="62"/>
      <c r="P18" s="62"/>
    </row>
    <row r="19" spans="1:19">
      <c r="A19" s="63" t="s">
        <v>3154</v>
      </c>
      <c r="B19" s="42" t="s">
        <v>684</v>
      </c>
      <c r="C19" s="42" t="s">
        <v>1377</v>
      </c>
      <c r="D19" s="42" t="s">
        <v>16</v>
      </c>
      <c r="E19" s="42" t="s">
        <v>1799</v>
      </c>
      <c r="F19" s="42">
        <v>953</v>
      </c>
      <c r="G19" s="42"/>
      <c r="H19" s="42">
        <v>15480</v>
      </c>
      <c r="I19" s="42">
        <v>285</v>
      </c>
      <c r="J19" s="42">
        <v>0.13</v>
      </c>
      <c r="K19" s="43">
        <f t="shared" ref="K19" si="19">I19*J19</f>
        <v>37.050000000000004</v>
      </c>
      <c r="L19" s="43">
        <f t="shared" ref="L19" si="20">H19-K19</f>
        <v>15442.95</v>
      </c>
      <c r="M19" s="43"/>
      <c r="N19" s="43">
        <f t="shared" ref="N19" si="21">L19-M19</f>
        <v>15442.95</v>
      </c>
      <c r="O19" s="43">
        <f t="shared" ref="O19" si="22">H19/1000*70</f>
        <v>1083.6000000000001</v>
      </c>
      <c r="P19" s="42">
        <v>22000</v>
      </c>
      <c r="Q19" s="42">
        <v>17.5</v>
      </c>
      <c r="R19" s="42">
        <f t="shared" ref="R19" si="23">L19*Q19</f>
        <v>270251.625</v>
      </c>
    </row>
    <row r="20" spans="1:19">
      <c r="A20" s="63"/>
      <c r="B20" s="67"/>
      <c r="C20" s="67"/>
      <c r="D20" s="67"/>
      <c r="E20" s="67"/>
      <c r="F20" s="67"/>
      <c r="G20" s="67"/>
      <c r="H20" s="67"/>
      <c r="I20" s="67"/>
      <c r="J20" s="67"/>
      <c r="K20" s="67"/>
      <c r="L20" s="68"/>
      <c r="M20" s="68"/>
      <c r="N20" s="67"/>
      <c r="O20" s="62"/>
      <c r="P20" s="62"/>
    </row>
    <row r="21" spans="1:19">
      <c r="A21" s="63" t="s">
        <v>3318</v>
      </c>
      <c r="B21" s="92" t="s">
        <v>3314</v>
      </c>
      <c r="C21" s="42" t="s">
        <v>1377</v>
      </c>
      <c r="D21" s="42" t="s">
        <v>16</v>
      </c>
      <c r="E21" s="47" t="s">
        <v>1799</v>
      </c>
      <c r="F21" s="47">
        <v>962</v>
      </c>
      <c r="G21" s="47"/>
      <c r="H21" s="47">
        <v>15675</v>
      </c>
      <c r="I21" s="47">
        <v>285</v>
      </c>
      <c r="J21" s="47">
        <v>0.75</v>
      </c>
      <c r="K21" s="43">
        <f t="shared" ref="K21" si="24">I21*J21</f>
        <v>213.75</v>
      </c>
      <c r="L21" s="43">
        <f t="shared" ref="L21" si="25">H21-K21</f>
        <v>15461.25</v>
      </c>
      <c r="M21" s="43"/>
      <c r="N21" s="43">
        <f t="shared" ref="N21" si="26">L21-M21</f>
        <v>15461.25</v>
      </c>
      <c r="O21" s="43">
        <f t="shared" ref="O21" si="27">H21/1000*70</f>
        <v>1097.25</v>
      </c>
      <c r="P21" s="42">
        <v>15500</v>
      </c>
      <c r="Q21" s="42">
        <v>18.3</v>
      </c>
      <c r="R21" s="42">
        <f t="shared" ref="R21" si="28">L21*Q21</f>
        <v>282940.875</v>
      </c>
    </row>
    <row r="22" spans="1:19">
      <c r="A22" s="63"/>
      <c r="B22" s="67"/>
      <c r="C22" s="67"/>
      <c r="D22" s="67"/>
      <c r="E22" s="67"/>
      <c r="F22" s="67"/>
      <c r="G22" s="67"/>
      <c r="H22" s="67"/>
      <c r="I22" s="67"/>
      <c r="J22" s="67"/>
      <c r="K22" s="68"/>
      <c r="L22" s="68"/>
      <c r="M22" s="68"/>
      <c r="N22" s="67"/>
      <c r="O22" s="62"/>
      <c r="P22" s="62"/>
    </row>
    <row r="23" spans="1:19">
      <c r="A23" s="63" t="s">
        <v>3350</v>
      </c>
      <c r="B23" s="42" t="s">
        <v>3078</v>
      </c>
      <c r="C23" s="42" t="s">
        <v>1377</v>
      </c>
      <c r="D23" s="42" t="s">
        <v>16</v>
      </c>
      <c r="E23" s="47" t="s">
        <v>1799</v>
      </c>
      <c r="F23" s="47">
        <v>453</v>
      </c>
      <c r="G23" s="47"/>
      <c r="H23" s="47">
        <v>15450</v>
      </c>
      <c r="I23" s="47">
        <v>260</v>
      </c>
      <c r="J23" s="47">
        <v>0.75</v>
      </c>
      <c r="K23" s="43">
        <v>188</v>
      </c>
      <c r="L23" s="43">
        <f t="shared" ref="L23" si="29">H23-K23</f>
        <v>15262</v>
      </c>
      <c r="M23" s="43"/>
      <c r="N23" s="43">
        <f t="shared" ref="N23" si="30">L23-M23</f>
        <v>15262</v>
      </c>
      <c r="O23" s="43">
        <f t="shared" ref="O23" si="31">H23/1000*70</f>
        <v>1081.5</v>
      </c>
      <c r="P23" s="42">
        <v>16500</v>
      </c>
      <c r="Q23" s="42">
        <v>18.3</v>
      </c>
      <c r="R23" s="42">
        <f t="shared" ref="R23" si="32">L23*Q23</f>
        <v>279294.60000000003</v>
      </c>
    </row>
    <row r="24" spans="1:19">
      <c r="A24" s="63"/>
      <c r="B24" s="67"/>
      <c r="C24" s="67"/>
      <c r="D24" s="67"/>
      <c r="E24" s="67"/>
      <c r="F24" s="67"/>
      <c r="G24" s="67"/>
      <c r="H24" s="67"/>
      <c r="I24" s="67"/>
      <c r="J24" s="67"/>
      <c r="K24" s="68"/>
      <c r="L24" s="68"/>
      <c r="M24" s="68"/>
      <c r="N24" s="67"/>
      <c r="O24" s="62"/>
      <c r="P24" s="62"/>
    </row>
    <row r="25" spans="1:19">
      <c r="A25" s="63" t="s">
        <v>3357</v>
      </c>
      <c r="B25" s="42" t="s">
        <v>3078</v>
      </c>
      <c r="C25" s="42" t="s">
        <v>1377</v>
      </c>
      <c r="D25" s="42" t="s">
        <v>16</v>
      </c>
      <c r="E25" s="47" t="s">
        <v>3358</v>
      </c>
      <c r="F25" s="47">
        <v>454</v>
      </c>
      <c r="G25" s="47"/>
      <c r="H25" s="47">
        <v>15400</v>
      </c>
      <c r="I25" s="47">
        <v>275</v>
      </c>
      <c r="J25" s="47">
        <v>0.75</v>
      </c>
      <c r="K25" s="43">
        <f t="shared" ref="K25:K27" si="33">I25*J25</f>
        <v>206.25</v>
      </c>
      <c r="L25" s="43">
        <f t="shared" ref="L25:L27" si="34">H25-K25</f>
        <v>15193.75</v>
      </c>
      <c r="M25" s="43"/>
      <c r="N25" s="43">
        <f t="shared" ref="N25:N27" si="35">L25-M25</f>
        <v>15193.75</v>
      </c>
      <c r="O25" s="43">
        <f t="shared" ref="O25:O27" si="36">H25/1000*70</f>
        <v>1078</v>
      </c>
      <c r="P25" s="42">
        <v>17000</v>
      </c>
      <c r="Q25" s="42">
        <v>18.3</v>
      </c>
      <c r="R25" s="42">
        <f t="shared" ref="R25:R27" si="37">L25*Q25</f>
        <v>278045.625</v>
      </c>
      <c r="S25" s="42"/>
    </row>
    <row r="26" spans="1:19">
      <c r="A26" s="150" t="s">
        <v>3372</v>
      </c>
      <c r="B26" s="42" t="s">
        <v>3078</v>
      </c>
      <c r="C26" s="42" t="s">
        <v>1377</v>
      </c>
      <c r="D26" s="42" t="s">
        <v>16</v>
      </c>
      <c r="E26" s="47" t="s">
        <v>3373</v>
      </c>
      <c r="F26" s="47">
        <v>456</v>
      </c>
      <c r="G26" s="47"/>
      <c r="H26" s="47">
        <v>15490</v>
      </c>
      <c r="I26" s="47">
        <v>276</v>
      </c>
      <c r="J26" s="47">
        <v>0.75</v>
      </c>
      <c r="K26" s="43">
        <f t="shared" si="33"/>
        <v>207</v>
      </c>
      <c r="L26" s="43">
        <f t="shared" si="34"/>
        <v>15283</v>
      </c>
      <c r="M26" s="43"/>
      <c r="N26" s="43">
        <f t="shared" si="35"/>
        <v>15283</v>
      </c>
      <c r="O26" s="43">
        <f t="shared" si="36"/>
        <v>1084.3</v>
      </c>
      <c r="P26" s="42">
        <v>17500</v>
      </c>
      <c r="Q26" s="42">
        <v>18.3</v>
      </c>
      <c r="R26" s="42">
        <f t="shared" si="37"/>
        <v>279678.90000000002</v>
      </c>
    </row>
    <row r="27" spans="1:19">
      <c r="A27" s="150" t="s">
        <v>3407</v>
      </c>
      <c r="B27" s="42" t="s">
        <v>3078</v>
      </c>
      <c r="C27" s="42" t="s">
        <v>1377</v>
      </c>
      <c r="D27" s="42" t="s">
        <v>16</v>
      </c>
      <c r="E27" s="47" t="s">
        <v>3408</v>
      </c>
      <c r="F27" s="47">
        <v>458</v>
      </c>
      <c r="G27" s="47"/>
      <c r="H27" s="47">
        <v>15590</v>
      </c>
      <c r="I27" s="47">
        <v>280</v>
      </c>
      <c r="J27" s="47">
        <v>0.75</v>
      </c>
      <c r="K27" s="43">
        <f t="shared" si="33"/>
        <v>210</v>
      </c>
      <c r="L27" s="43">
        <f t="shared" si="34"/>
        <v>15380</v>
      </c>
      <c r="M27" s="43"/>
      <c r="N27" s="43">
        <f t="shared" si="35"/>
        <v>15380</v>
      </c>
      <c r="O27" s="43">
        <f t="shared" si="36"/>
        <v>1091.3</v>
      </c>
      <c r="P27" s="42">
        <v>14500</v>
      </c>
      <c r="Q27" s="42">
        <v>18.5</v>
      </c>
      <c r="R27" s="42">
        <f t="shared" si="37"/>
        <v>284530</v>
      </c>
    </row>
    <row r="28" spans="1:19">
      <c r="A28" s="63"/>
      <c r="B28" s="67"/>
      <c r="C28" s="67"/>
      <c r="D28" s="67"/>
      <c r="E28" s="67"/>
      <c r="F28" s="67"/>
      <c r="G28" s="67"/>
      <c r="H28" s="67"/>
      <c r="I28" s="67"/>
      <c r="J28" s="67"/>
      <c r="K28" s="68"/>
      <c r="L28" s="68"/>
      <c r="M28" s="68"/>
      <c r="N28" s="67"/>
      <c r="O28" s="62"/>
      <c r="P28" s="62"/>
    </row>
    <row r="29" spans="1:19">
      <c r="A29" s="150" t="s">
        <v>3475</v>
      </c>
      <c r="B29" s="42" t="s">
        <v>3078</v>
      </c>
      <c r="C29" s="42" t="s">
        <v>1377</v>
      </c>
      <c r="D29" s="42" t="s">
        <v>16</v>
      </c>
      <c r="E29" s="47" t="s">
        <v>1799</v>
      </c>
      <c r="F29" s="47">
        <v>460</v>
      </c>
      <c r="G29" s="47"/>
      <c r="H29" s="47">
        <v>15490</v>
      </c>
      <c r="I29" s="47">
        <v>268</v>
      </c>
      <c r="J29" s="47">
        <v>0.75</v>
      </c>
      <c r="K29" s="43">
        <f t="shared" ref="K29" si="38">I29*J29</f>
        <v>201</v>
      </c>
      <c r="L29" s="43">
        <f t="shared" ref="L29" si="39">H29-K29</f>
        <v>15289</v>
      </c>
      <c r="M29" s="43"/>
      <c r="N29" s="43">
        <f t="shared" ref="N29" si="40">L29-M29</f>
        <v>15289</v>
      </c>
      <c r="O29" s="43">
        <f t="shared" ref="O29" si="41">H29/1000*70</f>
        <v>1084.3</v>
      </c>
      <c r="P29" s="42">
        <v>21800</v>
      </c>
      <c r="Q29" s="42">
        <v>18.5</v>
      </c>
      <c r="R29" s="42">
        <f t="shared" ref="R29" si="42">L29*Q29</f>
        <v>282846.5</v>
      </c>
    </row>
    <row r="30" spans="1:19">
      <c r="A30" s="63"/>
      <c r="B30" s="67"/>
      <c r="C30" s="67"/>
      <c r="D30" s="67"/>
      <c r="E30" s="67"/>
      <c r="F30" s="67"/>
      <c r="G30" s="67"/>
      <c r="H30" s="67"/>
      <c r="I30" s="67"/>
      <c r="J30" s="67"/>
      <c r="K30" s="68"/>
      <c r="L30" s="68"/>
      <c r="M30" s="68"/>
      <c r="N30" s="67"/>
      <c r="O30" s="62"/>
      <c r="P30" s="62"/>
    </row>
    <row r="31" spans="1:19">
      <c r="A31" s="150" t="s">
        <v>3523</v>
      </c>
      <c r="B31" s="42" t="s">
        <v>3078</v>
      </c>
      <c r="C31" s="42" t="s">
        <v>1377</v>
      </c>
      <c r="D31" s="42" t="s">
        <v>16</v>
      </c>
      <c r="E31" s="47" t="s">
        <v>1799</v>
      </c>
      <c r="F31" s="47">
        <v>462</v>
      </c>
      <c r="G31" s="47"/>
      <c r="H31" s="47">
        <v>15780</v>
      </c>
      <c r="I31" s="47">
        <v>271</v>
      </c>
      <c r="J31" s="47">
        <v>0.75</v>
      </c>
      <c r="K31" s="43">
        <f t="shared" ref="K31" si="43">I31*J31</f>
        <v>203.25</v>
      </c>
      <c r="L31" s="43">
        <f t="shared" ref="L31" si="44">H31-K31</f>
        <v>15576.75</v>
      </c>
      <c r="M31" s="43"/>
      <c r="N31" s="43">
        <f t="shared" ref="N31" si="45">L31-M31</f>
        <v>15576.75</v>
      </c>
      <c r="O31" s="43">
        <f t="shared" ref="O31" si="46">H31/1000*70</f>
        <v>1104.5999999999999</v>
      </c>
      <c r="P31" s="42">
        <v>26500</v>
      </c>
      <c r="Q31" s="42">
        <v>21</v>
      </c>
      <c r="R31" s="42">
        <f t="shared" ref="R31" si="47">L31*Q31</f>
        <v>327111.75</v>
      </c>
    </row>
    <row r="32" spans="1:19">
      <c r="A32" s="63"/>
      <c r="B32" s="67"/>
      <c r="C32" s="67"/>
      <c r="D32" s="67"/>
      <c r="E32" s="67"/>
      <c r="F32" s="67"/>
      <c r="G32" s="67"/>
      <c r="H32" s="67"/>
      <c r="I32" s="67"/>
      <c r="J32" s="67"/>
      <c r="K32" s="67"/>
      <c r="L32" s="68"/>
      <c r="M32" s="68"/>
      <c r="N32" s="67"/>
      <c r="O32" s="62"/>
      <c r="P32" s="62"/>
    </row>
    <row r="33" spans="1:19">
      <c r="A33" s="62" t="s">
        <v>3548</v>
      </c>
      <c r="B33" s="42" t="s">
        <v>3078</v>
      </c>
      <c r="C33" s="42" t="s">
        <v>1377</v>
      </c>
      <c r="D33" s="42" t="s">
        <v>16</v>
      </c>
      <c r="E33" s="47" t="s">
        <v>1799</v>
      </c>
      <c r="F33" s="47">
        <v>463</v>
      </c>
      <c r="G33" s="47"/>
      <c r="H33" s="47">
        <v>15230</v>
      </c>
      <c r="I33" s="47">
        <v>262</v>
      </c>
      <c r="J33" s="47">
        <v>0.75</v>
      </c>
      <c r="K33" s="43">
        <f t="shared" ref="K33" si="48">I33*J33</f>
        <v>196.5</v>
      </c>
      <c r="L33" s="43">
        <f t="shared" ref="L33" si="49">H33-K33</f>
        <v>15033.5</v>
      </c>
      <c r="M33" s="43"/>
      <c r="N33" s="43">
        <f t="shared" ref="N33" si="50">L33-M33</f>
        <v>15033.5</v>
      </c>
      <c r="O33" s="43">
        <f t="shared" ref="O33" si="51">H33/1000*70</f>
        <v>1066.1000000000001</v>
      </c>
      <c r="P33" s="42">
        <v>20200</v>
      </c>
      <c r="Q33" s="42"/>
      <c r="R33" s="42">
        <f t="shared" ref="R33" si="52">L33*Q33</f>
        <v>0</v>
      </c>
      <c r="S33" s="42"/>
    </row>
    <row r="34" spans="1:19">
      <c r="A34" s="62"/>
      <c r="B34" s="62"/>
      <c r="C34" s="62"/>
      <c r="D34" s="62"/>
      <c r="E34" s="62"/>
      <c r="F34" s="62"/>
      <c r="G34" s="62"/>
      <c r="H34" s="62"/>
      <c r="I34" s="62"/>
      <c r="J34" s="62"/>
      <c r="K34" s="62"/>
      <c r="L34" s="62"/>
      <c r="M34" s="62"/>
      <c r="N34" s="62"/>
      <c r="O34" s="62"/>
      <c r="P34" s="62"/>
    </row>
    <row r="35" spans="1:19">
      <c r="A35" s="63" t="s">
        <v>3568</v>
      </c>
      <c r="B35" s="42" t="s">
        <v>3569</v>
      </c>
      <c r="C35" s="42" t="s">
        <v>1377</v>
      </c>
      <c r="D35" s="42" t="s">
        <v>16</v>
      </c>
      <c r="E35" s="47" t="s">
        <v>3570</v>
      </c>
      <c r="F35" s="47">
        <v>1986</v>
      </c>
      <c r="G35" s="47"/>
      <c r="H35" s="47">
        <v>18170</v>
      </c>
      <c r="I35" s="47">
        <v>359</v>
      </c>
      <c r="J35" s="47">
        <v>0.75</v>
      </c>
      <c r="K35" s="43">
        <f t="shared" ref="K35" si="53">I35*J35</f>
        <v>269.25</v>
      </c>
      <c r="L35" s="43">
        <f t="shared" ref="L35" si="54">H35-K35</f>
        <v>17900.75</v>
      </c>
      <c r="M35" s="43"/>
      <c r="N35" s="43">
        <f t="shared" ref="N35" si="55">L35-M35</f>
        <v>17900.75</v>
      </c>
      <c r="O35" s="43">
        <f t="shared" ref="O35" si="56">H35/1000*70</f>
        <v>1271.9000000000001</v>
      </c>
      <c r="P35" s="42">
        <v>15000</v>
      </c>
      <c r="Q35" s="42">
        <v>21</v>
      </c>
      <c r="R35" s="42">
        <f t="shared" ref="R35" si="57">L35*Q35</f>
        <v>375915.75</v>
      </c>
    </row>
    <row r="36" spans="1:19">
      <c r="A36" s="63"/>
      <c r="B36" s="67"/>
      <c r="C36" s="67"/>
      <c r="D36" s="67"/>
      <c r="E36" s="67"/>
      <c r="F36" s="67"/>
      <c r="G36" s="67"/>
      <c r="H36" s="67"/>
      <c r="I36" s="67"/>
      <c r="J36" s="67"/>
      <c r="K36" s="68"/>
      <c r="L36" s="68"/>
      <c r="M36" s="68"/>
      <c r="N36" s="67"/>
      <c r="O36" s="21"/>
      <c r="P36" s="62"/>
    </row>
    <row r="37" spans="1:19">
      <c r="A37" s="62" t="s">
        <v>3582</v>
      </c>
      <c r="B37" s="42" t="s">
        <v>3078</v>
      </c>
      <c r="C37" s="42" t="s">
        <v>1377</v>
      </c>
      <c r="D37" s="42" t="s">
        <v>16</v>
      </c>
      <c r="E37" s="47" t="s">
        <v>3586</v>
      </c>
      <c r="F37" s="47">
        <v>465</v>
      </c>
      <c r="G37" s="47"/>
      <c r="H37" s="47">
        <v>15500</v>
      </c>
      <c r="I37" s="47">
        <v>278</v>
      </c>
      <c r="J37" s="47">
        <v>0.75</v>
      </c>
      <c r="K37" s="43">
        <f t="shared" ref="K37" si="58">I37*J37</f>
        <v>208.5</v>
      </c>
      <c r="L37" s="43">
        <f t="shared" ref="L37" si="59">H37-K37</f>
        <v>15291.5</v>
      </c>
      <c r="M37" s="43"/>
      <c r="N37" s="43">
        <f t="shared" ref="N37" si="60">L37-M37</f>
        <v>15291.5</v>
      </c>
      <c r="O37" s="43">
        <f t="shared" ref="O37" si="61">H37/1000*70</f>
        <v>1085</v>
      </c>
      <c r="P37" s="42">
        <v>15500</v>
      </c>
      <c r="Q37" s="42">
        <v>21</v>
      </c>
      <c r="R37" s="42">
        <f t="shared" ref="R37" si="62">L37*Q37</f>
        <v>321121.5</v>
      </c>
    </row>
    <row r="38" spans="1:19">
      <c r="A38" s="62"/>
      <c r="B38" s="62"/>
      <c r="C38" s="62"/>
      <c r="D38" s="62"/>
      <c r="E38" s="62"/>
      <c r="F38" s="62"/>
      <c r="G38" s="62"/>
      <c r="H38" s="62"/>
      <c r="I38" s="62"/>
      <c r="J38" s="62"/>
      <c r="K38" s="62"/>
      <c r="L38" s="66"/>
      <c r="M38" s="66"/>
      <c r="N38" s="66"/>
      <c r="O38" s="62"/>
      <c r="P38" s="62"/>
    </row>
    <row r="39" spans="1:19">
      <c r="A39" s="1" t="s">
        <v>3633</v>
      </c>
      <c r="B39" s="42" t="s">
        <v>3078</v>
      </c>
      <c r="C39" s="42" t="s">
        <v>1377</v>
      </c>
      <c r="D39" s="42" t="s">
        <v>16</v>
      </c>
      <c r="E39" s="47" t="s">
        <v>3634</v>
      </c>
      <c r="F39" s="47">
        <v>466</v>
      </c>
      <c r="G39" s="47"/>
      <c r="H39" s="47">
        <v>16160</v>
      </c>
      <c r="I39" s="47">
        <v>287</v>
      </c>
      <c r="J39" s="47">
        <v>0.75</v>
      </c>
      <c r="K39" s="43">
        <f t="shared" ref="K39" si="63">I39*J39</f>
        <v>215.25</v>
      </c>
      <c r="L39" s="43">
        <f t="shared" ref="L39" si="64">H39-K39</f>
        <v>15944.75</v>
      </c>
      <c r="M39" s="43"/>
      <c r="N39" s="43">
        <f t="shared" ref="N39" si="65">L39-M39</f>
        <v>15944.75</v>
      </c>
      <c r="O39" s="43">
        <f t="shared" ref="O39" si="66">H39/1000*70</f>
        <v>1131.2</v>
      </c>
      <c r="P39" s="42">
        <v>15000</v>
      </c>
      <c r="Q39" s="42"/>
      <c r="R39" s="42">
        <f t="shared" ref="R39" si="67">L39*Q39</f>
        <v>0</v>
      </c>
    </row>
    <row r="41" spans="1:19">
      <c r="A41" s="1" t="s">
        <v>3693</v>
      </c>
      <c r="B41" s="42" t="s">
        <v>3078</v>
      </c>
      <c r="C41" s="42" t="s">
        <v>1377</v>
      </c>
      <c r="D41" s="42" t="s">
        <v>16</v>
      </c>
      <c r="E41" s="47" t="s">
        <v>3698</v>
      </c>
      <c r="F41" s="47">
        <v>469</v>
      </c>
      <c r="G41" s="47"/>
      <c r="H41" s="47">
        <v>15220</v>
      </c>
      <c r="I41" s="47">
        <v>275</v>
      </c>
      <c r="J41" s="47">
        <v>0.75</v>
      </c>
      <c r="K41" s="43">
        <f t="shared" ref="K41" si="68">I41*J41</f>
        <v>206.25</v>
      </c>
      <c r="L41" s="43">
        <f t="shared" ref="L41" si="69">H41-K41</f>
        <v>15013.75</v>
      </c>
      <c r="M41" s="43"/>
      <c r="N41" s="43">
        <f t="shared" ref="N41" si="70">L41-M41</f>
        <v>15013.75</v>
      </c>
      <c r="O41" s="43">
        <f t="shared" ref="O41" si="71">H41/1000*70</f>
        <v>1065.4000000000001</v>
      </c>
      <c r="P41" s="42">
        <v>13500</v>
      </c>
      <c r="Q41" s="42">
        <v>21</v>
      </c>
      <c r="R41" s="42">
        <f t="shared" ref="R41" si="72">L41*Q41</f>
        <v>315288.75</v>
      </c>
    </row>
    <row r="43" spans="1:19">
      <c r="A43" s="1" t="s">
        <v>3760</v>
      </c>
      <c r="B43" s="42" t="s">
        <v>3078</v>
      </c>
      <c r="C43" s="42" t="s">
        <v>1377</v>
      </c>
      <c r="D43" s="42" t="s">
        <v>16</v>
      </c>
      <c r="E43" s="47" t="s">
        <v>3763</v>
      </c>
      <c r="F43" s="47">
        <v>473</v>
      </c>
      <c r="G43" s="47"/>
      <c r="H43" s="47">
        <v>14700</v>
      </c>
      <c r="I43" s="47">
        <v>278</v>
      </c>
      <c r="J43" s="47">
        <v>0.75</v>
      </c>
      <c r="K43" s="43">
        <f t="shared" ref="K43" si="73">I43*J43</f>
        <v>208.5</v>
      </c>
      <c r="L43" s="43">
        <f t="shared" ref="L43" si="74">H43-K43</f>
        <v>14491.5</v>
      </c>
      <c r="M43" s="43"/>
      <c r="N43" s="43">
        <f t="shared" ref="N43" si="75">L43-M43</f>
        <v>14491.5</v>
      </c>
      <c r="O43" s="43">
        <f t="shared" ref="O43" si="76">H43/1000*70</f>
        <v>1029</v>
      </c>
      <c r="P43" s="42">
        <v>13000</v>
      </c>
      <c r="Q43" s="42"/>
      <c r="R43" s="42">
        <f t="shared" ref="R43" si="77">L43*Q43</f>
        <v>0</v>
      </c>
    </row>
    <row r="45" spans="1:19">
      <c r="A45" s="1" t="s">
        <v>3807</v>
      </c>
      <c r="B45" s="42" t="s">
        <v>3078</v>
      </c>
      <c r="C45" s="42" t="s">
        <v>1377</v>
      </c>
      <c r="D45" s="42" t="s">
        <v>16</v>
      </c>
      <c r="E45" s="47" t="s">
        <v>1799</v>
      </c>
      <c r="F45" s="47">
        <v>476</v>
      </c>
      <c r="G45" s="47"/>
      <c r="H45" s="47">
        <v>14590</v>
      </c>
      <c r="I45" s="47">
        <v>272</v>
      </c>
      <c r="J45" s="47">
        <v>0.75</v>
      </c>
      <c r="K45" s="43">
        <f t="shared" ref="K45" si="78">I45*J45</f>
        <v>204</v>
      </c>
      <c r="L45" s="43">
        <f t="shared" ref="L45" si="79">H45-K45</f>
        <v>14386</v>
      </c>
      <c r="M45" s="43"/>
      <c r="N45" s="43">
        <f t="shared" ref="N45" si="80">L45-M45</f>
        <v>14386</v>
      </c>
      <c r="O45" s="43">
        <f t="shared" ref="O45" si="81">H45/1000*70</f>
        <v>1021.3</v>
      </c>
      <c r="P45" s="42">
        <v>23300</v>
      </c>
      <c r="Q45" s="42"/>
      <c r="R45" s="42">
        <f t="shared" ref="R45" si="82">L45*Q45</f>
        <v>0</v>
      </c>
    </row>
    <row r="47" spans="1:19">
      <c r="A47" s="1" t="s">
        <v>3945</v>
      </c>
      <c r="B47" s="334" t="s">
        <v>3078</v>
      </c>
      <c r="C47" s="334" t="s">
        <v>1377</v>
      </c>
      <c r="D47" s="42" t="s">
        <v>16</v>
      </c>
      <c r="E47" s="334" t="s">
        <v>3950</v>
      </c>
      <c r="F47" s="334">
        <v>482</v>
      </c>
      <c r="G47" s="334"/>
      <c r="H47" s="334">
        <v>15370</v>
      </c>
      <c r="I47" s="334">
        <v>285</v>
      </c>
      <c r="J47" s="334">
        <v>0.75</v>
      </c>
      <c r="K47" s="43">
        <f t="shared" ref="K47" si="83">I47*J47</f>
        <v>213.75</v>
      </c>
      <c r="L47" s="43">
        <f t="shared" ref="L47" si="84">H47-K47</f>
        <v>15156.25</v>
      </c>
      <c r="M47" s="43"/>
      <c r="N47" s="43">
        <f t="shared" ref="N47" si="85">L47-M47</f>
        <v>15156.25</v>
      </c>
      <c r="O47" s="43">
        <f t="shared" ref="O47" si="86">H47/1000*70</f>
        <v>1075.8999999999999</v>
      </c>
      <c r="P47" s="42">
        <v>13000</v>
      </c>
      <c r="Q47" s="42"/>
      <c r="R47" s="42">
        <f t="shared" ref="R47" si="87">L47*Q47</f>
        <v>0</v>
      </c>
    </row>
  </sheetData>
  <pageMargins left="0.7" right="0.7" top="0.75" bottom="0.75" header="0.3" footer="0.3"/>
  <pageSetup paperSize="9" orientation="portrait" verticalDpi="0" r:id="rId1"/>
</worksheet>
</file>

<file path=xl/worksheets/sheet155.xml><?xml version="1.0" encoding="utf-8"?>
<worksheet xmlns="http://schemas.openxmlformats.org/spreadsheetml/2006/main" xmlns:r="http://schemas.openxmlformats.org/officeDocument/2006/relationships">
  <dimension ref="A5:U30"/>
  <sheetViews>
    <sheetView workbookViewId="0">
      <selection activeCell="B17" sqref="B17"/>
    </sheetView>
  </sheetViews>
  <sheetFormatPr defaultRowHeight="14.4"/>
  <cols>
    <col min="1" max="1" width="8.88671875" style="1"/>
    <col min="2" max="2" width="23.33203125" style="1" customWidth="1"/>
    <col min="3" max="3" width="8.88671875" style="1"/>
    <col min="4" max="4" width="5.5546875" style="1" customWidth="1"/>
    <col min="5" max="5" width="11.2187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0.399999999999999">
      <c r="A5" s="58" t="s">
        <v>3</v>
      </c>
      <c r="B5" s="58" t="s">
        <v>4</v>
      </c>
      <c r="C5" s="58" t="s">
        <v>5</v>
      </c>
      <c r="D5" s="58" t="s">
        <v>6</v>
      </c>
      <c r="E5" s="58" t="s">
        <v>37</v>
      </c>
      <c r="F5" s="59" t="s">
        <v>7</v>
      </c>
      <c r="G5" s="58" t="s">
        <v>8</v>
      </c>
      <c r="H5" s="58" t="s">
        <v>9</v>
      </c>
      <c r="I5" s="58" t="s">
        <v>10</v>
      </c>
      <c r="J5" s="59" t="s">
        <v>18</v>
      </c>
      <c r="K5" s="59" t="s">
        <v>17</v>
      </c>
      <c r="L5" s="58" t="s">
        <v>11</v>
      </c>
      <c r="M5" s="59" t="s">
        <v>36</v>
      </c>
      <c r="N5" s="58" t="s">
        <v>12</v>
      </c>
      <c r="O5" s="58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128</v>
      </c>
    </row>
    <row r="6" spans="1:21">
      <c r="A6" s="129"/>
      <c r="B6" s="237"/>
      <c r="C6" s="237"/>
      <c r="D6" s="237"/>
      <c r="E6" s="237"/>
      <c r="F6" s="237"/>
      <c r="G6" s="237"/>
      <c r="H6" s="237"/>
      <c r="I6" s="237"/>
      <c r="J6" s="237"/>
      <c r="K6" s="61"/>
      <c r="L6" s="65"/>
      <c r="M6" s="61"/>
      <c r="N6" s="237"/>
      <c r="O6" s="237"/>
      <c r="P6" s="237"/>
    </row>
    <row r="7" spans="1:21">
      <c r="A7" s="62"/>
      <c r="B7" s="62"/>
      <c r="C7" s="62"/>
      <c r="D7" s="62"/>
      <c r="E7" s="62"/>
      <c r="F7" s="62"/>
      <c r="G7" s="62"/>
      <c r="H7" s="62"/>
      <c r="I7" s="62"/>
      <c r="J7" s="62"/>
      <c r="K7" s="62"/>
      <c r="L7" s="66"/>
      <c r="M7" s="66"/>
      <c r="N7" s="66"/>
      <c r="O7" s="62"/>
      <c r="P7" s="62"/>
    </row>
    <row r="8" spans="1:21">
      <c r="A8" s="62" t="s">
        <v>2000</v>
      </c>
      <c r="B8" s="238" t="s">
        <v>1819</v>
      </c>
      <c r="C8" s="238" t="s">
        <v>1377</v>
      </c>
      <c r="D8" s="238" t="s">
        <v>16</v>
      </c>
      <c r="E8" s="238" t="s">
        <v>2002</v>
      </c>
      <c r="F8" s="238">
        <v>869</v>
      </c>
      <c r="G8" s="238"/>
      <c r="H8" s="238">
        <v>12050</v>
      </c>
      <c r="I8" s="238">
        <v>223</v>
      </c>
      <c r="J8" s="238">
        <v>0.75</v>
      </c>
      <c r="K8" s="5">
        <f t="shared" ref="K8" si="0">I8*J8</f>
        <v>167.25</v>
      </c>
      <c r="L8" s="19">
        <f t="shared" ref="L8" si="1">H8-K8</f>
        <v>11882.75</v>
      </c>
      <c r="M8" s="19"/>
      <c r="N8" s="43">
        <f t="shared" ref="N8" si="2">L8-M8</f>
        <v>11882.75</v>
      </c>
      <c r="O8" s="5">
        <f t="shared" ref="O8" si="3">H8/1000*70</f>
        <v>843.5</v>
      </c>
      <c r="P8" s="238">
        <v>14600</v>
      </c>
      <c r="Q8" s="238">
        <v>17.3</v>
      </c>
      <c r="R8" s="42">
        <f t="shared" ref="R8" si="4">L8*Q8</f>
        <v>205571.57500000001</v>
      </c>
    </row>
    <row r="9" spans="1:21">
      <c r="A9" s="62"/>
      <c r="B9" s="62"/>
      <c r="C9" s="62"/>
      <c r="D9" s="62"/>
      <c r="E9" s="62"/>
      <c r="F9" s="62"/>
      <c r="G9" s="62"/>
      <c r="H9" s="62"/>
      <c r="I9" s="62"/>
      <c r="J9" s="62"/>
      <c r="K9" s="62"/>
      <c r="L9" s="62"/>
      <c r="M9" s="62"/>
      <c r="N9" s="62"/>
      <c r="O9" s="62"/>
      <c r="P9" s="62"/>
    </row>
    <row r="10" spans="1:21">
      <c r="A10" s="62" t="s">
        <v>2212</v>
      </c>
      <c r="B10" s="42" t="s">
        <v>1819</v>
      </c>
      <c r="C10" s="42" t="s">
        <v>1377</v>
      </c>
      <c r="D10" s="42" t="s">
        <v>16</v>
      </c>
      <c r="E10" s="42" t="s">
        <v>2215</v>
      </c>
      <c r="F10" s="42">
        <v>884</v>
      </c>
      <c r="G10" s="42"/>
      <c r="H10" s="42">
        <v>14090</v>
      </c>
      <c r="I10" s="42">
        <v>260</v>
      </c>
      <c r="J10" s="42">
        <v>0.75</v>
      </c>
      <c r="K10" s="43">
        <f t="shared" ref="K10" si="5">I10*J10</f>
        <v>195</v>
      </c>
      <c r="L10" s="43">
        <f t="shared" ref="L10" si="6">H10-K10</f>
        <v>13895</v>
      </c>
      <c r="M10" s="43"/>
      <c r="N10" s="43">
        <f t="shared" ref="N10" si="7">L10-M10</f>
        <v>13895</v>
      </c>
      <c r="O10" s="43">
        <f t="shared" ref="O10" si="8">H10/1000*70</f>
        <v>986.3</v>
      </c>
      <c r="P10" s="42">
        <v>11800</v>
      </c>
      <c r="Q10" s="42"/>
      <c r="R10" s="42">
        <f t="shared" ref="R10" si="9">L10*Q10</f>
        <v>0</v>
      </c>
    </row>
    <row r="11" spans="1:21">
      <c r="A11" s="62"/>
      <c r="B11" s="62"/>
      <c r="C11" s="62"/>
      <c r="D11" s="62"/>
      <c r="E11" s="62"/>
      <c r="F11" s="62"/>
      <c r="G11" s="62"/>
      <c r="H11" s="62"/>
      <c r="I11" s="62"/>
      <c r="J11" s="62"/>
      <c r="K11" s="62"/>
      <c r="L11" s="62"/>
      <c r="M11" s="62"/>
      <c r="N11" s="62"/>
      <c r="O11" s="62"/>
      <c r="P11" s="62"/>
    </row>
    <row r="12" spans="1:21">
      <c r="A12" s="380"/>
      <c r="B12" s="67"/>
      <c r="C12" s="67"/>
      <c r="D12" s="67"/>
      <c r="E12" s="67"/>
      <c r="F12" s="67"/>
      <c r="G12" s="67"/>
      <c r="H12" s="67"/>
      <c r="I12" s="67"/>
      <c r="J12" s="67"/>
      <c r="K12" s="67"/>
      <c r="L12" s="68"/>
      <c r="M12" s="68"/>
      <c r="N12" s="67"/>
      <c r="O12" s="62"/>
      <c r="P12" s="62"/>
    </row>
    <row r="13" spans="1:21">
      <c r="A13" s="380"/>
      <c r="B13" s="67"/>
      <c r="C13" s="67"/>
      <c r="D13" s="67"/>
      <c r="E13" s="67"/>
      <c r="F13" s="67"/>
      <c r="G13" s="67"/>
      <c r="H13" s="67"/>
      <c r="I13" s="67"/>
      <c r="J13" s="67"/>
      <c r="K13" s="67"/>
      <c r="L13" s="68"/>
      <c r="M13" s="68"/>
      <c r="N13" s="67"/>
      <c r="O13" s="62"/>
      <c r="P13" s="62"/>
    </row>
    <row r="14" spans="1:21">
      <c r="A14" s="380"/>
      <c r="B14" s="67"/>
      <c r="C14" s="67"/>
      <c r="D14" s="67"/>
      <c r="E14" s="67"/>
      <c r="F14" s="67"/>
      <c r="G14" s="67"/>
      <c r="H14" s="67"/>
      <c r="I14" s="67"/>
      <c r="J14" s="67"/>
      <c r="K14" s="68"/>
      <c r="L14" s="68"/>
      <c r="M14" s="68"/>
      <c r="N14" s="67"/>
      <c r="O14" s="62"/>
      <c r="P14" s="62"/>
    </row>
    <row r="15" spans="1:21">
      <c r="A15" s="380"/>
      <c r="B15" s="67"/>
      <c r="C15" s="67"/>
      <c r="D15" s="67"/>
      <c r="E15" s="67"/>
      <c r="F15" s="67"/>
      <c r="G15" s="67"/>
      <c r="H15" s="67"/>
      <c r="I15" s="67"/>
      <c r="J15" s="67"/>
      <c r="K15" s="67"/>
      <c r="L15" s="68"/>
      <c r="M15" s="68"/>
      <c r="N15" s="67"/>
      <c r="O15" s="62"/>
      <c r="P15" s="62"/>
    </row>
    <row r="16" spans="1:21">
      <c r="A16" s="380"/>
      <c r="B16" s="67"/>
      <c r="C16" s="67"/>
      <c r="D16" s="67"/>
      <c r="E16" s="67"/>
      <c r="F16" s="67"/>
      <c r="G16" s="67"/>
      <c r="H16" s="67"/>
      <c r="I16" s="67"/>
      <c r="J16" s="67"/>
      <c r="K16" s="68"/>
      <c r="L16" s="68"/>
      <c r="M16" s="68"/>
      <c r="N16" s="67"/>
      <c r="O16" s="62"/>
      <c r="P16" s="62"/>
    </row>
    <row r="17" spans="1:16">
      <c r="A17" s="380"/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8"/>
      <c r="M17" s="68"/>
      <c r="N17" s="67"/>
      <c r="O17" s="62"/>
      <c r="P17" s="62"/>
    </row>
    <row r="18" spans="1:16">
      <c r="A18" s="380"/>
      <c r="B18" s="67"/>
      <c r="C18" s="67"/>
      <c r="D18" s="67"/>
      <c r="E18" s="67"/>
      <c r="F18" s="67"/>
      <c r="G18" s="67"/>
      <c r="H18" s="67"/>
      <c r="I18" s="67"/>
      <c r="J18" s="67"/>
      <c r="K18" s="68"/>
      <c r="L18" s="68"/>
      <c r="M18" s="68"/>
      <c r="N18" s="67"/>
      <c r="O18" s="62"/>
      <c r="P18" s="62"/>
    </row>
    <row r="19" spans="1:16">
      <c r="A19" s="380"/>
      <c r="B19" s="67"/>
      <c r="C19" s="67"/>
      <c r="D19" s="67"/>
      <c r="E19" s="67"/>
      <c r="F19" s="67"/>
      <c r="G19" s="67"/>
      <c r="H19" s="67"/>
      <c r="I19" s="67"/>
      <c r="J19" s="67"/>
      <c r="K19" s="68"/>
      <c r="L19" s="68"/>
      <c r="M19" s="68"/>
      <c r="N19" s="67"/>
      <c r="O19" s="62"/>
      <c r="P19" s="62"/>
    </row>
    <row r="20" spans="1:16">
      <c r="A20" s="380"/>
      <c r="B20" s="67"/>
      <c r="C20" s="67"/>
      <c r="D20" s="67"/>
      <c r="E20" s="67"/>
      <c r="F20" s="67"/>
      <c r="G20" s="67"/>
      <c r="H20" s="67"/>
      <c r="I20" s="67"/>
      <c r="J20" s="67"/>
      <c r="K20" s="68"/>
      <c r="L20" s="68"/>
      <c r="M20" s="68"/>
      <c r="N20" s="67"/>
      <c r="O20" s="62"/>
      <c r="P20" s="62"/>
    </row>
    <row r="21" spans="1:16">
      <c r="A21" s="380"/>
      <c r="B21" s="67"/>
      <c r="C21" s="67"/>
      <c r="D21" s="67"/>
      <c r="E21" s="67"/>
      <c r="F21" s="67"/>
      <c r="G21" s="67"/>
      <c r="H21" s="67"/>
      <c r="I21" s="67"/>
      <c r="J21" s="67"/>
      <c r="K21" s="67"/>
      <c r="L21" s="68"/>
      <c r="M21" s="68"/>
      <c r="N21" s="67"/>
      <c r="O21" s="62"/>
      <c r="P21" s="62"/>
    </row>
    <row r="22" spans="1:16">
      <c r="A22" s="380"/>
      <c r="B22" s="67"/>
      <c r="C22" s="67"/>
      <c r="D22" s="67"/>
      <c r="E22" s="67"/>
      <c r="F22" s="67"/>
      <c r="G22" s="67"/>
      <c r="H22" s="67"/>
      <c r="I22" s="67"/>
      <c r="J22" s="67"/>
      <c r="K22" s="68"/>
      <c r="L22" s="68"/>
      <c r="M22" s="68"/>
      <c r="N22" s="67"/>
      <c r="O22" s="62"/>
      <c r="P22" s="62"/>
    </row>
    <row r="23" spans="1:16">
      <c r="A23" s="380"/>
      <c r="B23" s="67"/>
      <c r="C23" s="67"/>
      <c r="D23" s="67"/>
      <c r="E23" s="67"/>
      <c r="F23" s="67"/>
      <c r="G23" s="67"/>
      <c r="H23" s="67"/>
      <c r="I23" s="67"/>
      <c r="J23" s="67"/>
      <c r="K23" s="68"/>
      <c r="L23" s="68"/>
      <c r="M23" s="68"/>
      <c r="N23" s="67"/>
      <c r="O23" s="62"/>
      <c r="P23" s="62"/>
    </row>
    <row r="24" spans="1:16">
      <c r="A24" s="380"/>
      <c r="B24" s="67"/>
      <c r="C24" s="67"/>
      <c r="D24" s="67"/>
      <c r="E24" s="67"/>
      <c r="F24" s="67"/>
      <c r="G24" s="67"/>
      <c r="H24" s="67"/>
      <c r="I24" s="67"/>
      <c r="J24" s="67"/>
      <c r="K24" s="67"/>
      <c r="L24" s="68"/>
      <c r="M24" s="68"/>
      <c r="N24" s="67"/>
      <c r="O24" s="62"/>
      <c r="P24" s="62"/>
    </row>
    <row r="25" spans="1:16">
      <c r="A25" s="62"/>
      <c r="B25" s="62"/>
      <c r="C25" s="62"/>
      <c r="D25" s="62"/>
      <c r="E25" s="62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</row>
    <row r="26" spans="1:16">
      <c r="A26" s="62"/>
      <c r="B26" s="62"/>
      <c r="C26" s="62"/>
      <c r="D26" s="62"/>
      <c r="E26" s="62"/>
      <c r="F26" s="62"/>
      <c r="G26" s="62"/>
      <c r="H26" s="62"/>
      <c r="I26" s="62"/>
      <c r="J26" s="62"/>
      <c r="K26" s="62"/>
      <c r="L26" s="62"/>
      <c r="M26" s="62"/>
      <c r="N26" s="62"/>
      <c r="O26" s="62"/>
      <c r="P26" s="62"/>
    </row>
    <row r="27" spans="1:16">
      <c r="A27" s="380"/>
      <c r="B27" s="67"/>
      <c r="C27" s="67"/>
      <c r="D27" s="67"/>
      <c r="E27" s="67"/>
      <c r="F27" s="98"/>
      <c r="G27" s="98"/>
      <c r="H27" s="98"/>
      <c r="I27" s="98"/>
      <c r="J27" s="98"/>
      <c r="K27" s="68"/>
      <c r="L27" s="68"/>
      <c r="M27" s="68"/>
      <c r="N27" s="98"/>
      <c r="O27" s="21"/>
      <c r="P27" s="62"/>
    </row>
    <row r="28" spans="1:16">
      <c r="A28" s="380"/>
      <c r="B28" s="67"/>
      <c r="C28" s="67"/>
      <c r="D28" s="67"/>
      <c r="E28" s="67"/>
      <c r="F28" s="67"/>
      <c r="G28" s="67"/>
      <c r="H28" s="67"/>
      <c r="I28" s="67"/>
      <c r="J28" s="67"/>
      <c r="K28" s="68"/>
      <c r="L28" s="68"/>
      <c r="M28" s="68"/>
      <c r="N28" s="67"/>
      <c r="O28" s="21"/>
      <c r="P28" s="62"/>
    </row>
    <row r="29" spans="1:16">
      <c r="A29" s="62"/>
      <c r="B29" s="67"/>
      <c r="C29" s="67"/>
      <c r="D29" s="67"/>
      <c r="E29" s="67"/>
      <c r="F29" s="67"/>
      <c r="G29" s="67"/>
      <c r="H29" s="67"/>
      <c r="I29" s="67"/>
      <c r="J29" s="67"/>
      <c r="K29" s="68"/>
      <c r="L29" s="68"/>
      <c r="M29" s="68"/>
      <c r="N29" s="67"/>
      <c r="O29" s="21"/>
      <c r="P29" s="62"/>
    </row>
    <row r="30" spans="1:16">
      <c r="A30" s="62"/>
      <c r="B30" s="62"/>
      <c r="C30" s="62"/>
      <c r="D30" s="62"/>
      <c r="E30" s="62"/>
      <c r="F30" s="62"/>
      <c r="G30" s="62"/>
      <c r="H30" s="62"/>
      <c r="I30" s="62"/>
      <c r="J30" s="62"/>
      <c r="K30" s="62"/>
      <c r="L30" s="66"/>
      <c r="M30" s="66"/>
      <c r="N30" s="66"/>
      <c r="O30" s="62"/>
      <c r="P30" s="62"/>
    </row>
  </sheetData>
  <mergeCells count="5">
    <mergeCell ref="A12:A13"/>
    <mergeCell ref="A14:A15"/>
    <mergeCell ref="A16:A21"/>
    <mergeCell ref="A22:A24"/>
    <mergeCell ref="A27:A28"/>
  </mergeCells>
  <pageMargins left="0.7" right="0.7" top="0.75" bottom="0.75" header="0.3" footer="0.3"/>
  <pageSetup paperSize="9" orientation="portrait" verticalDpi="0" r:id="rId1"/>
</worksheet>
</file>

<file path=xl/worksheets/sheet156.xml><?xml version="1.0" encoding="utf-8"?>
<worksheet xmlns="http://schemas.openxmlformats.org/spreadsheetml/2006/main" xmlns:r="http://schemas.openxmlformats.org/officeDocument/2006/relationships">
  <dimension ref="A5:U27"/>
  <sheetViews>
    <sheetView workbookViewId="0">
      <selection activeCell="I16" sqref="I16"/>
    </sheetView>
  </sheetViews>
  <sheetFormatPr defaultRowHeight="14.4"/>
  <cols>
    <col min="1" max="1" width="8.88671875" style="1"/>
    <col min="2" max="2" width="23.33203125" style="1" customWidth="1"/>
    <col min="3" max="3" width="8.88671875" style="1"/>
    <col min="4" max="4" width="5.5546875" style="1" customWidth="1"/>
    <col min="5" max="5" width="11.2187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0.399999999999999">
      <c r="A5" s="58" t="s">
        <v>3</v>
      </c>
      <c r="B5" s="58" t="s">
        <v>4</v>
      </c>
      <c r="C5" s="58" t="s">
        <v>5</v>
      </c>
      <c r="D5" s="58" t="s">
        <v>6</v>
      </c>
      <c r="E5" s="58" t="s">
        <v>37</v>
      </c>
      <c r="F5" s="59" t="s">
        <v>7</v>
      </c>
      <c r="G5" s="58" t="s">
        <v>8</v>
      </c>
      <c r="H5" s="58" t="s">
        <v>9</v>
      </c>
      <c r="I5" s="58" t="s">
        <v>10</v>
      </c>
      <c r="J5" s="59" t="s">
        <v>18</v>
      </c>
      <c r="K5" s="59" t="s">
        <v>17</v>
      </c>
      <c r="L5" s="58" t="s">
        <v>11</v>
      </c>
      <c r="M5" s="59" t="s">
        <v>36</v>
      </c>
      <c r="N5" s="58" t="s">
        <v>12</v>
      </c>
      <c r="O5" s="58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128</v>
      </c>
    </row>
    <row r="6" spans="1:21">
      <c r="A6" s="129"/>
      <c r="B6" s="258"/>
      <c r="C6" s="258"/>
      <c r="D6" s="258"/>
      <c r="E6" s="258"/>
      <c r="F6" s="258"/>
      <c r="G6" s="258"/>
      <c r="H6" s="258"/>
      <c r="I6" s="258"/>
      <c r="J6" s="258"/>
      <c r="K6" s="61"/>
      <c r="L6" s="65"/>
      <c r="M6" s="61"/>
      <c r="N6" s="258"/>
      <c r="O6" s="258"/>
      <c r="P6" s="258"/>
    </row>
    <row r="7" spans="1:21">
      <c r="A7" s="62"/>
      <c r="B7" s="62"/>
      <c r="C7" s="62"/>
      <c r="D7" s="62"/>
      <c r="E7" s="62"/>
      <c r="F7" s="62"/>
      <c r="G7" s="62"/>
      <c r="H7" s="62"/>
      <c r="I7" s="62"/>
      <c r="J7" s="62"/>
      <c r="K7" s="62"/>
      <c r="L7" s="66"/>
      <c r="M7" s="66"/>
      <c r="N7" s="66"/>
      <c r="O7" s="62"/>
      <c r="P7" s="62"/>
    </row>
    <row r="8" spans="1:21">
      <c r="A8" s="62"/>
      <c r="B8" s="62"/>
      <c r="C8" s="62"/>
      <c r="D8" s="62"/>
      <c r="E8" s="62"/>
      <c r="F8" s="62"/>
      <c r="G8" s="62"/>
      <c r="H8" s="62"/>
      <c r="I8" s="62"/>
      <c r="J8" s="62"/>
      <c r="K8" s="62"/>
      <c r="L8" s="62"/>
      <c r="M8" s="62"/>
      <c r="N8" s="62"/>
      <c r="O8" s="62"/>
      <c r="P8" s="62"/>
    </row>
    <row r="9" spans="1:21">
      <c r="A9" s="63" t="s">
        <v>2338</v>
      </c>
      <c r="B9" s="42" t="s">
        <v>2339</v>
      </c>
      <c r="C9" s="42" t="s">
        <v>2319</v>
      </c>
      <c r="D9" s="42" t="s">
        <v>16</v>
      </c>
      <c r="E9" s="42" t="s">
        <v>1100</v>
      </c>
      <c r="F9" s="42">
        <v>1034</v>
      </c>
      <c r="G9" s="42"/>
      <c r="H9" s="42">
        <v>1300</v>
      </c>
      <c r="I9" s="42">
        <v>26</v>
      </c>
      <c r="J9" s="42">
        <v>0.5</v>
      </c>
      <c r="K9" s="43">
        <f t="shared" ref="K9" si="0">I9*J9</f>
        <v>13</v>
      </c>
      <c r="L9" s="43">
        <f t="shared" ref="L9" si="1">H9-K9</f>
        <v>1287</v>
      </c>
      <c r="M9" s="43"/>
      <c r="N9" s="43">
        <f t="shared" ref="N9" si="2">L9-M9</f>
        <v>1287</v>
      </c>
      <c r="O9" s="43">
        <f t="shared" ref="O9" si="3">H9/1000*70</f>
        <v>91</v>
      </c>
      <c r="P9" s="42">
        <v>0</v>
      </c>
      <c r="Q9" s="42">
        <v>16.5</v>
      </c>
      <c r="R9" s="42">
        <f t="shared" ref="R9" si="4">L9*Q9</f>
        <v>21235.5</v>
      </c>
    </row>
    <row r="10" spans="1:21">
      <c r="A10" s="63"/>
      <c r="B10" s="67"/>
      <c r="C10" s="67"/>
      <c r="D10" s="67"/>
      <c r="E10" s="67"/>
      <c r="F10" s="67"/>
      <c r="G10" s="67"/>
      <c r="H10" s="67"/>
      <c r="I10" s="67"/>
      <c r="J10" s="67"/>
      <c r="K10" s="67"/>
      <c r="L10" s="68"/>
      <c r="M10" s="68"/>
      <c r="N10" s="67"/>
      <c r="O10" s="62"/>
      <c r="P10" s="62"/>
    </row>
    <row r="11" spans="1:21">
      <c r="A11" s="380"/>
      <c r="B11" s="67"/>
      <c r="C11" s="67"/>
      <c r="D11" s="67"/>
      <c r="E11" s="67"/>
      <c r="F11" s="67"/>
      <c r="G11" s="67"/>
      <c r="H11" s="67"/>
      <c r="I11" s="67"/>
      <c r="J11" s="67"/>
      <c r="K11" s="68"/>
      <c r="L11" s="68"/>
      <c r="M11" s="68"/>
      <c r="N11" s="67"/>
      <c r="O11" s="62"/>
      <c r="P11" s="62"/>
    </row>
    <row r="12" spans="1:21">
      <c r="A12" s="380"/>
      <c r="B12" s="67"/>
      <c r="C12" s="67"/>
      <c r="D12" s="67"/>
      <c r="E12" s="67"/>
      <c r="F12" s="67"/>
      <c r="G12" s="67"/>
      <c r="H12" s="67"/>
      <c r="I12" s="67"/>
      <c r="J12" s="67"/>
      <c r="K12" s="67"/>
      <c r="L12" s="68"/>
      <c r="M12" s="68"/>
      <c r="N12" s="67"/>
      <c r="O12" s="62"/>
      <c r="P12" s="62"/>
    </row>
    <row r="13" spans="1:21">
      <c r="A13" s="380"/>
      <c r="B13" s="67"/>
      <c r="C13" s="67"/>
      <c r="D13" s="67"/>
      <c r="E13" s="67"/>
      <c r="F13" s="67"/>
      <c r="G13" s="67"/>
      <c r="H13" s="67"/>
      <c r="I13" s="67"/>
      <c r="J13" s="67"/>
      <c r="K13" s="68"/>
      <c r="L13" s="68"/>
      <c r="M13" s="68"/>
      <c r="N13" s="67"/>
      <c r="O13" s="62"/>
      <c r="P13" s="62"/>
    </row>
    <row r="14" spans="1:21">
      <c r="A14" s="380"/>
      <c r="B14" s="67"/>
      <c r="C14" s="67"/>
      <c r="D14" s="67"/>
      <c r="E14" s="67"/>
      <c r="F14" s="67"/>
      <c r="G14" s="67"/>
      <c r="H14" s="67"/>
      <c r="I14" s="67"/>
      <c r="J14" s="67"/>
      <c r="K14" s="67"/>
      <c r="L14" s="68"/>
      <c r="M14" s="68"/>
      <c r="N14" s="67"/>
      <c r="O14" s="62"/>
      <c r="P14" s="62"/>
    </row>
    <row r="15" spans="1:21">
      <c r="A15" s="380"/>
      <c r="B15" s="67"/>
      <c r="C15" s="67"/>
      <c r="D15" s="67"/>
      <c r="E15" s="67"/>
      <c r="F15" s="67"/>
      <c r="G15" s="67"/>
      <c r="H15" s="67"/>
      <c r="I15" s="67"/>
      <c r="J15" s="67"/>
      <c r="K15" s="68"/>
      <c r="L15" s="68"/>
      <c r="M15" s="68"/>
      <c r="N15" s="67"/>
      <c r="O15" s="62"/>
      <c r="P15" s="62"/>
    </row>
    <row r="16" spans="1:21">
      <c r="A16" s="380"/>
      <c r="B16" s="67"/>
      <c r="C16" s="67"/>
      <c r="D16" s="67"/>
      <c r="E16" s="67"/>
      <c r="F16" s="67"/>
      <c r="G16" s="67"/>
      <c r="H16" s="67"/>
      <c r="I16" s="67"/>
      <c r="J16" s="67"/>
      <c r="K16" s="68"/>
      <c r="L16" s="68"/>
      <c r="M16" s="68"/>
      <c r="N16" s="67"/>
      <c r="O16" s="62"/>
      <c r="P16" s="62"/>
    </row>
    <row r="17" spans="1:16">
      <c r="A17" s="380"/>
      <c r="B17" s="67"/>
      <c r="C17" s="67"/>
      <c r="D17" s="67"/>
      <c r="E17" s="67"/>
      <c r="F17" s="67"/>
      <c r="G17" s="67"/>
      <c r="H17" s="67"/>
      <c r="I17" s="67"/>
      <c r="J17" s="67"/>
      <c r="K17" s="68"/>
      <c r="L17" s="68"/>
      <c r="M17" s="68"/>
      <c r="N17" s="67"/>
      <c r="O17" s="62"/>
      <c r="P17" s="62"/>
    </row>
    <row r="18" spans="1:16">
      <c r="A18" s="380"/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8"/>
      <c r="M18" s="68"/>
      <c r="N18" s="67"/>
      <c r="O18" s="62"/>
      <c r="P18" s="62"/>
    </row>
    <row r="19" spans="1:16">
      <c r="A19" s="380"/>
      <c r="B19" s="67"/>
      <c r="C19" s="67"/>
      <c r="D19" s="67"/>
      <c r="E19" s="67"/>
      <c r="F19" s="67"/>
      <c r="G19" s="67"/>
      <c r="H19" s="67"/>
      <c r="I19" s="67"/>
      <c r="J19" s="67"/>
      <c r="K19" s="68"/>
      <c r="L19" s="68"/>
      <c r="M19" s="68"/>
      <c r="N19" s="67"/>
      <c r="O19" s="62"/>
      <c r="P19" s="62"/>
    </row>
    <row r="20" spans="1:16">
      <c r="A20" s="380"/>
      <c r="B20" s="67"/>
      <c r="C20" s="67"/>
      <c r="D20" s="67"/>
      <c r="E20" s="67"/>
      <c r="F20" s="67"/>
      <c r="G20" s="67"/>
      <c r="H20" s="67"/>
      <c r="I20" s="67"/>
      <c r="J20" s="67"/>
      <c r="K20" s="68"/>
      <c r="L20" s="68"/>
      <c r="M20" s="68"/>
      <c r="N20" s="67"/>
      <c r="O20" s="62"/>
      <c r="P20" s="62"/>
    </row>
    <row r="21" spans="1:16">
      <c r="A21" s="380"/>
      <c r="B21" s="67"/>
      <c r="C21" s="67"/>
      <c r="D21" s="67"/>
      <c r="E21" s="67"/>
      <c r="F21" s="67"/>
      <c r="G21" s="67"/>
      <c r="H21" s="67"/>
      <c r="I21" s="67"/>
      <c r="J21" s="67"/>
      <c r="K21" s="67"/>
      <c r="L21" s="68"/>
      <c r="M21" s="68"/>
      <c r="N21" s="67"/>
      <c r="O21" s="62"/>
      <c r="P21" s="62"/>
    </row>
    <row r="22" spans="1:16">
      <c r="A22" s="62"/>
      <c r="B22" s="62"/>
      <c r="C22" s="62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</row>
    <row r="23" spans="1:16">
      <c r="A23" s="62"/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</row>
    <row r="24" spans="1:16">
      <c r="A24" s="380"/>
      <c r="B24" s="67"/>
      <c r="C24" s="67"/>
      <c r="D24" s="67"/>
      <c r="E24" s="67"/>
      <c r="F24" s="98"/>
      <c r="G24" s="98"/>
      <c r="H24" s="98"/>
      <c r="I24" s="98"/>
      <c r="J24" s="98"/>
      <c r="K24" s="68"/>
      <c r="L24" s="68"/>
      <c r="M24" s="68"/>
      <c r="N24" s="98"/>
      <c r="O24" s="21"/>
      <c r="P24" s="62"/>
    </row>
    <row r="25" spans="1:16">
      <c r="A25" s="380"/>
      <c r="B25" s="67"/>
      <c r="C25" s="67"/>
      <c r="D25" s="67"/>
      <c r="E25" s="67"/>
      <c r="F25" s="67"/>
      <c r="G25" s="67"/>
      <c r="H25" s="67"/>
      <c r="I25" s="67"/>
      <c r="J25" s="67"/>
      <c r="K25" s="68"/>
      <c r="L25" s="68"/>
      <c r="M25" s="68"/>
      <c r="N25" s="67"/>
      <c r="O25" s="21"/>
      <c r="P25" s="62"/>
    </row>
    <row r="26" spans="1:16">
      <c r="A26" s="62"/>
      <c r="B26" s="67"/>
      <c r="C26" s="67"/>
      <c r="D26" s="67"/>
      <c r="E26" s="67"/>
      <c r="F26" s="67"/>
      <c r="G26" s="67"/>
      <c r="H26" s="67"/>
      <c r="I26" s="67"/>
      <c r="J26" s="67"/>
      <c r="K26" s="68"/>
      <c r="L26" s="68"/>
      <c r="M26" s="68"/>
      <c r="N26" s="67"/>
      <c r="O26" s="21"/>
      <c r="P26" s="62"/>
    </row>
    <row r="27" spans="1:16">
      <c r="A27" s="62"/>
      <c r="B27" s="62"/>
      <c r="C27" s="62"/>
      <c r="D27" s="62"/>
      <c r="E27" s="62"/>
      <c r="F27" s="62"/>
      <c r="G27" s="62"/>
      <c r="H27" s="62"/>
      <c r="I27" s="62"/>
      <c r="J27" s="62"/>
      <c r="K27" s="62"/>
      <c r="L27" s="66"/>
      <c r="M27" s="66"/>
      <c r="N27" s="66"/>
      <c r="O27" s="62"/>
      <c r="P27" s="62"/>
    </row>
  </sheetData>
  <mergeCells count="4">
    <mergeCell ref="A11:A12"/>
    <mergeCell ref="A13:A18"/>
    <mergeCell ref="A19:A21"/>
    <mergeCell ref="A24:A25"/>
  </mergeCells>
  <pageMargins left="0.7" right="0.7" top="0.75" bottom="0.75" header="0.3" footer="0.3"/>
  <pageSetup paperSize="9" orientation="portrait" verticalDpi="0" r:id="rId1"/>
</worksheet>
</file>

<file path=xl/worksheets/sheet157.xml><?xml version="1.0" encoding="utf-8"?>
<worksheet xmlns="http://schemas.openxmlformats.org/spreadsheetml/2006/main" xmlns:r="http://schemas.openxmlformats.org/officeDocument/2006/relationships">
  <dimension ref="A5:U31"/>
  <sheetViews>
    <sheetView topLeftCell="A13" workbookViewId="0">
      <selection activeCell="A32" sqref="A32"/>
    </sheetView>
  </sheetViews>
  <sheetFormatPr defaultRowHeight="14.4"/>
  <cols>
    <col min="1" max="1" width="8.88671875" style="1"/>
    <col min="2" max="2" width="23.33203125" style="1" customWidth="1"/>
    <col min="3" max="3" width="8.88671875" style="1"/>
    <col min="4" max="4" width="5.5546875" style="1" customWidth="1"/>
    <col min="5" max="5" width="11.2187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0.399999999999999">
      <c r="A5" s="58" t="s">
        <v>3</v>
      </c>
      <c r="B5" s="58" t="s">
        <v>4</v>
      </c>
      <c r="C5" s="58" t="s">
        <v>5</v>
      </c>
      <c r="D5" s="58" t="s">
        <v>6</v>
      </c>
      <c r="E5" s="58" t="s">
        <v>37</v>
      </c>
      <c r="F5" s="59" t="s">
        <v>7</v>
      </c>
      <c r="G5" s="58" t="s">
        <v>8</v>
      </c>
      <c r="H5" s="58" t="s">
        <v>9</v>
      </c>
      <c r="I5" s="58" t="s">
        <v>10</v>
      </c>
      <c r="J5" s="59" t="s">
        <v>18</v>
      </c>
      <c r="K5" s="59" t="s">
        <v>17</v>
      </c>
      <c r="L5" s="58" t="s">
        <v>11</v>
      </c>
      <c r="M5" s="59" t="s">
        <v>36</v>
      </c>
      <c r="N5" s="58" t="s">
        <v>12</v>
      </c>
      <c r="O5" s="58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128</v>
      </c>
    </row>
    <row r="6" spans="1:21">
      <c r="A6" s="129"/>
      <c r="B6" s="265"/>
      <c r="C6" s="265"/>
      <c r="D6" s="265"/>
      <c r="E6" s="265"/>
      <c r="F6" s="265"/>
      <c r="G6" s="265"/>
      <c r="H6" s="265"/>
      <c r="I6" s="265"/>
      <c r="J6" s="265"/>
      <c r="K6" s="61"/>
      <c r="L6" s="65"/>
      <c r="M6" s="61"/>
      <c r="N6" s="265"/>
      <c r="O6" s="265"/>
      <c r="P6" s="265"/>
    </row>
    <row r="7" spans="1:21">
      <c r="A7" s="62"/>
      <c r="B7" s="62"/>
      <c r="C7" s="62"/>
      <c r="D7" s="62"/>
      <c r="E7" s="62"/>
      <c r="F7" s="62"/>
      <c r="G7" s="62"/>
      <c r="H7" s="62"/>
      <c r="I7" s="62"/>
      <c r="J7" s="62"/>
      <c r="K7" s="62"/>
      <c r="L7" s="66"/>
      <c r="M7" s="66"/>
      <c r="N7" s="66"/>
      <c r="O7" s="62"/>
      <c r="P7" s="62"/>
    </row>
    <row r="8" spans="1:21">
      <c r="A8" s="62"/>
      <c r="B8" s="62"/>
      <c r="C8" s="62"/>
      <c r="D8" s="62"/>
      <c r="E8" s="62"/>
      <c r="F8" s="62"/>
      <c r="G8" s="62"/>
      <c r="H8" s="62"/>
      <c r="I8" s="62"/>
      <c r="J8" s="62"/>
      <c r="K8" s="62"/>
      <c r="L8" s="62"/>
      <c r="M8" s="62"/>
      <c r="N8" s="62"/>
      <c r="O8" s="62"/>
      <c r="P8" s="62"/>
    </row>
    <row r="9" spans="1:21">
      <c r="A9" s="63" t="s">
        <v>2468</v>
      </c>
      <c r="B9" s="42" t="s">
        <v>2361</v>
      </c>
      <c r="C9" s="42" t="s">
        <v>1377</v>
      </c>
      <c r="D9" s="42" t="s">
        <v>16</v>
      </c>
      <c r="E9" s="42" t="s">
        <v>2383</v>
      </c>
      <c r="F9" s="42">
        <v>816</v>
      </c>
      <c r="G9" s="42"/>
      <c r="H9" s="42">
        <v>19170</v>
      </c>
      <c r="I9" s="42">
        <v>350</v>
      </c>
      <c r="J9" s="42">
        <v>0.75</v>
      </c>
      <c r="K9" s="43">
        <f t="shared" ref="K9" si="0">I9*J9</f>
        <v>262.5</v>
      </c>
      <c r="L9" s="43">
        <f t="shared" ref="L9" si="1">H9-K9</f>
        <v>18907.5</v>
      </c>
      <c r="M9" s="43"/>
      <c r="N9" s="43">
        <f t="shared" ref="N9" si="2">L9-M9</f>
        <v>18907.5</v>
      </c>
      <c r="O9" s="43">
        <f t="shared" ref="O9" si="3">H9/1000*70</f>
        <v>1341.9</v>
      </c>
      <c r="P9" s="42">
        <v>24000</v>
      </c>
      <c r="Q9" s="42">
        <v>16.600000000000001</v>
      </c>
      <c r="R9" s="42">
        <f t="shared" ref="R9" si="4">L9*Q9</f>
        <v>313864.5</v>
      </c>
    </row>
    <row r="10" spans="1:21">
      <c r="A10" s="63"/>
      <c r="B10" s="67"/>
      <c r="C10" s="67"/>
      <c r="D10" s="67"/>
      <c r="E10" s="67"/>
      <c r="F10" s="67"/>
      <c r="G10" s="67"/>
      <c r="H10" s="67"/>
      <c r="I10" s="67"/>
      <c r="J10" s="67"/>
      <c r="K10" s="67"/>
      <c r="L10" s="68"/>
      <c r="M10" s="68"/>
      <c r="N10" s="67"/>
      <c r="O10" s="62"/>
      <c r="P10" s="62"/>
    </row>
    <row r="11" spans="1:21">
      <c r="A11" s="63" t="s">
        <v>2587</v>
      </c>
      <c r="B11" s="42" t="s">
        <v>2361</v>
      </c>
      <c r="C11" s="42" t="s">
        <v>1377</v>
      </c>
      <c r="D11" s="42" t="s">
        <v>16</v>
      </c>
      <c r="E11" s="42" t="s">
        <v>2584</v>
      </c>
      <c r="F11" s="42">
        <v>925</v>
      </c>
      <c r="G11" s="42"/>
      <c r="H11" s="42">
        <v>14240</v>
      </c>
      <c r="I11" s="42">
        <v>260</v>
      </c>
      <c r="J11" s="42">
        <v>0.75</v>
      </c>
      <c r="K11" s="43">
        <f t="shared" ref="K11" si="5">I11*J11</f>
        <v>195</v>
      </c>
      <c r="L11" s="43">
        <f t="shared" ref="L11" si="6">H11-K11</f>
        <v>14045</v>
      </c>
      <c r="M11" s="43"/>
      <c r="N11" s="43">
        <f t="shared" ref="N11" si="7">L11-M11</f>
        <v>14045</v>
      </c>
      <c r="O11" s="43">
        <f t="shared" ref="O11" si="8">H11/1000*70</f>
        <v>996.80000000000007</v>
      </c>
      <c r="P11" s="42">
        <v>16900</v>
      </c>
      <c r="Q11" s="42">
        <v>15.7</v>
      </c>
      <c r="R11" s="42">
        <f t="shared" ref="R11" si="9">L11*Q11</f>
        <v>220506.5</v>
      </c>
    </row>
    <row r="12" spans="1:21">
      <c r="A12" s="63"/>
      <c r="B12" s="67"/>
      <c r="C12" s="67"/>
      <c r="D12" s="67"/>
      <c r="E12" s="67"/>
      <c r="F12" s="67"/>
      <c r="G12" s="67"/>
      <c r="H12" s="67"/>
      <c r="I12" s="67"/>
      <c r="J12" s="67"/>
      <c r="K12" s="67"/>
      <c r="L12" s="68"/>
      <c r="M12" s="68"/>
      <c r="N12" s="67"/>
      <c r="O12" s="62"/>
      <c r="P12" s="62"/>
    </row>
    <row r="13" spans="1:21">
      <c r="A13" s="63" t="s">
        <v>2600</v>
      </c>
      <c r="B13" s="42" t="s">
        <v>2361</v>
      </c>
      <c r="C13" s="42" t="s">
        <v>1377</v>
      </c>
      <c r="D13" s="42" t="s">
        <v>16</v>
      </c>
      <c r="E13" s="42" t="s">
        <v>2383</v>
      </c>
      <c r="F13" s="42">
        <v>960</v>
      </c>
      <c r="G13" s="42"/>
      <c r="H13" s="42">
        <v>19150</v>
      </c>
      <c r="I13" s="42">
        <f>H13/50</f>
        <v>383</v>
      </c>
      <c r="J13" s="42">
        <v>0.75</v>
      </c>
      <c r="K13" s="43">
        <f t="shared" ref="K13" si="10">I13*J13</f>
        <v>287.25</v>
      </c>
      <c r="L13" s="43">
        <f t="shared" ref="L13" si="11">H13-K13</f>
        <v>18862.75</v>
      </c>
      <c r="M13" s="43"/>
      <c r="N13" s="43">
        <f t="shared" ref="N13" si="12">L13-M13</f>
        <v>18862.75</v>
      </c>
      <c r="O13" s="43">
        <f t="shared" ref="O13" si="13">H13/1000*70</f>
        <v>1340.5</v>
      </c>
      <c r="P13" s="42">
        <v>22750</v>
      </c>
      <c r="Q13" s="42">
        <v>15.7</v>
      </c>
      <c r="R13" s="42">
        <f t="shared" ref="R13" si="14">L13*Q13</f>
        <v>296145.17499999999</v>
      </c>
    </row>
    <row r="14" spans="1:21">
      <c r="A14" s="63"/>
      <c r="B14" s="67"/>
      <c r="C14" s="67"/>
      <c r="D14" s="67"/>
      <c r="E14" s="67"/>
      <c r="F14" s="67"/>
      <c r="G14" s="67"/>
      <c r="H14" s="67"/>
      <c r="I14" s="67"/>
      <c r="J14" s="67"/>
      <c r="K14" s="67"/>
      <c r="L14" s="68"/>
      <c r="M14" s="68"/>
      <c r="N14" s="67"/>
      <c r="O14" s="62"/>
      <c r="P14" s="62"/>
    </row>
    <row r="15" spans="1:21">
      <c r="A15" s="63" t="s">
        <v>2721</v>
      </c>
      <c r="B15" s="284" t="s">
        <v>2361</v>
      </c>
      <c r="C15" s="284" t="s">
        <v>1377</v>
      </c>
      <c r="D15" s="42" t="s">
        <v>16</v>
      </c>
      <c r="E15" s="284" t="s">
        <v>2724</v>
      </c>
      <c r="F15" s="284">
        <v>16</v>
      </c>
      <c r="G15" s="284"/>
      <c r="H15" s="284">
        <v>19530</v>
      </c>
      <c r="I15" s="284">
        <v>355</v>
      </c>
      <c r="J15" s="284">
        <v>0.75</v>
      </c>
      <c r="K15" s="43">
        <f t="shared" ref="K15" si="15">I15*J15</f>
        <v>266.25</v>
      </c>
      <c r="L15" s="43">
        <f t="shared" ref="L15" si="16">H15-K15</f>
        <v>19263.75</v>
      </c>
      <c r="M15" s="43"/>
      <c r="N15" s="43">
        <f t="shared" ref="N15" si="17">L15-M15</f>
        <v>19263.75</v>
      </c>
      <c r="O15" s="43">
        <f t="shared" ref="O15" si="18">H15/1000*70</f>
        <v>1367.1000000000001</v>
      </c>
      <c r="P15" s="42">
        <v>23500</v>
      </c>
      <c r="Q15" s="42">
        <v>15.5</v>
      </c>
      <c r="R15" s="42">
        <f t="shared" ref="R15" si="19">L15*Q15</f>
        <v>298588.125</v>
      </c>
    </row>
    <row r="16" spans="1:21">
      <c r="A16" s="63"/>
      <c r="B16" s="67"/>
      <c r="C16" s="67"/>
      <c r="D16" s="67"/>
      <c r="E16" s="67"/>
      <c r="F16" s="67"/>
      <c r="G16" s="67"/>
      <c r="H16" s="67"/>
      <c r="I16" s="67"/>
      <c r="J16" s="67"/>
      <c r="K16" s="68"/>
      <c r="L16" s="68"/>
      <c r="M16" s="68"/>
      <c r="N16" s="67"/>
      <c r="O16" s="62"/>
      <c r="P16" s="62"/>
    </row>
    <row r="17" spans="1:19">
      <c r="A17" s="63" t="s">
        <v>2832</v>
      </c>
      <c r="B17" s="42" t="s">
        <v>2361</v>
      </c>
      <c r="C17" s="42" t="s">
        <v>1377</v>
      </c>
      <c r="D17" s="42" t="s">
        <v>16</v>
      </c>
      <c r="E17" s="42" t="s">
        <v>2835</v>
      </c>
      <c r="F17" s="42">
        <v>85</v>
      </c>
      <c r="G17" s="42"/>
      <c r="H17" s="42">
        <v>19310</v>
      </c>
      <c r="I17" s="42">
        <v>355</v>
      </c>
      <c r="J17" s="42">
        <v>0.75</v>
      </c>
      <c r="K17" s="43">
        <f t="shared" ref="K17" si="20">I17*J17</f>
        <v>266.25</v>
      </c>
      <c r="L17" s="43">
        <f t="shared" ref="L17" si="21">H17-K17</f>
        <v>19043.75</v>
      </c>
      <c r="M17" s="43"/>
      <c r="N17" s="43">
        <f t="shared" ref="N17" si="22">L17-M17</f>
        <v>19043.75</v>
      </c>
      <c r="O17" s="43">
        <f t="shared" ref="O17" si="23">H17/1000*70</f>
        <v>1351.6999999999998</v>
      </c>
      <c r="P17" s="42">
        <v>24000</v>
      </c>
      <c r="Q17" s="42">
        <v>15.5</v>
      </c>
      <c r="R17" s="42">
        <f t="shared" ref="R17" si="24">L17*Q17</f>
        <v>295178.125</v>
      </c>
    </row>
    <row r="18" spans="1:19">
      <c r="A18" s="63"/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8"/>
      <c r="M18" s="68"/>
      <c r="N18" s="67"/>
      <c r="O18" s="62"/>
      <c r="P18" s="62"/>
    </row>
    <row r="19" spans="1:19">
      <c r="A19" s="63" t="s">
        <v>2867</v>
      </c>
      <c r="B19" s="42" t="s">
        <v>2870</v>
      </c>
      <c r="C19" s="42" t="s">
        <v>1377</v>
      </c>
      <c r="D19" s="42" t="s">
        <v>16</v>
      </c>
      <c r="E19" s="42" t="s">
        <v>2871</v>
      </c>
      <c r="F19" s="42">
        <v>116</v>
      </c>
      <c r="G19" s="42"/>
      <c r="H19" s="42">
        <v>18120</v>
      </c>
      <c r="I19" s="42">
        <v>335</v>
      </c>
      <c r="J19" s="42">
        <v>0.75</v>
      </c>
      <c r="K19" s="43">
        <f t="shared" ref="K19" si="25">I19*J19</f>
        <v>251.25</v>
      </c>
      <c r="L19" s="43">
        <f t="shared" ref="L19" si="26">H19-K19</f>
        <v>17868.75</v>
      </c>
      <c r="M19" s="43"/>
      <c r="N19" s="43">
        <f t="shared" ref="N19" si="27">L19-M19</f>
        <v>17868.75</v>
      </c>
      <c r="O19" s="43">
        <f t="shared" ref="O19" si="28">H19/1000*70</f>
        <v>1268.4000000000001</v>
      </c>
      <c r="P19" s="42">
        <v>17800</v>
      </c>
      <c r="Q19" s="42">
        <v>15.5</v>
      </c>
      <c r="R19" s="42">
        <f t="shared" ref="R19" si="29">L19*Q19</f>
        <v>276965.625</v>
      </c>
    </row>
    <row r="20" spans="1:19">
      <c r="A20" s="63"/>
      <c r="B20" s="67"/>
      <c r="C20" s="67"/>
      <c r="D20" s="67"/>
      <c r="E20" s="67"/>
      <c r="F20" s="67"/>
      <c r="G20" s="67"/>
      <c r="H20" s="67"/>
      <c r="I20" s="67"/>
      <c r="J20" s="67"/>
      <c r="K20" s="68"/>
      <c r="L20" s="68"/>
      <c r="M20" s="68"/>
      <c r="N20" s="67"/>
      <c r="O20" s="62"/>
      <c r="P20" s="62"/>
    </row>
    <row r="21" spans="1:19">
      <c r="A21" s="63" t="s">
        <v>2901</v>
      </c>
      <c r="B21" s="42" t="s">
        <v>2897</v>
      </c>
      <c r="C21" s="42" t="s">
        <v>1377</v>
      </c>
      <c r="D21" s="42" t="s">
        <v>16</v>
      </c>
      <c r="E21" s="42" t="s">
        <v>2383</v>
      </c>
      <c r="F21" s="42">
        <v>0</v>
      </c>
      <c r="G21" s="42"/>
      <c r="H21" s="42">
        <v>19660</v>
      </c>
      <c r="I21" s="42">
        <v>360</v>
      </c>
      <c r="J21" s="42">
        <v>0.75</v>
      </c>
      <c r="K21" s="43">
        <f t="shared" ref="K21" si="30">I21*J21</f>
        <v>270</v>
      </c>
      <c r="L21" s="43">
        <f t="shared" ref="L21" si="31">H21-K21</f>
        <v>19390</v>
      </c>
      <c r="M21" s="43"/>
      <c r="N21" s="43">
        <f t="shared" ref="N21" si="32">L21-M21</f>
        <v>19390</v>
      </c>
      <c r="O21" s="43">
        <f t="shared" ref="O21" si="33">H21/1000*70</f>
        <v>1376.2</v>
      </c>
      <c r="P21" s="42">
        <v>24500</v>
      </c>
      <c r="Q21" s="42">
        <v>15.5</v>
      </c>
      <c r="R21" s="42">
        <f t="shared" ref="R21" si="34">L21*Q21</f>
        <v>300545</v>
      </c>
    </row>
    <row r="22" spans="1:19">
      <c r="A22" s="62"/>
      <c r="B22" s="62"/>
      <c r="C22" s="62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</row>
    <row r="23" spans="1:19">
      <c r="A23" s="62" t="s">
        <v>2918</v>
      </c>
      <c r="B23" s="42" t="s">
        <v>2897</v>
      </c>
      <c r="C23" s="42" t="s">
        <v>1377</v>
      </c>
      <c r="D23" s="42" t="s">
        <v>16</v>
      </c>
      <c r="E23" s="42" t="s">
        <v>2924</v>
      </c>
      <c r="F23" s="42">
        <v>256</v>
      </c>
      <c r="G23" s="42"/>
      <c r="H23" s="42">
        <v>17480</v>
      </c>
      <c r="I23" s="42">
        <v>320</v>
      </c>
      <c r="J23" s="42">
        <v>0.75</v>
      </c>
      <c r="K23" s="43">
        <f t="shared" ref="K23" si="35">I23*J23</f>
        <v>240</v>
      </c>
      <c r="L23" s="43">
        <f t="shared" ref="L23" si="36">H23-K23</f>
        <v>17240</v>
      </c>
      <c r="M23" s="43"/>
      <c r="N23" s="43">
        <f t="shared" ref="N23" si="37">L23-M23</f>
        <v>17240</v>
      </c>
      <c r="O23" s="43">
        <f t="shared" ref="O23" si="38">H23/1000*70</f>
        <v>1223.6000000000001</v>
      </c>
      <c r="P23" s="42">
        <v>22500</v>
      </c>
      <c r="Q23" s="42">
        <v>15.5</v>
      </c>
      <c r="R23" s="42">
        <f t="shared" ref="R23" si="39">L23*Q23</f>
        <v>267220</v>
      </c>
    </row>
    <row r="24" spans="1:19">
      <c r="A24" s="63"/>
      <c r="B24" s="67"/>
      <c r="C24" s="67"/>
      <c r="D24" s="67"/>
      <c r="E24" s="67"/>
      <c r="F24" s="98"/>
      <c r="G24" s="98"/>
      <c r="H24" s="98"/>
      <c r="I24" s="98"/>
      <c r="J24" s="98"/>
      <c r="K24" s="68"/>
      <c r="L24" s="68"/>
      <c r="M24" s="68"/>
      <c r="N24" s="98"/>
      <c r="O24" s="21"/>
      <c r="P24" s="62"/>
    </row>
    <row r="25" spans="1:19">
      <c r="A25" s="63" t="s">
        <v>2946</v>
      </c>
      <c r="B25" s="42" t="s">
        <v>2947</v>
      </c>
      <c r="C25" s="42" t="s">
        <v>1377</v>
      </c>
      <c r="D25" s="42" t="s">
        <v>16</v>
      </c>
      <c r="E25" s="42" t="s">
        <v>2948</v>
      </c>
      <c r="F25" s="42">
        <v>1602</v>
      </c>
      <c r="G25" s="42"/>
      <c r="H25" s="42">
        <v>20050</v>
      </c>
      <c r="I25" s="42">
        <v>400</v>
      </c>
      <c r="J25" s="42">
        <v>0.75</v>
      </c>
      <c r="K25" s="43">
        <f t="shared" ref="K25" si="40">I25*J25</f>
        <v>300</v>
      </c>
      <c r="L25" s="43">
        <f t="shared" ref="L25" si="41">H25-K25</f>
        <v>19750</v>
      </c>
      <c r="M25" s="43"/>
      <c r="N25" s="43">
        <f t="shared" ref="N25" si="42">L25-M25</f>
        <v>19750</v>
      </c>
      <c r="O25" s="43">
        <f t="shared" ref="O25" si="43">H25/1000*70</f>
        <v>1403.5</v>
      </c>
      <c r="P25" s="42">
        <v>12000</v>
      </c>
      <c r="Q25" s="42">
        <v>15.5</v>
      </c>
      <c r="R25" s="42">
        <f t="shared" ref="R25" si="44">L25*Q25</f>
        <v>306125</v>
      </c>
    </row>
    <row r="26" spans="1:19">
      <c r="A26" s="62"/>
      <c r="B26" s="67"/>
      <c r="C26" s="67"/>
      <c r="D26" s="67"/>
      <c r="E26" s="67"/>
      <c r="F26" s="67"/>
      <c r="G26" s="67"/>
      <c r="H26" s="67"/>
      <c r="I26" s="67"/>
      <c r="J26" s="67"/>
      <c r="K26" s="68"/>
      <c r="L26" s="68"/>
      <c r="M26" s="68"/>
      <c r="N26" s="67"/>
      <c r="O26" s="21"/>
      <c r="P26" s="62"/>
    </row>
    <row r="27" spans="1:19">
      <c r="A27" s="62" t="s">
        <v>2960</v>
      </c>
      <c r="B27" s="42" t="s">
        <v>2870</v>
      </c>
      <c r="C27" s="42" t="s">
        <v>1377</v>
      </c>
      <c r="D27" s="42" t="s">
        <v>16</v>
      </c>
      <c r="E27" s="42" t="s">
        <v>2963</v>
      </c>
      <c r="F27" s="42">
        <v>32</v>
      </c>
      <c r="G27" s="42"/>
      <c r="H27" s="42">
        <v>15210</v>
      </c>
      <c r="I27" s="42">
        <v>280</v>
      </c>
      <c r="J27" s="42">
        <v>0.75</v>
      </c>
      <c r="K27" s="43">
        <f t="shared" ref="K27" si="45">I27*J27</f>
        <v>210</v>
      </c>
      <c r="L27" s="43">
        <f t="shared" ref="L27" si="46">H27-K27</f>
        <v>15000</v>
      </c>
      <c r="M27" s="43"/>
      <c r="N27" s="43">
        <f t="shared" ref="N27" si="47">L27-M27</f>
        <v>15000</v>
      </c>
      <c r="O27" s="43">
        <f t="shared" ref="O27" si="48">H27/1000*70</f>
        <v>1064.7</v>
      </c>
      <c r="P27" s="42">
        <v>20000</v>
      </c>
      <c r="Q27" s="42">
        <v>15.5</v>
      </c>
      <c r="R27" s="42">
        <f t="shared" ref="R27" si="49">L27*Q27</f>
        <v>232500</v>
      </c>
    </row>
    <row r="29" spans="1:19">
      <c r="A29" s="1" t="s">
        <v>3036</v>
      </c>
      <c r="B29" s="42" t="s">
        <v>2361</v>
      </c>
      <c r="C29" s="42" t="s">
        <v>1377</v>
      </c>
      <c r="D29" s="42" t="s">
        <v>16</v>
      </c>
      <c r="E29" s="42" t="s">
        <v>3038</v>
      </c>
      <c r="F29" s="42">
        <v>37</v>
      </c>
      <c r="G29" s="42"/>
      <c r="H29" s="42">
        <v>16530</v>
      </c>
      <c r="I29" s="42">
        <v>302</v>
      </c>
      <c r="J29" s="42">
        <v>0.75</v>
      </c>
      <c r="K29" s="43">
        <f t="shared" ref="K29" si="50">I29*J29</f>
        <v>226.5</v>
      </c>
      <c r="L29" s="43">
        <f t="shared" ref="L29" si="51">H29-K29</f>
        <v>16303.5</v>
      </c>
      <c r="M29" s="43"/>
      <c r="N29" s="43">
        <f t="shared" ref="N29" si="52">L29-M29</f>
        <v>16303.5</v>
      </c>
      <c r="O29" s="43">
        <f t="shared" ref="O29" si="53">H29/1000*70</f>
        <v>1157.1000000000001</v>
      </c>
      <c r="P29" s="42">
        <v>20500</v>
      </c>
      <c r="Q29" s="42"/>
      <c r="R29" s="42">
        <f t="shared" ref="R29" si="54">L29*Q29</f>
        <v>0</v>
      </c>
    </row>
    <row r="31" spans="1:19">
      <c r="A31" s="1" t="s">
        <v>3229</v>
      </c>
      <c r="B31" s="42" t="s">
        <v>3232</v>
      </c>
      <c r="C31" s="42" t="s">
        <v>1377</v>
      </c>
      <c r="D31" s="42" t="s">
        <v>16</v>
      </c>
      <c r="E31" s="42" t="s">
        <v>1799</v>
      </c>
      <c r="F31" s="42">
        <v>451</v>
      </c>
      <c r="G31" s="42"/>
      <c r="H31" s="42">
        <v>15690</v>
      </c>
      <c r="I31" s="42">
        <v>280</v>
      </c>
      <c r="J31" s="42"/>
      <c r="K31" s="43">
        <v>143</v>
      </c>
      <c r="L31" s="43">
        <f t="shared" ref="L31" si="55">H31-K31</f>
        <v>15547</v>
      </c>
      <c r="M31" s="43"/>
      <c r="N31" s="43">
        <f t="shared" ref="N31" si="56">L31-M31</f>
        <v>15547</v>
      </c>
      <c r="O31" s="43">
        <f t="shared" ref="O31" si="57">H31/1000*70</f>
        <v>1098.3</v>
      </c>
      <c r="P31" s="42">
        <v>15000</v>
      </c>
      <c r="Q31" s="42">
        <v>17.5</v>
      </c>
      <c r="R31" s="42">
        <f t="shared" ref="R31" si="58">L31*Q31</f>
        <v>272072.5</v>
      </c>
      <c r="S31" s="42"/>
    </row>
  </sheetData>
  <pageMargins left="0.7" right="0.7" top="0.75" bottom="0.75" header="0.3" footer="0.3"/>
  <pageSetup paperSize="9" orientation="portrait" verticalDpi="0" r:id="rId1"/>
</worksheet>
</file>

<file path=xl/worksheets/sheet158.xml><?xml version="1.0" encoding="utf-8"?>
<worksheet xmlns="http://schemas.openxmlformats.org/spreadsheetml/2006/main" xmlns:r="http://schemas.openxmlformats.org/officeDocument/2006/relationships">
  <dimension ref="A5:U20"/>
  <sheetViews>
    <sheetView workbookViewId="0">
      <selection activeCell="B11" sqref="B11"/>
    </sheetView>
  </sheetViews>
  <sheetFormatPr defaultRowHeight="14.4"/>
  <cols>
    <col min="1" max="1" width="8.88671875" style="1"/>
    <col min="2" max="2" width="21.44140625" style="1" customWidth="1"/>
    <col min="3" max="3" width="12.6640625" style="1" customWidth="1"/>
    <col min="4" max="4" width="5.5546875" style="1" customWidth="1"/>
    <col min="5" max="5" width="11.2187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128</v>
      </c>
    </row>
    <row r="6" spans="1:21">
      <c r="A6" s="32" t="s">
        <v>284</v>
      </c>
      <c r="B6" s="2" t="s">
        <v>286</v>
      </c>
      <c r="C6" s="2" t="s">
        <v>287</v>
      </c>
      <c r="D6" s="2" t="s">
        <v>16</v>
      </c>
      <c r="E6" s="2" t="s">
        <v>288</v>
      </c>
      <c r="F6" s="2">
        <v>732</v>
      </c>
      <c r="G6" s="2"/>
      <c r="H6" s="2">
        <v>20000</v>
      </c>
      <c r="I6" s="2">
        <v>400</v>
      </c>
      <c r="J6" s="2">
        <v>0.13</v>
      </c>
      <c r="K6" s="5">
        <f t="shared" ref="K6" si="0">I6*J6</f>
        <v>52</v>
      </c>
      <c r="L6" s="19">
        <f t="shared" ref="L6" si="1">H6-K6</f>
        <v>19948</v>
      </c>
      <c r="M6" s="5">
        <f t="shared" ref="M6" si="2">H6/1000*70</f>
        <v>1400</v>
      </c>
      <c r="N6" s="2">
        <v>20000</v>
      </c>
      <c r="O6" s="2">
        <v>6.2</v>
      </c>
      <c r="P6" s="2">
        <f t="shared" ref="P6" si="3">L6*O6</f>
        <v>123677.6</v>
      </c>
    </row>
    <row r="7" spans="1:21">
      <c r="A7" s="38"/>
      <c r="B7" s="2"/>
      <c r="C7" s="2"/>
      <c r="D7" s="2"/>
      <c r="E7" s="2"/>
      <c r="F7" s="2"/>
      <c r="G7" s="2"/>
      <c r="H7" s="2"/>
      <c r="I7" s="2"/>
      <c r="J7" s="2"/>
      <c r="K7" s="5"/>
      <c r="L7" s="19"/>
      <c r="M7" s="5"/>
      <c r="N7" s="2"/>
      <c r="O7" s="2"/>
      <c r="P7" s="2"/>
    </row>
    <row r="8" spans="1:21">
      <c r="A8" s="32" t="s">
        <v>1067</v>
      </c>
      <c r="B8" s="42" t="s">
        <v>1068</v>
      </c>
      <c r="C8" s="42" t="s">
        <v>287</v>
      </c>
      <c r="D8" s="42" t="s">
        <v>16</v>
      </c>
      <c r="E8" s="42" t="s">
        <v>288</v>
      </c>
      <c r="F8" s="42">
        <v>50</v>
      </c>
      <c r="G8" s="42"/>
      <c r="H8" s="42">
        <v>20000</v>
      </c>
      <c r="I8" s="42">
        <v>400</v>
      </c>
      <c r="J8" s="42">
        <v>0.13</v>
      </c>
      <c r="K8" s="42">
        <f t="shared" ref="K8" si="4">I8*J8</f>
        <v>52</v>
      </c>
      <c r="L8" s="43">
        <f t="shared" ref="L8" si="5">H8-K8</f>
        <v>19948</v>
      </c>
      <c r="M8" s="43"/>
      <c r="N8" s="43">
        <f t="shared" ref="N8" si="6">L8-M8</f>
        <v>19948</v>
      </c>
      <c r="O8" s="43">
        <f t="shared" ref="O8" si="7">H8/1000*70</f>
        <v>1400</v>
      </c>
      <c r="P8" s="42">
        <v>20000</v>
      </c>
      <c r="Q8" s="42">
        <v>6.25</v>
      </c>
      <c r="R8" s="42">
        <f t="shared" ref="R8" si="8">L8*Q8</f>
        <v>124675</v>
      </c>
    </row>
    <row r="9" spans="1:21">
      <c r="A9" s="34"/>
      <c r="B9" s="2"/>
      <c r="C9" s="2"/>
      <c r="D9" s="2"/>
      <c r="E9" s="2"/>
      <c r="F9" s="2"/>
      <c r="G9" s="2"/>
      <c r="H9" s="2"/>
      <c r="I9" s="2"/>
      <c r="J9" s="2"/>
      <c r="K9" s="5"/>
      <c r="L9" s="19"/>
      <c r="M9" s="5"/>
      <c r="N9" s="2"/>
      <c r="O9" s="2"/>
      <c r="P9" s="2"/>
    </row>
    <row r="10" spans="1:21">
      <c r="A10" s="34"/>
      <c r="B10" s="2"/>
      <c r="C10" s="2"/>
      <c r="D10" s="2"/>
      <c r="E10" s="2"/>
      <c r="F10" s="2"/>
      <c r="G10" s="2"/>
      <c r="H10" s="2"/>
      <c r="I10" s="2"/>
      <c r="J10" s="2"/>
      <c r="K10" s="5"/>
      <c r="L10" s="19"/>
      <c r="M10" s="5"/>
      <c r="N10" s="2"/>
      <c r="O10" s="2"/>
      <c r="P10" s="2"/>
    </row>
    <row r="11" spans="1:21">
      <c r="A11" s="11"/>
      <c r="B11" s="2"/>
      <c r="C11" s="2"/>
      <c r="D11" s="2"/>
      <c r="E11" s="2"/>
      <c r="F11" s="2"/>
      <c r="G11" s="2"/>
      <c r="H11" s="2"/>
      <c r="I11" s="2"/>
      <c r="J11" s="2"/>
      <c r="K11" s="2"/>
      <c r="L11" s="5"/>
      <c r="M11" s="5"/>
      <c r="N11" s="2"/>
    </row>
    <row r="12" spans="1:21">
      <c r="B12" s="2"/>
      <c r="C12" s="2"/>
      <c r="D12" s="2"/>
      <c r="E12" s="2"/>
      <c r="F12" s="2"/>
      <c r="G12" s="2"/>
      <c r="H12" s="2"/>
      <c r="I12" s="2"/>
      <c r="J12" s="2"/>
      <c r="K12" s="2"/>
      <c r="L12" s="5"/>
      <c r="M12" s="5"/>
      <c r="N12" s="2"/>
    </row>
    <row r="13" spans="1:21">
      <c r="B13" s="2"/>
      <c r="C13" s="2"/>
      <c r="D13" s="2"/>
      <c r="E13" s="2"/>
      <c r="F13" s="2"/>
      <c r="G13" s="2"/>
      <c r="H13" s="2"/>
      <c r="I13" s="2"/>
      <c r="J13" s="2"/>
      <c r="K13" s="2"/>
      <c r="L13" s="5"/>
      <c r="M13" s="5"/>
      <c r="N13" s="2"/>
    </row>
    <row r="20" spans="12:12">
      <c r="L20" s="16">
        <f>SUM(L6:L19)</f>
        <v>39896</v>
      </c>
    </row>
  </sheetData>
  <pageMargins left="0.7" right="0.7" top="0.75" bottom="0.75" header="0.3" footer="0.3"/>
  <pageSetup paperSize="9" orientation="portrait" verticalDpi="0" r:id="rId1"/>
</worksheet>
</file>

<file path=xl/worksheets/sheet159.xml><?xml version="1.0" encoding="utf-8"?>
<worksheet xmlns="http://schemas.openxmlformats.org/spreadsheetml/2006/main" xmlns:r="http://schemas.openxmlformats.org/officeDocument/2006/relationships">
  <dimension ref="A5:U20"/>
  <sheetViews>
    <sheetView workbookViewId="0">
      <selection activeCell="H11" sqref="H11"/>
    </sheetView>
  </sheetViews>
  <sheetFormatPr defaultRowHeight="14.4"/>
  <cols>
    <col min="1" max="1" width="8.88671875" style="1"/>
    <col min="2" max="2" width="17.44140625" style="1" customWidth="1"/>
    <col min="3" max="3" width="12.33203125" style="1" customWidth="1"/>
    <col min="4" max="4" width="5.5546875" style="1" customWidth="1"/>
    <col min="5" max="5" width="11.2187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128</v>
      </c>
    </row>
    <row r="6" spans="1:21">
      <c r="A6" s="32" t="s">
        <v>617</v>
      </c>
      <c r="B6" s="42" t="s">
        <v>622</v>
      </c>
      <c r="C6" s="42" t="s">
        <v>287</v>
      </c>
      <c r="D6" s="42" t="s">
        <v>16</v>
      </c>
      <c r="E6" s="42" t="s">
        <v>623</v>
      </c>
      <c r="F6" s="42">
        <v>2019</v>
      </c>
      <c r="G6" s="42"/>
      <c r="H6" s="42">
        <v>1500</v>
      </c>
      <c r="I6" s="42">
        <v>30</v>
      </c>
      <c r="J6" s="42">
        <v>0.13</v>
      </c>
      <c r="K6" s="42">
        <f t="shared" ref="K6" si="0">I6*J6</f>
        <v>3.9000000000000004</v>
      </c>
      <c r="L6" s="43">
        <f t="shared" ref="L6" si="1">H6-K6</f>
        <v>1496.1</v>
      </c>
      <c r="M6" s="43">
        <f t="shared" ref="M6" si="2">H6/1000*70</f>
        <v>105</v>
      </c>
      <c r="N6" s="42">
        <v>0</v>
      </c>
      <c r="O6" s="2">
        <v>6.2</v>
      </c>
      <c r="P6" s="2">
        <f t="shared" ref="P6" si="3">L6*O6</f>
        <v>9275.82</v>
      </c>
    </row>
    <row r="7" spans="1:21">
      <c r="A7" s="38"/>
      <c r="B7" s="2"/>
      <c r="C7" s="2"/>
      <c r="D7" s="2"/>
      <c r="E7" s="2"/>
      <c r="F7" s="2"/>
      <c r="G7" s="2"/>
      <c r="H7" s="2"/>
      <c r="I7" s="2"/>
      <c r="J7" s="2"/>
      <c r="K7" s="5"/>
      <c r="L7" s="19"/>
      <c r="M7" s="5"/>
      <c r="N7" s="2"/>
      <c r="O7" s="2"/>
      <c r="P7" s="2"/>
    </row>
    <row r="8" spans="1:21">
      <c r="A8" s="393"/>
      <c r="B8" s="2"/>
      <c r="C8" s="2"/>
      <c r="D8" s="2"/>
      <c r="E8" s="2"/>
      <c r="F8" s="2"/>
      <c r="G8" s="2"/>
      <c r="H8" s="2"/>
      <c r="I8" s="2"/>
      <c r="J8" s="2"/>
      <c r="K8" s="5"/>
      <c r="L8" s="19"/>
      <c r="M8" s="5"/>
      <c r="N8" s="2"/>
      <c r="O8" s="2"/>
      <c r="P8" s="2"/>
    </row>
    <row r="9" spans="1:21">
      <c r="A9" s="395"/>
      <c r="B9" s="2"/>
      <c r="C9" s="2"/>
      <c r="D9" s="2"/>
      <c r="E9" s="2"/>
      <c r="F9" s="2"/>
      <c r="G9" s="2"/>
      <c r="H9" s="2"/>
      <c r="I9" s="2"/>
      <c r="J9" s="2"/>
      <c r="K9" s="5"/>
      <c r="L9" s="19"/>
      <c r="M9" s="5"/>
      <c r="N9" s="2"/>
      <c r="O9" s="2"/>
      <c r="P9" s="2"/>
    </row>
    <row r="10" spans="1:21">
      <c r="A10" s="395"/>
      <c r="B10" s="2"/>
      <c r="C10" s="2"/>
      <c r="D10" s="2"/>
      <c r="E10" s="2"/>
      <c r="F10" s="2"/>
      <c r="G10" s="2"/>
      <c r="H10" s="2"/>
      <c r="I10" s="2"/>
      <c r="J10" s="2"/>
      <c r="K10" s="5"/>
      <c r="L10" s="19"/>
      <c r="M10" s="5"/>
      <c r="N10" s="2"/>
      <c r="O10" s="2"/>
      <c r="P10" s="2"/>
    </row>
    <row r="11" spans="1:21">
      <c r="A11" s="11"/>
      <c r="B11" s="2"/>
      <c r="C11" s="2"/>
      <c r="D11" s="2"/>
      <c r="E11" s="2"/>
      <c r="F11" s="2"/>
      <c r="G11" s="2"/>
      <c r="H11" s="2"/>
      <c r="I11" s="2"/>
      <c r="J11" s="2"/>
      <c r="K11" s="2"/>
      <c r="L11" s="5"/>
      <c r="M11" s="5"/>
      <c r="N11" s="2"/>
    </row>
    <row r="12" spans="1:21">
      <c r="B12" s="2"/>
      <c r="C12" s="2"/>
      <c r="D12" s="2"/>
      <c r="E12" s="2"/>
      <c r="F12" s="2"/>
      <c r="G12" s="2"/>
      <c r="H12" s="2"/>
      <c r="I12" s="2"/>
      <c r="J12" s="2"/>
      <c r="K12" s="2"/>
      <c r="L12" s="5"/>
      <c r="M12" s="5"/>
      <c r="N12" s="2"/>
    </row>
    <row r="13" spans="1:21">
      <c r="B13" s="2"/>
      <c r="C13" s="2"/>
      <c r="D13" s="2"/>
      <c r="E13" s="2"/>
      <c r="F13" s="2"/>
      <c r="G13" s="2"/>
      <c r="H13" s="2"/>
      <c r="I13" s="2"/>
      <c r="J13" s="2"/>
      <c r="K13" s="2"/>
      <c r="L13" s="5"/>
      <c r="M13" s="5"/>
      <c r="N13" s="2"/>
    </row>
    <row r="20" spans="12:12">
      <c r="L20" s="16">
        <f>SUM(L6:L19)</f>
        <v>1496.1</v>
      </c>
    </row>
  </sheetData>
  <mergeCells count="1">
    <mergeCell ref="A8:A10"/>
  </mergeCells>
  <pageMargins left="0.7" right="0.7" top="0.75" bottom="0.75" header="0.3" footer="0.3"/>
  <pageSetup paperSize="9" orientation="portrait" verticalDpi="0" r:id="rId1"/>
</worksheet>
</file>

<file path=xl/worksheets/sheet160.xml><?xml version="1.0" encoding="utf-8"?>
<worksheet xmlns="http://schemas.openxmlformats.org/spreadsheetml/2006/main" xmlns:r="http://schemas.openxmlformats.org/officeDocument/2006/relationships">
  <dimension ref="A5:U17"/>
  <sheetViews>
    <sheetView workbookViewId="0">
      <selection activeCell="E17" sqref="E17"/>
    </sheetView>
  </sheetViews>
  <sheetFormatPr defaultRowHeight="14.4"/>
  <cols>
    <col min="1" max="1" width="8.88671875" style="1"/>
    <col min="2" max="2" width="17.44140625" style="1" customWidth="1"/>
    <col min="3" max="3" width="12.33203125" style="1" customWidth="1"/>
    <col min="4" max="4" width="5.5546875" style="1" customWidth="1"/>
    <col min="5" max="5" width="11.2187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128</v>
      </c>
    </row>
    <row r="6" spans="1:21">
      <c r="A6" s="32" t="s">
        <v>625</v>
      </c>
      <c r="B6" s="42" t="s">
        <v>636</v>
      </c>
      <c r="C6" s="42" t="s">
        <v>287</v>
      </c>
      <c r="D6" s="42" t="s">
        <v>16</v>
      </c>
      <c r="E6" s="42" t="s">
        <v>637</v>
      </c>
      <c r="F6" s="42">
        <v>24404</v>
      </c>
      <c r="G6" s="42"/>
      <c r="H6" s="42">
        <v>22710</v>
      </c>
      <c r="I6" s="42">
        <v>450</v>
      </c>
      <c r="J6" s="42">
        <v>0.13</v>
      </c>
      <c r="K6" s="42">
        <f t="shared" ref="K6:K7" si="0">I6*J6</f>
        <v>58.5</v>
      </c>
      <c r="L6" s="43">
        <f t="shared" ref="L6:L7" si="1">H6-K6</f>
        <v>22651.5</v>
      </c>
      <c r="M6" s="43">
        <f t="shared" ref="M6:M7" si="2">H6/1000*70</f>
        <v>1589.7</v>
      </c>
      <c r="N6" s="42">
        <v>19000</v>
      </c>
      <c r="O6" s="2"/>
      <c r="P6" s="2"/>
    </row>
    <row r="7" spans="1:21">
      <c r="A7" s="38" t="s">
        <v>665</v>
      </c>
      <c r="B7" s="42" t="s">
        <v>531</v>
      </c>
      <c r="C7" s="42" t="s">
        <v>287</v>
      </c>
      <c r="D7" s="42" t="s">
        <v>16</v>
      </c>
      <c r="E7" s="42" t="s">
        <v>668</v>
      </c>
      <c r="F7" s="42">
        <v>24422</v>
      </c>
      <c r="G7" s="42"/>
      <c r="H7" s="42">
        <v>21220</v>
      </c>
      <c r="I7" s="42">
        <v>423</v>
      </c>
      <c r="J7" s="42">
        <v>0.13</v>
      </c>
      <c r="K7" s="42">
        <f t="shared" si="0"/>
        <v>54.99</v>
      </c>
      <c r="L7" s="43">
        <f t="shared" si="1"/>
        <v>21165.01</v>
      </c>
      <c r="M7" s="43">
        <f t="shared" si="2"/>
        <v>1485.3999999999999</v>
      </c>
      <c r="N7" s="42">
        <v>18000</v>
      </c>
      <c r="O7" s="42"/>
      <c r="P7" s="42">
        <f t="shared" ref="P7" si="3">L7*O7</f>
        <v>0</v>
      </c>
    </row>
    <row r="8" spans="1:21">
      <c r="A8" s="393"/>
      <c r="B8" s="2"/>
      <c r="C8" s="2"/>
      <c r="D8" s="2"/>
      <c r="E8" s="2"/>
      <c r="F8" s="2"/>
      <c r="G8" s="2"/>
      <c r="H8" s="2"/>
      <c r="I8" s="2"/>
      <c r="J8" s="2"/>
      <c r="K8" s="5"/>
      <c r="L8" s="19"/>
      <c r="M8" s="5"/>
      <c r="N8" s="2"/>
      <c r="O8" s="2"/>
      <c r="P8" s="2"/>
    </row>
    <row r="9" spans="1:21">
      <c r="A9" s="395"/>
      <c r="B9" s="2"/>
      <c r="C9" s="2"/>
      <c r="D9" s="2"/>
      <c r="E9" s="2"/>
      <c r="F9" s="2"/>
      <c r="G9" s="2"/>
      <c r="H9" s="2"/>
      <c r="I9" s="2"/>
      <c r="J9" s="2"/>
      <c r="K9" s="5"/>
      <c r="L9" s="19"/>
      <c r="M9" s="5"/>
      <c r="N9" s="2"/>
      <c r="O9" s="2"/>
      <c r="P9" s="2"/>
    </row>
    <row r="10" spans="1:21">
      <c r="A10" s="395"/>
      <c r="B10" s="2"/>
      <c r="C10" s="2"/>
      <c r="D10" s="2"/>
      <c r="E10" s="2"/>
      <c r="F10" s="2"/>
      <c r="G10" s="2"/>
      <c r="H10" s="2"/>
      <c r="I10" s="2"/>
      <c r="J10" s="2"/>
      <c r="K10" s="5"/>
      <c r="L10" s="19"/>
      <c r="M10" s="5"/>
      <c r="N10" s="2"/>
      <c r="O10" s="2"/>
      <c r="P10" s="2"/>
    </row>
    <row r="11" spans="1:21">
      <c r="A11" s="11"/>
      <c r="B11" s="2"/>
      <c r="C11" s="2"/>
      <c r="D11" s="2"/>
      <c r="E11" s="2"/>
      <c r="F11" s="2"/>
      <c r="G11" s="2"/>
      <c r="H11" s="2"/>
      <c r="I11" s="2"/>
      <c r="J11" s="2"/>
      <c r="K11" s="2"/>
      <c r="L11" s="5"/>
      <c r="M11" s="5"/>
      <c r="N11" s="2"/>
    </row>
    <row r="17" spans="12:12">
      <c r="L17" s="16">
        <f>SUM(L6:L16)</f>
        <v>43816.509999999995</v>
      </c>
    </row>
  </sheetData>
  <mergeCells count="1">
    <mergeCell ref="A8:A10"/>
  </mergeCells>
  <pageMargins left="0.7" right="0.7" top="0.75" bottom="0.75" header="0.3" footer="0.3"/>
  <pageSetup paperSize="9" orientation="portrait" verticalDpi="0" r:id="rId1"/>
</worksheet>
</file>

<file path=xl/worksheets/sheet161.xml><?xml version="1.0" encoding="utf-8"?>
<worksheet xmlns="http://schemas.openxmlformats.org/spreadsheetml/2006/main" xmlns:r="http://schemas.openxmlformats.org/officeDocument/2006/relationships">
  <dimension ref="A5:U15"/>
  <sheetViews>
    <sheetView workbookViewId="0">
      <selection activeCell="A9" sqref="A9"/>
    </sheetView>
  </sheetViews>
  <sheetFormatPr defaultRowHeight="14.4"/>
  <cols>
    <col min="1" max="1" width="8.88671875" style="1"/>
    <col min="2" max="2" width="17.44140625" style="1" customWidth="1"/>
    <col min="3" max="3" width="12.33203125" style="1" customWidth="1"/>
    <col min="4" max="4" width="5.5546875" style="1" customWidth="1"/>
    <col min="5" max="5" width="11.2187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128</v>
      </c>
    </row>
    <row r="6" spans="1:21">
      <c r="A6" s="11"/>
      <c r="B6" s="323"/>
      <c r="C6" s="323"/>
      <c r="D6" s="323"/>
      <c r="E6" s="323"/>
      <c r="F6" s="323"/>
      <c r="G6" s="323"/>
      <c r="H6" s="323"/>
      <c r="I6" s="323"/>
      <c r="J6" s="323"/>
      <c r="K6" s="323"/>
      <c r="L6" s="5"/>
      <c r="M6" s="5"/>
      <c r="N6" s="323"/>
    </row>
    <row r="7" spans="1:21">
      <c r="A7" s="386" t="s">
        <v>3876</v>
      </c>
      <c r="B7" s="42" t="s">
        <v>2988</v>
      </c>
      <c r="C7" s="42" t="s">
        <v>287</v>
      </c>
      <c r="D7" s="42" t="s">
        <v>16</v>
      </c>
      <c r="E7" s="47" t="s">
        <v>3877</v>
      </c>
      <c r="F7" s="47">
        <v>4932</v>
      </c>
      <c r="G7" s="47"/>
      <c r="H7" s="47">
        <v>13030</v>
      </c>
      <c r="I7" s="47">
        <v>260</v>
      </c>
      <c r="J7" s="47">
        <v>0.13</v>
      </c>
      <c r="K7" s="43">
        <f t="shared" ref="K7:K8" si="0">I7*J7</f>
        <v>33.800000000000004</v>
      </c>
      <c r="L7" s="43">
        <f t="shared" ref="L7:L8" si="1">H7-K7</f>
        <v>12996.2</v>
      </c>
      <c r="M7" s="43"/>
      <c r="N7" s="43">
        <f t="shared" ref="N7:N8" si="2">L7-M7</f>
        <v>12996.2</v>
      </c>
      <c r="O7" s="43">
        <f t="shared" ref="O7:O8" si="3">H7/1000*70</f>
        <v>912.09999999999991</v>
      </c>
      <c r="P7" s="42">
        <v>18000</v>
      </c>
      <c r="Q7" s="42">
        <v>8.9</v>
      </c>
      <c r="R7" s="42">
        <f t="shared" ref="R7:R8" si="4">L7*Q7</f>
        <v>115666.18000000001</v>
      </c>
    </row>
    <row r="8" spans="1:21">
      <c r="A8" s="374"/>
      <c r="B8" s="42" t="s">
        <v>2988</v>
      </c>
      <c r="C8" s="42" t="s">
        <v>287</v>
      </c>
      <c r="D8" s="42" t="s">
        <v>16</v>
      </c>
      <c r="E8" s="47" t="s">
        <v>3878</v>
      </c>
      <c r="F8" s="47">
        <v>4933</v>
      </c>
      <c r="G8" s="47"/>
      <c r="H8" s="47">
        <v>13030</v>
      </c>
      <c r="I8" s="47">
        <v>260</v>
      </c>
      <c r="J8" s="47">
        <v>0.13</v>
      </c>
      <c r="K8" s="43">
        <f t="shared" si="0"/>
        <v>33.800000000000004</v>
      </c>
      <c r="L8" s="43">
        <f t="shared" si="1"/>
        <v>12996.2</v>
      </c>
      <c r="M8" s="43"/>
      <c r="N8" s="43">
        <f t="shared" si="2"/>
        <v>12996.2</v>
      </c>
      <c r="O8" s="43">
        <f t="shared" si="3"/>
        <v>912.09999999999991</v>
      </c>
      <c r="P8" s="42">
        <v>18000</v>
      </c>
      <c r="Q8" s="42">
        <v>8.9</v>
      </c>
      <c r="R8" s="42">
        <f t="shared" si="4"/>
        <v>115666.18000000001</v>
      </c>
    </row>
    <row r="15" spans="1:21">
      <c r="L15" s="16">
        <f>SUM(L6:L14)</f>
        <v>25992.400000000001</v>
      </c>
    </row>
  </sheetData>
  <mergeCells count="1">
    <mergeCell ref="A7:A8"/>
  </mergeCells>
  <pageMargins left="0.7" right="0.7" top="0.75" bottom="0.75" header="0.3" footer="0.3"/>
  <pageSetup paperSize="9" orientation="portrait" verticalDpi="0" r:id="rId1"/>
</worksheet>
</file>

<file path=xl/worksheets/sheet162.xml><?xml version="1.0" encoding="utf-8"?>
<worksheet xmlns="http://schemas.openxmlformats.org/spreadsheetml/2006/main" xmlns:r="http://schemas.openxmlformats.org/officeDocument/2006/relationships">
  <dimension ref="A5:U20"/>
  <sheetViews>
    <sheetView workbookViewId="0">
      <selection activeCell="B9" sqref="B9"/>
    </sheetView>
  </sheetViews>
  <sheetFormatPr defaultRowHeight="14.4"/>
  <cols>
    <col min="1" max="1" width="8.88671875" style="1"/>
    <col min="2" max="2" width="17.44140625" style="1" customWidth="1"/>
    <col min="3" max="3" width="12.33203125" style="1" customWidth="1"/>
    <col min="4" max="4" width="5.5546875" style="1" customWidth="1"/>
    <col min="5" max="5" width="11.2187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128</v>
      </c>
    </row>
    <row r="6" spans="1:21">
      <c r="A6" s="32" t="s">
        <v>1161</v>
      </c>
      <c r="B6" s="42" t="s">
        <v>1164</v>
      </c>
      <c r="C6" s="42" t="s">
        <v>1165</v>
      </c>
      <c r="D6" s="42" t="s">
        <v>16</v>
      </c>
      <c r="E6" s="42" t="s">
        <v>323</v>
      </c>
      <c r="F6" s="42">
        <v>0</v>
      </c>
      <c r="G6" s="42"/>
      <c r="H6" s="42">
        <v>6940</v>
      </c>
      <c r="I6" s="42">
        <v>140</v>
      </c>
      <c r="J6" s="42">
        <v>0.13</v>
      </c>
      <c r="K6" s="42">
        <f t="shared" ref="K6" si="0">I6*J6</f>
        <v>18.2</v>
      </c>
      <c r="L6" s="43">
        <f t="shared" ref="L6" si="1">H6-K6</f>
        <v>6921.8</v>
      </c>
      <c r="M6" s="43"/>
      <c r="N6" s="43">
        <f t="shared" ref="N6" si="2">L6-M6</f>
        <v>6921.8</v>
      </c>
      <c r="O6" s="43">
        <f t="shared" ref="O6" si="3">H6/1000*70</f>
        <v>485.8</v>
      </c>
      <c r="P6" s="42">
        <v>3000</v>
      </c>
      <c r="Q6" s="42">
        <v>9.8000000000000007</v>
      </c>
      <c r="R6" s="42">
        <f t="shared" ref="R6" si="4">L6*Q6</f>
        <v>67833.640000000014</v>
      </c>
    </row>
    <row r="7" spans="1:21">
      <c r="A7" s="38"/>
      <c r="B7" s="42"/>
      <c r="C7" s="42"/>
      <c r="D7" s="42"/>
      <c r="E7" s="42"/>
      <c r="F7" s="42"/>
      <c r="G7" s="42"/>
      <c r="H7" s="42"/>
      <c r="I7" s="42"/>
      <c r="J7" s="42"/>
      <c r="K7" s="42"/>
      <c r="L7" s="43"/>
      <c r="M7" s="43"/>
      <c r="N7" s="42"/>
      <c r="O7" s="42"/>
      <c r="P7" s="42"/>
    </row>
    <row r="8" spans="1:21">
      <c r="A8" s="393"/>
      <c r="B8" s="2"/>
      <c r="C8" s="2"/>
      <c r="D8" s="2"/>
      <c r="E8" s="2"/>
      <c r="F8" s="2"/>
      <c r="G8" s="2"/>
      <c r="H8" s="2"/>
      <c r="I8" s="2"/>
      <c r="J8" s="2"/>
      <c r="K8" s="5"/>
      <c r="L8" s="19"/>
      <c r="M8" s="5"/>
      <c r="N8" s="2"/>
      <c r="O8" s="2"/>
      <c r="P8" s="2"/>
    </row>
    <row r="9" spans="1:21">
      <c r="A9" s="395"/>
      <c r="B9" s="2"/>
      <c r="C9" s="2"/>
      <c r="D9" s="2"/>
      <c r="E9" s="2"/>
      <c r="F9" s="2"/>
      <c r="G9" s="2"/>
      <c r="H9" s="2"/>
      <c r="I9" s="2"/>
      <c r="J9" s="2"/>
      <c r="K9" s="5"/>
      <c r="L9" s="19"/>
      <c r="M9" s="5"/>
      <c r="N9" s="2"/>
      <c r="O9" s="2"/>
      <c r="P9" s="2"/>
    </row>
    <row r="10" spans="1:21">
      <c r="A10" s="395"/>
      <c r="B10" s="2"/>
      <c r="C10" s="2"/>
      <c r="D10" s="2"/>
      <c r="E10" s="2"/>
      <c r="F10" s="2"/>
      <c r="G10" s="2"/>
      <c r="H10" s="2"/>
      <c r="I10" s="2"/>
      <c r="J10" s="2"/>
      <c r="K10" s="5"/>
      <c r="L10" s="19"/>
      <c r="M10" s="5"/>
      <c r="N10" s="2"/>
      <c r="O10" s="2"/>
      <c r="P10" s="2"/>
    </row>
    <row r="11" spans="1:21">
      <c r="A11" s="11"/>
      <c r="B11" s="2"/>
      <c r="C11" s="2"/>
      <c r="D11" s="2"/>
      <c r="E11" s="2"/>
      <c r="F11" s="2"/>
      <c r="G11" s="2"/>
      <c r="H11" s="2"/>
      <c r="I11" s="2"/>
      <c r="J11" s="2"/>
      <c r="K11" s="2"/>
      <c r="L11" s="5"/>
      <c r="M11" s="5"/>
      <c r="N11" s="2"/>
    </row>
    <row r="12" spans="1:21">
      <c r="B12" s="2"/>
      <c r="C12" s="2"/>
      <c r="D12" s="2"/>
      <c r="E12" s="2"/>
      <c r="F12" s="2"/>
      <c r="G12" s="2"/>
      <c r="H12" s="2"/>
      <c r="I12" s="2"/>
      <c r="J12" s="2"/>
      <c r="K12" s="2"/>
      <c r="L12" s="5"/>
      <c r="M12" s="5"/>
      <c r="N12" s="2"/>
    </row>
    <row r="13" spans="1:21">
      <c r="B13" s="2"/>
      <c r="C13" s="2"/>
      <c r="D13" s="2"/>
      <c r="E13" s="2"/>
      <c r="F13" s="2"/>
      <c r="G13" s="2"/>
      <c r="H13" s="2"/>
      <c r="I13" s="2"/>
      <c r="J13" s="2"/>
      <c r="K13" s="2"/>
      <c r="L13" s="5"/>
      <c r="M13" s="5"/>
      <c r="N13" s="2"/>
    </row>
    <row r="20" spans="12:12">
      <c r="L20" s="16">
        <f>SUM(L6:L19)</f>
        <v>6921.8</v>
      </c>
    </row>
  </sheetData>
  <mergeCells count="1">
    <mergeCell ref="A8:A10"/>
  </mergeCells>
  <pageMargins left="0.7" right="0.7" top="0.75" bottom="0.75" header="0.3" footer="0.3"/>
  <pageSetup paperSize="9" orientation="portrait" verticalDpi="0" r:id="rId1"/>
</worksheet>
</file>

<file path=xl/worksheets/sheet163.xml><?xml version="1.0" encoding="utf-8"?>
<worksheet xmlns="http://schemas.openxmlformats.org/spreadsheetml/2006/main" xmlns:r="http://schemas.openxmlformats.org/officeDocument/2006/relationships">
  <dimension ref="A5:U20"/>
  <sheetViews>
    <sheetView workbookViewId="0">
      <selection activeCell="B10" sqref="B10"/>
    </sheetView>
  </sheetViews>
  <sheetFormatPr defaultRowHeight="14.4"/>
  <cols>
    <col min="1" max="1" width="8.88671875" style="1"/>
    <col min="2" max="2" width="17.44140625" style="1" customWidth="1"/>
    <col min="3" max="3" width="12.33203125" style="1" customWidth="1"/>
    <col min="4" max="4" width="5.5546875" style="1" customWidth="1"/>
    <col min="5" max="5" width="11.2187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128</v>
      </c>
    </row>
    <row r="6" spans="1:21">
      <c r="A6" s="32" t="s">
        <v>1233</v>
      </c>
      <c r="B6" s="42" t="s">
        <v>1234</v>
      </c>
      <c r="C6" s="42" t="s">
        <v>1165</v>
      </c>
      <c r="D6" s="42" t="s">
        <v>16</v>
      </c>
      <c r="E6" s="42" t="s">
        <v>1235</v>
      </c>
      <c r="F6" s="42">
        <v>0</v>
      </c>
      <c r="G6" s="42"/>
      <c r="H6" s="42">
        <v>7960</v>
      </c>
      <c r="I6" s="42">
        <v>160</v>
      </c>
      <c r="J6" s="42">
        <v>0.13</v>
      </c>
      <c r="K6" s="42">
        <v>21</v>
      </c>
      <c r="L6" s="43">
        <f t="shared" ref="L6" si="0">H6-K6</f>
        <v>7939</v>
      </c>
      <c r="M6" s="43"/>
      <c r="N6" s="43">
        <f t="shared" ref="N6" si="1">L6-M6</f>
        <v>7939</v>
      </c>
      <c r="O6" s="43">
        <f t="shared" ref="O6" si="2">H6/1000*70</f>
        <v>557.20000000000005</v>
      </c>
      <c r="P6" s="42">
        <v>4500</v>
      </c>
      <c r="Q6" s="42"/>
      <c r="R6" s="42">
        <f t="shared" ref="R6" si="3">L6*Q6</f>
        <v>0</v>
      </c>
    </row>
    <row r="7" spans="1:21">
      <c r="A7" s="38"/>
      <c r="B7" s="42"/>
      <c r="C7" s="42"/>
      <c r="D7" s="42"/>
      <c r="E7" s="42"/>
      <c r="F7" s="42"/>
      <c r="G7" s="42"/>
      <c r="H7" s="42"/>
      <c r="I7" s="42"/>
      <c r="J7" s="42"/>
      <c r="K7" s="42"/>
      <c r="L7" s="43"/>
      <c r="M7" s="43"/>
      <c r="N7" s="42"/>
      <c r="O7" s="42"/>
      <c r="P7" s="42"/>
    </row>
    <row r="8" spans="1:21">
      <c r="A8" s="32" t="s">
        <v>1974</v>
      </c>
      <c r="B8" s="42" t="s">
        <v>1629</v>
      </c>
      <c r="C8" s="42" t="s">
        <v>287</v>
      </c>
      <c r="D8" s="42" t="s">
        <v>16</v>
      </c>
      <c r="E8" s="42" t="s">
        <v>1975</v>
      </c>
      <c r="F8" s="42">
        <v>655</v>
      </c>
      <c r="G8" s="42"/>
      <c r="H8" s="42">
        <v>17250</v>
      </c>
      <c r="I8" s="42">
        <v>425</v>
      </c>
      <c r="J8" s="42">
        <v>0.13</v>
      </c>
      <c r="K8" s="43">
        <f t="shared" ref="K8" si="4">I8*J8</f>
        <v>55.25</v>
      </c>
      <c r="L8" s="43">
        <f t="shared" ref="L8" si="5">H8-K8</f>
        <v>17194.75</v>
      </c>
      <c r="M8" s="43"/>
      <c r="N8" s="43">
        <f t="shared" ref="N8" si="6">L8-M8</f>
        <v>17194.75</v>
      </c>
      <c r="O8" s="43">
        <f t="shared" ref="O8" si="7">H8/1000*70</f>
        <v>1207.5</v>
      </c>
      <c r="P8" s="42">
        <v>34400</v>
      </c>
      <c r="Q8" s="42">
        <v>9.15</v>
      </c>
      <c r="R8" s="42">
        <f t="shared" ref="R8" si="8">L8*Q8</f>
        <v>157331.96249999999</v>
      </c>
    </row>
    <row r="9" spans="1:21">
      <c r="A9" s="34"/>
      <c r="B9" s="2"/>
      <c r="C9" s="2"/>
      <c r="D9" s="2"/>
      <c r="E9" s="2"/>
      <c r="F9" s="2"/>
      <c r="G9" s="2"/>
      <c r="H9" s="2"/>
      <c r="I9" s="2"/>
      <c r="J9" s="2"/>
      <c r="K9" s="5"/>
      <c r="L9" s="19"/>
      <c r="M9" s="5"/>
      <c r="N9" s="2"/>
      <c r="O9" s="2"/>
      <c r="P9" s="2"/>
    </row>
    <row r="10" spans="1:21">
      <c r="A10" s="34"/>
      <c r="B10" s="2"/>
      <c r="C10" s="2"/>
      <c r="D10" s="2"/>
      <c r="E10" s="2"/>
      <c r="F10" s="2"/>
      <c r="G10" s="2"/>
      <c r="H10" s="2"/>
      <c r="I10" s="2"/>
      <c r="J10" s="2"/>
      <c r="K10" s="5"/>
      <c r="L10" s="19"/>
      <c r="M10" s="5"/>
      <c r="N10" s="2"/>
      <c r="O10" s="2"/>
      <c r="P10" s="2"/>
    </row>
    <row r="11" spans="1:21">
      <c r="A11" s="11"/>
      <c r="B11" s="2"/>
      <c r="C11" s="2"/>
      <c r="D11" s="2"/>
      <c r="E11" s="2"/>
      <c r="F11" s="2"/>
      <c r="G11" s="2"/>
      <c r="H11" s="2"/>
      <c r="I11" s="2"/>
      <c r="J11" s="2"/>
      <c r="K11" s="2"/>
      <c r="L11" s="5"/>
      <c r="M11" s="5"/>
      <c r="N11" s="2"/>
    </row>
    <row r="12" spans="1:21">
      <c r="B12" s="2"/>
      <c r="C12" s="2"/>
      <c r="D12" s="2"/>
      <c r="E12" s="2"/>
      <c r="F12" s="2"/>
      <c r="G12" s="2"/>
      <c r="H12" s="2"/>
      <c r="I12" s="2"/>
      <c r="J12" s="2"/>
      <c r="K12" s="2"/>
      <c r="L12" s="5"/>
      <c r="M12" s="5"/>
      <c r="N12" s="2"/>
    </row>
    <row r="13" spans="1:21">
      <c r="B13" s="2"/>
      <c r="C13" s="2"/>
      <c r="D13" s="2"/>
      <c r="E13" s="2"/>
      <c r="F13" s="2"/>
      <c r="G13" s="2"/>
      <c r="H13" s="2"/>
      <c r="I13" s="2"/>
      <c r="J13" s="2"/>
      <c r="K13" s="2"/>
      <c r="L13" s="5"/>
      <c r="M13" s="5"/>
      <c r="N13" s="2"/>
    </row>
    <row r="20" spans="12:12">
      <c r="L20" s="16">
        <f>SUM(L6:L19)</f>
        <v>25133.75</v>
      </c>
    </row>
  </sheetData>
  <pageMargins left="0.7" right="0.7" top="0.75" bottom="0.75" header="0.3" footer="0.3"/>
  <pageSetup paperSize="9" orientation="portrait" verticalDpi="0" r:id="rId1"/>
</worksheet>
</file>

<file path=xl/worksheets/sheet164.xml><?xml version="1.0" encoding="utf-8"?>
<worksheet xmlns="http://schemas.openxmlformats.org/spreadsheetml/2006/main" xmlns:r="http://schemas.openxmlformats.org/officeDocument/2006/relationships">
  <dimension ref="A5:U20"/>
  <sheetViews>
    <sheetView workbookViewId="0">
      <selection activeCell="C10" sqref="C10"/>
    </sheetView>
  </sheetViews>
  <sheetFormatPr defaultRowHeight="14.4"/>
  <cols>
    <col min="1" max="1" width="8.88671875" style="1"/>
    <col min="2" max="2" width="17.44140625" style="1" customWidth="1"/>
    <col min="3" max="3" width="12.33203125" style="1" customWidth="1"/>
    <col min="4" max="4" width="5.5546875" style="1" customWidth="1"/>
    <col min="5" max="5" width="11.2187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128</v>
      </c>
    </row>
    <row r="6" spans="1:21">
      <c r="A6" s="32" t="s">
        <v>1241</v>
      </c>
      <c r="B6" s="42" t="s">
        <v>1254</v>
      </c>
      <c r="C6" s="42" t="s">
        <v>1165</v>
      </c>
      <c r="D6" s="42" t="s">
        <v>16</v>
      </c>
      <c r="E6" s="42" t="s">
        <v>449</v>
      </c>
      <c r="F6" s="42">
        <v>0</v>
      </c>
      <c r="G6" s="42">
        <v>870</v>
      </c>
      <c r="H6" s="42">
        <v>14980</v>
      </c>
      <c r="I6" s="42">
        <v>300</v>
      </c>
      <c r="J6" s="42">
        <v>0.13</v>
      </c>
      <c r="K6" s="42">
        <f t="shared" ref="K6" si="0">I6*J6</f>
        <v>39</v>
      </c>
      <c r="L6" s="43">
        <f t="shared" ref="L6:L7" si="1">H6-K6</f>
        <v>14941</v>
      </c>
      <c r="M6" s="43"/>
      <c r="N6" s="43">
        <f t="shared" ref="N6:N7" si="2">L6-M6</f>
        <v>14941</v>
      </c>
      <c r="O6" s="43">
        <f t="shared" ref="O6:O7" si="3">H6/1000*70</f>
        <v>1048.6000000000001</v>
      </c>
      <c r="P6" s="42">
        <v>5000</v>
      </c>
      <c r="Q6" s="45">
        <v>9.4</v>
      </c>
      <c r="R6" s="42">
        <f t="shared" ref="R6:R7" si="4">L6*Q6</f>
        <v>140445.4</v>
      </c>
    </row>
    <row r="7" spans="1:21">
      <c r="A7" s="38" t="s">
        <v>1260</v>
      </c>
      <c r="B7" s="42" t="s">
        <v>1254</v>
      </c>
      <c r="C7" s="42" t="s">
        <v>1165</v>
      </c>
      <c r="D7" s="42" t="s">
        <v>16</v>
      </c>
      <c r="E7" s="42" t="s">
        <v>666</v>
      </c>
      <c r="F7" s="42">
        <v>1862</v>
      </c>
      <c r="G7" s="42"/>
      <c r="H7" s="42">
        <v>17945</v>
      </c>
      <c r="I7" s="42">
        <v>359</v>
      </c>
      <c r="J7" s="42">
        <v>0.13</v>
      </c>
      <c r="K7" s="42">
        <v>47</v>
      </c>
      <c r="L7" s="43">
        <f t="shared" si="1"/>
        <v>17898</v>
      </c>
      <c r="M7" s="43"/>
      <c r="N7" s="43">
        <f t="shared" si="2"/>
        <v>17898</v>
      </c>
      <c r="O7" s="43">
        <f t="shared" si="3"/>
        <v>1256.1500000000001</v>
      </c>
      <c r="P7" s="42">
        <v>6000</v>
      </c>
      <c r="Q7" s="42">
        <v>9.4</v>
      </c>
      <c r="R7" s="42">
        <f t="shared" si="4"/>
        <v>168241.2</v>
      </c>
    </row>
    <row r="8" spans="1:21">
      <c r="A8" s="393"/>
      <c r="B8" s="2"/>
      <c r="C8" s="2"/>
      <c r="D8" s="2"/>
      <c r="E8" s="2"/>
      <c r="F8" s="2"/>
      <c r="G8" s="2"/>
      <c r="H8" s="2"/>
      <c r="I8" s="2"/>
      <c r="J8" s="2"/>
      <c r="K8" s="5"/>
      <c r="L8" s="19"/>
      <c r="M8" s="5"/>
      <c r="N8" s="2"/>
      <c r="O8" s="2"/>
      <c r="P8" s="2"/>
    </row>
    <row r="9" spans="1:21">
      <c r="A9" s="395"/>
      <c r="B9" s="2"/>
      <c r="C9" s="2"/>
      <c r="D9" s="2"/>
      <c r="E9" s="2"/>
      <c r="F9" s="2"/>
      <c r="G9" s="2"/>
      <c r="H9" s="2"/>
      <c r="I9" s="2"/>
      <c r="J9" s="2"/>
      <c r="K9" s="5"/>
      <c r="L9" s="19"/>
      <c r="M9" s="5"/>
      <c r="N9" s="2"/>
      <c r="O9" s="2"/>
      <c r="P9" s="2"/>
    </row>
    <row r="10" spans="1:21">
      <c r="A10" s="395"/>
      <c r="B10" s="2"/>
      <c r="C10" s="2"/>
      <c r="D10" s="2"/>
      <c r="E10" s="2"/>
      <c r="F10" s="2"/>
      <c r="G10" s="2"/>
      <c r="H10" s="2"/>
      <c r="I10" s="2"/>
      <c r="J10" s="2"/>
      <c r="K10" s="5"/>
      <c r="L10" s="19"/>
      <c r="M10" s="5"/>
      <c r="N10" s="2"/>
      <c r="O10" s="2"/>
      <c r="P10" s="2"/>
    </row>
    <row r="11" spans="1:21">
      <c r="A11" s="11"/>
      <c r="B11" s="2"/>
      <c r="C11" s="2"/>
      <c r="D11" s="2"/>
      <c r="E11" s="2"/>
      <c r="F11" s="2"/>
      <c r="G11" s="2"/>
      <c r="H11" s="2"/>
      <c r="I11" s="2"/>
      <c r="J11" s="2"/>
      <c r="K11" s="2"/>
      <c r="L11" s="5"/>
      <c r="M11" s="5"/>
      <c r="N11" s="2"/>
    </row>
    <row r="12" spans="1:21">
      <c r="B12" s="2"/>
      <c r="C12" s="2"/>
      <c r="D12" s="2"/>
      <c r="E12" s="2"/>
      <c r="F12" s="2"/>
      <c r="G12" s="2"/>
      <c r="H12" s="2"/>
      <c r="I12" s="2"/>
      <c r="J12" s="2"/>
      <c r="K12" s="2"/>
      <c r="L12" s="5"/>
      <c r="M12" s="5"/>
      <c r="N12" s="2"/>
    </row>
    <row r="13" spans="1:21">
      <c r="B13" s="2"/>
      <c r="C13" s="2"/>
      <c r="D13" s="2"/>
      <c r="E13" s="2"/>
      <c r="F13" s="2"/>
      <c r="G13" s="2"/>
      <c r="H13" s="2"/>
      <c r="I13" s="2"/>
      <c r="J13" s="2"/>
      <c r="K13" s="2"/>
      <c r="L13" s="5"/>
      <c r="M13" s="5"/>
      <c r="N13" s="2"/>
    </row>
    <row r="20" spans="12:12">
      <c r="L20" s="16">
        <f>SUM(L6:L19)</f>
        <v>32839</v>
      </c>
    </row>
  </sheetData>
  <mergeCells count="1">
    <mergeCell ref="A8:A10"/>
  </mergeCells>
  <pageMargins left="0.7" right="0.7" top="0.75" bottom="0.75" header="0.3" footer="0.3"/>
  <pageSetup paperSize="9" orientation="portrait" verticalDpi="0" r:id="rId1"/>
</worksheet>
</file>

<file path=xl/worksheets/sheet165.xml><?xml version="1.0" encoding="utf-8"?>
<worksheet xmlns="http://schemas.openxmlformats.org/spreadsheetml/2006/main" xmlns:r="http://schemas.openxmlformats.org/officeDocument/2006/relationships">
  <dimension ref="A5:U20"/>
  <sheetViews>
    <sheetView workbookViewId="0">
      <selection activeCell="O22" sqref="O22"/>
    </sheetView>
  </sheetViews>
  <sheetFormatPr defaultRowHeight="14.4"/>
  <cols>
    <col min="1" max="1" width="8.88671875" style="1"/>
    <col min="2" max="2" width="17.44140625" style="1" customWidth="1"/>
    <col min="3" max="3" width="12.33203125" style="1" customWidth="1"/>
    <col min="4" max="4" width="5.5546875" style="1" customWidth="1"/>
    <col min="5" max="5" width="11.2187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128</v>
      </c>
    </row>
    <row r="6" spans="1:21">
      <c r="A6" s="32" t="s">
        <v>1272</v>
      </c>
      <c r="B6" s="42" t="s">
        <v>681</v>
      </c>
      <c r="C6" s="42" t="s">
        <v>1165</v>
      </c>
      <c r="D6" s="42" t="s">
        <v>16</v>
      </c>
      <c r="E6" s="42" t="s">
        <v>1274</v>
      </c>
      <c r="F6" s="42">
        <v>975</v>
      </c>
      <c r="G6" s="42"/>
      <c r="H6" s="42">
        <v>12720</v>
      </c>
      <c r="I6" s="42">
        <v>263</v>
      </c>
      <c r="J6" s="42">
        <v>0.13</v>
      </c>
      <c r="K6" s="42">
        <f t="shared" ref="K6" si="0">I6*J6</f>
        <v>34.19</v>
      </c>
      <c r="L6" s="43">
        <f t="shared" ref="L6" si="1">H6-K6</f>
        <v>12685.81</v>
      </c>
      <c r="M6" s="43"/>
      <c r="N6" s="43">
        <f t="shared" ref="N6" si="2">L6-M6</f>
        <v>12685.81</v>
      </c>
      <c r="O6" s="43">
        <f t="shared" ref="O6" si="3">H6/1000*70</f>
        <v>890.40000000000009</v>
      </c>
      <c r="P6" s="42">
        <v>0</v>
      </c>
      <c r="Q6" s="42">
        <v>9.5</v>
      </c>
      <c r="R6" s="42">
        <f t="shared" ref="R6" si="4">L6*Q6</f>
        <v>120515.19499999999</v>
      </c>
    </row>
    <row r="7" spans="1:21">
      <c r="A7" s="38"/>
      <c r="B7" s="42"/>
      <c r="C7" s="42"/>
      <c r="D7" s="42"/>
      <c r="E7" s="42"/>
      <c r="F7" s="42"/>
      <c r="G7" s="42"/>
      <c r="H7" s="42"/>
      <c r="I7" s="42"/>
      <c r="J7" s="42"/>
      <c r="K7" s="42"/>
      <c r="L7" s="43"/>
      <c r="M7" s="43"/>
      <c r="N7" s="43"/>
      <c r="O7" s="43"/>
      <c r="P7" s="42"/>
      <c r="Q7" s="42"/>
      <c r="R7" s="42"/>
    </row>
    <row r="8" spans="1:21">
      <c r="A8" s="393"/>
      <c r="B8" s="42" t="s">
        <v>2988</v>
      </c>
      <c r="C8" s="42" t="s">
        <v>1165</v>
      </c>
      <c r="D8" s="42" t="s">
        <v>16</v>
      </c>
      <c r="E8" s="42" t="s">
        <v>969</v>
      </c>
      <c r="F8" s="42">
        <v>1662</v>
      </c>
      <c r="G8" s="42"/>
      <c r="H8" s="42">
        <v>12965</v>
      </c>
      <c r="I8" s="42">
        <v>260</v>
      </c>
      <c r="J8" s="42">
        <v>0.13</v>
      </c>
      <c r="K8" s="43">
        <f t="shared" ref="K8:K9" si="5">I8*J8</f>
        <v>33.800000000000004</v>
      </c>
      <c r="L8" s="43">
        <f t="shared" ref="L8:L9" si="6">H8-K8</f>
        <v>12931.2</v>
      </c>
      <c r="M8" s="43"/>
      <c r="N8" s="43">
        <f t="shared" ref="N8:N9" si="7">L8-M8</f>
        <v>12931.2</v>
      </c>
      <c r="O8" s="43">
        <f t="shared" ref="O8:O9" si="8">H8/1000*70</f>
        <v>907.55</v>
      </c>
      <c r="P8" s="42">
        <v>15500</v>
      </c>
      <c r="Q8" s="42">
        <v>9.5</v>
      </c>
      <c r="R8" s="42">
        <f t="shared" ref="R8:R9" si="9">L8*Q8</f>
        <v>122846.40000000001</v>
      </c>
    </row>
    <row r="9" spans="1:21">
      <c r="A9" s="395"/>
      <c r="B9" s="42" t="s">
        <v>2988</v>
      </c>
      <c r="C9" s="42" t="s">
        <v>1165</v>
      </c>
      <c r="D9" s="42" t="s">
        <v>16</v>
      </c>
      <c r="E9" s="42" t="s">
        <v>2989</v>
      </c>
      <c r="F9" s="42">
        <v>1660</v>
      </c>
      <c r="G9" s="42"/>
      <c r="H9" s="42">
        <v>12760</v>
      </c>
      <c r="I9" s="42">
        <v>255</v>
      </c>
      <c r="J9" s="42">
        <v>0.13</v>
      </c>
      <c r="K9" s="43">
        <f t="shared" si="5"/>
        <v>33.15</v>
      </c>
      <c r="L9" s="43">
        <f t="shared" si="6"/>
        <v>12726.85</v>
      </c>
      <c r="M9" s="43"/>
      <c r="N9" s="43">
        <f t="shared" si="7"/>
        <v>12726.85</v>
      </c>
      <c r="O9" s="43">
        <f t="shared" si="8"/>
        <v>893.19999999999993</v>
      </c>
      <c r="P9" s="42">
        <v>15500</v>
      </c>
      <c r="Q9" s="42">
        <v>9.5</v>
      </c>
      <c r="R9" s="42">
        <f t="shared" si="9"/>
        <v>120905.075</v>
      </c>
    </row>
    <row r="10" spans="1:21">
      <c r="A10" s="395"/>
      <c r="B10" s="2"/>
      <c r="C10" s="2"/>
      <c r="D10" s="2"/>
      <c r="E10" s="2"/>
      <c r="F10" s="2"/>
      <c r="G10" s="2"/>
      <c r="H10" s="2"/>
      <c r="I10" s="2"/>
      <c r="J10" s="2"/>
      <c r="K10" s="5"/>
      <c r="L10" s="19"/>
      <c r="M10" s="5"/>
      <c r="N10" s="2"/>
      <c r="O10" s="2"/>
      <c r="P10" s="2"/>
    </row>
    <row r="11" spans="1:21">
      <c r="A11" s="11"/>
      <c r="B11" s="2"/>
      <c r="C11" s="2"/>
      <c r="D11" s="2"/>
      <c r="E11" s="2"/>
      <c r="F11" s="2"/>
      <c r="G11" s="2"/>
      <c r="H11" s="2"/>
      <c r="I11" s="2"/>
      <c r="J11" s="2"/>
      <c r="K11" s="2"/>
      <c r="L11" s="5"/>
      <c r="M11" s="5"/>
      <c r="N11" s="2"/>
    </row>
    <row r="12" spans="1:21">
      <c r="B12" s="2"/>
      <c r="C12" s="2"/>
      <c r="D12" s="2"/>
      <c r="E12" s="2"/>
      <c r="F12" s="2"/>
      <c r="G12" s="2"/>
      <c r="H12" s="2"/>
      <c r="I12" s="2"/>
      <c r="J12" s="2"/>
      <c r="K12" s="2"/>
      <c r="L12" s="5"/>
      <c r="M12" s="5"/>
      <c r="N12" s="2"/>
    </row>
    <row r="13" spans="1:21">
      <c r="B13" s="2"/>
      <c r="C13" s="2"/>
      <c r="D13" s="2"/>
      <c r="E13" s="2"/>
      <c r="F13" s="2"/>
      <c r="G13" s="2"/>
      <c r="H13" s="2"/>
      <c r="I13" s="2"/>
      <c r="J13" s="2"/>
      <c r="K13" s="2"/>
      <c r="L13" s="5"/>
      <c r="M13" s="5"/>
      <c r="N13" s="2"/>
    </row>
    <row r="20" spans="12:12">
      <c r="L20" s="16">
        <f>SUM(L6:L19)</f>
        <v>38343.86</v>
      </c>
    </row>
  </sheetData>
  <mergeCells count="1">
    <mergeCell ref="A8:A10"/>
  </mergeCells>
  <pageMargins left="0.7" right="0.7" top="0.75" bottom="0.75" header="0.3" footer="0.3"/>
  <pageSetup paperSize="9" orientation="portrait" verticalDpi="0" r:id="rId1"/>
</worksheet>
</file>

<file path=xl/worksheets/sheet166.xml><?xml version="1.0" encoding="utf-8"?>
<worksheet xmlns="http://schemas.openxmlformats.org/spreadsheetml/2006/main" xmlns:r="http://schemas.openxmlformats.org/officeDocument/2006/relationships">
  <dimension ref="A5:U17"/>
  <sheetViews>
    <sheetView workbookViewId="0">
      <selection activeCell="I23" sqref="I23"/>
    </sheetView>
  </sheetViews>
  <sheetFormatPr defaultRowHeight="14.4"/>
  <cols>
    <col min="1" max="1" width="8.88671875" style="1"/>
    <col min="2" max="2" width="17.44140625" style="1" customWidth="1"/>
    <col min="3" max="3" width="14.33203125" style="1" customWidth="1"/>
    <col min="4" max="4" width="5.5546875" style="1" customWidth="1"/>
    <col min="5" max="5" width="11.2187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128</v>
      </c>
    </row>
    <row r="6" spans="1:21">
      <c r="A6" s="38"/>
      <c r="B6" s="42"/>
      <c r="C6" s="42"/>
      <c r="D6" s="42"/>
      <c r="E6" s="42"/>
      <c r="F6" s="42"/>
      <c r="G6" s="42"/>
      <c r="H6" s="42"/>
      <c r="I6" s="42"/>
      <c r="J6" s="42"/>
      <c r="K6" s="42"/>
      <c r="L6" s="43"/>
      <c r="M6" s="43"/>
      <c r="N6" s="43"/>
      <c r="O6" s="43"/>
      <c r="P6" s="42"/>
      <c r="Q6" s="42"/>
      <c r="R6" s="42"/>
    </row>
    <row r="7" spans="1:21">
      <c r="A7" s="393" t="s">
        <v>2985</v>
      </c>
      <c r="B7" s="42" t="s">
        <v>2988</v>
      </c>
      <c r="C7" s="42" t="s">
        <v>1165</v>
      </c>
      <c r="D7" s="42" t="s">
        <v>16</v>
      </c>
      <c r="E7" s="42" t="s">
        <v>969</v>
      </c>
      <c r="F7" s="42">
        <v>1662</v>
      </c>
      <c r="G7" s="42"/>
      <c r="H7" s="42">
        <v>12965</v>
      </c>
      <c r="I7" s="42">
        <v>260</v>
      </c>
      <c r="J7" s="42">
        <v>0.13</v>
      </c>
      <c r="K7" s="43">
        <f t="shared" ref="K7:K8" si="0">I7*J7</f>
        <v>33.800000000000004</v>
      </c>
      <c r="L7" s="43">
        <f t="shared" ref="L7:L8" si="1">H7-K7</f>
        <v>12931.2</v>
      </c>
      <c r="M7" s="43"/>
      <c r="N7" s="43">
        <f t="shared" ref="N7:N8" si="2">L7-M7</f>
        <v>12931.2</v>
      </c>
      <c r="O7" s="43">
        <f t="shared" ref="O7:O8" si="3">H7/1000*70</f>
        <v>907.55</v>
      </c>
      <c r="P7" s="42">
        <v>15500</v>
      </c>
      <c r="Q7" s="42">
        <v>9.5</v>
      </c>
      <c r="R7" s="42">
        <f t="shared" ref="R7:R8" si="4">L7*Q7</f>
        <v>122846.40000000001</v>
      </c>
    </row>
    <row r="8" spans="1:21">
      <c r="A8" s="395"/>
      <c r="B8" s="42" t="s">
        <v>2988</v>
      </c>
      <c r="C8" s="42" t="s">
        <v>1165</v>
      </c>
      <c r="D8" s="42" t="s">
        <v>16</v>
      </c>
      <c r="E8" s="42" t="s">
        <v>2989</v>
      </c>
      <c r="F8" s="42">
        <v>1660</v>
      </c>
      <c r="G8" s="42"/>
      <c r="H8" s="42">
        <v>12760</v>
      </c>
      <c r="I8" s="42">
        <v>255</v>
      </c>
      <c r="J8" s="42">
        <v>0.13</v>
      </c>
      <c r="K8" s="43">
        <f t="shared" si="0"/>
        <v>33.15</v>
      </c>
      <c r="L8" s="43">
        <f t="shared" si="1"/>
        <v>12726.85</v>
      </c>
      <c r="M8" s="43"/>
      <c r="N8" s="43">
        <f t="shared" si="2"/>
        <v>12726.85</v>
      </c>
      <c r="O8" s="43">
        <f t="shared" si="3"/>
        <v>893.19999999999993</v>
      </c>
      <c r="P8" s="42">
        <v>15500</v>
      </c>
      <c r="Q8" s="42">
        <v>9.5</v>
      </c>
      <c r="R8" s="42">
        <f t="shared" si="4"/>
        <v>120905.075</v>
      </c>
    </row>
    <row r="9" spans="1:21">
      <c r="A9" s="34"/>
      <c r="B9" s="302"/>
      <c r="C9" s="302"/>
      <c r="D9" s="302"/>
      <c r="E9" s="302"/>
      <c r="F9" s="302"/>
      <c r="G9" s="302"/>
      <c r="H9" s="302"/>
      <c r="I9" s="302"/>
      <c r="J9" s="302"/>
      <c r="K9" s="5"/>
      <c r="L9" s="19"/>
      <c r="M9" s="5"/>
      <c r="N9" s="302"/>
      <c r="O9" s="302"/>
      <c r="P9" s="302"/>
    </row>
    <row r="14" spans="1:21">
      <c r="L14" s="16">
        <f>SUM(L6:L13)</f>
        <v>25658.050000000003</v>
      </c>
    </row>
    <row r="16" spans="1:21">
      <c r="B16" s="42" t="s">
        <v>582</v>
      </c>
      <c r="C16" s="42" t="s">
        <v>3070</v>
      </c>
      <c r="D16" s="42" t="s">
        <v>16</v>
      </c>
      <c r="E16" s="47" t="s">
        <v>3483</v>
      </c>
      <c r="F16" s="47">
        <v>10097</v>
      </c>
      <c r="G16" s="47"/>
      <c r="H16" s="47">
        <v>12850</v>
      </c>
      <c r="I16" s="47">
        <v>250</v>
      </c>
      <c r="J16" s="47">
        <v>0.13</v>
      </c>
      <c r="K16" s="43">
        <f t="shared" ref="K16:K17" si="5">I16*J16</f>
        <v>32.5</v>
      </c>
      <c r="L16" s="43">
        <f t="shared" ref="L16:L17" si="6">H16-K16</f>
        <v>12817.5</v>
      </c>
      <c r="M16" s="43"/>
      <c r="N16" s="43">
        <f t="shared" ref="N16:N17" si="7">L16-M16</f>
        <v>12817.5</v>
      </c>
      <c r="O16" s="43">
        <f t="shared" ref="O16:O17" si="8">H16/1000*70</f>
        <v>899.5</v>
      </c>
      <c r="P16" s="42">
        <v>16000</v>
      </c>
      <c r="Q16" s="42"/>
      <c r="R16" s="42">
        <f t="shared" ref="R16:R17" si="9">L16*Q16</f>
        <v>0</v>
      </c>
    </row>
    <row r="17" spans="2:18">
      <c r="B17" s="42" t="s">
        <v>582</v>
      </c>
      <c r="C17" s="42" t="s">
        <v>3070</v>
      </c>
      <c r="D17" s="42" t="s">
        <v>16</v>
      </c>
      <c r="E17" s="47" t="s">
        <v>3484</v>
      </c>
      <c r="F17" s="47">
        <v>10096</v>
      </c>
      <c r="G17" s="47"/>
      <c r="H17" s="47">
        <v>12940</v>
      </c>
      <c r="I17" s="47">
        <v>245</v>
      </c>
      <c r="J17" s="47">
        <v>0.13</v>
      </c>
      <c r="K17" s="43">
        <f t="shared" si="5"/>
        <v>31.85</v>
      </c>
      <c r="L17" s="43">
        <f t="shared" si="6"/>
        <v>12908.15</v>
      </c>
      <c r="M17" s="43"/>
      <c r="N17" s="43">
        <f t="shared" si="7"/>
        <v>12908.15</v>
      </c>
      <c r="O17" s="43">
        <f t="shared" si="8"/>
        <v>905.8</v>
      </c>
      <c r="P17" s="42">
        <v>16000</v>
      </c>
      <c r="Q17" s="42"/>
      <c r="R17" s="42">
        <f t="shared" si="9"/>
        <v>0</v>
      </c>
    </row>
  </sheetData>
  <mergeCells count="1">
    <mergeCell ref="A7:A8"/>
  </mergeCells>
  <pageMargins left="0.7" right="0.7" top="0.75" bottom="0.75" header="0.3" footer="0.3"/>
  <pageSetup paperSize="9" orientation="portrait" verticalDpi="0" r:id="rId1"/>
</worksheet>
</file>

<file path=xl/worksheets/sheet167.xml><?xml version="1.0" encoding="utf-8"?>
<worksheet xmlns="http://schemas.openxmlformats.org/spreadsheetml/2006/main" xmlns:r="http://schemas.openxmlformats.org/officeDocument/2006/relationships">
  <dimension ref="A5:U11"/>
  <sheetViews>
    <sheetView workbookViewId="0">
      <selection activeCell="A12" sqref="A12"/>
    </sheetView>
  </sheetViews>
  <sheetFormatPr defaultRowHeight="14.4"/>
  <cols>
    <col min="1" max="1" width="8.88671875" style="1"/>
    <col min="2" max="2" width="17.44140625" style="1" customWidth="1"/>
    <col min="3" max="3" width="14.33203125" style="1" customWidth="1"/>
    <col min="4" max="4" width="5.5546875" style="1" customWidth="1"/>
    <col min="5" max="5" width="11.2187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128</v>
      </c>
    </row>
    <row r="6" spans="1:21">
      <c r="A6" s="38"/>
      <c r="B6" s="42"/>
      <c r="C6" s="42"/>
      <c r="D6" s="42"/>
      <c r="E6" s="42"/>
      <c r="F6" s="42"/>
      <c r="G6" s="42"/>
      <c r="H6" s="42"/>
      <c r="I6" s="42"/>
      <c r="J6" s="42"/>
      <c r="K6" s="42"/>
      <c r="L6" s="43"/>
      <c r="M6" s="43"/>
      <c r="N6" s="43"/>
      <c r="O6" s="43"/>
      <c r="P6" s="42"/>
      <c r="Q6" s="42"/>
      <c r="R6" s="42"/>
    </row>
    <row r="8" spans="1:21">
      <c r="L8" s="16">
        <f>SUM(L6:L7)</f>
        <v>0</v>
      </c>
    </row>
    <row r="10" spans="1:21">
      <c r="A10" s="374" t="s">
        <v>3482</v>
      </c>
      <c r="B10" s="42" t="s">
        <v>582</v>
      </c>
      <c r="C10" s="42" t="s">
        <v>3070</v>
      </c>
      <c r="D10" s="42" t="s">
        <v>16</v>
      </c>
      <c r="E10" s="47" t="s">
        <v>3483</v>
      </c>
      <c r="F10" s="47">
        <v>10097</v>
      </c>
      <c r="G10" s="47"/>
      <c r="H10" s="47">
        <v>12850</v>
      </c>
      <c r="I10" s="47">
        <v>250</v>
      </c>
      <c r="J10" s="47">
        <v>0.13</v>
      </c>
      <c r="K10" s="43">
        <f t="shared" ref="K10:K11" si="0">I10*J10</f>
        <v>32.5</v>
      </c>
      <c r="L10" s="43">
        <f t="shared" ref="L10:L11" si="1">H10-K10</f>
        <v>12817.5</v>
      </c>
      <c r="M10" s="43"/>
      <c r="N10" s="43">
        <f t="shared" ref="N10:N11" si="2">L10-M10</f>
        <v>12817.5</v>
      </c>
      <c r="O10" s="43">
        <f t="shared" ref="O10:O11" si="3">H10/1000*70</f>
        <v>899.5</v>
      </c>
      <c r="P10" s="42">
        <v>16000</v>
      </c>
      <c r="Q10" s="42"/>
      <c r="R10" s="42">
        <f t="shared" ref="R10:R11" si="4">L10*Q10</f>
        <v>0</v>
      </c>
    </row>
    <row r="11" spans="1:21">
      <c r="A11" s="374"/>
      <c r="B11" s="42" t="s">
        <v>582</v>
      </c>
      <c r="C11" s="42" t="s">
        <v>3070</v>
      </c>
      <c r="D11" s="42" t="s">
        <v>16</v>
      </c>
      <c r="E11" s="47" t="s">
        <v>3484</v>
      </c>
      <c r="F11" s="47">
        <v>10096</v>
      </c>
      <c r="G11" s="47"/>
      <c r="H11" s="47">
        <v>12940</v>
      </c>
      <c r="I11" s="47">
        <v>245</v>
      </c>
      <c r="J11" s="47">
        <v>0.13</v>
      </c>
      <c r="K11" s="43">
        <f t="shared" si="0"/>
        <v>31.85</v>
      </c>
      <c r="L11" s="43">
        <f t="shared" si="1"/>
        <v>12908.15</v>
      </c>
      <c r="M11" s="43"/>
      <c r="N11" s="43">
        <f t="shared" si="2"/>
        <v>12908.15</v>
      </c>
      <c r="O11" s="43">
        <f t="shared" si="3"/>
        <v>905.8</v>
      </c>
      <c r="P11" s="42">
        <v>16000</v>
      </c>
      <c r="Q11" s="42"/>
      <c r="R11" s="42">
        <f t="shared" si="4"/>
        <v>0</v>
      </c>
    </row>
  </sheetData>
  <mergeCells count="1">
    <mergeCell ref="A10:A11"/>
  </mergeCells>
  <pageMargins left="0.7" right="0.7" top="0.75" bottom="0.75" header="0.3" footer="0.3"/>
  <pageSetup paperSize="9" orientation="portrait" verticalDpi="0" r:id="rId1"/>
</worksheet>
</file>

<file path=xl/worksheets/sheet168.xml><?xml version="1.0" encoding="utf-8"?>
<worksheet xmlns="http://schemas.openxmlformats.org/spreadsheetml/2006/main" xmlns:r="http://schemas.openxmlformats.org/officeDocument/2006/relationships">
  <dimension ref="A5:U18"/>
  <sheetViews>
    <sheetView workbookViewId="0">
      <selection activeCell="A19" sqref="A19"/>
    </sheetView>
  </sheetViews>
  <sheetFormatPr defaultRowHeight="14.4"/>
  <cols>
    <col min="1" max="1" width="8.88671875" style="1"/>
    <col min="2" max="2" width="17.44140625" style="1" customWidth="1"/>
    <col min="3" max="3" width="14.33203125" style="1" customWidth="1"/>
    <col min="4" max="4" width="5.5546875" style="1" customWidth="1"/>
    <col min="5" max="5" width="11.2187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128</v>
      </c>
    </row>
    <row r="6" spans="1:21">
      <c r="A6" s="34"/>
      <c r="B6" s="313"/>
      <c r="C6" s="313"/>
      <c r="D6" s="313"/>
      <c r="E6" s="313"/>
      <c r="F6" s="313"/>
      <c r="G6" s="313"/>
      <c r="H6" s="313"/>
      <c r="I6" s="313"/>
      <c r="J6" s="313"/>
      <c r="K6" s="5"/>
      <c r="L6" s="19"/>
      <c r="M6" s="5"/>
      <c r="N6" s="313"/>
      <c r="O6" s="313"/>
      <c r="P6" s="313"/>
    </row>
    <row r="7" spans="1:21">
      <c r="A7" s="11" t="s">
        <v>3323</v>
      </c>
      <c r="B7" s="42" t="s">
        <v>696</v>
      </c>
      <c r="C7" s="42" t="s">
        <v>3070</v>
      </c>
      <c r="D7" s="42" t="s">
        <v>16</v>
      </c>
      <c r="E7" s="47" t="s">
        <v>3325</v>
      </c>
      <c r="F7" s="47">
        <v>319</v>
      </c>
      <c r="G7" s="47"/>
      <c r="H7" s="47">
        <v>20960</v>
      </c>
      <c r="I7" s="47">
        <v>425</v>
      </c>
      <c r="J7" s="47">
        <v>0.13</v>
      </c>
      <c r="K7" s="43">
        <f t="shared" ref="K7" si="0">I7*J7</f>
        <v>55.25</v>
      </c>
      <c r="L7" s="43">
        <f t="shared" ref="L7" si="1">H7-K7</f>
        <v>20904.75</v>
      </c>
      <c r="M7" s="43"/>
      <c r="N7" s="43">
        <f t="shared" ref="N7" si="2">L7-M7</f>
        <v>20904.75</v>
      </c>
      <c r="O7" s="43">
        <f t="shared" ref="O7" si="3">H7/1000*70</f>
        <v>1467.2</v>
      </c>
      <c r="P7" s="42">
        <v>35200</v>
      </c>
      <c r="Q7" s="42"/>
      <c r="R7" s="42">
        <f t="shared" ref="R7" si="4">L7*Q7</f>
        <v>0</v>
      </c>
    </row>
    <row r="8" spans="1:21">
      <c r="B8" s="313"/>
      <c r="C8" s="313"/>
      <c r="D8" s="313"/>
      <c r="E8" s="313"/>
      <c r="F8" s="313"/>
      <c r="G8" s="313"/>
      <c r="H8" s="313"/>
      <c r="I8" s="313"/>
      <c r="J8" s="313"/>
      <c r="K8" s="313"/>
      <c r="L8" s="5"/>
      <c r="M8" s="5"/>
      <c r="N8" s="313"/>
    </row>
    <row r="9" spans="1:21">
      <c r="A9" s="1" t="s">
        <v>3387</v>
      </c>
      <c r="B9" s="42" t="s">
        <v>696</v>
      </c>
      <c r="C9" s="42" t="s">
        <v>3070</v>
      </c>
      <c r="D9" s="42" t="s">
        <v>16</v>
      </c>
      <c r="E9" s="47" t="s">
        <v>3388</v>
      </c>
      <c r="F9" s="47">
        <v>1427</v>
      </c>
      <c r="G9" s="47"/>
      <c r="H9" s="47">
        <v>20365</v>
      </c>
      <c r="I9" s="47">
        <v>401</v>
      </c>
      <c r="J9" s="47">
        <v>0.13</v>
      </c>
      <c r="K9" s="43">
        <f t="shared" ref="K9" si="5">I9*J9</f>
        <v>52.13</v>
      </c>
      <c r="L9" s="43">
        <f t="shared" ref="L9" si="6">H9-K9</f>
        <v>20312.87</v>
      </c>
      <c r="M9" s="43"/>
      <c r="N9" s="43">
        <f t="shared" ref="N9" si="7">L9-M9</f>
        <v>20312.87</v>
      </c>
      <c r="O9" s="43">
        <f t="shared" ref="O9" si="8">H9/1000*70</f>
        <v>1425.55</v>
      </c>
      <c r="P9" s="42">
        <v>31450</v>
      </c>
      <c r="Q9" s="42"/>
      <c r="R9" s="42">
        <f t="shared" ref="R9" si="9">L9*Q9</f>
        <v>0</v>
      </c>
    </row>
    <row r="12" spans="1:21">
      <c r="A12" s="1" t="s">
        <v>3523</v>
      </c>
      <c r="B12" s="42" t="s">
        <v>696</v>
      </c>
      <c r="C12" s="42" t="s">
        <v>3518</v>
      </c>
      <c r="D12" s="42" t="s">
        <v>16</v>
      </c>
      <c r="E12" s="47" t="s">
        <v>3519</v>
      </c>
      <c r="F12" s="47">
        <v>863</v>
      </c>
      <c r="G12" s="47"/>
      <c r="H12" s="47">
        <v>20060</v>
      </c>
      <c r="I12" s="47">
        <v>400</v>
      </c>
      <c r="J12" s="47">
        <v>0.13</v>
      </c>
      <c r="K12" s="43">
        <f t="shared" ref="K12" si="10">I12*J12</f>
        <v>52</v>
      </c>
      <c r="L12" s="43">
        <f t="shared" ref="L12" si="11">H12-K12</f>
        <v>20008</v>
      </c>
      <c r="M12" s="43"/>
      <c r="N12" s="43">
        <f t="shared" ref="N12" si="12">L12-M12</f>
        <v>20008</v>
      </c>
      <c r="O12" s="43">
        <f t="shared" ref="O12" si="13">H12/1000*70</f>
        <v>1404.1999999999998</v>
      </c>
      <c r="P12" s="42">
        <v>33200</v>
      </c>
      <c r="Q12" s="42">
        <v>6.6</v>
      </c>
      <c r="R12" s="42">
        <f t="shared" ref="R12" si="14">L12*Q12</f>
        <v>132052.79999999999</v>
      </c>
    </row>
    <row r="15" spans="1:21">
      <c r="L15" s="16">
        <f>SUM(L6:L14)</f>
        <v>61225.619999999995</v>
      </c>
    </row>
    <row r="17" spans="1:18">
      <c r="A17" s="374" t="s">
        <v>3548</v>
      </c>
      <c r="B17" s="42" t="s">
        <v>696</v>
      </c>
      <c r="C17" s="42" t="s">
        <v>3558</v>
      </c>
      <c r="D17" s="42" t="s">
        <v>16</v>
      </c>
      <c r="E17" s="47" t="s">
        <v>3559</v>
      </c>
      <c r="F17" s="47">
        <v>871</v>
      </c>
      <c r="G17" s="47"/>
      <c r="H17" s="47">
        <v>22780</v>
      </c>
      <c r="I17" s="47">
        <v>446</v>
      </c>
      <c r="J17" s="47">
        <v>0.13</v>
      </c>
      <c r="K17" s="43">
        <f t="shared" ref="K17:K18" si="15">I17*J17</f>
        <v>57.980000000000004</v>
      </c>
      <c r="L17" s="43">
        <f t="shared" ref="L17:L18" si="16">H17-K17</f>
        <v>22722.02</v>
      </c>
      <c r="M17" s="43"/>
      <c r="N17" s="43">
        <f t="shared" ref="N17:N18" si="17">L17-M17</f>
        <v>22722.02</v>
      </c>
      <c r="O17" s="43">
        <f t="shared" ref="O17:O18" si="18">H17/1000*70</f>
        <v>1594.6000000000001</v>
      </c>
      <c r="P17" s="42">
        <v>33200</v>
      </c>
      <c r="Q17" s="42"/>
      <c r="R17" s="42">
        <f t="shared" ref="R17:R18" si="19">L17*Q17</f>
        <v>0</v>
      </c>
    </row>
    <row r="18" spans="1:18">
      <c r="A18" s="374"/>
      <c r="B18" s="42" t="s">
        <v>696</v>
      </c>
      <c r="C18" s="42" t="s">
        <v>3558</v>
      </c>
      <c r="D18" s="42" t="s">
        <v>16</v>
      </c>
      <c r="E18" s="47" t="s">
        <v>3560</v>
      </c>
      <c r="F18" s="47">
        <v>870</v>
      </c>
      <c r="G18" s="47"/>
      <c r="H18" s="47">
        <v>22600</v>
      </c>
      <c r="I18" s="47">
        <v>442</v>
      </c>
      <c r="J18" s="47">
        <v>0.13</v>
      </c>
      <c r="K18" s="43">
        <f t="shared" si="15"/>
        <v>57.46</v>
      </c>
      <c r="L18" s="43">
        <f t="shared" si="16"/>
        <v>22542.54</v>
      </c>
      <c r="M18" s="43"/>
      <c r="N18" s="43">
        <f t="shared" si="17"/>
        <v>22542.54</v>
      </c>
      <c r="O18" s="43">
        <f t="shared" si="18"/>
        <v>1582</v>
      </c>
      <c r="P18" s="42">
        <v>32970</v>
      </c>
      <c r="Q18" s="42"/>
      <c r="R18" s="42">
        <f t="shared" si="19"/>
        <v>0</v>
      </c>
    </row>
  </sheetData>
  <mergeCells count="1">
    <mergeCell ref="A17:A18"/>
  </mergeCells>
  <pageMargins left="0.7" right="0.7" top="0.75" bottom="0.75" header="0.3" footer="0.3"/>
  <pageSetup paperSize="9" orientation="portrait" verticalDpi="0" r:id="rId1"/>
</worksheet>
</file>

<file path=xl/worksheets/sheet169.xml><?xml version="1.0" encoding="utf-8"?>
<worksheet xmlns="http://schemas.openxmlformats.org/spreadsheetml/2006/main" xmlns:r="http://schemas.openxmlformats.org/officeDocument/2006/relationships">
  <dimension ref="A5:U21"/>
  <sheetViews>
    <sheetView workbookViewId="0">
      <selection activeCell="B22" sqref="B22"/>
    </sheetView>
  </sheetViews>
  <sheetFormatPr defaultRowHeight="14.4"/>
  <cols>
    <col min="1" max="1" width="8.88671875" style="1"/>
    <col min="2" max="2" width="21.33203125" style="1" customWidth="1"/>
    <col min="3" max="3" width="14.33203125" style="1" customWidth="1"/>
    <col min="4" max="4" width="5.5546875" style="1" customWidth="1"/>
    <col min="5" max="5" width="11.2187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128</v>
      </c>
    </row>
    <row r="6" spans="1:21">
      <c r="A6" s="38"/>
      <c r="B6" s="42"/>
      <c r="C6" s="42"/>
      <c r="D6" s="42"/>
      <c r="E6" s="42"/>
      <c r="F6" s="42"/>
      <c r="G6" s="42"/>
      <c r="H6" s="42"/>
      <c r="I6" s="42"/>
      <c r="J6" s="42"/>
      <c r="K6" s="42"/>
      <c r="L6" s="43"/>
      <c r="M6" s="43"/>
      <c r="N6" s="43"/>
      <c r="O6" s="43"/>
      <c r="P6" s="42"/>
      <c r="Q6" s="42"/>
      <c r="R6" s="42"/>
    </row>
    <row r="7" spans="1:21">
      <c r="B7" s="303"/>
      <c r="C7" s="303"/>
      <c r="D7" s="303"/>
      <c r="E7" s="303"/>
      <c r="F7" s="303"/>
      <c r="G7" s="303"/>
      <c r="H7" s="303"/>
      <c r="I7" s="303"/>
      <c r="J7" s="303"/>
      <c r="K7" s="303"/>
      <c r="L7" s="5"/>
      <c r="M7" s="5"/>
      <c r="N7" s="303"/>
    </row>
    <row r="8" spans="1:21">
      <c r="A8" s="1" t="s">
        <v>2998</v>
      </c>
      <c r="B8" s="42" t="s">
        <v>3001</v>
      </c>
      <c r="C8" s="42" t="s">
        <v>1165</v>
      </c>
      <c r="D8" s="42" t="s">
        <v>16</v>
      </c>
      <c r="E8" s="42" t="s">
        <v>3002</v>
      </c>
      <c r="F8" s="42">
        <v>159</v>
      </c>
      <c r="G8" s="42"/>
      <c r="H8" s="42">
        <v>12620</v>
      </c>
      <c r="I8" s="42">
        <v>253</v>
      </c>
      <c r="J8" s="42">
        <v>0.13</v>
      </c>
      <c r="K8" s="43">
        <f t="shared" ref="K8" si="0">I8*J8</f>
        <v>32.89</v>
      </c>
      <c r="L8" s="43">
        <f t="shared" ref="L8" si="1">H8-K8</f>
        <v>12587.11</v>
      </c>
      <c r="M8" s="43"/>
      <c r="N8" s="43">
        <f t="shared" ref="N8" si="2">L8-M8</f>
        <v>12587.11</v>
      </c>
      <c r="O8" s="43">
        <f t="shared" ref="O8" si="3">H8/1000*70</f>
        <v>883.4</v>
      </c>
      <c r="P8" s="42">
        <v>16000</v>
      </c>
      <c r="Q8" s="42">
        <v>9.5</v>
      </c>
      <c r="R8" s="42">
        <f t="shared" ref="R8" si="4">L8*Q8</f>
        <v>119577.54500000001</v>
      </c>
    </row>
    <row r="10" spans="1:21">
      <c r="A10" s="374" t="s">
        <v>3068</v>
      </c>
      <c r="B10" s="42" t="s">
        <v>3045</v>
      </c>
      <c r="C10" s="42" t="s">
        <v>3070</v>
      </c>
      <c r="D10" s="42" t="s">
        <v>16</v>
      </c>
      <c r="E10" s="42" t="s">
        <v>3071</v>
      </c>
      <c r="F10" s="42">
        <v>58</v>
      </c>
      <c r="G10" s="42"/>
      <c r="H10" s="42">
        <v>12890</v>
      </c>
      <c r="I10" s="42">
        <v>255</v>
      </c>
      <c r="J10" s="42">
        <v>0.13</v>
      </c>
      <c r="K10" s="43">
        <f t="shared" ref="K10:K11" si="5">I10*J10</f>
        <v>33.15</v>
      </c>
      <c r="L10" s="43">
        <f t="shared" ref="L10:L11" si="6">H10-K10</f>
        <v>12856.85</v>
      </c>
      <c r="M10" s="43"/>
      <c r="N10" s="43">
        <f t="shared" ref="N10:N11" si="7">L10-M10</f>
        <v>12856.85</v>
      </c>
      <c r="O10" s="43">
        <f t="shared" ref="O10:O11" si="8">H10/1000*70</f>
        <v>902.30000000000007</v>
      </c>
      <c r="P10" s="42">
        <v>19500</v>
      </c>
      <c r="Q10" s="42">
        <v>10</v>
      </c>
      <c r="R10" s="42">
        <f t="shared" ref="R10:R11" si="9">L10*Q10</f>
        <v>128568.5</v>
      </c>
    </row>
    <row r="11" spans="1:21">
      <c r="A11" s="374"/>
      <c r="B11" s="42" t="s">
        <v>3045</v>
      </c>
      <c r="C11" s="42" t="s">
        <v>3070</v>
      </c>
      <c r="D11" s="42" t="s">
        <v>16</v>
      </c>
      <c r="E11" s="42" t="s">
        <v>3072</v>
      </c>
      <c r="F11" s="42">
        <v>56</v>
      </c>
      <c r="G11" s="42"/>
      <c r="H11" s="42">
        <v>12740</v>
      </c>
      <c r="I11" s="42">
        <v>255</v>
      </c>
      <c r="J11" s="42">
        <v>0.13</v>
      </c>
      <c r="K11" s="43">
        <f t="shared" si="5"/>
        <v>33.15</v>
      </c>
      <c r="L11" s="43">
        <f t="shared" si="6"/>
        <v>12706.85</v>
      </c>
      <c r="M11" s="43"/>
      <c r="N11" s="43">
        <f t="shared" si="7"/>
        <v>12706.85</v>
      </c>
      <c r="O11" s="43">
        <f t="shared" si="8"/>
        <v>891.80000000000007</v>
      </c>
      <c r="P11" s="42">
        <v>19500</v>
      </c>
      <c r="Q11" s="42">
        <v>10</v>
      </c>
      <c r="R11" s="42">
        <f t="shared" si="9"/>
        <v>127068.5</v>
      </c>
    </row>
    <row r="13" spans="1:21">
      <c r="A13" s="1" t="s">
        <v>3117</v>
      </c>
      <c r="B13" s="42" t="s">
        <v>3045</v>
      </c>
      <c r="C13" s="42" t="s">
        <v>3070</v>
      </c>
      <c r="D13" s="42" t="s">
        <v>16</v>
      </c>
      <c r="E13" s="42" t="s">
        <v>3120</v>
      </c>
      <c r="F13" s="42">
        <v>390</v>
      </c>
      <c r="G13" s="42"/>
      <c r="H13" s="42">
        <v>15340</v>
      </c>
      <c r="I13" s="42">
        <v>306</v>
      </c>
      <c r="J13" s="42">
        <v>0.13</v>
      </c>
      <c r="K13" s="43">
        <f t="shared" ref="K13" si="10">I13*J13</f>
        <v>39.78</v>
      </c>
      <c r="L13" s="43">
        <f t="shared" ref="L13" si="11">H13-K13</f>
        <v>15300.22</v>
      </c>
      <c r="M13" s="43"/>
      <c r="N13" s="43">
        <f t="shared" ref="N13" si="12">L13-M13</f>
        <v>15300.22</v>
      </c>
      <c r="O13" s="43">
        <f t="shared" ref="O13" si="13">H13/1000*70</f>
        <v>1073.8</v>
      </c>
      <c r="P13" s="42">
        <v>42300</v>
      </c>
      <c r="Q13" s="42">
        <v>9.5</v>
      </c>
      <c r="R13" s="42">
        <f t="shared" ref="R13" si="14">L13*Q13</f>
        <v>145352.09</v>
      </c>
    </row>
    <row r="15" spans="1:21">
      <c r="A15" s="1" t="s">
        <v>3188</v>
      </c>
      <c r="B15" s="42" t="s">
        <v>684</v>
      </c>
      <c r="C15" s="42" t="s">
        <v>1165</v>
      </c>
      <c r="D15" s="42" t="s">
        <v>16</v>
      </c>
      <c r="E15" s="42" t="s">
        <v>3190</v>
      </c>
      <c r="F15" s="42">
        <v>311</v>
      </c>
      <c r="G15" s="42"/>
      <c r="H15" s="42">
        <v>18415</v>
      </c>
      <c r="I15" s="42">
        <v>354</v>
      </c>
      <c r="J15" s="42">
        <v>0.13</v>
      </c>
      <c r="K15" s="43">
        <f t="shared" ref="K15:K16" si="15">I15*J15</f>
        <v>46.02</v>
      </c>
      <c r="L15" s="43">
        <f t="shared" ref="L15:L16" si="16">H15-K15</f>
        <v>18368.98</v>
      </c>
      <c r="M15" s="43"/>
      <c r="N15" s="43">
        <f t="shared" ref="N15:N16" si="17">L15-M15</f>
        <v>18368.98</v>
      </c>
      <c r="O15" s="43">
        <f t="shared" ref="O15:O16" si="18">H15/1000*70</f>
        <v>1289.05</v>
      </c>
      <c r="P15" s="42">
        <v>28643</v>
      </c>
      <c r="Q15" s="42">
        <v>9.5</v>
      </c>
      <c r="R15" s="42">
        <f t="shared" ref="R15:R16" si="19">L15*Q15</f>
        <v>174505.31</v>
      </c>
    </row>
    <row r="16" spans="1:21">
      <c r="A16" s="1" t="s">
        <v>3263</v>
      </c>
      <c r="B16" s="42" t="s">
        <v>684</v>
      </c>
      <c r="C16" s="42" t="s">
        <v>1165</v>
      </c>
      <c r="D16" s="42" t="s">
        <v>16</v>
      </c>
      <c r="E16" s="42" t="s">
        <v>2215</v>
      </c>
      <c r="F16" s="42">
        <v>313</v>
      </c>
      <c r="G16" s="42"/>
      <c r="H16" s="42">
        <v>23170</v>
      </c>
      <c r="I16" s="42">
        <v>430</v>
      </c>
      <c r="J16" s="42">
        <v>0.13</v>
      </c>
      <c r="K16" s="43">
        <f t="shared" si="15"/>
        <v>55.9</v>
      </c>
      <c r="L16" s="43">
        <f t="shared" si="16"/>
        <v>23114.1</v>
      </c>
      <c r="M16" s="43"/>
      <c r="N16" s="43">
        <f t="shared" si="17"/>
        <v>23114.1</v>
      </c>
      <c r="O16" s="43">
        <f t="shared" si="18"/>
        <v>1621.9</v>
      </c>
      <c r="P16" s="42">
        <v>37250</v>
      </c>
      <c r="Q16" s="42"/>
      <c r="R16" s="42">
        <f t="shared" si="19"/>
        <v>0</v>
      </c>
    </row>
    <row r="18" spans="1:18">
      <c r="A18" s="374" t="s">
        <v>3370</v>
      </c>
      <c r="B18" s="42" t="s">
        <v>3371</v>
      </c>
      <c r="C18" s="42" t="s">
        <v>1933</v>
      </c>
      <c r="D18" s="42" t="s">
        <v>16</v>
      </c>
      <c r="E18" s="47" t="s">
        <v>1100</v>
      </c>
      <c r="F18" s="47">
        <v>3901</v>
      </c>
      <c r="G18" s="47">
        <v>2377</v>
      </c>
      <c r="H18" s="47">
        <v>18000</v>
      </c>
      <c r="I18" s="47">
        <v>360</v>
      </c>
      <c r="J18" s="47">
        <v>0.13</v>
      </c>
      <c r="K18" s="43">
        <f t="shared" ref="K18:K19" si="20">I18*J18</f>
        <v>46.800000000000004</v>
      </c>
      <c r="L18" s="43">
        <f t="shared" ref="L18:L19" si="21">H18-K18</f>
        <v>17953.2</v>
      </c>
      <c r="M18" s="43"/>
      <c r="N18" s="43">
        <f t="shared" ref="N18:N19" si="22">L18-M18</f>
        <v>17953.2</v>
      </c>
      <c r="O18" s="43">
        <f t="shared" ref="O18" si="23">H18/1000*70</f>
        <v>1260</v>
      </c>
      <c r="P18" s="42">
        <v>0</v>
      </c>
      <c r="Q18" s="42">
        <v>8.5</v>
      </c>
      <c r="R18" s="42">
        <f t="shared" ref="R18:R19" si="24">L18*Q18</f>
        <v>152602.20000000001</v>
      </c>
    </row>
    <row r="19" spans="1:18">
      <c r="A19" s="374"/>
      <c r="B19" s="42" t="s">
        <v>3371</v>
      </c>
      <c r="C19" s="42" t="s">
        <v>23</v>
      </c>
      <c r="D19" s="42" t="s">
        <v>16</v>
      </c>
      <c r="E19" s="47" t="s">
        <v>1100</v>
      </c>
      <c r="F19" s="47">
        <v>4501</v>
      </c>
      <c r="G19" s="47">
        <v>2378</v>
      </c>
      <c r="H19" s="47">
        <v>625</v>
      </c>
      <c r="I19" s="47">
        <v>10</v>
      </c>
      <c r="J19" s="47"/>
      <c r="K19" s="43">
        <f t="shared" si="20"/>
        <v>0</v>
      </c>
      <c r="L19" s="43">
        <f t="shared" si="21"/>
        <v>625</v>
      </c>
      <c r="M19" s="43"/>
      <c r="N19" s="43">
        <f t="shared" si="22"/>
        <v>625</v>
      </c>
      <c r="O19" s="43">
        <v>35</v>
      </c>
      <c r="P19" s="42">
        <v>0</v>
      </c>
      <c r="Q19" s="42">
        <v>41</v>
      </c>
      <c r="R19" s="42">
        <f t="shared" si="24"/>
        <v>25625</v>
      </c>
    </row>
    <row r="21" spans="1:18">
      <c r="A21" s="1" t="s">
        <v>3468</v>
      </c>
      <c r="B21" s="42" t="s">
        <v>684</v>
      </c>
      <c r="C21" s="42" t="s">
        <v>3070</v>
      </c>
      <c r="D21" s="42" t="s">
        <v>16</v>
      </c>
      <c r="E21" s="47" t="s">
        <v>3471</v>
      </c>
      <c r="F21" s="47">
        <v>1438</v>
      </c>
      <c r="G21" s="47"/>
      <c r="H21" s="47">
        <v>20535</v>
      </c>
      <c r="I21" s="47">
        <v>401</v>
      </c>
      <c r="J21" s="47">
        <v>0.13</v>
      </c>
      <c r="K21" s="43">
        <f t="shared" ref="K21" si="25">I21*J21</f>
        <v>52.13</v>
      </c>
      <c r="L21" s="43">
        <f t="shared" ref="L21" si="26">H21-K21</f>
        <v>20482.87</v>
      </c>
      <c r="M21" s="43"/>
      <c r="N21" s="43">
        <f t="shared" ref="N21" si="27">L21-M21</f>
        <v>20482.87</v>
      </c>
      <c r="O21" s="43">
        <f t="shared" ref="O21" si="28">H21/1000*70</f>
        <v>1437.45</v>
      </c>
      <c r="P21" s="42">
        <v>32000</v>
      </c>
      <c r="Q21" s="42">
        <v>9.5</v>
      </c>
      <c r="R21" s="42">
        <f t="shared" ref="R21" si="29">L21*Q21</f>
        <v>194587.26499999998</v>
      </c>
    </row>
  </sheetData>
  <mergeCells count="2">
    <mergeCell ref="A10:A11"/>
    <mergeCell ref="A18:A19"/>
  </mergeCells>
  <pageMargins left="0.7" right="0.7" top="0.75" bottom="0.75" header="0.3" footer="0.3"/>
  <pageSetup paperSize="9" orientation="portrait" verticalDpi="0" r:id="rId1"/>
</worksheet>
</file>

<file path=xl/worksheets/sheet170.xml><?xml version="1.0" encoding="utf-8"?>
<worksheet xmlns="http://schemas.openxmlformats.org/spreadsheetml/2006/main" xmlns:r="http://schemas.openxmlformats.org/officeDocument/2006/relationships">
  <dimension ref="A5:U149"/>
  <sheetViews>
    <sheetView topLeftCell="A128" workbookViewId="0">
      <selection activeCell="A136" sqref="A136:S149"/>
    </sheetView>
  </sheetViews>
  <sheetFormatPr defaultRowHeight="14.4"/>
  <cols>
    <col min="1" max="1" width="8.88671875" style="1"/>
    <col min="2" max="2" width="9.109375" style="1" customWidth="1"/>
    <col min="3" max="3" width="14" style="1" customWidth="1"/>
    <col min="4" max="4" width="5.5546875" style="1" customWidth="1"/>
    <col min="5" max="5" width="9.5546875" style="1" customWidth="1"/>
    <col min="6" max="6" width="7" style="1" customWidth="1"/>
    <col min="7" max="7" width="4.5546875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4.77734375" style="1" customWidth="1"/>
    <col min="14" max="14" width="7.88671875" style="1" customWidth="1"/>
    <col min="15" max="15" width="7.5546875" style="1" customWidth="1"/>
    <col min="16" max="16" width="8.88671875" style="1"/>
    <col min="17" max="17" width="6.77734375" style="1" customWidth="1"/>
    <col min="18" max="16384" width="8.88671875" style="1"/>
  </cols>
  <sheetData>
    <row r="5" spans="1:21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128</v>
      </c>
    </row>
    <row r="6" spans="1:21">
      <c r="A6" s="393" t="s">
        <v>1330</v>
      </c>
      <c r="B6" s="42" t="s">
        <v>19</v>
      </c>
      <c r="C6" s="42" t="s">
        <v>1165</v>
      </c>
      <c r="D6" s="42" t="s">
        <v>16</v>
      </c>
      <c r="E6" s="42" t="s">
        <v>1339</v>
      </c>
      <c r="F6" s="42">
        <v>1677</v>
      </c>
      <c r="G6" s="42"/>
      <c r="H6" s="42">
        <v>12650</v>
      </c>
      <c r="I6" s="42">
        <v>252</v>
      </c>
      <c r="J6" s="42">
        <v>0.13</v>
      </c>
      <c r="K6" s="42">
        <v>33</v>
      </c>
      <c r="L6" s="43">
        <f t="shared" ref="L6:L23" si="0">H6-K6</f>
        <v>12617</v>
      </c>
      <c r="M6" s="43"/>
      <c r="N6" s="43">
        <f t="shared" ref="N6:N23" si="1">L6-M6</f>
        <v>12617</v>
      </c>
      <c r="O6" s="43">
        <f t="shared" ref="O6:O23" si="2">H6/1000*70</f>
        <v>885.5</v>
      </c>
      <c r="P6" s="42">
        <v>31000</v>
      </c>
      <c r="Q6" s="42"/>
      <c r="R6" s="42">
        <f t="shared" ref="R6:R23" si="3">L6*Q6</f>
        <v>0</v>
      </c>
      <c r="S6" s="1">
        <v>1</v>
      </c>
    </row>
    <row r="7" spans="1:21">
      <c r="A7" s="395"/>
      <c r="B7" s="42" t="s">
        <v>19</v>
      </c>
      <c r="C7" s="42" t="s">
        <v>1165</v>
      </c>
      <c r="D7" s="42" t="s">
        <v>16</v>
      </c>
      <c r="E7" s="42" t="s">
        <v>1340</v>
      </c>
      <c r="F7" s="42">
        <v>1672</v>
      </c>
      <c r="G7" s="42"/>
      <c r="H7" s="42">
        <v>12580</v>
      </c>
      <c r="I7" s="42">
        <v>252</v>
      </c>
      <c r="J7" s="42">
        <v>0.13</v>
      </c>
      <c r="K7" s="42">
        <v>33</v>
      </c>
      <c r="L7" s="43">
        <f t="shared" si="0"/>
        <v>12547</v>
      </c>
      <c r="M7" s="43"/>
      <c r="N7" s="43">
        <f t="shared" si="1"/>
        <v>12547</v>
      </c>
      <c r="O7" s="43">
        <f t="shared" si="2"/>
        <v>880.6</v>
      </c>
      <c r="P7" s="42">
        <v>31000</v>
      </c>
      <c r="Q7" s="42"/>
      <c r="R7" s="42">
        <f t="shared" si="3"/>
        <v>0</v>
      </c>
      <c r="S7" s="1">
        <v>2</v>
      </c>
    </row>
    <row r="8" spans="1:21">
      <c r="A8" s="395"/>
      <c r="B8" s="42" t="s">
        <v>19</v>
      </c>
      <c r="C8" s="42" t="s">
        <v>1165</v>
      </c>
      <c r="D8" s="42" t="s">
        <v>16</v>
      </c>
      <c r="E8" s="42" t="s">
        <v>1341</v>
      </c>
      <c r="F8" s="42">
        <v>1674</v>
      </c>
      <c r="G8" s="42"/>
      <c r="H8" s="42">
        <v>12590</v>
      </c>
      <c r="I8" s="42">
        <v>252</v>
      </c>
      <c r="J8" s="42">
        <v>0.13</v>
      </c>
      <c r="K8" s="42">
        <v>33</v>
      </c>
      <c r="L8" s="43">
        <f t="shared" si="0"/>
        <v>12557</v>
      </c>
      <c r="M8" s="43"/>
      <c r="N8" s="43">
        <f t="shared" si="1"/>
        <v>12557</v>
      </c>
      <c r="O8" s="43">
        <f t="shared" si="2"/>
        <v>881.3</v>
      </c>
      <c r="P8" s="42">
        <v>31000</v>
      </c>
      <c r="Q8" s="42"/>
      <c r="R8" s="42">
        <f t="shared" si="3"/>
        <v>0</v>
      </c>
      <c r="S8" s="1">
        <v>3</v>
      </c>
    </row>
    <row r="9" spans="1:21">
      <c r="A9" s="398" t="s">
        <v>1342</v>
      </c>
      <c r="B9" s="42" t="s">
        <v>19</v>
      </c>
      <c r="C9" s="42" t="s">
        <v>1165</v>
      </c>
      <c r="D9" s="42" t="s">
        <v>16</v>
      </c>
      <c r="E9" s="42" t="s">
        <v>1349</v>
      </c>
      <c r="F9" s="42">
        <v>1675</v>
      </c>
      <c r="G9" s="42"/>
      <c r="H9" s="42">
        <v>19110</v>
      </c>
      <c r="I9" s="42">
        <v>384</v>
      </c>
      <c r="J9" s="42">
        <v>0.13</v>
      </c>
      <c r="K9" s="42">
        <v>50</v>
      </c>
      <c r="L9" s="43">
        <f t="shared" si="0"/>
        <v>19060</v>
      </c>
      <c r="M9" s="43"/>
      <c r="N9" s="43">
        <f t="shared" si="1"/>
        <v>19060</v>
      </c>
      <c r="O9" s="43">
        <f t="shared" si="2"/>
        <v>1337.7</v>
      </c>
      <c r="P9" s="42">
        <v>47000</v>
      </c>
      <c r="Q9" s="42"/>
      <c r="R9" s="42">
        <f t="shared" si="3"/>
        <v>0</v>
      </c>
      <c r="S9" s="1">
        <v>4</v>
      </c>
    </row>
    <row r="10" spans="1:21">
      <c r="A10" s="398"/>
      <c r="B10" s="42" t="s">
        <v>19</v>
      </c>
      <c r="C10" s="42" t="s">
        <v>1165</v>
      </c>
      <c r="D10" s="42" t="s">
        <v>16</v>
      </c>
      <c r="E10" s="42" t="s">
        <v>1350</v>
      </c>
      <c r="F10" s="42">
        <v>1680</v>
      </c>
      <c r="G10" s="42"/>
      <c r="H10" s="42">
        <v>17680</v>
      </c>
      <c r="I10" s="42">
        <v>380</v>
      </c>
      <c r="J10" s="42">
        <v>0.13</v>
      </c>
      <c r="K10" s="42">
        <v>50</v>
      </c>
      <c r="L10" s="43">
        <f t="shared" si="0"/>
        <v>17630</v>
      </c>
      <c r="M10" s="43"/>
      <c r="N10" s="43">
        <f t="shared" si="1"/>
        <v>17630</v>
      </c>
      <c r="O10" s="43">
        <f t="shared" si="2"/>
        <v>1237.5999999999999</v>
      </c>
      <c r="P10" s="42">
        <v>47000</v>
      </c>
      <c r="Q10" s="42"/>
      <c r="R10" s="42">
        <f t="shared" si="3"/>
        <v>0</v>
      </c>
      <c r="S10" s="1">
        <v>5</v>
      </c>
    </row>
    <row r="11" spans="1:21">
      <c r="A11" s="398"/>
      <c r="B11" s="42" t="s">
        <v>19</v>
      </c>
      <c r="C11" s="42" t="s">
        <v>1165</v>
      </c>
      <c r="D11" s="42" t="s">
        <v>16</v>
      </c>
      <c r="E11" s="42" t="s">
        <v>1351</v>
      </c>
      <c r="F11" s="42">
        <v>1670</v>
      </c>
      <c r="G11" s="42"/>
      <c r="H11" s="42">
        <v>18730</v>
      </c>
      <c r="I11" s="42">
        <v>376</v>
      </c>
      <c r="J11" s="42">
        <v>0.13</v>
      </c>
      <c r="K11" s="42">
        <v>49</v>
      </c>
      <c r="L11" s="43">
        <f t="shared" si="0"/>
        <v>18681</v>
      </c>
      <c r="M11" s="43"/>
      <c r="N11" s="43">
        <f t="shared" si="1"/>
        <v>18681</v>
      </c>
      <c r="O11" s="43">
        <f t="shared" si="2"/>
        <v>1311.1000000000001</v>
      </c>
      <c r="P11" s="42">
        <v>47000</v>
      </c>
      <c r="Q11" s="42"/>
      <c r="R11" s="42">
        <f t="shared" si="3"/>
        <v>0</v>
      </c>
      <c r="S11" s="1">
        <v>6</v>
      </c>
    </row>
    <row r="12" spans="1:21">
      <c r="A12" s="398"/>
      <c r="B12" s="42" t="s">
        <v>19</v>
      </c>
      <c r="C12" s="42" t="s">
        <v>1165</v>
      </c>
      <c r="D12" s="42" t="s">
        <v>16</v>
      </c>
      <c r="E12" s="42" t="s">
        <v>1352</v>
      </c>
      <c r="F12" s="42">
        <v>1679</v>
      </c>
      <c r="G12" s="42"/>
      <c r="H12" s="42">
        <v>12770</v>
      </c>
      <c r="I12" s="42">
        <v>252</v>
      </c>
      <c r="J12" s="42">
        <v>0.13</v>
      </c>
      <c r="K12" s="42">
        <v>33</v>
      </c>
      <c r="L12" s="43">
        <f t="shared" si="0"/>
        <v>12737</v>
      </c>
      <c r="M12" s="43"/>
      <c r="N12" s="43">
        <f t="shared" si="1"/>
        <v>12737</v>
      </c>
      <c r="O12" s="43">
        <f t="shared" si="2"/>
        <v>893.9</v>
      </c>
      <c r="P12" s="42">
        <v>31000</v>
      </c>
      <c r="Q12" s="42"/>
      <c r="R12" s="42">
        <f t="shared" si="3"/>
        <v>0</v>
      </c>
      <c r="S12" s="1">
        <v>7</v>
      </c>
    </row>
    <row r="13" spans="1:21">
      <c r="A13" s="398"/>
      <c r="B13" s="42" t="s">
        <v>19</v>
      </c>
      <c r="C13" s="42" t="s">
        <v>1165</v>
      </c>
      <c r="D13" s="42" t="s">
        <v>16</v>
      </c>
      <c r="E13" s="42" t="s">
        <v>1353</v>
      </c>
      <c r="F13" s="42">
        <v>1682</v>
      </c>
      <c r="G13" s="42"/>
      <c r="H13" s="42">
        <v>12050</v>
      </c>
      <c r="I13" s="42">
        <v>244</v>
      </c>
      <c r="J13" s="42">
        <v>0.13</v>
      </c>
      <c r="K13" s="42">
        <v>32</v>
      </c>
      <c r="L13" s="43">
        <f t="shared" si="0"/>
        <v>12018</v>
      </c>
      <c r="M13" s="43"/>
      <c r="N13" s="43">
        <f t="shared" si="1"/>
        <v>12018</v>
      </c>
      <c r="O13" s="43">
        <f t="shared" si="2"/>
        <v>843.5</v>
      </c>
      <c r="P13" s="42">
        <v>29500</v>
      </c>
      <c r="Q13" s="42"/>
      <c r="R13" s="42">
        <f t="shared" si="3"/>
        <v>0</v>
      </c>
      <c r="S13" s="1">
        <v>8</v>
      </c>
    </row>
    <row r="14" spans="1:21">
      <c r="A14" s="398"/>
      <c r="B14" s="42" t="s">
        <v>19</v>
      </c>
      <c r="C14" s="42" t="s">
        <v>1165</v>
      </c>
      <c r="D14" s="42" t="s">
        <v>16</v>
      </c>
      <c r="E14" s="42" t="s">
        <v>1354</v>
      </c>
      <c r="F14" s="42">
        <v>1678</v>
      </c>
      <c r="G14" s="42"/>
      <c r="H14" s="42">
        <v>12490</v>
      </c>
      <c r="I14" s="42">
        <v>252</v>
      </c>
      <c r="J14" s="42">
        <v>0.13</v>
      </c>
      <c r="K14" s="42">
        <v>33</v>
      </c>
      <c r="L14" s="43">
        <f t="shared" si="0"/>
        <v>12457</v>
      </c>
      <c r="M14" s="43"/>
      <c r="N14" s="43">
        <f t="shared" si="1"/>
        <v>12457</v>
      </c>
      <c r="O14" s="43">
        <f t="shared" si="2"/>
        <v>874.30000000000007</v>
      </c>
      <c r="P14" s="42">
        <v>31000</v>
      </c>
      <c r="Q14" s="42"/>
      <c r="R14" s="42">
        <f t="shared" si="3"/>
        <v>0</v>
      </c>
      <c r="S14" s="1">
        <v>9</v>
      </c>
    </row>
    <row r="15" spans="1:21">
      <c r="A15" s="398"/>
      <c r="B15" s="42" t="s">
        <v>19</v>
      </c>
      <c r="C15" s="42" t="s">
        <v>1165</v>
      </c>
      <c r="D15" s="42" t="s">
        <v>16</v>
      </c>
      <c r="E15" s="42" t="s">
        <v>1355</v>
      </c>
      <c r="F15" s="42">
        <v>1676</v>
      </c>
      <c r="G15" s="42"/>
      <c r="H15" s="42">
        <v>18990</v>
      </c>
      <c r="I15" s="42">
        <v>380</v>
      </c>
      <c r="J15" s="42">
        <v>0.13</v>
      </c>
      <c r="K15" s="42">
        <v>49</v>
      </c>
      <c r="L15" s="43">
        <f t="shared" si="0"/>
        <v>18941</v>
      </c>
      <c r="M15" s="43"/>
      <c r="N15" s="43">
        <f t="shared" si="1"/>
        <v>18941</v>
      </c>
      <c r="O15" s="43">
        <f t="shared" si="2"/>
        <v>1329.3</v>
      </c>
      <c r="P15" s="42">
        <v>47000</v>
      </c>
      <c r="Q15" s="42"/>
      <c r="R15" s="42">
        <f t="shared" si="3"/>
        <v>0</v>
      </c>
      <c r="S15" s="1">
        <v>10</v>
      </c>
    </row>
    <row r="16" spans="1:21">
      <c r="A16" s="398"/>
      <c r="B16" s="42" t="s">
        <v>19</v>
      </c>
      <c r="C16" s="42" t="s">
        <v>1165</v>
      </c>
      <c r="D16" s="42" t="s">
        <v>16</v>
      </c>
      <c r="E16" s="42" t="s">
        <v>1356</v>
      </c>
      <c r="F16" s="42">
        <v>1686</v>
      </c>
      <c r="G16" s="42"/>
      <c r="H16" s="42">
        <v>12140</v>
      </c>
      <c r="I16" s="42">
        <v>240</v>
      </c>
      <c r="J16" s="42">
        <v>0.13</v>
      </c>
      <c r="K16" s="42">
        <f t="shared" ref="K16" si="4">I16*J16</f>
        <v>31.200000000000003</v>
      </c>
      <c r="L16" s="43">
        <f t="shared" si="0"/>
        <v>12108.8</v>
      </c>
      <c r="M16" s="43"/>
      <c r="N16" s="43">
        <f t="shared" si="1"/>
        <v>12108.8</v>
      </c>
      <c r="O16" s="43">
        <f t="shared" si="2"/>
        <v>849.80000000000007</v>
      </c>
      <c r="P16" s="42">
        <v>29500</v>
      </c>
      <c r="Q16" s="42"/>
      <c r="R16" s="42">
        <f t="shared" si="3"/>
        <v>0</v>
      </c>
      <c r="S16" s="1">
        <v>11</v>
      </c>
    </row>
    <row r="17" spans="1:19">
      <c r="A17" s="398"/>
      <c r="B17" s="42" t="s">
        <v>19</v>
      </c>
      <c r="C17" s="42" t="s">
        <v>1165</v>
      </c>
      <c r="D17" s="42" t="s">
        <v>16</v>
      </c>
      <c r="E17" s="42" t="s">
        <v>1357</v>
      </c>
      <c r="F17" s="42">
        <v>1673</v>
      </c>
      <c r="G17" s="42"/>
      <c r="H17" s="42">
        <v>17980</v>
      </c>
      <c r="I17" s="42">
        <v>360</v>
      </c>
      <c r="J17" s="42">
        <v>0.13</v>
      </c>
      <c r="K17" s="42">
        <v>47</v>
      </c>
      <c r="L17" s="43">
        <f t="shared" si="0"/>
        <v>17933</v>
      </c>
      <c r="M17" s="43"/>
      <c r="N17" s="43">
        <f t="shared" si="1"/>
        <v>17933</v>
      </c>
      <c r="O17" s="43">
        <f t="shared" si="2"/>
        <v>1258.6000000000001</v>
      </c>
      <c r="P17" s="42">
        <v>45000</v>
      </c>
      <c r="Q17" s="42"/>
      <c r="R17" s="42">
        <f t="shared" si="3"/>
        <v>0</v>
      </c>
      <c r="S17" s="1">
        <v>12</v>
      </c>
    </row>
    <row r="18" spans="1:19">
      <c r="A18" s="375" t="s">
        <v>1358</v>
      </c>
      <c r="B18" s="42" t="s">
        <v>19</v>
      </c>
      <c r="C18" s="42" t="s">
        <v>1165</v>
      </c>
      <c r="D18" s="42" t="s">
        <v>16</v>
      </c>
      <c r="E18" s="42" t="s">
        <v>1366</v>
      </c>
      <c r="F18" s="42">
        <v>1681</v>
      </c>
      <c r="G18" s="42"/>
      <c r="H18" s="42">
        <v>12250</v>
      </c>
      <c r="I18" s="42">
        <v>244</v>
      </c>
      <c r="J18" s="42">
        <v>0.13</v>
      </c>
      <c r="K18" s="42">
        <v>32</v>
      </c>
      <c r="L18" s="43">
        <f t="shared" si="0"/>
        <v>12218</v>
      </c>
      <c r="M18" s="43"/>
      <c r="N18" s="43">
        <f t="shared" si="1"/>
        <v>12218</v>
      </c>
      <c r="O18" s="43">
        <f t="shared" si="2"/>
        <v>857.5</v>
      </c>
      <c r="P18" s="42">
        <v>29500</v>
      </c>
      <c r="Q18" s="42"/>
      <c r="R18" s="42">
        <f t="shared" si="3"/>
        <v>0</v>
      </c>
      <c r="S18" s="1">
        <v>13</v>
      </c>
    </row>
    <row r="19" spans="1:19">
      <c r="A19" s="375"/>
      <c r="B19" s="42" t="s">
        <v>19</v>
      </c>
      <c r="C19" s="42" t="s">
        <v>1165</v>
      </c>
      <c r="D19" s="42" t="s">
        <v>16</v>
      </c>
      <c r="E19" s="42" t="s">
        <v>1367</v>
      </c>
      <c r="F19" s="42">
        <v>1683</v>
      </c>
      <c r="G19" s="42"/>
      <c r="H19" s="42">
        <v>12300</v>
      </c>
      <c r="I19" s="42">
        <v>244</v>
      </c>
      <c r="J19" s="42">
        <v>0.13</v>
      </c>
      <c r="K19" s="42">
        <v>32</v>
      </c>
      <c r="L19" s="43">
        <f t="shared" si="0"/>
        <v>12268</v>
      </c>
      <c r="M19" s="43"/>
      <c r="N19" s="43">
        <f t="shared" si="1"/>
        <v>12268</v>
      </c>
      <c r="O19" s="43">
        <f t="shared" si="2"/>
        <v>861</v>
      </c>
      <c r="P19" s="42">
        <v>29500</v>
      </c>
      <c r="Q19" s="42"/>
      <c r="R19" s="42">
        <f t="shared" si="3"/>
        <v>0</v>
      </c>
      <c r="S19" s="1">
        <v>14</v>
      </c>
    </row>
    <row r="20" spans="1:19">
      <c r="A20" s="375"/>
      <c r="B20" s="42" t="s">
        <v>19</v>
      </c>
      <c r="C20" s="42" t="s">
        <v>1165</v>
      </c>
      <c r="D20" s="42" t="s">
        <v>16</v>
      </c>
      <c r="E20" s="42" t="s">
        <v>1368</v>
      </c>
      <c r="F20" s="42">
        <v>1687</v>
      </c>
      <c r="G20" s="42"/>
      <c r="H20" s="42">
        <v>11030</v>
      </c>
      <c r="I20" s="42">
        <v>220</v>
      </c>
      <c r="J20" s="42">
        <v>0.13</v>
      </c>
      <c r="K20" s="42">
        <v>29</v>
      </c>
      <c r="L20" s="43">
        <f t="shared" si="0"/>
        <v>11001</v>
      </c>
      <c r="M20" s="43"/>
      <c r="N20" s="43">
        <f t="shared" si="1"/>
        <v>11001</v>
      </c>
      <c r="O20" s="43">
        <f t="shared" si="2"/>
        <v>772.09999999999991</v>
      </c>
      <c r="P20" s="42">
        <v>29500</v>
      </c>
      <c r="Q20" s="42"/>
      <c r="R20" s="42">
        <f t="shared" si="3"/>
        <v>0</v>
      </c>
      <c r="S20" s="1">
        <v>15</v>
      </c>
    </row>
    <row r="21" spans="1:19">
      <c r="A21" s="375"/>
      <c r="B21" s="42" t="s">
        <v>19</v>
      </c>
      <c r="C21" s="42" t="s">
        <v>1165</v>
      </c>
      <c r="D21" s="42" t="s">
        <v>16</v>
      </c>
      <c r="E21" s="42" t="s">
        <v>1369</v>
      </c>
      <c r="F21" s="42">
        <v>1671</v>
      </c>
      <c r="G21" s="42"/>
      <c r="H21" s="42">
        <v>12620</v>
      </c>
      <c r="I21" s="42">
        <v>252</v>
      </c>
      <c r="J21" s="42">
        <v>0.13</v>
      </c>
      <c r="K21" s="42">
        <v>33</v>
      </c>
      <c r="L21" s="43">
        <f t="shared" si="0"/>
        <v>12587</v>
      </c>
      <c r="M21" s="43"/>
      <c r="N21" s="43">
        <f t="shared" si="1"/>
        <v>12587</v>
      </c>
      <c r="O21" s="43">
        <f t="shared" si="2"/>
        <v>883.4</v>
      </c>
      <c r="P21" s="42">
        <v>31000</v>
      </c>
      <c r="Q21" s="42"/>
      <c r="R21" s="42">
        <f t="shared" si="3"/>
        <v>0</v>
      </c>
      <c r="S21" s="1">
        <v>16</v>
      </c>
    </row>
    <row r="22" spans="1:19">
      <c r="A22" s="375"/>
      <c r="B22" s="42" t="s">
        <v>19</v>
      </c>
      <c r="C22" s="42" t="s">
        <v>1165</v>
      </c>
      <c r="D22" s="42" t="s">
        <v>16</v>
      </c>
      <c r="E22" s="42" t="s">
        <v>1370</v>
      </c>
      <c r="F22" s="42">
        <v>1685</v>
      </c>
      <c r="G22" s="42"/>
      <c r="H22" s="42">
        <v>12230</v>
      </c>
      <c r="I22" s="42">
        <v>245</v>
      </c>
      <c r="J22" s="42">
        <v>0.13</v>
      </c>
      <c r="K22" s="42">
        <v>32</v>
      </c>
      <c r="L22" s="43">
        <f t="shared" si="0"/>
        <v>12198</v>
      </c>
      <c r="M22" s="43"/>
      <c r="N22" s="43">
        <f t="shared" si="1"/>
        <v>12198</v>
      </c>
      <c r="O22" s="43">
        <f t="shared" si="2"/>
        <v>856.1</v>
      </c>
      <c r="P22" s="42">
        <v>29500</v>
      </c>
      <c r="Q22" s="42"/>
      <c r="R22" s="42">
        <f t="shared" si="3"/>
        <v>0</v>
      </c>
      <c r="S22" s="1">
        <v>17</v>
      </c>
    </row>
    <row r="23" spans="1:19">
      <c r="A23" s="375"/>
      <c r="B23" s="42" t="s">
        <v>19</v>
      </c>
      <c r="C23" s="42" t="s">
        <v>1165</v>
      </c>
      <c r="D23" s="42" t="s">
        <v>16</v>
      </c>
      <c r="E23" s="42" t="s">
        <v>1371</v>
      </c>
      <c r="F23" s="42">
        <v>1684</v>
      </c>
      <c r="G23" s="42"/>
      <c r="H23" s="42">
        <v>12180</v>
      </c>
      <c r="I23" s="42">
        <v>244</v>
      </c>
      <c r="J23" s="42">
        <v>0.13</v>
      </c>
      <c r="K23" s="42">
        <v>32</v>
      </c>
      <c r="L23" s="43">
        <f t="shared" si="0"/>
        <v>12148</v>
      </c>
      <c r="M23" s="43"/>
      <c r="N23" s="43">
        <f t="shared" si="1"/>
        <v>12148</v>
      </c>
      <c r="O23" s="43">
        <f t="shared" si="2"/>
        <v>852.6</v>
      </c>
      <c r="P23" s="42">
        <v>29500</v>
      </c>
      <c r="Q23" s="42"/>
      <c r="R23" s="42">
        <f t="shared" si="3"/>
        <v>0</v>
      </c>
      <c r="S23" s="1">
        <v>18</v>
      </c>
    </row>
    <row r="28" spans="1:19">
      <c r="I28" s="16">
        <f>SUM(I6:I27)</f>
        <v>5073</v>
      </c>
      <c r="L28" s="16">
        <f>SUM(L6:L27)</f>
        <v>251706.8</v>
      </c>
      <c r="M28" s="16">
        <f t="shared" ref="M28:P28" si="5">SUM(M6:M27)</f>
        <v>0</v>
      </c>
      <c r="N28" s="16">
        <f t="shared" si="5"/>
        <v>251706.8</v>
      </c>
      <c r="O28" s="16">
        <f t="shared" si="5"/>
        <v>17665.899999999994</v>
      </c>
      <c r="P28" s="16">
        <f t="shared" si="5"/>
        <v>625500</v>
      </c>
    </row>
    <row r="31" spans="1:19">
      <c r="A31" s="375" t="s">
        <v>2127</v>
      </c>
      <c r="B31" s="42" t="s">
        <v>19</v>
      </c>
      <c r="C31" s="42" t="s">
        <v>1165</v>
      </c>
      <c r="D31" s="42" t="s">
        <v>16</v>
      </c>
      <c r="E31" s="42" t="s">
        <v>2128</v>
      </c>
      <c r="F31" s="42">
        <v>621</v>
      </c>
      <c r="G31" s="42"/>
      <c r="H31" s="42">
        <v>12940</v>
      </c>
      <c r="I31" s="42">
        <v>260</v>
      </c>
      <c r="J31" s="42">
        <v>0.13</v>
      </c>
      <c r="K31" s="43">
        <f t="shared" ref="K31:K68" si="6">I31*J31</f>
        <v>33.800000000000004</v>
      </c>
      <c r="L31" s="43">
        <f t="shared" ref="L31:L68" si="7">H31-K31</f>
        <v>12906.2</v>
      </c>
      <c r="M31" s="43"/>
      <c r="N31" s="43">
        <f t="shared" ref="N31:N68" si="8">L31-M31</f>
        <v>12906.2</v>
      </c>
      <c r="O31" s="43">
        <f t="shared" ref="O31:O68" si="9">H31/1000*70</f>
        <v>905.8</v>
      </c>
      <c r="P31" s="45">
        <v>24000</v>
      </c>
      <c r="Q31" s="42"/>
      <c r="R31" s="42">
        <f t="shared" ref="R31:R68" si="10">L31*Q31</f>
        <v>0</v>
      </c>
      <c r="S31" s="1">
        <v>1</v>
      </c>
    </row>
    <row r="32" spans="1:19">
      <c r="A32" s="375"/>
      <c r="B32" s="42" t="s">
        <v>19</v>
      </c>
      <c r="C32" s="42" t="s">
        <v>1165</v>
      </c>
      <c r="D32" s="42" t="s">
        <v>16</v>
      </c>
      <c r="E32" s="42" t="s">
        <v>2129</v>
      </c>
      <c r="F32" s="42">
        <v>606</v>
      </c>
      <c r="G32" s="42"/>
      <c r="H32" s="42">
        <v>17640</v>
      </c>
      <c r="I32" s="42">
        <v>347</v>
      </c>
      <c r="J32" s="42">
        <v>0.13</v>
      </c>
      <c r="K32" s="43">
        <f t="shared" si="6"/>
        <v>45.11</v>
      </c>
      <c r="L32" s="43">
        <f t="shared" si="7"/>
        <v>17594.89</v>
      </c>
      <c r="M32" s="43"/>
      <c r="N32" s="43">
        <f t="shared" si="8"/>
        <v>17594.89</v>
      </c>
      <c r="O32" s="43">
        <f t="shared" si="9"/>
        <v>1234.8</v>
      </c>
      <c r="P32" s="45">
        <v>32600</v>
      </c>
      <c r="Q32" s="42"/>
      <c r="R32" s="42">
        <f t="shared" si="10"/>
        <v>0</v>
      </c>
      <c r="S32" s="1">
        <v>2</v>
      </c>
    </row>
    <row r="33" spans="1:19">
      <c r="A33" s="375"/>
      <c r="B33" s="42" t="s">
        <v>19</v>
      </c>
      <c r="C33" s="42" t="s">
        <v>1165</v>
      </c>
      <c r="D33" s="42" t="s">
        <v>16</v>
      </c>
      <c r="E33" s="42" t="s">
        <v>2130</v>
      </c>
      <c r="F33" s="42">
        <v>605</v>
      </c>
      <c r="G33" s="42"/>
      <c r="H33" s="42">
        <v>12980</v>
      </c>
      <c r="I33" s="42">
        <v>260</v>
      </c>
      <c r="J33" s="42">
        <v>0.13</v>
      </c>
      <c r="K33" s="43">
        <f t="shared" si="6"/>
        <v>33.800000000000004</v>
      </c>
      <c r="L33" s="43">
        <f t="shared" si="7"/>
        <v>12946.2</v>
      </c>
      <c r="M33" s="43"/>
      <c r="N33" s="43">
        <f t="shared" si="8"/>
        <v>12946.2</v>
      </c>
      <c r="O33" s="43">
        <f t="shared" si="9"/>
        <v>908.6</v>
      </c>
      <c r="P33" s="45">
        <v>24000</v>
      </c>
      <c r="Q33" s="42"/>
      <c r="R33" s="42">
        <f t="shared" si="10"/>
        <v>0</v>
      </c>
      <c r="S33" s="1">
        <v>3</v>
      </c>
    </row>
    <row r="34" spans="1:19">
      <c r="A34" s="375"/>
      <c r="B34" s="42" t="s">
        <v>19</v>
      </c>
      <c r="C34" s="42" t="s">
        <v>1165</v>
      </c>
      <c r="D34" s="42" t="s">
        <v>16</v>
      </c>
      <c r="E34" s="42" t="s">
        <v>2131</v>
      </c>
      <c r="F34" s="42">
        <v>609</v>
      </c>
      <c r="G34" s="42"/>
      <c r="H34" s="42">
        <v>13300</v>
      </c>
      <c r="I34" s="42">
        <v>260</v>
      </c>
      <c r="J34" s="42">
        <v>0.13</v>
      </c>
      <c r="K34" s="43">
        <f t="shared" si="6"/>
        <v>33.800000000000004</v>
      </c>
      <c r="L34" s="43">
        <f t="shared" si="7"/>
        <v>13266.2</v>
      </c>
      <c r="M34" s="43"/>
      <c r="N34" s="43">
        <f t="shared" si="8"/>
        <v>13266.2</v>
      </c>
      <c r="O34" s="43">
        <f t="shared" si="9"/>
        <v>931</v>
      </c>
      <c r="P34" s="45">
        <v>24000</v>
      </c>
      <c r="Q34" s="42"/>
      <c r="R34" s="42">
        <f t="shared" si="10"/>
        <v>0</v>
      </c>
      <c r="S34" s="1">
        <v>4</v>
      </c>
    </row>
    <row r="35" spans="1:19">
      <c r="A35" s="375"/>
      <c r="B35" s="42" t="s">
        <v>19</v>
      </c>
      <c r="C35" s="42" t="s">
        <v>1165</v>
      </c>
      <c r="D35" s="42" t="s">
        <v>16</v>
      </c>
      <c r="E35" s="42" t="s">
        <v>2132</v>
      </c>
      <c r="F35" s="42">
        <v>622</v>
      </c>
      <c r="G35" s="42"/>
      <c r="H35" s="42">
        <v>11180</v>
      </c>
      <c r="I35" s="42">
        <v>210</v>
      </c>
      <c r="J35" s="42">
        <v>0.13</v>
      </c>
      <c r="K35" s="43">
        <f t="shared" si="6"/>
        <v>27.3</v>
      </c>
      <c r="L35" s="43">
        <f t="shared" si="7"/>
        <v>11152.7</v>
      </c>
      <c r="M35" s="43"/>
      <c r="N35" s="43">
        <f t="shared" si="8"/>
        <v>11152.7</v>
      </c>
      <c r="O35" s="43">
        <f t="shared" si="9"/>
        <v>782.6</v>
      </c>
      <c r="P35" s="45">
        <v>24000</v>
      </c>
      <c r="Q35" s="42"/>
      <c r="R35" s="42">
        <f t="shared" si="10"/>
        <v>0</v>
      </c>
      <c r="S35" s="1">
        <v>5</v>
      </c>
    </row>
    <row r="36" spans="1:19">
      <c r="A36" s="375"/>
      <c r="B36" s="42" t="s">
        <v>19</v>
      </c>
      <c r="C36" s="42" t="s">
        <v>1165</v>
      </c>
      <c r="D36" s="42" t="s">
        <v>16</v>
      </c>
      <c r="E36" s="42" t="s">
        <v>2133</v>
      </c>
      <c r="F36" s="42">
        <v>611</v>
      </c>
      <c r="G36" s="42"/>
      <c r="H36" s="42">
        <v>13010</v>
      </c>
      <c r="I36" s="42">
        <v>260</v>
      </c>
      <c r="J36" s="42">
        <v>0.13</v>
      </c>
      <c r="K36" s="43">
        <f t="shared" si="6"/>
        <v>33.800000000000004</v>
      </c>
      <c r="L36" s="43">
        <f t="shared" si="7"/>
        <v>12976.2</v>
      </c>
      <c r="M36" s="43"/>
      <c r="N36" s="43">
        <f t="shared" si="8"/>
        <v>12976.2</v>
      </c>
      <c r="O36" s="43">
        <f t="shared" si="9"/>
        <v>910.69999999999993</v>
      </c>
      <c r="P36" s="45">
        <v>24000</v>
      </c>
      <c r="Q36" s="42"/>
      <c r="R36" s="42">
        <f t="shared" si="10"/>
        <v>0</v>
      </c>
      <c r="S36" s="1">
        <v>6</v>
      </c>
    </row>
    <row r="37" spans="1:19">
      <c r="A37" s="375"/>
      <c r="B37" s="42" t="s">
        <v>19</v>
      </c>
      <c r="C37" s="42" t="s">
        <v>1165</v>
      </c>
      <c r="D37" s="42" t="s">
        <v>16</v>
      </c>
      <c r="E37" s="42" t="s">
        <v>2134</v>
      </c>
      <c r="F37" s="42">
        <v>625</v>
      </c>
      <c r="G37" s="42"/>
      <c r="H37" s="42">
        <v>13760</v>
      </c>
      <c r="I37" s="42">
        <v>270</v>
      </c>
      <c r="J37" s="42">
        <v>0.13</v>
      </c>
      <c r="K37" s="43">
        <f t="shared" si="6"/>
        <v>35.1</v>
      </c>
      <c r="L37" s="43">
        <f t="shared" si="7"/>
        <v>13724.9</v>
      </c>
      <c r="M37" s="43"/>
      <c r="N37" s="43">
        <f t="shared" si="8"/>
        <v>13724.9</v>
      </c>
      <c r="O37" s="43">
        <f t="shared" si="9"/>
        <v>963.19999999999993</v>
      </c>
      <c r="P37" s="45">
        <v>24000</v>
      </c>
      <c r="Q37" s="42"/>
      <c r="R37" s="42">
        <f t="shared" si="10"/>
        <v>0</v>
      </c>
      <c r="S37" s="1">
        <v>7</v>
      </c>
    </row>
    <row r="38" spans="1:19">
      <c r="A38" s="375"/>
      <c r="B38" s="42" t="s">
        <v>19</v>
      </c>
      <c r="C38" s="42" t="s">
        <v>1165</v>
      </c>
      <c r="D38" s="42" t="s">
        <v>16</v>
      </c>
      <c r="E38" s="42" t="s">
        <v>2135</v>
      </c>
      <c r="F38" s="42">
        <v>623</v>
      </c>
      <c r="G38" s="42"/>
      <c r="H38" s="42">
        <v>10500</v>
      </c>
      <c r="I38" s="42">
        <v>199</v>
      </c>
      <c r="J38" s="42">
        <v>0.13</v>
      </c>
      <c r="K38" s="43">
        <f t="shared" si="6"/>
        <v>25.87</v>
      </c>
      <c r="L38" s="43">
        <f t="shared" si="7"/>
        <v>10474.129999999999</v>
      </c>
      <c r="M38" s="43"/>
      <c r="N38" s="43">
        <f t="shared" si="8"/>
        <v>10474.129999999999</v>
      </c>
      <c r="O38" s="43">
        <f t="shared" si="9"/>
        <v>735</v>
      </c>
      <c r="P38" s="45">
        <v>24000</v>
      </c>
      <c r="Q38" s="42"/>
      <c r="R38" s="42">
        <f t="shared" si="10"/>
        <v>0</v>
      </c>
      <c r="S38" s="1">
        <v>8</v>
      </c>
    </row>
    <row r="39" spans="1:19">
      <c r="A39" s="375"/>
      <c r="B39" s="42" t="s">
        <v>19</v>
      </c>
      <c r="C39" s="42" t="s">
        <v>1165</v>
      </c>
      <c r="D39" s="42" t="s">
        <v>16</v>
      </c>
      <c r="E39" s="42" t="s">
        <v>2136</v>
      </c>
      <c r="F39" s="42">
        <v>601</v>
      </c>
      <c r="G39" s="42"/>
      <c r="H39" s="42">
        <v>13260</v>
      </c>
      <c r="I39" s="42">
        <v>260</v>
      </c>
      <c r="J39" s="42">
        <v>0.13</v>
      </c>
      <c r="K39" s="43">
        <f t="shared" si="6"/>
        <v>33.800000000000004</v>
      </c>
      <c r="L39" s="43">
        <f t="shared" si="7"/>
        <v>13226.2</v>
      </c>
      <c r="M39" s="43"/>
      <c r="N39" s="43">
        <f t="shared" si="8"/>
        <v>13226.2</v>
      </c>
      <c r="O39" s="43">
        <f t="shared" si="9"/>
        <v>928.19999999999993</v>
      </c>
      <c r="P39" s="45">
        <v>24000</v>
      </c>
      <c r="Q39" s="42"/>
      <c r="R39" s="42">
        <f t="shared" si="10"/>
        <v>0</v>
      </c>
      <c r="S39" s="1">
        <v>9</v>
      </c>
    </row>
    <row r="40" spans="1:19">
      <c r="A40" s="375"/>
      <c r="B40" s="42" t="s">
        <v>19</v>
      </c>
      <c r="C40" s="42" t="s">
        <v>1165</v>
      </c>
      <c r="D40" s="42" t="s">
        <v>16</v>
      </c>
      <c r="E40" s="42" t="s">
        <v>2137</v>
      </c>
      <c r="F40" s="42">
        <v>608</v>
      </c>
      <c r="G40" s="42"/>
      <c r="H40" s="42">
        <v>13220</v>
      </c>
      <c r="I40" s="42">
        <v>260</v>
      </c>
      <c r="J40" s="42">
        <v>0.13</v>
      </c>
      <c r="K40" s="43">
        <f t="shared" si="6"/>
        <v>33.800000000000004</v>
      </c>
      <c r="L40" s="43">
        <f t="shared" si="7"/>
        <v>13186.2</v>
      </c>
      <c r="M40" s="43"/>
      <c r="N40" s="43">
        <f t="shared" si="8"/>
        <v>13186.2</v>
      </c>
      <c r="O40" s="43">
        <f t="shared" si="9"/>
        <v>925.40000000000009</v>
      </c>
      <c r="P40" s="45">
        <v>24000</v>
      </c>
      <c r="Q40" s="42"/>
      <c r="R40" s="42">
        <f t="shared" si="10"/>
        <v>0</v>
      </c>
      <c r="S40" s="1">
        <v>10</v>
      </c>
    </row>
    <row r="41" spans="1:19">
      <c r="A41" s="375"/>
      <c r="B41" s="42" t="s">
        <v>19</v>
      </c>
      <c r="C41" s="42" t="s">
        <v>1165</v>
      </c>
      <c r="D41" s="42" t="s">
        <v>16</v>
      </c>
      <c r="E41" s="42" t="s">
        <v>2138</v>
      </c>
      <c r="F41" s="42">
        <v>607</v>
      </c>
      <c r="G41" s="42"/>
      <c r="H41" s="42">
        <v>12880</v>
      </c>
      <c r="I41" s="42">
        <v>260</v>
      </c>
      <c r="J41" s="42">
        <v>0.13</v>
      </c>
      <c r="K41" s="43">
        <f t="shared" si="6"/>
        <v>33.800000000000004</v>
      </c>
      <c r="L41" s="43">
        <f t="shared" si="7"/>
        <v>12846.2</v>
      </c>
      <c r="M41" s="43"/>
      <c r="N41" s="43">
        <f t="shared" si="8"/>
        <v>12846.2</v>
      </c>
      <c r="O41" s="43">
        <f t="shared" si="9"/>
        <v>901.6</v>
      </c>
      <c r="P41" s="45">
        <v>24000</v>
      </c>
      <c r="Q41" s="42"/>
      <c r="R41" s="42">
        <f t="shared" si="10"/>
        <v>0</v>
      </c>
      <c r="S41" s="1">
        <v>11</v>
      </c>
    </row>
    <row r="42" spans="1:19">
      <c r="A42" s="375"/>
      <c r="B42" s="42" t="s">
        <v>19</v>
      </c>
      <c r="C42" s="42" t="s">
        <v>1165</v>
      </c>
      <c r="D42" s="42" t="s">
        <v>16</v>
      </c>
      <c r="E42" s="42" t="s">
        <v>2139</v>
      </c>
      <c r="F42" s="42">
        <v>603</v>
      </c>
      <c r="G42" s="42"/>
      <c r="H42" s="42">
        <v>17110</v>
      </c>
      <c r="I42" s="42">
        <v>347</v>
      </c>
      <c r="J42" s="42">
        <v>0.13</v>
      </c>
      <c r="K42" s="43">
        <f t="shared" si="6"/>
        <v>45.11</v>
      </c>
      <c r="L42" s="43">
        <f t="shared" si="7"/>
        <v>17064.89</v>
      </c>
      <c r="M42" s="43"/>
      <c r="N42" s="43">
        <f t="shared" si="8"/>
        <v>17064.89</v>
      </c>
      <c r="O42" s="43">
        <f t="shared" si="9"/>
        <v>1197.7</v>
      </c>
      <c r="P42" s="45">
        <v>32600</v>
      </c>
      <c r="Q42" s="42"/>
      <c r="R42" s="42">
        <f t="shared" si="10"/>
        <v>0</v>
      </c>
      <c r="S42" s="1">
        <v>12</v>
      </c>
    </row>
    <row r="43" spans="1:19">
      <c r="A43" s="375"/>
      <c r="B43" s="42" t="s">
        <v>19</v>
      </c>
      <c r="C43" s="42" t="s">
        <v>1165</v>
      </c>
      <c r="D43" s="42" t="s">
        <v>16</v>
      </c>
      <c r="E43" s="42" t="s">
        <v>2140</v>
      </c>
      <c r="F43" s="42">
        <v>610</v>
      </c>
      <c r="G43" s="42"/>
      <c r="H43" s="42">
        <v>13150</v>
      </c>
      <c r="I43" s="42">
        <v>260</v>
      </c>
      <c r="J43" s="42">
        <v>0.13</v>
      </c>
      <c r="K43" s="43">
        <f t="shared" si="6"/>
        <v>33.800000000000004</v>
      </c>
      <c r="L43" s="43">
        <f t="shared" si="7"/>
        <v>13116.2</v>
      </c>
      <c r="M43" s="43"/>
      <c r="N43" s="43">
        <f t="shared" si="8"/>
        <v>13116.2</v>
      </c>
      <c r="O43" s="43">
        <f t="shared" si="9"/>
        <v>920.5</v>
      </c>
      <c r="P43" s="45">
        <v>24000</v>
      </c>
      <c r="Q43" s="42"/>
      <c r="R43" s="42">
        <f t="shared" si="10"/>
        <v>0</v>
      </c>
      <c r="S43" s="1">
        <v>13</v>
      </c>
    </row>
    <row r="44" spans="1:19">
      <c r="A44" s="375"/>
      <c r="B44" s="42" t="s">
        <v>19</v>
      </c>
      <c r="C44" s="42" t="s">
        <v>1165</v>
      </c>
      <c r="D44" s="42" t="s">
        <v>16</v>
      </c>
      <c r="E44" s="42" t="s">
        <v>2141</v>
      </c>
      <c r="F44" s="42">
        <v>620</v>
      </c>
      <c r="G44" s="42"/>
      <c r="H44" s="42">
        <v>13000</v>
      </c>
      <c r="I44" s="42">
        <v>260</v>
      </c>
      <c r="J44" s="42">
        <v>0.13</v>
      </c>
      <c r="K44" s="43">
        <f t="shared" si="6"/>
        <v>33.800000000000004</v>
      </c>
      <c r="L44" s="43">
        <f t="shared" si="7"/>
        <v>12966.2</v>
      </c>
      <c r="M44" s="43"/>
      <c r="N44" s="43">
        <f t="shared" si="8"/>
        <v>12966.2</v>
      </c>
      <c r="O44" s="43">
        <f t="shared" si="9"/>
        <v>910</v>
      </c>
      <c r="P44" s="45">
        <v>24000</v>
      </c>
      <c r="Q44" s="42"/>
      <c r="R44" s="42">
        <f t="shared" si="10"/>
        <v>0</v>
      </c>
      <c r="S44" s="1">
        <v>14</v>
      </c>
    </row>
    <row r="45" spans="1:19">
      <c r="A45" s="375"/>
      <c r="B45" s="42" t="s">
        <v>19</v>
      </c>
      <c r="C45" s="42" t="s">
        <v>1165</v>
      </c>
      <c r="D45" s="42" t="s">
        <v>16</v>
      </c>
      <c r="E45" s="42" t="s">
        <v>2142</v>
      </c>
      <c r="F45" s="42">
        <v>618</v>
      </c>
      <c r="G45" s="42"/>
      <c r="H45" s="42">
        <v>13450</v>
      </c>
      <c r="I45" s="42">
        <v>260</v>
      </c>
      <c r="J45" s="42">
        <v>0.13</v>
      </c>
      <c r="K45" s="43">
        <f t="shared" si="6"/>
        <v>33.800000000000004</v>
      </c>
      <c r="L45" s="43">
        <f t="shared" si="7"/>
        <v>13416.2</v>
      </c>
      <c r="M45" s="43"/>
      <c r="N45" s="43">
        <f t="shared" si="8"/>
        <v>13416.2</v>
      </c>
      <c r="O45" s="43">
        <f t="shared" si="9"/>
        <v>941.5</v>
      </c>
      <c r="P45" s="45">
        <v>24000</v>
      </c>
      <c r="Q45" s="42"/>
      <c r="R45" s="42">
        <f t="shared" si="10"/>
        <v>0</v>
      </c>
      <c r="S45" s="1">
        <v>15</v>
      </c>
    </row>
    <row r="46" spans="1:19">
      <c r="A46" s="375"/>
      <c r="B46" s="42" t="s">
        <v>19</v>
      </c>
      <c r="C46" s="42" t="s">
        <v>1165</v>
      </c>
      <c r="D46" s="42" t="s">
        <v>16</v>
      </c>
      <c r="E46" s="42" t="s">
        <v>2143</v>
      </c>
      <c r="F46" s="42">
        <v>604</v>
      </c>
      <c r="G46" s="42"/>
      <c r="H46" s="42">
        <v>17310</v>
      </c>
      <c r="I46" s="42">
        <v>347</v>
      </c>
      <c r="J46" s="42">
        <v>0.13</v>
      </c>
      <c r="K46" s="43">
        <f t="shared" si="6"/>
        <v>45.11</v>
      </c>
      <c r="L46" s="43">
        <f t="shared" si="7"/>
        <v>17264.89</v>
      </c>
      <c r="M46" s="43"/>
      <c r="N46" s="43">
        <f t="shared" si="8"/>
        <v>17264.89</v>
      </c>
      <c r="O46" s="43">
        <f t="shared" si="9"/>
        <v>1211.6999999999998</v>
      </c>
      <c r="P46" s="45">
        <v>32600</v>
      </c>
      <c r="Q46" s="42"/>
      <c r="R46" s="42">
        <f t="shared" si="10"/>
        <v>0</v>
      </c>
      <c r="S46" s="1">
        <v>16</v>
      </c>
    </row>
    <row r="47" spans="1:19">
      <c r="A47" s="375"/>
      <c r="B47" s="42" t="s">
        <v>19</v>
      </c>
      <c r="C47" s="42" t="s">
        <v>1165</v>
      </c>
      <c r="D47" s="42" t="s">
        <v>16</v>
      </c>
      <c r="E47" s="42" t="s">
        <v>2144</v>
      </c>
      <c r="F47" s="42">
        <v>602</v>
      </c>
      <c r="G47" s="42"/>
      <c r="H47" s="42">
        <v>12740</v>
      </c>
      <c r="I47" s="42">
        <v>260</v>
      </c>
      <c r="J47" s="42">
        <v>0.13</v>
      </c>
      <c r="K47" s="43">
        <f t="shared" si="6"/>
        <v>33.800000000000004</v>
      </c>
      <c r="L47" s="43">
        <f t="shared" si="7"/>
        <v>12706.2</v>
      </c>
      <c r="M47" s="43"/>
      <c r="N47" s="43">
        <f t="shared" si="8"/>
        <v>12706.2</v>
      </c>
      <c r="O47" s="43">
        <f t="shared" si="9"/>
        <v>891.80000000000007</v>
      </c>
      <c r="P47" s="45">
        <v>24000</v>
      </c>
      <c r="Q47" s="42"/>
      <c r="R47" s="42">
        <f t="shared" si="10"/>
        <v>0</v>
      </c>
      <c r="S47" s="1">
        <v>17</v>
      </c>
    </row>
    <row r="48" spans="1:19">
      <c r="A48" s="375" t="s">
        <v>2146</v>
      </c>
      <c r="B48" s="42" t="s">
        <v>19</v>
      </c>
      <c r="C48" s="42" t="s">
        <v>1165</v>
      </c>
      <c r="D48" s="42" t="s">
        <v>16</v>
      </c>
      <c r="E48" s="42" t="s">
        <v>2147</v>
      </c>
      <c r="F48" s="42">
        <v>627</v>
      </c>
      <c r="G48" s="42"/>
      <c r="H48" s="42">
        <v>11390</v>
      </c>
      <c r="I48" s="42">
        <v>230</v>
      </c>
      <c r="J48" s="42">
        <v>0.13</v>
      </c>
      <c r="K48" s="43">
        <f t="shared" si="6"/>
        <v>29.900000000000002</v>
      </c>
      <c r="L48" s="43">
        <f t="shared" si="7"/>
        <v>11360.1</v>
      </c>
      <c r="M48" s="43"/>
      <c r="N48" s="43">
        <f t="shared" si="8"/>
        <v>11360.1</v>
      </c>
      <c r="O48" s="43">
        <f t="shared" si="9"/>
        <v>797.30000000000007</v>
      </c>
      <c r="P48" s="45">
        <v>24000</v>
      </c>
      <c r="Q48" s="42"/>
      <c r="R48" s="42">
        <f t="shared" si="10"/>
        <v>0</v>
      </c>
      <c r="S48" s="1">
        <v>18</v>
      </c>
    </row>
    <row r="49" spans="1:19">
      <c r="A49" s="375"/>
      <c r="B49" s="42" t="s">
        <v>19</v>
      </c>
      <c r="C49" s="42" t="s">
        <v>1165</v>
      </c>
      <c r="D49" s="42" t="s">
        <v>16</v>
      </c>
      <c r="E49" s="42" t="s">
        <v>2148</v>
      </c>
      <c r="F49" s="42">
        <v>619</v>
      </c>
      <c r="G49" s="42"/>
      <c r="H49" s="42">
        <v>17630</v>
      </c>
      <c r="I49" s="42">
        <v>347</v>
      </c>
      <c r="J49" s="42">
        <v>0.13</v>
      </c>
      <c r="K49" s="43">
        <f t="shared" si="6"/>
        <v>45.11</v>
      </c>
      <c r="L49" s="43">
        <f t="shared" si="7"/>
        <v>17584.89</v>
      </c>
      <c r="M49" s="43"/>
      <c r="N49" s="43">
        <f t="shared" si="8"/>
        <v>17584.89</v>
      </c>
      <c r="O49" s="43">
        <f t="shared" si="9"/>
        <v>1234.0999999999999</v>
      </c>
      <c r="P49" s="45">
        <v>32600</v>
      </c>
      <c r="Q49" s="42"/>
      <c r="R49" s="42">
        <f t="shared" si="10"/>
        <v>0</v>
      </c>
      <c r="S49" s="1">
        <v>19</v>
      </c>
    </row>
    <row r="50" spans="1:19">
      <c r="A50" s="375" t="s">
        <v>2149</v>
      </c>
      <c r="B50" s="42" t="s">
        <v>19</v>
      </c>
      <c r="C50" s="42" t="s">
        <v>1165</v>
      </c>
      <c r="D50" s="42" t="s">
        <v>16</v>
      </c>
      <c r="E50" s="42" t="s">
        <v>2150</v>
      </c>
      <c r="F50" s="42">
        <v>614</v>
      </c>
      <c r="G50" s="42"/>
      <c r="H50" s="42">
        <v>13180</v>
      </c>
      <c r="I50" s="42">
        <v>260</v>
      </c>
      <c r="J50" s="42">
        <v>0.13</v>
      </c>
      <c r="K50" s="43">
        <f t="shared" si="6"/>
        <v>33.800000000000004</v>
      </c>
      <c r="L50" s="43">
        <f t="shared" si="7"/>
        <v>13146.2</v>
      </c>
      <c r="M50" s="43"/>
      <c r="N50" s="43">
        <f t="shared" si="8"/>
        <v>13146.2</v>
      </c>
      <c r="O50" s="43">
        <f t="shared" si="9"/>
        <v>922.6</v>
      </c>
      <c r="P50" s="45">
        <v>24000</v>
      </c>
      <c r="Q50" s="42"/>
      <c r="R50" s="42">
        <f t="shared" si="10"/>
        <v>0</v>
      </c>
      <c r="S50" s="1">
        <v>20</v>
      </c>
    </row>
    <row r="51" spans="1:19">
      <c r="A51" s="375"/>
      <c r="B51" s="42" t="s">
        <v>19</v>
      </c>
      <c r="C51" s="42" t="s">
        <v>1165</v>
      </c>
      <c r="D51" s="42" t="s">
        <v>16</v>
      </c>
      <c r="E51" s="42" t="s">
        <v>2151</v>
      </c>
      <c r="F51" s="42">
        <v>626</v>
      </c>
      <c r="G51" s="42"/>
      <c r="H51" s="42">
        <v>17930</v>
      </c>
      <c r="I51" s="42">
        <v>360</v>
      </c>
      <c r="J51" s="42">
        <v>0.13</v>
      </c>
      <c r="K51" s="43">
        <f t="shared" si="6"/>
        <v>46.800000000000004</v>
      </c>
      <c r="L51" s="43">
        <f t="shared" si="7"/>
        <v>17883.2</v>
      </c>
      <c r="M51" s="43"/>
      <c r="N51" s="43">
        <f t="shared" si="8"/>
        <v>17883.2</v>
      </c>
      <c r="O51" s="43">
        <f t="shared" si="9"/>
        <v>1255.0999999999999</v>
      </c>
      <c r="P51" s="45">
        <v>33000</v>
      </c>
      <c r="Q51" s="42"/>
      <c r="R51" s="42">
        <f t="shared" si="10"/>
        <v>0</v>
      </c>
      <c r="S51" s="1">
        <v>21</v>
      </c>
    </row>
    <row r="52" spans="1:19">
      <c r="A52" s="375"/>
      <c r="B52" s="42" t="s">
        <v>19</v>
      </c>
      <c r="C52" s="42" t="s">
        <v>1165</v>
      </c>
      <c r="D52" s="42" t="s">
        <v>16</v>
      </c>
      <c r="E52" s="42" t="s">
        <v>2152</v>
      </c>
      <c r="F52" s="42">
        <v>617</v>
      </c>
      <c r="G52" s="42"/>
      <c r="H52" s="42">
        <v>13400</v>
      </c>
      <c r="I52" s="42">
        <v>260</v>
      </c>
      <c r="J52" s="42">
        <v>0.13</v>
      </c>
      <c r="K52" s="43">
        <f t="shared" si="6"/>
        <v>33.800000000000004</v>
      </c>
      <c r="L52" s="43">
        <f t="shared" si="7"/>
        <v>13366.2</v>
      </c>
      <c r="M52" s="43"/>
      <c r="N52" s="43">
        <f t="shared" si="8"/>
        <v>13366.2</v>
      </c>
      <c r="O52" s="43">
        <f t="shared" si="9"/>
        <v>938</v>
      </c>
      <c r="P52" s="45">
        <v>24000</v>
      </c>
      <c r="Q52" s="42"/>
      <c r="R52" s="42">
        <f t="shared" si="10"/>
        <v>0</v>
      </c>
      <c r="S52" s="1">
        <v>22</v>
      </c>
    </row>
    <row r="53" spans="1:19">
      <c r="A53" s="375"/>
      <c r="B53" s="42" t="s">
        <v>19</v>
      </c>
      <c r="C53" s="42" t="s">
        <v>1165</v>
      </c>
      <c r="D53" s="42" t="s">
        <v>16</v>
      </c>
      <c r="E53" s="42" t="s">
        <v>2153</v>
      </c>
      <c r="F53" s="42">
        <v>624</v>
      </c>
      <c r="G53" s="42"/>
      <c r="H53" s="42">
        <v>13380</v>
      </c>
      <c r="I53" s="42">
        <v>260</v>
      </c>
      <c r="J53" s="42">
        <v>0.13</v>
      </c>
      <c r="K53" s="43">
        <f t="shared" si="6"/>
        <v>33.800000000000004</v>
      </c>
      <c r="L53" s="43">
        <f t="shared" si="7"/>
        <v>13346.2</v>
      </c>
      <c r="M53" s="43"/>
      <c r="N53" s="43">
        <f t="shared" si="8"/>
        <v>13346.2</v>
      </c>
      <c r="O53" s="43">
        <f t="shared" si="9"/>
        <v>936.6</v>
      </c>
      <c r="P53" s="45">
        <v>24000</v>
      </c>
      <c r="Q53" s="42"/>
      <c r="R53" s="42">
        <f t="shared" si="10"/>
        <v>0</v>
      </c>
      <c r="S53" s="1">
        <v>23</v>
      </c>
    </row>
    <row r="54" spans="1:19">
      <c r="A54" s="375"/>
      <c r="B54" s="42" t="s">
        <v>19</v>
      </c>
      <c r="C54" s="42" t="s">
        <v>1165</v>
      </c>
      <c r="D54" s="42" t="s">
        <v>16</v>
      </c>
      <c r="E54" s="42" t="s">
        <v>2154</v>
      </c>
      <c r="F54" s="42">
        <v>612</v>
      </c>
      <c r="G54" s="42"/>
      <c r="H54" s="42">
        <v>13040</v>
      </c>
      <c r="I54" s="42">
        <v>260</v>
      </c>
      <c r="J54" s="42">
        <v>0.13</v>
      </c>
      <c r="K54" s="43">
        <f t="shared" si="6"/>
        <v>33.800000000000004</v>
      </c>
      <c r="L54" s="43">
        <f t="shared" si="7"/>
        <v>13006.2</v>
      </c>
      <c r="M54" s="43"/>
      <c r="N54" s="43">
        <f t="shared" si="8"/>
        <v>13006.2</v>
      </c>
      <c r="O54" s="43">
        <f t="shared" si="9"/>
        <v>912.8</v>
      </c>
      <c r="P54" s="45">
        <v>24000</v>
      </c>
      <c r="Q54" s="42"/>
      <c r="R54" s="42">
        <f t="shared" si="10"/>
        <v>0</v>
      </c>
      <c r="S54" s="1">
        <v>24</v>
      </c>
    </row>
    <row r="55" spans="1:19">
      <c r="A55" s="375"/>
      <c r="B55" s="42" t="s">
        <v>19</v>
      </c>
      <c r="C55" s="42" t="s">
        <v>1165</v>
      </c>
      <c r="D55" s="42" t="s">
        <v>16</v>
      </c>
      <c r="E55" s="42" t="s">
        <v>2155</v>
      </c>
      <c r="F55" s="42">
        <v>616</v>
      </c>
      <c r="G55" s="42"/>
      <c r="H55" s="42">
        <v>13150</v>
      </c>
      <c r="I55" s="42">
        <v>260</v>
      </c>
      <c r="J55" s="42">
        <v>0.13</v>
      </c>
      <c r="K55" s="43">
        <f t="shared" si="6"/>
        <v>33.800000000000004</v>
      </c>
      <c r="L55" s="43">
        <f t="shared" si="7"/>
        <v>13116.2</v>
      </c>
      <c r="M55" s="43"/>
      <c r="N55" s="43">
        <f t="shared" si="8"/>
        <v>13116.2</v>
      </c>
      <c r="O55" s="43">
        <f t="shared" si="9"/>
        <v>920.5</v>
      </c>
      <c r="P55" s="45">
        <v>24000</v>
      </c>
      <c r="Q55" s="42"/>
      <c r="R55" s="42">
        <f t="shared" si="10"/>
        <v>0</v>
      </c>
      <c r="S55" s="1">
        <v>25</v>
      </c>
    </row>
    <row r="56" spans="1:19">
      <c r="A56" s="375"/>
      <c r="B56" s="42" t="s">
        <v>19</v>
      </c>
      <c r="C56" s="42" t="s">
        <v>1165</v>
      </c>
      <c r="D56" s="42" t="s">
        <v>16</v>
      </c>
      <c r="E56" s="42" t="s">
        <v>2156</v>
      </c>
      <c r="F56" s="42">
        <v>615</v>
      </c>
      <c r="G56" s="42"/>
      <c r="H56" s="42">
        <v>13200</v>
      </c>
      <c r="I56" s="42">
        <v>260</v>
      </c>
      <c r="J56" s="42">
        <v>0.13</v>
      </c>
      <c r="K56" s="43">
        <f t="shared" si="6"/>
        <v>33.800000000000004</v>
      </c>
      <c r="L56" s="43">
        <f t="shared" si="7"/>
        <v>13166.2</v>
      </c>
      <c r="M56" s="43"/>
      <c r="N56" s="43">
        <f t="shared" si="8"/>
        <v>13166.2</v>
      </c>
      <c r="O56" s="43">
        <f t="shared" si="9"/>
        <v>924</v>
      </c>
      <c r="P56" s="45">
        <v>24000</v>
      </c>
      <c r="Q56" s="42"/>
      <c r="R56" s="42">
        <f t="shared" si="10"/>
        <v>0</v>
      </c>
      <c r="S56" s="1">
        <v>26</v>
      </c>
    </row>
    <row r="57" spans="1:19">
      <c r="A57" s="375"/>
      <c r="B57" s="42" t="s">
        <v>19</v>
      </c>
      <c r="C57" s="42" t="s">
        <v>1165</v>
      </c>
      <c r="D57" s="42" t="s">
        <v>16</v>
      </c>
      <c r="E57" s="42" t="s">
        <v>2157</v>
      </c>
      <c r="F57" s="42">
        <v>613</v>
      </c>
      <c r="G57" s="42"/>
      <c r="H57" s="42">
        <v>13080</v>
      </c>
      <c r="I57" s="42">
        <v>260</v>
      </c>
      <c r="J57" s="42">
        <v>0.13</v>
      </c>
      <c r="K57" s="43">
        <f t="shared" si="6"/>
        <v>33.800000000000004</v>
      </c>
      <c r="L57" s="43">
        <f t="shared" si="7"/>
        <v>13046.2</v>
      </c>
      <c r="M57" s="43"/>
      <c r="N57" s="43">
        <f t="shared" si="8"/>
        <v>13046.2</v>
      </c>
      <c r="O57" s="43">
        <f t="shared" si="9"/>
        <v>915.6</v>
      </c>
      <c r="P57" s="45">
        <v>24000</v>
      </c>
      <c r="Q57" s="42"/>
      <c r="R57" s="42">
        <f t="shared" si="10"/>
        <v>0</v>
      </c>
      <c r="S57" s="1">
        <v>27</v>
      </c>
    </row>
    <row r="58" spans="1:19">
      <c r="A58" s="375" t="s">
        <v>2158</v>
      </c>
      <c r="B58" s="42" t="s">
        <v>19</v>
      </c>
      <c r="C58" s="42" t="s">
        <v>1165</v>
      </c>
      <c r="D58" s="42" t="s">
        <v>16</v>
      </c>
      <c r="E58" s="42" t="s">
        <v>2160</v>
      </c>
      <c r="F58" s="42">
        <v>636</v>
      </c>
      <c r="G58" s="42"/>
      <c r="H58" s="42">
        <v>11080</v>
      </c>
      <c r="I58" s="42">
        <v>218</v>
      </c>
      <c r="J58" s="42">
        <v>0.13</v>
      </c>
      <c r="K58" s="43">
        <f t="shared" si="6"/>
        <v>28.34</v>
      </c>
      <c r="L58" s="43">
        <f t="shared" si="7"/>
        <v>11051.66</v>
      </c>
      <c r="M58" s="43"/>
      <c r="N58" s="43">
        <f t="shared" si="8"/>
        <v>11051.66</v>
      </c>
      <c r="O58" s="43">
        <f t="shared" si="9"/>
        <v>775.6</v>
      </c>
      <c r="P58" s="45">
        <f>26000</f>
        <v>26000</v>
      </c>
      <c r="Q58" s="42"/>
      <c r="R58" s="42">
        <f t="shared" si="10"/>
        <v>0</v>
      </c>
      <c r="S58" s="1">
        <v>28</v>
      </c>
    </row>
    <row r="59" spans="1:19">
      <c r="A59" s="375"/>
      <c r="B59" s="42" t="s">
        <v>19</v>
      </c>
      <c r="C59" s="42" t="s">
        <v>1165</v>
      </c>
      <c r="D59" s="42" t="s">
        <v>16</v>
      </c>
      <c r="E59" s="42" t="s">
        <v>2161</v>
      </c>
      <c r="F59" s="42">
        <v>628</v>
      </c>
      <c r="G59" s="42"/>
      <c r="H59" s="42">
        <v>13280</v>
      </c>
      <c r="I59" s="42">
        <v>260</v>
      </c>
      <c r="J59" s="42">
        <v>0.13</v>
      </c>
      <c r="K59" s="43">
        <f t="shared" si="6"/>
        <v>33.800000000000004</v>
      </c>
      <c r="L59" s="43">
        <f t="shared" si="7"/>
        <v>13246.2</v>
      </c>
      <c r="M59" s="43"/>
      <c r="N59" s="43">
        <f t="shared" si="8"/>
        <v>13246.2</v>
      </c>
      <c r="O59" s="43">
        <f t="shared" si="9"/>
        <v>929.59999999999991</v>
      </c>
      <c r="P59" s="45">
        <f>26000+200</f>
        <v>26200</v>
      </c>
      <c r="Q59" s="42"/>
      <c r="R59" s="42">
        <f t="shared" si="10"/>
        <v>0</v>
      </c>
      <c r="S59" s="1">
        <v>29</v>
      </c>
    </row>
    <row r="60" spans="1:19">
      <c r="A60" s="375"/>
      <c r="B60" s="42" t="s">
        <v>19</v>
      </c>
      <c r="C60" s="42" t="s">
        <v>1165</v>
      </c>
      <c r="D60" s="42" t="s">
        <v>16</v>
      </c>
      <c r="E60" s="42" t="s">
        <v>2162</v>
      </c>
      <c r="F60" s="42">
        <v>632</v>
      </c>
      <c r="G60" s="42"/>
      <c r="H60" s="42">
        <v>13280</v>
      </c>
      <c r="I60" s="42">
        <v>260</v>
      </c>
      <c r="J60" s="42">
        <v>0.13</v>
      </c>
      <c r="K60" s="43">
        <f t="shared" si="6"/>
        <v>33.800000000000004</v>
      </c>
      <c r="L60" s="43">
        <f t="shared" si="7"/>
        <v>13246.2</v>
      </c>
      <c r="M60" s="43"/>
      <c r="N60" s="43">
        <f t="shared" si="8"/>
        <v>13246.2</v>
      </c>
      <c r="O60" s="43">
        <f t="shared" si="9"/>
        <v>929.59999999999991</v>
      </c>
      <c r="P60" s="45">
        <f>26000+400</f>
        <v>26400</v>
      </c>
      <c r="Q60" s="42"/>
      <c r="R60" s="42">
        <f t="shared" si="10"/>
        <v>0</v>
      </c>
      <c r="S60" s="1">
        <v>30</v>
      </c>
    </row>
    <row r="61" spans="1:19">
      <c r="A61" s="375"/>
      <c r="B61" s="42" t="s">
        <v>19</v>
      </c>
      <c r="C61" s="42" t="s">
        <v>1165</v>
      </c>
      <c r="D61" s="42" t="s">
        <v>16</v>
      </c>
      <c r="E61" s="42" t="s">
        <v>2163</v>
      </c>
      <c r="F61" s="42">
        <v>631</v>
      </c>
      <c r="G61" s="42"/>
      <c r="H61" s="42">
        <v>12870</v>
      </c>
      <c r="I61" s="42">
        <v>260</v>
      </c>
      <c r="J61" s="42">
        <v>0.13</v>
      </c>
      <c r="K61" s="43">
        <f t="shared" si="6"/>
        <v>33.800000000000004</v>
      </c>
      <c r="L61" s="43">
        <f t="shared" si="7"/>
        <v>12836.2</v>
      </c>
      <c r="M61" s="43"/>
      <c r="N61" s="43">
        <f t="shared" si="8"/>
        <v>12836.2</v>
      </c>
      <c r="O61" s="43">
        <f t="shared" si="9"/>
        <v>900.9</v>
      </c>
      <c r="P61" s="45">
        <f>26000+400</f>
        <v>26400</v>
      </c>
      <c r="Q61" s="42"/>
      <c r="R61" s="42">
        <f t="shared" si="10"/>
        <v>0</v>
      </c>
      <c r="S61" s="1">
        <v>31</v>
      </c>
    </row>
    <row r="62" spans="1:19">
      <c r="A62" s="375"/>
      <c r="B62" s="42" t="s">
        <v>19</v>
      </c>
      <c r="C62" s="42" t="s">
        <v>1165</v>
      </c>
      <c r="D62" s="42" t="s">
        <v>16</v>
      </c>
      <c r="E62" s="42" t="s">
        <v>2164</v>
      </c>
      <c r="F62" s="42">
        <v>633</v>
      </c>
      <c r="G62" s="42"/>
      <c r="H62" s="42">
        <v>13040</v>
      </c>
      <c r="I62" s="42">
        <v>260</v>
      </c>
      <c r="J62" s="42">
        <v>0.13</v>
      </c>
      <c r="K62" s="43">
        <f t="shared" si="6"/>
        <v>33.800000000000004</v>
      </c>
      <c r="L62" s="43">
        <f t="shared" si="7"/>
        <v>13006.2</v>
      </c>
      <c r="M62" s="43"/>
      <c r="N62" s="43">
        <f t="shared" si="8"/>
        <v>13006.2</v>
      </c>
      <c r="O62" s="43">
        <f t="shared" si="9"/>
        <v>912.8</v>
      </c>
      <c r="P62" s="45">
        <f>26000+440</f>
        <v>26440</v>
      </c>
      <c r="Q62" s="42"/>
      <c r="R62" s="42">
        <f t="shared" si="10"/>
        <v>0</v>
      </c>
      <c r="S62" s="1">
        <v>32</v>
      </c>
    </row>
    <row r="63" spans="1:19">
      <c r="A63" s="375" t="s">
        <v>2165</v>
      </c>
      <c r="B63" s="42" t="s">
        <v>19</v>
      </c>
      <c r="C63" s="42" t="s">
        <v>1165</v>
      </c>
      <c r="D63" s="42" t="s">
        <v>16</v>
      </c>
      <c r="E63" s="42" t="s">
        <v>2166</v>
      </c>
      <c r="F63" s="42">
        <v>635</v>
      </c>
      <c r="G63" s="42"/>
      <c r="H63" s="42">
        <v>13100</v>
      </c>
      <c r="I63" s="42">
        <v>260</v>
      </c>
      <c r="J63" s="42">
        <v>0.13</v>
      </c>
      <c r="K63" s="43">
        <f t="shared" si="6"/>
        <v>33.800000000000004</v>
      </c>
      <c r="L63" s="43">
        <f t="shared" si="7"/>
        <v>13066.2</v>
      </c>
      <c r="M63" s="43"/>
      <c r="N63" s="43">
        <f t="shared" si="8"/>
        <v>13066.2</v>
      </c>
      <c r="O63" s="43">
        <f t="shared" si="9"/>
        <v>917</v>
      </c>
      <c r="P63" s="45">
        <f>26000+1000</f>
        <v>27000</v>
      </c>
      <c r="Q63" s="42"/>
      <c r="R63" s="42">
        <f t="shared" si="10"/>
        <v>0</v>
      </c>
      <c r="S63" s="1">
        <v>33</v>
      </c>
    </row>
    <row r="64" spans="1:19">
      <c r="A64" s="375"/>
      <c r="B64" s="42" t="s">
        <v>19</v>
      </c>
      <c r="C64" s="42" t="s">
        <v>1165</v>
      </c>
      <c r="D64" s="42" t="s">
        <v>16</v>
      </c>
      <c r="E64" s="42" t="s">
        <v>2167</v>
      </c>
      <c r="F64" s="42">
        <v>634</v>
      </c>
      <c r="G64" s="42"/>
      <c r="H64" s="42">
        <v>13120</v>
      </c>
      <c r="I64" s="42">
        <v>260</v>
      </c>
      <c r="J64" s="42">
        <v>0.13</v>
      </c>
      <c r="K64" s="43">
        <f t="shared" si="6"/>
        <v>33.800000000000004</v>
      </c>
      <c r="L64" s="43">
        <f t="shared" si="7"/>
        <v>13086.2</v>
      </c>
      <c r="M64" s="43"/>
      <c r="N64" s="43">
        <f t="shared" si="8"/>
        <v>13086.2</v>
      </c>
      <c r="O64" s="43">
        <f t="shared" si="9"/>
        <v>918.4</v>
      </c>
      <c r="P64" s="45">
        <f>26000+1000</f>
        <v>27000</v>
      </c>
      <c r="Q64" s="42"/>
      <c r="R64" s="42">
        <f t="shared" si="10"/>
        <v>0</v>
      </c>
      <c r="S64" s="1">
        <v>34</v>
      </c>
    </row>
    <row r="65" spans="1:19">
      <c r="A65" s="375"/>
      <c r="B65" s="42" t="s">
        <v>19</v>
      </c>
      <c r="C65" s="42" t="s">
        <v>1165</v>
      </c>
      <c r="D65" s="42" t="s">
        <v>16</v>
      </c>
      <c r="E65" s="42" t="s">
        <v>2168</v>
      </c>
      <c r="F65" s="42">
        <v>638</v>
      </c>
      <c r="G65" s="42"/>
      <c r="H65" s="42">
        <v>11480</v>
      </c>
      <c r="I65" s="42">
        <v>225</v>
      </c>
      <c r="J65" s="42">
        <v>0.13</v>
      </c>
      <c r="K65" s="43">
        <f t="shared" si="6"/>
        <v>29.25</v>
      </c>
      <c r="L65" s="43">
        <f t="shared" si="7"/>
        <v>11450.75</v>
      </c>
      <c r="M65" s="43"/>
      <c r="N65" s="43">
        <f t="shared" si="8"/>
        <v>11450.75</v>
      </c>
      <c r="O65" s="43">
        <f t="shared" si="9"/>
        <v>803.6</v>
      </c>
      <c r="P65" s="45">
        <f>26000+1000</f>
        <v>27000</v>
      </c>
      <c r="Q65" s="42"/>
      <c r="R65" s="42">
        <f t="shared" si="10"/>
        <v>0</v>
      </c>
      <c r="S65" s="1">
        <v>35</v>
      </c>
    </row>
    <row r="66" spans="1:19">
      <c r="A66" s="375"/>
      <c r="B66" s="42" t="s">
        <v>19</v>
      </c>
      <c r="C66" s="42" t="s">
        <v>1165</v>
      </c>
      <c r="D66" s="42" t="s">
        <v>16</v>
      </c>
      <c r="E66" s="42" t="s">
        <v>2169</v>
      </c>
      <c r="F66" s="42">
        <v>630</v>
      </c>
      <c r="G66" s="42"/>
      <c r="H66" s="42">
        <v>13290</v>
      </c>
      <c r="I66" s="42">
        <v>260</v>
      </c>
      <c r="J66" s="42">
        <v>0.13</v>
      </c>
      <c r="K66" s="43">
        <f t="shared" si="6"/>
        <v>33.800000000000004</v>
      </c>
      <c r="L66" s="43">
        <f t="shared" si="7"/>
        <v>13256.2</v>
      </c>
      <c r="M66" s="43"/>
      <c r="N66" s="43">
        <f t="shared" si="8"/>
        <v>13256.2</v>
      </c>
      <c r="O66" s="43">
        <f t="shared" si="9"/>
        <v>930.3</v>
      </c>
      <c r="P66" s="45">
        <f>26000+1000</f>
        <v>27000</v>
      </c>
      <c r="Q66" s="42"/>
      <c r="R66" s="42">
        <f t="shared" si="10"/>
        <v>0</v>
      </c>
      <c r="S66" s="1">
        <v>36</v>
      </c>
    </row>
    <row r="67" spans="1:19">
      <c r="A67" s="375"/>
      <c r="B67" s="42" t="s">
        <v>19</v>
      </c>
      <c r="C67" s="42" t="s">
        <v>1165</v>
      </c>
      <c r="D67" s="42" t="s">
        <v>16</v>
      </c>
      <c r="E67" s="42" t="s">
        <v>2170</v>
      </c>
      <c r="F67" s="42">
        <v>637</v>
      </c>
      <c r="G67" s="42"/>
      <c r="H67" s="42">
        <v>11300</v>
      </c>
      <c r="I67" s="42">
        <v>225</v>
      </c>
      <c r="J67" s="42">
        <v>0.13</v>
      </c>
      <c r="K67" s="43">
        <f t="shared" si="6"/>
        <v>29.25</v>
      </c>
      <c r="L67" s="43">
        <f t="shared" si="7"/>
        <v>11270.75</v>
      </c>
      <c r="M67" s="43"/>
      <c r="N67" s="43">
        <f t="shared" si="8"/>
        <v>11270.75</v>
      </c>
      <c r="O67" s="43">
        <f t="shared" si="9"/>
        <v>791</v>
      </c>
      <c r="P67" s="45">
        <v>26000</v>
      </c>
      <c r="Q67" s="42"/>
      <c r="R67" s="42">
        <f t="shared" si="10"/>
        <v>0</v>
      </c>
      <c r="S67" s="1">
        <v>37</v>
      </c>
    </row>
    <row r="68" spans="1:19">
      <c r="A68" s="375"/>
      <c r="B68" s="42" t="s">
        <v>19</v>
      </c>
      <c r="C68" s="42" t="s">
        <v>1165</v>
      </c>
      <c r="D68" s="42" t="s">
        <v>16</v>
      </c>
      <c r="E68" s="42" t="s">
        <v>2171</v>
      </c>
      <c r="F68" s="42">
        <v>629</v>
      </c>
      <c r="G68" s="42"/>
      <c r="H68" s="42">
        <v>12910</v>
      </c>
      <c r="I68" s="42">
        <v>260</v>
      </c>
      <c r="J68" s="42">
        <v>0.13</v>
      </c>
      <c r="K68" s="43">
        <f t="shared" si="6"/>
        <v>33.800000000000004</v>
      </c>
      <c r="L68" s="43">
        <f t="shared" si="7"/>
        <v>12876.2</v>
      </c>
      <c r="M68" s="43"/>
      <c r="N68" s="43">
        <f t="shared" si="8"/>
        <v>12876.2</v>
      </c>
      <c r="O68" s="43">
        <f t="shared" si="9"/>
        <v>903.7</v>
      </c>
      <c r="P68" s="45">
        <v>26000</v>
      </c>
      <c r="Q68" s="42"/>
      <c r="R68" s="42">
        <f t="shared" si="10"/>
        <v>0</v>
      </c>
      <c r="S68" s="1">
        <v>38</v>
      </c>
    </row>
    <row r="72" spans="1:19">
      <c r="H72" s="1">
        <f>SUM(H31:H71)</f>
        <v>509560</v>
      </c>
      <c r="I72" s="1">
        <f t="shared" ref="I72:P72" si="11">SUM(I31:I71)</f>
        <v>10085</v>
      </c>
      <c r="J72" s="1">
        <f t="shared" si="11"/>
        <v>4.9399999999999968</v>
      </c>
      <c r="K72" s="1">
        <f t="shared" si="11"/>
        <v>1311.0499999999995</v>
      </c>
      <c r="L72" s="1">
        <f t="shared" si="11"/>
        <v>508248.95000000024</v>
      </c>
      <c r="M72" s="1">
        <f t="shared" si="11"/>
        <v>0</v>
      </c>
      <c r="N72" s="1">
        <f t="shared" si="11"/>
        <v>508248.95000000024</v>
      </c>
      <c r="O72" s="1">
        <f t="shared" si="11"/>
        <v>35669.19999999999</v>
      </c>
      <c r="P72" s="1">
        <f t="shared" si="11"/>
        <v>982840</v>
      </c>
    </row>
    <row r="73" spans="1:19">
      <c r="P73" s="1">
        <f>4000+1440</f>
        <v>5440</v>
      </c>
    </row>
    <row r="74" spans="1:19">
      <c r="P74" s="1">
        <f>P72-P73</f>
        <v>977400</v>
      </c>
    </row>
    <row r="76" spans="1:19">
      <c r="D76" s="396" t="s">
        <v>2234</v>
      </c>
      <c r="E76" s="396"/>
      <c r="F76" s="396"/>
    </row>
    <row r="77" spans="1:19">
      <c r="D77" s="42" t="s">
        <v>19</v>
      </c>
      <c r="E77" s="42" t="s">
        <v>2166</v>
      </c>
      <c r="F77" s="6">
        <v>1000</v>
      </c>
    </row>
    <row r="78" spans="1:19">
      <c r="D78" s="42" t="s">
        <v>19</v>
      </c>
      <c r="E78" s="42" t="s">
        <v>2167</v>
      </c>
      <c r="F78" s="6">
        <v>1000</v>
      </c>
    </row>
    <row r="79" spans="1:19">
      <c r="D79" s="42" t="s">
        <v>19</v>
      </c>
      <c r="E79" s="42" t="s">
        <v>2168</v>
      </c>
      <c r="F79" s="6">
        <v>1000</v>
      </c>
    </row>
    <row r="80" spans="1:19">
      <c r="D80" s="42" t="s">
        <v>19</v>
      </c>
      <c r="E80" s="42" t="s">
        <v>2169</v>
      </c>
      <c r="F80" s="13">
        <v>1000</v>
      </c>
    </row>
    <row r="81" spans="4:6">
      <c r="D81" s="253"/>
      <c r="E81" s="253"/>
      <c r="F81" s="254"/>
    </row>
    <row r="82" spans="4:6">
      <c r="D82" s="397" t="s">
        <v>2233</v>
      </c>
      <c r="E82" s="397"/>
      <c r="F82" s="397"/>
    </row>
    <row r="83" spans="4:6">
      <c r="D83" s="42" t="s">
        <v>19</v>
      </c>
      <c r="E83" s="42" t="s">
        <v>2161</v>
      </c>
      <c r="F83" s="13">
        <v>200</v>
      </c>
    </row>
    <row r="84" spans="4:6">
      <c r="D84" s="42" t="s">
        <v>19</v>
      </c>
      <c r="E84" s="42" t="s">
        <v>2162</v>
      </c>
      <c r="F84" s="13">
        <v>400</v>
      </c>
    </row>
    <row r="85" spans="4:6">
      <c r="D85" s="42" t="s">
        <v>19</v>
      </c>
      <c r="E85" s="42" t="s">
        <v>2163</v>
      </c>
      <c r="F85" s="13">
        <v>400</v>
      </c>
    </row>
    <row r="86" spans="4:6">
      <c r="D86" s="42" t="s">
        <v>19</v>
      </c>
      <c r="E86" s="42" t="s">
        <v>2164</v>
      </c>
      <c r="F86" s="13">
        <v>440</v>
      </c>
    </row>
    <row r="100" spans="1:18" ht="20.399999999999999">
      <c r="A100" s="3" t="s">
        <v>3</v>
      </c>
      <c r="B100" s="3" t="s">
        <v>4</v>
      </c>
      <c r="C100" s="3" t="s">
        <v>5</v>
      </c>
      <c r="D100" s="3" t="s">
        <v>6</v>
      </c>
      <c r="E100" s="3" t="s">
        <v>37</v>
      </c>
      <c r="F100" s="4" t="s">
        <v>7</v>
      </c>
      <c r="G100" s="3" t="s">
        <v>8</v>
      </c>
      <c r="H100" s="3" t="s">
        <v>9</v>
      </c>
      <c r="I100" s="3" t="s">
        <v>10</v>
      </c>
      <c r="J100" s="4" t="s">
        <v>18</v>
      </c>
      <c r="K100" s="4" t="s">
        <v>17</v>
      </c>
      <c r="L100" s="3" t="s">
        <v>3727</v>
      </c>
      <c r="M100" s="4" t="s">
        <v>3728</v>
      </c>
      <c r="N100" s="3" t="s">
        <v>11</v>
      </c>
      <c r="O100" s="4" t="s">
        <v>36</v>
      </c>
      <c r="P100" s="3" t="s">
        <v>12</v>
      </c>
      <c r="Q100" s="3" t="s">
        <v>2</v>
      </c>
    </row>
    <row r="101" spans="1:18">
      <c r="A101" s="376" t="s">
        <v>3666</v>
      </c>
      <c r="B101" s="42" t="s">
        <v>3667</v>
      </c>
      <c r="C101" s="42" t="s">
        <v>1165</v>
      </c>
      <c r="D101" s="42" t="s">
        <v>16</v>
      </c>
      <c r="E101" s="47" t="s">
        <v>2701</v>
      </c>
      <c r="F101" s="47">
        <v>26678</v>
      </c>
      <c r="G101" s="47"/>
      <c r="H101" s="47">
        <v>12370</v>
      </c>
      <c r="I101" s="47">
        <v>250</v>
      </c>
      <c r="J101" s="47">
        <v>0.13</v>
      </c>
      <c r="K101" s="43">
        <f t="shared" ref="K101:K122" si="12">I101*J101</f>
        <v>32.5</v>
      </c>
      <c r="L101" s="43">
        <f t="shared" ref="L101:L122" si="13">H101-K101</f>
        <v>12337.5</v>
      </c>
      <c r="M101" s="43"/>
      <c r="N101" s="43">
        <f t="shared" ref="N101:N122" si="14">L101-M101</f>
        <v>12337.5</v>
      </c>
      <c r="O101" s="43">
        <f t="shared" ref="O101:O122" si="15">H101/1000*70</f>
        <v>865.9</v>
      </c>
      <c r="P101" s="42">
        <v>22000</v>
      </c>
      <c r="Q101" s="42">
        <v>1</v>
      </c>
      <c r="R101" s="42"/>
    </row>
    <row r="102" spans="1:18">
      <c r="A102" s="376"/>
      <c r="B102" s="42" t="s">
        <v>3667</v>
      </c>
      <c r="C102" s="42" t="s">
        <v>1165</v>
      </c>
      <c r="D102" s="42" t="s">
        <v>16</v>
      </c>
      <c r="E102" s="47" t="s">
        <v>3668</v>
      </c>
      <c r="F102" s="47">
        <v>26695</v>
      </c>
      <c r="G102" s="47"/>
      <c r="H102" s="47">
        <v>12020</v>
      </c>
      <c r="I102" s="47">
        <v>240</v>
      </c>
      <c r="J102" s="47">
        <v>0.13</v>
      </c>
      <c r="K102" s="43">
        <f t="shared" si="12"/>
        <v>31.200000000000003</v>
      </c>
      <c r="L102" s="43">
        <f t="shared" si="13"/>
        <v>11988.8</v>
      </c>
      <c r="M102" s="43"/>
      <c r="N102" s="43">
        <f t="shared" si="14"/>
        <v>11988.8</v>
      </c>
      <c r="O102" s="43">
        <f t="shared" si="15"/>
        <v>841.4</v>
      </c>
      <c r="P102" s="42">
        <v>22000</v>
      </c>
      <c r="Q102" s="42">
        <v>2</v>
      </c>
      <c r="R102" s="42"/>
    </row>
    <row r="103" spans="1:18">
      <c r="A103" s="376"/>
      <c r="B103" s="42" t="s">
        <v>3667</v>
      </c>
      <c r="C103" s="42" t="s">
        <v>1165</v>
      </c>
      <c r="D103" s="42" t="s">
        <v>16</v>
      </c>
      <c r="E103" s="47" t="s">
        <v>3669</v>
      </c>
      <c r="F103" s="47">
        <v>26688</v>
      </c>
      <c r="G103" s="47"/>
      <c r="H103" s="47">
        <v>12430</v>
      </c>
      <c r="I103" s="47">
        <v>250</v>
      </c>
      <c r="J103" s="47">
        <v>0.13</v>
      </c>
      <c r="K103" s="43">
        <f t="shared" si="12"/>
        <v>32.5</v>
      </c>
      <c r="L103" s="43">
        <f t="shared" si="13"/>
        <v>12397.5</v>
      </c>
      <c r="M103" s="43"/>
      <c r="N103" s="43">
        <f t="shared" si="14"/>
        <v>12397.5</v>
      </c>
      <c r="O103" s="43">
        <f t="shared" si="15"/>
        <v>870.1</v>
      </c>
      <c r="P103" s="42">
        <v>22000</v>
      </c>
      <c r="Q103" s="42">
        <v>3</v>
      </c>
      <c r="R103" s="42"/>
    </row>
    <row r="104" spans="1:18">
      <c r="A104" s="376"/>
      <c r="B104" s="42" t="s">
        <v>3667</v>
      </c>
      <c r="C104" s="42" t="s">
        <v>1165</v>
      </c>
      <c r="D104" s="42" t="s">
        <v>16</v>
      </c>
      <c r="E104" s="47" t="s">
        <v>3670</v>
      </c>
      <c r="F104" s="47">
        <v>26694</v>
      </c>
      <c r="G104" s="47"/>
      <c r="H104" s="47">
        <v>12500</v>
      </c>
      <c r="I104" s="47">
        <v>250</v>
      </c>
      <c r="J104" s="47">
        <v>0.13</v>
      </c>
      <c r="K104" s="43">
        <f t="shared" si="12"/>
        <v>32.5</v>
      </c>
      <c r="L104" s="43">
        <f t="shared" si="13"/>
        <v>12467.5</v>
      </c>
      <c r="M104" s="43"/>
      <c r="N104" s="43">
        <f t="shared" si="14"/>
        <v>12467.5</v>
      </c>
      <c r="O104" s="43">
        <f t="shared" si="15"/>
        <v>875</v>
      </c>
      <c r="P104" s="42">
        <v>22000</v>
      </c>
      <c r="Q104" s="42">
        <v>4</v>
      </c>
      <c r="R104" s="42"/>
    </row>
    <row r="105" spans="1:18">
      <c r="A105" s="376"/>
      <c r="B105" s="42" t="s">
        <v>3667</v>
      </c>
      <c r="C105" s="42" t="s">
        <v>1165</v>
      </c>
      <c r="D105" s="42" t="s">
        <v>16</v>
      </c>
      <c r="E105" s="47" t="s">
        <v>3671</v>
      </c>
      <c r="F105" s="47">
        <v>26687</v>
      </c>
      <c r="G105" s="47"/>
      <c r="H105" s="47">
        <v>12450</v>
      </c>
      <c r="I105" s="47">
        <v>250</v>
      </c>
      <c r="J105" s="47">
        <v>0.13</v>
      </c>
      <c r="K105" s="43">
        <f t="shared" si="12"/>
        <v>32.5</v>
      </c>
      <c r="L105" s="43">
        <f t="shared" si="13"/>
        <v>12417.5</v>
      </c>
      <c r="M105" s="43"/>
      <c r="N105" s="43">
        <f t="shared" si="14"/>
        <v>12417.5</v>
      </c>
      <c r="O105" s="43">
        <f t="shared" si="15"/>
        <v>871.5</v>
      </c>
      <c r="P105" s="42">
        <v>22000</v>
      </c>
      <c r="Q105" s="42">
        <v>5</v>
      </c>
      <c r="R105" s="42"/>
    </row>
    <row r="106" spans="1:18">
      <c r="A106" s="376"/>
      <c r="B106" s="42" t="s">
        <v>3667</v>
      </c>
      <c r="C106" s="42" t="s">
        <v>1165</v>
      </c>
      <c r="D106" s="42" t="s">
        <v>16</v>
      </c>
      <c r="E106" s="47" t="s">
        <v>3672</v>
      </c>
      <c r="F106" s="47">
        <v>26693</v>
      </c>
      <c r="G106" s="47"/>
      <c r="H106" s="47">
        <v>12540</v>
      </c>
      <c r="I106" s="47">
        <v>250</v>
      </c>
      <c r="J106" s="47">
        <v>0.13</v>
      </c>
      <c r="K106" s="43">
        <f t="shared" si="12"/>
        <v>32.5</v>
      </c>
      <c r="L106" s="43">
        <f t="shared" si="13"/>
        <v>12507.5</v>
      </c>
      <c r="M106" s="43"/>
      <c r="N106" s="43">
        <f t="shared" si="14"/>
        <v>12507.5</v>
      </c>
      <c r="O106" s="43">
        <f t="shared" si="15"/>
        <v>877.8</v>
      </c>
      <c r="P106" s="42">
        <v>22000</v>
      </c>
      <c r="Q106" s="42">
        <v>6</v>
      </c>
      <c r="R106" s="42"/>
    </row>
    <row r="107" spans="1:18">
      <c r="A107" s="376"/>
      <c r="B107" s="42" t="s">
        <v>3667</v>
      </c>
      <c r="C107" s="42" t="s">
        <v>1165</v>
      </c>
      <c r="D107" s="42" t="s">
        <v>16</v>
      </c>
      <c r="E107" s="47" t="s">
        <v>3673</v>
      </c>
      <c r="F107" s="47">
        <v>26681</v>
      </c>
      <c r="G107" s="47"/>
      <c r="H107" s="47">
        <v>12500</v>
      </c>
      <c r="I107" s="47">
        <v>250</v>
      </c>
      <c r="J107" s="47">
        <v>0.13</v>
      </c>
      <c r="K107" s="43">
        <f t="shared" si="12"/>
        <v>32.5</v>
      </c>
      <c r="L107" s="43">
        <f t="shared" si="13"/>
        <v>12467.5</v>
      </c>
      <c r="M107" s="43"/>
      <c r="N107" s="43">
        <f t="shared" si="14"/>
        <v>12467.5</v>
      </c>
      <c r="O107" s="43">
        <f t="shared" si="15"/>
        <v>875</v>
      </c>
      <c r="P107" s="42">
        <v>22000</v>
      </c>
      <c r="Q107" s="42">
        <v>7</v>
      </c>
      <c r="R107" s="42"/>
    </row>
    <row r="108" spans="1:18">
      <c r="A108" s="376" t="s">
        <v>3676</v>
      </c>
      <c r="B108" s="42" t="s">
        <v>3667</v>
      </c>
      <c r="C108" s="42" t="s">
        <v>1165</v>
      </c>
      <c r="D108" s="42" t="s">
        <v>16</v>
      </c>
      <c r="E108" s="47" t="s">
        <v>3679</v>
      </c>
      <c r="F108" s="47">
        <v>26686</v>
      </c>
      <c r="G108" s="47"/>
      <c r="H108" s="47">
        <v>12530</v>
      </c>
      <c r="I108" s="47">
        <v>250</v>
      </c>
      <c r="J108" s="47">
        <v>0.13</v>
      </c>
      <c r="K108" s="43">
        <f t="shared" si="12"/>
        <v>32.5</v>
      </c>
      <c r="L108" s="43">
        <f t="shared" si="13"/>
        <v>12497.5</v>
      </c>
      <c r="M108" s="43"/>
      <c r="N108" s="43">
        <f t="shared" si="14"/>
        <v>12497.5</v>
      </c>
      <c r="O108" s="43">
        <f t="shared" si="15"/>
        <v>877.09999999999991</v>
      </c>
      <c r="P108" s="42">
        <v>22000</v>
      </c>
      <c r="Q108" s="42">
        <v>8</v>
      </c>
      <c r="R108" s="42"/>
    </row>
    <row r="109" spans="1:18">
      <c r="A109" s="376"/>
      <c r="B109" s="42" t="s">
        <v>3667</v>
      </c>
      <c r="C109" s="42" t="s">
        <v>1165</v>
      </c>
      <c r="D109" s="42" t="s">
        <v>16</v>
      </c>
      <c r="E109" s="47" t="s">
        <v>3680</v>
      </c>
      <c r="F109" s="47">
        <v>26676</v>
      </c>
      <c r="G109" s="47"/>
      <c r="H109" s="47">
        <v>18460</v>
      </c>
      <c r="I109" s="47">
        <v>370</v>
      </c>
      <c r="J109" s="47">
        <v>0.13</v>
      </c>
      <c r="K109" s="43">
        <f t="shared" si="12"/>
        <v>48.1</v>
      </c>
      <c r="L109" s="43">
        <f t="shared" si="13"/>
        <v>18411.900000000001</v>
      </c>
      <c r="M109" s="43"/>
      <c r="N109" s="43">
        <f t="shared" si="14"/>
        <v>18411.900000000001</v>
      </c>
      <c r="O109" s="43">
        <f t="shared" si="15"/>
        <v>1292.2</v>
      </c>
      <c r="P109" s="42">
        <v>31000</v>
      </c>
      <c r="Q109" s="42">
        <v>9</v>
      </c>
      <c r="R109" s="42"/>
    </row>
    <row r="110" spans="1:18">
      <c r="A110" s="376"/>
      <c r="B110" s="42" t="s">
        <v>3667</v>
      </c>
      <c r="C110" s="42" t="s">
        <v>1165</v>
      </c>
      <c r="D110" s="42" t="s">
        <v>16</v>
      </c>
      <c r="E110" s="47" t="s">
        <v>3681</v>
      </c>
      <c r="F110" s="47">
        <v>26675</v>
      </c>
      <c r="G110" s="47"/>
      <c r="H110" s="47">
        <v>18590</v>
      </c>
      <c r="I110" s="47">
        <v>370</v>
      </c>
      <c r="J110" s="47">
        <v>0.13</v>
      </c>
      <c r="K110" s="43">
        <f t="shared" si="12"/>
        <v>48.1</v>
      </c>
      <c r="L110" s="43">
        <f t="shared" si="13"/>
        <v>18541.900000000001</v>
      </c>
      <c r="M110" s="43"/>
      <c r="N110" s="43">
        <f t="shared" si="14"/>
        <v>18541.900000000001</v>
      </c>
      <c r="O110" s="43">
        <f t="shared" si="15"/>
        <v>1301.3</v>
      </c>
      <c r="P110" s="42">
        <v>31000</v>
      </c>
      <c r="Q110" s="42">
        <v>10</v>
      </c>
      <c r="R110" s="42"/>
    </row>
    <row r="111" spans="1:18">
      <c r="A111" s="376"/>
      <c r="B111" s="42" t="s">
        <v>3667</v>
      </c>
      <c r="C111" s="42" t="s">
        <v>1165</v>
      </c>
      <c r="D111" s="42" t="s">
        <v>16</v>
      </c>
      <c r="E111" s="47" t="s">
        <v>3682</v>
      </c>
      <c r="F111" s="47">
        <v>26692</v>
      </c>
      <c r="G111" s="47"/>
      <c r="H111" s="47">
        <v>12440</v>
      </c>
      <c r="I111" s="47">
        <v>250</v>
      </c>
      <c r="J111" s="47">
        <v>0.13</v>
      </c>
      <c r="K111" s="43">
        <f t="shared" si="12"/>
        <v>32.5</v>
      </c>
      <c r="L111" s="43">
        <f t="shared" si="13"/>
        <v>12407.5</v>
      </c>
      <c r="M111" s="43"/>
      <c r="N111" s="43">
        <f t="shared" si="14"/>
        <v>12407.5</v>
      </c>
      <c r="O111" s="43">
        <f t="shared" si="15"/>
        <v>870.8</v>
      </c>
      <c r="P111" s="42">
        <v>22000</v>
      </c>
      <c r="Q111" s="42">
        <v>11</v>
      </c>
      <c r="R111" s="42"/>
    </row>
    <row r="112" spans="1:18">
      <c r="A112" s="376"/>
      <c r="B112" s="42" t="s">
        <v>3667</v>
      </c>
      <c r="C112" s="42" t="s">
        <v>1165</v>
      </c>
      <c r="D112" s="42" t="s">
        <v>16</v>
      </c>
      <c r="E112" s="47" t="s">
        <v>3683</v>
      </c>
      <c r="F112" s="47">
        <v>26696</v>
      </c>
      <c r="G112" s="47"/>
      <c r="H112" s="47">
        <v>12490</v>
      </c>
      <c r="I112" s="47">
        <v>250</v>
      </c>
      <c r="J112" s="47">
        <v>0.13</v>
      </c>
      <c r="K112" s="43">
        <f t="shared" si="12"/>
        <v>32.5</v>
      </c>
      <c r="L112" s="43">
        <f t="shared" si="13"/>
        <v>12457.5</v>
      </c>
      <c r="M112" s="43"/>
      <c r="N112" s="43">
        <f t="shared" si="14"/>
        <v>12457.5</v>
      </c>
      <c r="O112" s="43">
        <f t="shared" si="15"/>
        <v>874.30000000000007</v>
      </c>
      <c r="P112" s="42">
        <v>22000</v>
      </c>
      <c r="Q112" s="42">
        <v>12</v>
      </c>
      <c r="R112" s="42"/>
    </row>
    <row r="113" spans="1:18">
      <c r="A113" s="376"/>
      <c r="B113" s="42" t="s">
        <v>3667</v>
      </c>
      <c r="C113" s="42" t="s">
        <v>1165</v>
      </c>
      <c r="D113" s="42" t="s">
        <v>16</v>
      </c>
      <c r="E113" s="47" t="s">
        <v>3684</v>
      </c>
      <c r="F113" s="47">
        <v>26685</v>
      </c>
      <c r="G113" s="47"/>
      <c r="H113" s="47">
        <v>12530</v>
      </c>
      <c r="I113" s="47">
        <v>250</v>
      </c>
      <c r="J113" s="47">
        <v>0.13</v>
      </c>
      <c r="K113" s="43">
        <f t="shared" si="12"/>
        <v>32.5</v>
      </c>
      <c r="L113" s="43">
        <f t="shared" si="13"/>
        <v>12497.5</v>
      </c>
      <c r="M113" s="43"/>
      <c r="N113" s="43">
        <f t="shared" si="14"/>
        <v>12497.5</v>
      </c>
      <c r="O113" s="43">
        <f t="shared" si="15"/>
        <v>877.09999999999991</v>
      </c>
      <c r="P113" s="42">
        <v>22000</v>
      </c>
      <c r="Q113" s="42">
        <v>13</v>
      </c>
      <c r="R113" s="42"/>
    </row>
    <row r="114" spans="1:18">
      <c r="A114" s="376"/>
      <c r="B114" s="42" t="s">
        <v>3667</v>
      </c>
      <c r="C114" s="42" t="s">
        <v>1165</v>
      </c>
      <c r="D114" s="42" t="s">
        <v>16</v>
      </c>
      <c r="E114" s="47" t="s">
        <v>747</v>
      </c>
      <c r="F114" s="47">
        <v>26682</v>
      </c>
      <c r="G114" s="47"/>
      <c r="H114" s="47">
        <v>12500</v>
      </c>
      <c r="I114" s="47">
        <v>250</v>
      </c>
      <c r="J114" s="47">
        <v>0.13</v>
      </c>
      <c r="K114" s="43">
        <f t="shared" si="12"/>
        <v>32.5</v>
      </c>
      <c r="L114" s="43">
        <f t="shared" si="13"/>
        <v>12467.5</v>
      </c>
      <c r="M114" s="43"/>
      <c r="N114" s="43">
        <f t="shared" si="14"/>
        <v>12467.5</v>
      </c>
      <c r="O114" s="43">
        <f t="shared" si="15"/>
        <v>875</v>
      </c>
      <c r="P114" s="42">
        <v>22000</v>
      </c>
      <c r="Q114" s="42">
        <v>14</v>
      </c>
      <c r="R114" s="42"/>
    </row>
    <row r="115" spans="1:18">
      <c r="A115" s="376"/>
      <c r="B115" s="42" t="s">
        <v>3667</v>
      </c>
      <c r="C115" s="42" t="s">
        <v>1165</v>
      </c>
      <c r="D115" s="42" t="s">
        <v>16</v>
      </c>
      <c r="E115" s="47" t="s">
        <v>3685</v>
      </c>
      <c r="F115" s="47">
        <v>26684</v>
      </c>
      <c r="G115" s="47"/>
      <c r="H115" s="47">
        <v>12390</v>
      </c>
      <c r="I115" s="47">
        <v>250</v>
      </c>
      <c r="J115" s="47">
        <v>0.13</v>
      </c>
      <c r="K115" s="43">
        <f t="shared" si="12"/>
        <v>32.5</v>
      </c>
      <c r="L115" s="43">
        <f t="shared" si="13"/>
        <v>12357.5</v>
      </c>
      <c r="M115" s="43"/>
      <c r="N115" s="43">
        <f t="shared" si="14"/>
        <v>12357.5</v>
      </c>
      <c r="O115" s="43">
        <f t="shared" si="15"/>
        <v>867.30000000000007</v>
      </c>
      <c r="P115" s="42">
        <v>22000</v>
      </c>
      <c r="Q115" s="42">
        <v>15</v>
      </c>
      <c r="R115" s="42"/>
    </row>
    <row r="116" spans="1:18">
      <c r="A116" s="376"/>
      <c r="B116" s="42" t="s">
        <v>3667</v>
      </c>
      <c r="C116" s="42" t="s">
        <v>1165</v>
      </c>
      <c r="D116" s="42" t="s">
        <v>16</v>
      </c>
      <c r="E116" s="47" t="s">
        <v>3686</v>
      </c>
      <c r="F116" s="47">
        <v>26680</v>
      </c>
      <c r="G116" s="47"/>
      <c r="H116" s="47">
        <v>12480</v>
      </c>
      <c r="I116" s="47">
        <v>250</v>
      </c>
      <c r="J116" s="47">
        <v>0.13</v>
      </c>
      <c r="K116" s="43">
        <f t="shared" si="12"/>
        <v>32.5</v>
      </c>
      <c r="L116" s="43">
        <f t="shared" si="13"/>
        <v>12447.5</v>
      </c>
      <c r="M116" s="43"/>
      <c r="N116" s="43">
        <f t="shared" si="14"/>
        <v>12447.5</v>
      </c>
      <c r="O116" s="43">
        <f t="shared" si="15"/>
        <v>873.6</v>
      </c>
      <c r="P116" s="42">
        <v>22000</v>
      </c>
      <c r="Q116" s="42">
        <v>16</v>
      </c>
      <c r="R116" s="42"/>
    </row>
    <row r="117" spans="1:18">
      <c r="A117" s="376"/>
      <c r="B117" s="42" t="s">
        <v>3667</v>
      </c>
      <c r="C117" s="42" t="s">
        <v>1165</v>
      </c>
      <c r="D117" s="42" t="s">
        <v>16</v>
      </c>
      <c r="E117" s="47" t="s">
        <v>3687</v>
      </c>
      <c r="F117" s="47">
        <v>26689</v>
      </c>
      <c r="G117" s="47"/>
      <c r="H117" s="47">
        <v>12470</v>
      </c>
      <c r="I117" s="47">
        <v>250</v>
      </c>
      <c r="J117" s="47">
        <v>0.13</v>
      </c>
      <c r="K117" s="43">
        <f t="shared" si="12"/>
        <v>32.5</v>
      </c>
      <c r="L117" s="43">
        <f t="shared" si="13"/>
        <v>12437.5</v>
      </c>
      <c r="M117" s="43"/>
      <c r="N117" s="43">
        <f t="shared" si="14"/>
        <v>12437.5</v>
      </c>
      <c r="O117" s="43">
        <f t="shared" si="15"/>
        <v>872.90000000000009</v>
      </c>
      <c r="P117" s="42">
        <v>22000</v>
      </c>
      <c r="Q117" s="42">
        <v>17</v>
      </c>
      <c r="R117" s="42"/>
    </row>
    <row r="118" spans="1:18">
      <c r="A118" s="376"/>
      <c r="B118" s="42" t="s">
        <v>3667</v>
      </c>
      <c r="C118" s="42" t="s">
        <v>1165</v>
      </c>
      <c r="D118" s="42" t="s">
        <v>16</v>
      </c>
      <c r="E118" s="47" t="s">
        <v>3688</v>
      </c>
      <c r="F118" s="47">
        <v>26683</v>
      </c>
      <c r="G118" s="47"/>
      <c r="H118" s="47">
        <v>12370</v>
      </c>
      <c r="I118" s="47">
        <v>250</v>
      </c>
      <c r="J118" s="47">
        <v>0.13</v>
      </c>
      <c r="K118" s="43">
        <f t="shared" si="12"/>
        <v>32.5</v>
      </c>
      <c r="L118" s="43">
        <f t="shared" si="13"/>
        <v>12337.5</v>
      </c>
      <c r="M118" s="43"/>
      <c r="N118" s="43">
        <f t="shared" si="14"/>
        <v>12337.5</v>
      </c>
      <c r="O118" s="43">
        <f t="shared" si="15"/>
        <v>865.9</v>
      </c>
      <c r="P118" s="42">
        <v>22000</v>
      </c>
      <c r="Q118" s="42">
        <v>18</v>
      </c>
      <c r="R118" s="42"/>
    </row>
    <row r="119" spans="1:18">
      <c r="A119" s="376"/>
      <c r="B119" s="42" t="s">
        <v>3667</v>
      </c>
      <c r="C119" s="42" t="s">
        <v>1165</v>
      </c>
      <c r="D119" s="42" t="s">
        <v>16</v>
      </c>
      <c r="E119" s="47" t="s">
        <v>3689</v>
      </c>
      <c r="F119" s="47">
        <v>26691</v>
      </c>
      <c r="G119" s="47"/>
      <c r="H119" s="47">
        <v>12430</v>
      </c>
      <c r="I119" s="47">
        <v>250</v>
      </c>
      <c r="J119" s="47">
        <v>0.13</v>
      </c>
      <c r="K119" s="43">
        <f t="shared" si="12"/>
        <v>32.5</v>
      </c>
      <c r="L119" s="43">
        <f t="shared" si="13"/>
        <v>12397.5</v>
      </c>
      <c r="M119" s="43"/>
      <c r="N119" s="43">
        <f t="shared" si="14"/>
        <v>12397.5</v>
      </c>
      <c r="O119" s="43">
        <f t="shared" si="15"/>
        <v>870.1</v>
      </c>
      <c r="P119" s="42">
        <v>22000</v>
      </c>
      <c r="Q119" s="42">
        <v>19</v>
      </c>
      <c r="R119" s="42"/>
    </row>
    <row r="120" spans="1:18">
      <c r="A120" s="376"/>
      <c r="B120" s="42" t="s">
        <v>3667</v>
      </c>
      <c r="C120" s="42" t="s">
        <v>1165</v>
      </c>
      <c r="D120" s="42" t="s">
        <v>16</v>
      </c>
      <c r="E120" s="47" t="s">
        <v>3690</v>
      </c>
      <c r="F120" s="47">
        <v>26679</v>
      </c>
      <c r="G120" s="47"/>
      <c r="H120" s="47">
        <v>12500</v>
      </c>
      <c r="I120" s="47">
        <v>250</v>
      </c>
      <c r="J120" s="47">
        <v>0.13</v>
      </c>
      <c r="K120" s="43">
        <f t="shared" si="12"/>
        <v>32.5</v>
      </c>
      <c r="L120" s="43">
        <f t="shared" si="13"/>
        <v>12467.5</v>
      </c>
      <c r="M120" s="43"/>
      <c r="N120" s="43">
        <f t="shared" si="14"/>
        <v>12467.5</v>
      </c>
      <c r="O120" s="43">
        <f t="shared" si="15"/>
        <v>875</v>
      </c>
      <c r="P120" s="42">
        <v>22000</v>
      </c>
      <c r="Q120" s="42">
        <v>20</v>
      </c>
      <c r="R120" s="42"/>
    </row>
    <row r="121" spans="1:18">
      <c r="A121" s="376"/>
      <c r="B121" s="42" t="s">
        <v>3667</v>
      </c>
      <c r="C121" s="42" t="s">
        <v>1165</v>
      </c>
      <c r="D121" s="42" t="s">
        <v>16</v>
      </c>
      <c r="E121" s="47" t="s">
        <v>3691</v>
      </c>
      <c r="F121" s="47">
        <v>26690</v>
      </c>
      <c r="G121" s="47"/>
      <c r="H121" s="47">
        <v>12540</v>
      </c>
      <c r="I121" s="47">
        <v>250</v>
      </c>
      <c r="J121" s="47">
        <v>0.13</v>
      </c>
      <c r="K121" s="43">
        <f t="shared" si="12"/>
        <v>32.5</v>
      </c>
      <c r="L121" s="43">
        <f t="shared" si="13"/>
        <v>12507.5</v>
      </c>
      <c r="M121" s="43"/>
      <c r="N121" s="43">
        <f t="shared" si="14"/>
        <v>12507.5</v>
      </c>
      <c r="O121" s="43">
        <f t="shared" si="15"/>
        <v>877.8</v>
      </c>
      <c r="P121" s="42">
        <v>22000</v>
      </c>
      <c r="Q121" s="42">
        <v>21</v>
      </c>
      <c r="R121" s="42"/>
    </row>
    <row r="122" spans="1:18">
      <c r="A122" s="376"/>
      <c r="B122" s="42" t="s">
        <v>3667</v>
      </c>
      <c r="C122" s="42" t="s">
        <v>1165</v>
      </c>
      <c r="D122" s="42" t="s">
        <v>16</v>
      </c>
      <c r="E122" s="47" t="s">
        <v>3692</v>
      </c>
      <c r="F122" s="47">
        <v>26677</v>
      </c>
      <c r="G122" s="47"/>
      <c r="H122" s="47">
        <v>5980</v>
      </c>
      <c r="I122" s="47">
        <v>120</v>
      </c>
      <c r="J122" s="47">
        <v>0.13</v>
      </c>
      <c r="K122" s="43">
        <f t="shared" si="12"/>
        <v>15.600000000000001</v>
      </c>
      <c r="L122" s="43">
        <f t="shared" si="13"/>
        <v>5964.4</v>
      </c>
      <c r="M122" s="43"/>
      <c r="N122" s="43">
        <f t="shared" si="14"/>
        <v>5964.4</v>
      </c>
      <c r="O122" s="43">
        <f t="shared" si="15"/>
        <v>418.6</v>
      </c>
      <c r="P122" s="42">
        <v>15000</v>
      </c>
      <c r="Q122" s="42">
        <v>22</v>
      </c>
      <c r="R122" s="42"/>
    </row>
    <row r="123" spans="1:18">
      <c r="H123" s="1">
        <f>SUM(H101:H122)</f>
        <v>279510</v>
      </c>
      <c r="I123" s="1">
        <f t="shared" ref="I123:R123" si="16">SUM(I101:I122)</f>
        <v>5600</v>
      </c>
      <c r="K123" s="1">
        <f t="shared" si="16"/>
        <v>728.00000000000011</v>
      </c>
      <c r="L123" s="1">
        <f t="shared" si="16"/>
        <v>278782</v>
      </c>
      <c r="M123" s="1">
        <f t="shared" si="16"/>
        <v>0</v>
      </c>
      <c r="N123" s="1">
        <f t="shared" si="16"/>
        <v>278782</v>
      </c>
      <c r="O123" s="1">
        <f t="shared" si="16"/>
        <v>19565.699999999993</v>
      </c>
      <c r="P123" s="1">
        <f t="shared" si="16"/>
        <v>495000</v>
      </c>
      <c r="R123" s="1">
        <f t="shared" si="16"/>
        <v>0</v>
      </c>
    </row>
    <row r="125" spans="1:18" ht="16.8" customHeight="1"/>
    <row r="126" spans="1:18" ht="10.199999999999999" customHeight="1"/>
    <row r="127" spans="1:18" ht="10.199999999999999" customHeight="1"/>
    <row r="128" spans="1:18" ht="10.199999999999999" customHeight="1"/>
    <row r="129" spans="1:19" ht="10.199999999999999" customHeight="1"/>
    <row r="130" spans="1:19" ht="10.199999999999999" customHeight="1"/>
    <row r="131" spans="1:19" ht="10.199999999999999" customHeight="1"/>
    <row r="132" spans="1:19" ht="10.199999999999999" customHeight="1"/>
    <row r="133" spans="1:19" ht="10.199999999999999" customHeight="1"/>
    <row r="134" spans="1:19" ht="10.199999999999999" customHeight="1"/>
    <row r="135" spans="1:19" ht="10.199999999999999" customHeight="1"/>
    <row r="136" spans="1:19" ht="12" customHeight="1">
      <c r="A136" s="3" t="s">
        <v>3</v>
      </c>
      <c r="B136" s="3" t="s">
        <v>4</v>
      </c>
      <c r="C136" s="3" t="s">
        <v>5</v>
      </c>
      <c r="D136" s="3" t="s">
        <v>6</v>
      </c>
      <c r="E136" s="3" t="s">
        <v>37</v>
      </c>
      <c r="F136" s="4" t="s">
        <v>7</v>
      </c>
      <c r="G136" s="3" t="s">
        <v>8</v>
      </c>
      <c r="H136" s="3" t="s">
        <v>9</v>
      </c>
      <c r="I136" s="3" t="s">
        <v>10</v>
      </c>
      <c r="J136" s="4" t="s">
        <v>18</v>
      </c>
      <c r="K136" s="4" t="s">
        <v>17</v>
      </c>
      <c r="L136" s="3" t="s">
        <v>3727</v>
      </c>
      <c r="M136" s="4" t="s">
        <v>3728</v>
      </c>
      <c r="N136" s="3" t="s">
        <v>11</v>
      </c>
      <c r="O136" s="4" t="s">
        <v>36</v>
      </c>
      <c r="P136" s="3" t="s">
        <v>12</v>
      </c>
      <c r="Q136" s="3" t="s">
        <v>2</v>
      </c>
    </row>
    <row r="137" spans="1:19">
      <c r="A137" s="375" t="s">
        <v>3834</v>
      </c>
      <c r="B137" s="42" t="s">
        <v>2872</v>
      </c>
      <c r="C137" s="42" t="s">
        <v>3558</v>
      </c>
      <c r="D137" s="42" t="s">
        <v>16</v>
      </c>
      <c r="E137" s="47" t="s">
        <v>3835</v>
      </c>
      <c r="F137" s="47">
        <v>26747</v>
      </c>
      <c r="G137" s="47"/>
      <c r="H137" s="47">
        <v>12710</v>
      </c>
      <c r="I137" s="47">
        <v>255</v>
      </c>
      <c r="J137" s="47">
        <v>0.13</v>
      </c>
      <c r="K137" s="43">
        <f t="shared" ref="K137:K145" si="17">I137*J137</f>
        <v>33.15</v>
      </c>
      <c r="L137" s="43">
        <f t="shared" ref="L137:L145" si="18">H137-K137</f>
        <v>12676.85</v>
      </c>
      <c r="M137" s="43"/>
      <c r="N137" s="43">
        <f t="shared" ref="N137:N145" si="19">L137-M137</f>
        <v>12676.85</v>
      </c>
      <c r="O137" s="43">
        <f t="shared" ref="O137:O145" si="20">H137/1000*70</f>
        <v>889.7</v>
      </c>
      <c r="P137" s="42">
        <v>20500</v>
      </c>
      <c r="Q137" s="42"/>
      <c r="R137" s="42">
        <f t="shared" ref="R137:R145" si="21">L137*Q137</f>
        <v>0</v>
      </c>
      <c r="S137" s="1">
        <v>1</v>
      </c>
    </row>
    <row r="138" spans="1:19">
      <c r="A138" s="375"/>
      <c r="B138" s="42" t="s">
        <v>2872</v>
      </c>
      <c r="C138" s="42" t="s">
        <v>3558</v>
      </c>
      <c r="D138" s="42" t="s">
        <v>16</v>
      </c>
      <c r="E138" s="47" t="s">
        <v>3836</v>
      </c>
      <c r="F138" s="47">
        <v>26743</v>
      </c>
      <c r="G138" s="47"/>
      <c r="H138" s="47">
        <v>12690</v>
      </c>
      <c r="I138" s="47">
        <v>255</v>
      </c>
      <c r="J138" s="47">
        <v>0.13</v>
      </c>
      <c r="K138" s="43">
        <f t="shared" si="17"/>
        <v>33.15</v>
      </c>
      <c r="L138" s="43">
        <f t="shared" si="18"/>
        <v>12656.85</v>
      </c>
      <c r="M138" s="43"/>
      <c r="N138" s="43">
        <f t="shared" si="19"/>
        <v>12656.85</v>
      </c>
      <c r="O138" s="43">
        <f t="shared" si="20"/>
        <v>888.3</v>
      </c>
      <c r="P138" s="42">
        <v>20500</v>
      </c>
      <c r="Q138" s="42"/>
      <c r="R138" s="42">
        <f t="shared" si="21"/>
        <v>0</v>
      </c>
      <c r="S138" s="1">
        <v>2</v>
      </c>
    </row>
    <row r="139" spans="1:19">
      <c r="A139" s="375"/>
      <c r="B139" s="42" t="s">
        <v>2872</v>
      </c>
      <c r="C139" s="42" t="s">
        <v>3558</v>
      </c>
      <c r="D139" s="42" t="s">
        <v>16</v>
      </c>
      <c r="E139" s="47" t="s">
        <v>3837</v>
      </c>
      <c r="F139" s="47">
        <v>26751</v>
      </c>
      <c r="G139" s="47"/>
      <c r="H139" s="47">
        <v>12710</v>
      </c>
      <c r="I139" s="47">
        <v>255</v>
      </c>
      <c r="J139" s="47">
        <v>0.13</v>
      </c>
      <c r="K139" s="43">
        <f t="shared" si="17"/>
        <v>33.15</v>
      </c>
      <c r="L139" s="43">
        <f t="shared" si="18"/>
        <v>12676.85</v>
      </c>
      <c r="M139" s="43"/>
      <c r="N139" s="43">
        <f t="shared" si="19"/>
        <v>12676.85</v>
      </c>
      <c r="O139" s="43">
        <f t="shared" si="20"/>
        <v>889.7</v>
      </c>
      <c r="P139" s="42">
        <v>20500</v>
      </c>
      <c r="Q139" s="42"/>
      <c r="R139" s="42">
        <f t="shared" si="21"/>
        <v>0</v>
      </c>
      <c r="S139" s="1">
        <v>3</v>
      </c>
    </row>
    <row r="140" spans="1:19">
      <c r="A140" s="375"/>
      <c r="B140" s="42" t="s">
        <v>2872</v>
      </c>
      <c r="C140" s="42" t="s">
        <v>3558</v>
      </c>
      <c r="D140" s="42" t="s">
        <v>16</v>
      </c>
      <c r="E140" s="47" t="s">
        <v>2312</v>
      </c>
      <c r="F140" s="47">
        <v>26753</v>
      </c>
      <c r="G140" s="47"/>
      <c r="H140" s="47">
        <v>12750</v>
      </c>
      <c r="I140" s="47">
        <v>250</v>
      </c>
      <c r="J140" s="47">
        <v>0.13</v>
      </c>
      <c r="K140" s="43">
        <f t="shared" si="17"/>
        <v>32.5</v>
      </c>
      <c r="L140" s="43">
        <f t="shared" si="18"/>
        <v>12717.5</v>
      </c>
      <c r="M140" s="43"/>
      <c r="N140" s="43">
        <f t="shared" si="19"/>
        <v>12717.5</v>
      </c>
      <c r="O140" s="43">
        <f t="shared" si="20"/>
        <v>892.5</v>
      </c>
      <c r="P140" s="42">
        <v>20500</v>
      </c>
      <c r="Q140" s="42"/>
      <c r="R140" s="42">
        <f t="shared" si="21"/>
        <v>0</v>
      </c>
      <c r="S140" s="1">
        <v>4</v>
      </c>
    </row>
    <row r="141" spans="1:19">
      <c r="A141" s="375"/>
      <c r="B141" s="42" t="s">
        <v>2872</v>
      </c>
      <c r="C141" s="42" t="s">
        <v>3558</v>
      </c>
      <c r="D141" s="42" t="s">
        <v>16</v>
      </c>
      <c r="E141" s="47" t="s">
        <v>3838</v>
      </c>
      <c r="F141" s="47">
        <v>26752</v>
      </c>
      <c r="G141" s="47"/>
      <c r="H141" s="47">
        <v>12400</v>
      </c>
      <c r="I141" s="47">
        <v>250</v>
      </c>
      <c r="J141" s="47">
        <v>0.13</v>
      </c>
      <c r="K141" s="43">
        <f t="shared" si="17"/>
        <v>32.5</v>
      </c>
      <c r="L141" s="43">
        <f t="shared" si="18"/>
        <v>12367.5</v>
      </c>
      <c r="M141" s="43"/>
      <c r="N141" s="43">
        <f t="shared" si="19"/>
        <v>12367.5</v>
      </c>
      <c r="O141" s="43">
        <f t="shared" si="20"/>
        <v>868</v>
      </c>
      <c r="P141" s="42">
        <v>20500</v>
      </c>
      <c r="Q141" s="42"/>
      <c r="R141" s="42">
        <f t="shared" si="21"/>
        <v>0</v>
      </c>
      <c r="S141" s="1">
        <v>5</v>
      </c>
    </row>
    <row r="142" spans="1:19">
      <c r="A142" s="375"/>
      <c r="B142" s="42" t="s">
        <v>2872</v>
      </c>
      <c r="C142" s="42" t="s">
        <v>3558</v>
      </c>
      <c r="D142" s="42" t="s">
        <v>16</v>
      </c>
      <c r="E142" s="47" t="s">
        <v>3839</v>
      </c>
      <c r="F142" s="47">
        <v>26746</v>
      </c>
      <c r="G142" s="47"/>
      <c r="H142" s="47">
        <v>12700</v>
      </c>
      <c r="I142" s="47">
        <v>255</v>
      </c>
      <c r="J142" s="47">
        <v>0.13</v>
      </c>
      <c r="K142" s="43">
        <f t="shared" si="17"/>
        <v>33.15</v>
      </c>
      <c r="L142" s="43">
        <f t="shared" si="18"/>
        <v>12666.85</v>
      </c>
      <c r="M142" s="43"/>
      <c r="N142" s="43">
        <f t="shared" si="19"/>
        <v>12666.85</v>
      </c>
      <c r="O142" s="43">
        <f t="shared" si="20"/>
        <v>889</v>
      </c>
      <c r="P142" s="42">
        <v>20500</v>
      </c>
      <c r="Q142" s="42"/>
      <c r="R142" s="42">
        <f t="shared" si="21"/>
        <v>0</v>
      </c>
      <c r="S142" s="1">
        <v>6</v>
      </c>
    </row>
    <row r="143" spans="1:19">
      <c r="A143" s="375"/>
      <c r="B143" s="42" t="s">
        <v>2872</v>
      </c>
      <c r="C143" s="42" t="s">
        <v>3558</v>
      </c>
      <c r="D143" s="42" t="s">
        <v>16</v>
      </c>
      <c r="E143" s="47" t="s">
        <v>3840</v>
      </c>
      <c r="F143" s="47">
        <v>26744</v>
      </c>
      <c r="G143" s="47"/>
      <c r="H143" s="47">
        <v>12690</v>
      </c>
      <c r="I143" s="47">
        <v>255</v>
      </c>
      <c r="J143" s="47">
        <v>0.13</v>
      </c>
      <c r="K143" s="43">
        <f t="shared" si="17"/>
        <v>33.15</v>
      </c>
      <c r="L143" s="43">
        <f t="shared" si="18"/>
        <v>12656.85</v>
      </c>
      <c r="M143" s="43"/>
      <c r="N143" s="43">
        <f t="shared" si="19"/>
        <v>12656.85</v>
      </c>
      <c r="O143" s="43">
        <f t="shared" si="20"/>
        <v>888.3</v>
      </c>
      <c r="P143" s="42">
        <v>20500</v>
      </c>
      <c r="Q143" s="42"/>
      <c r="R143" s="42">
        <f t="shared" si="21"/>
        <v>0</v>
      </c>
      <c r="S143" s="1">
        <v>7</v>
      </c>
    </row>
    <row r="144" spans="1:19">
      <c r="A144" s="375"/>
      <c r="B144" s="42" t="s">
        <v>2872</v>
      </c>
      <c r="C144" s="42" t="s">
        <v>3558</v>
      </c>
      <c r="D144" s="42" t="s">
        <v>16</v>
      </c>
      <c r="E144" s="47" t="s">
        <v>3841</v>
      </c>
      <c r="F144" s="47">
        <v>26742</v>
      </c>
      <c r="G144" s="47"/>
      <c r="H144" s="47">
        <v>12790</v>
      </c>
      <c r="I144" s="47">
        <v>255</v>
      </c>
      <c r="J144" s="47">
        <v>0.13</v>
      </c>
      <c r="K144" s="43">
        <f t="shared" si="17"/>
        <v>33.15</v>
      </c>
      <c r="L144" s="43">
        <f t="shared" si="18"/>
        <v>12756.85</v>
      </c>
      <c r="M144" s="43"/>
      <c r="N144" s="43">
        <f t="shared" si="19"/>
        <v>12756.85</v>
      </c>
      <c r="O144" s="43">
        <f t="shared" si="20"/>
        <v>895.3</v>
      </c>
      <c r="P144" s="42">
        <v>20500</v>
      </c>
      <c r="Q144" s="42"/>
      <c r="R144" s="42">
        <f t="shared" si="21"/>
        <v>0</v>
      </c>
      <c r="S144" s="1">
        <v>8</v>
      </c>
    </row>
    <row r="145" spans="1:19">
      <c r="A145" s="375"/>
      <c r="B145" s="42" t="s">
        <v>2872</v>
      </c>
      <c r="C145" s="42" t="s">
        <v>3558</v>
      </c>
      <c r="D145" s="42" t="s">
        <v>16</v>
      </c>
      <c r="E145" s="47" t="s">
        <v>3842</v>
      </c>
      <c r="F145" s="47">
        <v>26741</v>
      </c>
      <c r="G145" s="47"/>
      <c r="H145" s="47">
        <v>12670</v>
      </c>
      <c r="I145" s="47">
        <v>255</v>
      </c>
      <c r="J145" s="47">
        <v>0.13</v>
      </c>
      <c r="K145" s="43">
        <f t="shared" si="17"/>
        <v>33.15</v>
      </c>
      <c r="L145" s="43">
        <f t="shared" si="18"/>
        <v>12636.85</v>
      </c>
      <c r="M145" s="43"/>
      <c r="N145" s="43">
        <f t="shared" si="19"/>
        <v>12636.85</v>
      </c>
      <c r="O145" s="43">
        <f t="shared" si="20"/>
        <v>886.9</v>
      </c>
      <c r="P145" s="42">
        <v>20500</v>
      </c>
      <c r="Q145" s="42"/>
      <c r="R145" s="42">
        <f t="shared" si="21"/>
        <v>0</v>
      </c>
      <c r="S145" s="1">
        <v>9</v>
      </c>
    </row>
    <row r="146" spans="1:19">
      <c r="A146" s="375" t="s">
        <v>3849</v>
      </c>
      <c r="B146" s="42" t="s">
        <v>2872</v>
      </c>
      <c r="C146" s="42" t="s">
        <v>3558</v>
      </c>
      <c r="D146" s="42" t="s">
        <v>16</v>
      </c>
      <c r="E146" s="47" t="s">
        <v>3868</v>
      </c>
      <c r="F146" s="47">
        <v>26748</v>
      </c>
      <c r="G146" s="47"/>
      <c r="H146" s="47">
        <v>12750</v>
      </c>
      <c r="I146" s="47">
        <v>255</v>
      </c>
      <c r="J146" s="47">
        <v>0.13</v>
      </c>
      <c r="K146" s="43">
        <f t="shared" ref="K146:K147" si="22">I146*J146</f>
        <v>33.15</v>
      </c>
      <c r="L146" s="43">
        <f t="shared" ref="L146:L147" si="23">H146-K146</f>
        <v>12716.85</v>
      </c>
      <c r="M146" s="43"/>
      <c r="N146" s="43">
        <f t="shared" ref="N146:N147" si="24">L146-M146</f>
        <v>12716.85</v>
      </c>
      <c r="O146" s="43">
        <f t="shared" ref="O146:O147" si="25">H146/1000*70</f>
        <v>892.5</v>
      </c>
      <c r="P146" s="42">
        <v>20500</v>
      </c>
      <c r="Q146" s="42"/>
      <c r="R146" s="42">
        <f t="shared" ref="R146:R147" si="26">L146*Q146</f>
        <v>0</v>
      </c>
      <c r="S146" s="1">
        <v>10</v>
      </c>
    </row>
    <row r="147" spans="1:19">
      <c r="A147" s="375"/>
      <c r="B147" s="42" t="s">
        <v>2872</v>
      </c>
      <c r="C147" s="42" t="s">
        <v>3558</v>
      </c>
      <c r="D147" s="42" t="s">
        <v>16</v>
      </c>
      <c r="E147" s="47" t="s">
        <v>3869</v>
      </c>
      <c r="F147" s="47">
        <v>26745</v>
      </c>
      <c r="G147" s="47"/>
      <c r="H147" s="47">
        <v>12800</v>
      </c>
      <c r="I147" s="47">
        <v>256</v>
      </c>
      <c r="J147" s="47">
        <v>0.13</v>
      </c>
      <c r="K147" s="43">
        <f t="shared" si="22"/>
        <v>33.28</v>
      </c>
      <c r="L147" s="43">
        <f t="shared" si="23"/>
        <v>12766.72</v>
      </c>
      <c r="M147" s="43"/>
      <c r="N147" s="43">
        <f t="shared" si="24"/>
        <v>12766.72</v>
      </c>
      <c r="O147" s="43">
        <f t="shared" si="25"/>
        <v>896</v>
      </c>
      <c r="P147" s="42">
        <v>20500</v>
      </c>
      <c r="Q147" s="42"/>
      <c r="R147" s="42">
        <f t="shared" si="26"/>
        <v>0</v>
      </c>
      <c r="S147" s="1">
        <v>11</v>
      </c>
    </row>
    <row r="149" spans="1:19">
      <c r="H149" s="1">
        <f>SUM(H137:H148)</f>
        <v>139660</v>
      </c>
      <c r="I149" s="1">
        <f t="shared" ref="I149:P149" si="27">SUM(I137:I148)</f>
        <v>2796</v>
      </c>
      <c r="K149" s="1">
        <f t="shared" si="27"/>
        <v>363.4799999999999</v>
      </c>
      <c r="L149" s="1">
        <f t="shared" si="27"/>
        <v>139296.52000000002</v>
      </c>
      <c r="M149" s="1">
        <f t="shared" si="27"/>
        <v>0</v>
      </c>
      <c r="N149" s="1">
        <f t="shared" si="27"/>
        <v>139296.52000000002</v>
      </c>
      <c r="O149" s="1">
        <f t="shared" si="27"/>
        <v>9776.2000000000007</v>
      </c>
      <c r="P149" s="1">
        <f t="shared" si="27"/>
        <v>225500</v>
      </c>
      <c r="Q149" s="1">
        <f t="shared" ref="Q149:R149" si="28">SUM(Q137:Q148)</f>
        <v>0</v>
      </c>
      <c r="R149" s="1">
        <f t="shared" si="28"/>
        <v>0</v>
      </c>
    </row>
  </sheetData>
  <mergeCells count="14">
    <mergeCell ref="A58:A62"/>
    <mergeCell ref="A50:A57"/>
    <mergeCell ref="A6:A8"/>
    <mergeCell ref="A9:A17"/>
    <mergeCell ref="A18:A23"/>
    <mergeCell ref="A31:A47"/>
    <mergeCell ref="A48:A49"/>
    <mergeCell ref="D76:F76"/>
    <mergeCell ref="D82:F82"/>
    <mergeCell ref="A63:A68"/>
    <mergeCell ref="A137:A145"/>
    <mergeCell ref="A146:A147"/>
    <mergeCell ref="A101:A107"/>
    <mergeCell ref="A108:A122"/>
  </mergeCells>
  <pageMargins left="0.7" right="0.7" top="0.75" bottom="0.75" header="0.3" footer="0.3"/>
  <pageSetup paperSize="9" orientation="landscape" verticalDpi="0" r:id="rId1"/>
</worksheet>
</file>

<file path=xl/worksheets/sheet171.xml><?xml version="1.0" encoding="utf-8"?>
<worksheet xmlns="http://schemas.openxmlformats.org/spreadsheetml/2006/main" xmlns:r="http://schemas.openxmlformats.org/officeDocument/2006/relationships">
  <dimension ref="A5:U20"/>
  <sheetViews>
    <sheetView workbookViewId="0">
      <selection activeCell="P24" sqref="P24"/>
    </sheetView>
  </sheetViews>
  <sheetFormatPr defaultRowHeight="14.4"/>
  <cols>
    <col min="1" max="1" width="8.88671875" style="1"/>
    <col min="2" max="2" width="17.44140625" style="1" customWidth="1"/>
    <col min="3" max="3" width="8.88671875" style="1"/>
    <col min="4" max="4" width="5.5546875" style="1" customWidth="1"/>
    <col min="5" max="5" width="11.2187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128</v>
      </c>
    </row>
    <row r="6" spans="1:21">
      <c r="A6" s="32" t="s">
        <v>373</v>
      </c>
      <c r="B6" s="42" t="s">
        <v>374</v>
      </c>
      <c r="C6" s="42" t="s">
        <v>375</v>
      </c>
      <c r="D6" s="42" t="s">
        <v>16</v>
      </c>
      <c r="E6" s="42" t="s">
        <v>376</v>
      </c>
      <c r="F6" s="42"/>
      <c r="G6" s="42"/>
      <c r="H6" s="42">
        <v>21360</v>
      </c>
      <c r="I6" s="42"/>
      <c r="J6" s="42"/>
      <c r="K6" s="42">
        <f t="shared" ref="K6" si="0">I6*J6</f>
        <v>0</v>
      </c>
      <c r="L6" s="43">
        <f t="shared" ref="L6" si="1">H6-K6</f>
        <v>21360</v>
      </c>
      <c r="M6" s="43">
        <f t="shared" ref="M6" si="2">H6/1000*70</f>
        <v>1495.2</v>
      </c>
      <c r="N6" s="42">
        <v>30000</v>
      </c>
      <c r="O6" s="42"/>
      <c r="P6" s="42">
        <f t="shared" ref="P6" si="3">L6*O6</f>
        <v>0</v>
      </c>
    </row>
    <row r="7" spans="1:21">
      <c r="A7" s="38"/>
      <c r="B7" s="2"/>
      <c r="C7" s="2"/>
      <c r="D7" s="2"/>
      <c r="E7" s="2"/>
      <c r="F7" s="2"/>
      <c r="G7" s="2"/>
      <c r="H7" s="2"/>
      <c r="I7" s="2"/>
      <c r="J7" s="2"/>
      <c r="K7" s="5"/>
      <c r="L7" s="19"/>
      <c r="M7" s="5"/>
      <c r="N7" s="2"/>
      <c r="O7" s="2"/>
      <c r="P7" s="2"/>
    </row>
    <row r="8" spans="1:21">
      <c r="A8" s="393"/>
      <c r="B8" s="2"/>
      <c r="C8" s="2"/>
      <c r="D8" s="2"/>
      <c r="E8" s="2"/>
      <c r="F8" s="2"/>
      <c r="G8" s="2"/>
      <c r="H8" s="2"/>
      <c r="I8" s="2"/>
      <c r="J8" s="2"/>
      <c r="K8" s="5"/>
      <c r="L8" s="19"/>
      <c r="M8" s="5"/>
      <c r="N8" s="2"/>
      <c r="O8" s="2"/>
      <c r="P8" s="2"/>
    </row>
    <row r="9" spans="1:21">
      <c r="A9" s="395"/>
      <c r="B9" s="2"/>
      <c r="C9" s="2"/>
      <c r="D9" s="2"/>
      <c r="E9" s="2"/>
      <c r="F9" s="2"/>
      <c r="G9" s="2"/>
      <c r="H9" s="2"/>
      <c r="I9" s="2"/>
      <c r="J9" s="2"/>
      <c r="K9" s="5"/>
      <c r="L9" s="19"/>
      <c r="M9" s="5"/>
      <c r="N9" s="2"/>
      <c r="O9" s="2"/>
      <c r="P9" s="2"/>
    </row>
    <row r="10" spans="1:21">
      <c r="A10" s="395"/>
      <c r="B10" s="2"/>
      <c r="C10" s="2"/>
      <c r="D10" s="2"/>
      <c r="E10" s="2"/>
      <c r="F10" s="2"/>
      <c r="G10" s="2"/>
      <c r="H10" s="2"/>
      <c r="I10" s="2"/>
      <c r="J10" s="2"/>
      <c r="K10" s="5"/>
      <c r="L10" s="19"/>
      <c r="M10" s="5"/>
      <c r="N10" s="2"/>
      <c r="O10" s="2"/>
      <c r="P10" s="2"/>
    </row>
    <row r="11" spans="1:21">
      <c r="A11" s="11"/>
      <c r="B11" s="2"/>
      <c r="C11" s="2"/>
      <c r="D11" s="2"/>
      <c r="E11" s="2"/>
      <c r="F11" s="2"/>
      <c r="G11" s="2"/>
      <c r="H11" s="2"/>
      <c r="I11" s="2"/>
      <c r="J11" s="2"/>
      <c r="K11" s="2"/>
      <c r="L11" s="5"/>
      <c r="M11" s="5"/>
      <c r="N11" s="2"/>
    </row>
    <row r="12" spans="1:21">
      <c r="B12" s="2"/>
      <c r="C12" s="2"/>
      <c r="D12" s="2"/>
      <c r="E12" s="2"/>
      <c r="F12" s="2"/>
      <c r="G12" s="2"/>
      <c r="H12" s="2"/>
      <c r="I12" s="2"/>
      <c r="J12" s="2"/>
      <c r="K12" s="2"/>
      <c r="L12" s="5"/>
      <c r="M12" s="5"/>
      <c r="N12" s="2"/>
    </row>
    <row r="13" spans="1:21">
      <c r="B13" s="2"/>
      <c r="C13" s="2"/>
      <c r="D13" s="2"/>
      <c r="E13" s="2"/>
      <c r="F13" s="2"/>
      <c r="G13" s="2"/>
      <c r="H13" s="2"/>
      <c r="I13" s="2"/>
      <c r="J13" s="2"/>
      <c r="K13" s="2"/>
      <c r="L13" s="5"/>
      <c r="M13" s="5"/>
      <c r="N13" s="2"/>
    </row>
    <row r="20" spans="12:12">
      <c r="L20" s="16">
        <f>SUM(L6:L19)</f>
        <v>21360</v>
      </c>
    </row>
  </sheetData>
  <mergeCells count="1">
    <mergeCell ref="A8:A10"/>
  </mergeCells>
  <pageMargins left="0.7" right="0.7" top="0.75" bottom="0.75" header="0.3" footer="0.3"/>
  <pageSetup paperSize="9" orientation="portrait" verticalDpi="0" r:id="rId1"/>
</worksheet>
</file>

<file path=xl/worksheets/sheet172.xml><?xml version="1.0" encoding="utf-8"?>
<worksheet xmlns="http://schemas.openxmlformats.org/spreadsheetml/2006/main" xmlns:r="http://schemas.openxmlformats.org/officeDocument/2006/relationships">
  <dimension ref="A5:U20"/>
  <sheetViews>
    <sheetView topLeftCell="B1" workbookViewId="0">
      <selection activeCell="U8" sqref="U8"/>
    </sheetView>
  </sheetViews>
  <sheetFormatPr defaultRowHeight="14.4"/>
  <cols>
    <col min="1" max="1" width="8.88671875" style="1"/>
    <col min="2" max="2" width="17.44140625" style="1" customWidth="1"/>
    <col min="3" max="3" width="8.88671875" style="1"/>
    <col min="4" max="4" width="5.5546875" style="1" customWidth="1"/>
    <col min="5" max="5" width="11.2187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128</v>
      </c>
    </row>
    <row r="6" spans="1:21">
      <c r="A6" s="32" t="s">
        <v>559</v>
      </c>
      <c r="B6" s="42" t="s">
        <v>561</v>
      </c>
      <c r="C6" s="42" t="s">
        <v>375</v>
      </c>
      <c r="D6" s="42" t="s">
        <v>16</v>
      </c>
      <c r="E6" s="42" t="s">
        <v>562</v>
      </c>
      <c r="F6" s="42"/>
      <c r="G6" s="42"/>
      <c r="H6" s="42">
        <v>15630</v>
      </c>
      <c r="I6" s="42"/>
      <c r="J6" s="42"/>
      <c r="K6" s="42">
        <f t="shared" ref="K6" si="0">I6*J6</f>
        <v>0</v>
      </c>
      <c r="L6" s="43">
        <f t="shared" ref="L6" si="1">H6-K6</f>
        <v>15630</v>
      </c>
      <c r="M6" s="43">
        <f t="shared" ref="M6" si="2">H6/1000*70</f>
        <v>1094.1000000000001</v>
      </c>
      <c r="N6" s="42">
        <v>0</v>
      </c>
      <c r="O6" s="42"/>
      <c r="P6" s="42">
        <f t="shared" ref="P6" si="3">L6*O6</f>
        <v>0</v>
      </c>
    </row>
    <row r="7" spans="1:21">
      <c r="A7" s="38"/>
      <c r="B7" s="2"/>
      <c r="C7" s="2"/>
      <c r="D7" s="2"/>
      <c r="E7" s="2"/>
      <c r="F7" s="2"/>
      <c r="G7" s="2"/>
      <c r="H7" s="2"/>
      <c r="I7" s="2"/>
      <c r="J7" s="2"/>
      <c r="K7" s="5"/>
      <c r="L7" s="19"/>
      <c r="M7" s="5"/>
      <c r="N7" s="2"/>
      <c r="O7" s="2"/>
      <c r="P7" s="2"/>
      <c r="Q7" s="1" t="s">
        <v>863</v>
      </c>
      <c r="R7" s="1">
        <v>245</v>
      </c>
      <c r="S7" s="1">
        <v>20000</v>
      </c>
      <c r="U7" s="1">
        <v>23</v>
      </c>
    </row>
    <row r="8" spans="1:21">
      <c r="A8" s="32" t="s">
        <v>884</v>
      </c>
      <c r="B8" s="42" t="s">
        <v>561</v>
      </c>
      <c r="C8" s="42" t="s">
        <v>375</v>
      </c>
      <c r="D8" s="42" t="s">
        <v>16</v>
      </c>
      <c r="E8" s="42" t="s">
        <v>889</v>
      </c>
      <c r="F8" s="42">
        <v>9</v>
      </c>
      <c r="G8" s="42"/>
      <c r="H8" s="42">
        <v>15970</v>
      </c>
      <c r="I8" s="42"/>
      <c r="J8" s="42"/>
      <c r="K8" s="42">
        <f t="shared" ref="K8" si="4">I8*J8</f>
        <v>0</v>
      </c>
      <c r="L8" s="43">
        <f t="shared" ref="L8" si="5">H8-K8</f>
        <v>15970</v>
      </c>
      <c r="M8" s="43">
        <v>367</v>
      </c>
      <c r="N8" s="43">
        <f t="shared" ref="N8" si="6">L8-M8</f>
        <v>15603</v>
      </c>
      <c r="O8" s="43">
        <f t="shared" ref="O8" si="7">H8/1000*70</f>
        <v>1117.9000000000001</v>
      </c>
      <c r="P8" s="42">
        <v>0</v>
      </c>
      <c r="Q8" s="42"/>
      <c r="R8" s="42">
        <f t="shared" ref="R8" si="8">L8*Q8</f>
        <v>0</v>
      </c>
    </row>
    <row r="9" spans="1:21">
      <c r="A9" s="34"/>
      <c r="B9" s="2"/>
      <c r="C9" s="2"/>
      <c r="D9" s="2"/>
      <c r="E9" s="2"/>
      <c r="F9" s="2"/>
      <c r="G9" s="2"/>
      <c r="H9" s="2"/>
      <c r="I9" s="2"/>
      <c r="J9" s="2"/>
      <c r="K9" s="5"/>
      <c r="L9" s="19"/>
      <c r="M9" s="5"/>
      <c r="N9" s="2"/>
      <c r="O9" s="2"/>
      <c r="P9" s="2"/>
    </row>
    <row r="10" spans="1:21">
      <c r="A10" s="34"/>
      <c r="B10" s="2"/>
      <c r="C10" s="2"/>
      <c r="D10" s="2"/>
      <c r="E10" s="2"/>
      <c r="F10" s="2"/>
      <c r="G10" s="2"/>
      <c r="H10" s="2"/>
      <c r="I10" s="2"/>
      <c r="J10" s="2"/>
      <c r="K10" s="5"/>
      <c r="L10" s="19"/>
      <c r="M10" s="5"/>
      <c r="N10" s="2"/>
      <c r="O10" s="2"/>
      <c r="P10" s="2"/>
    </row>
    <row r="11" spans="1:21">
      <c r="A11" s="11"/>
      <c r="B11" s="2"/>
      <c r="C11" s="2"/>
      <c r="D11" s="2"/>
      <c r="E11" s="2"/>
      <c r="F11" s="2"/>
      <c r="G11" s="2"/>
      <c r="H11" s="2"/>
      <c r="I11" s="2"/>
      <c r="J11" s="2"/>
      <c r="K11" s="2"/>
      <c r="L11" s="5"/>
      <c r="M11" s="5"/>
      <c r="N11" s="2"/>
    </row>
    <row r="12" spans="1:21">
      <c r="B12" s="2"/>
      <c r="C12" s="2"/>
      <c r="D12" s="2"/>
      <c r="E12" s="2"/>
      <c r="F12" s="2"/>
      <c r="G12" s="2"/>
      <c r="H12" s="2"/>
      <c r="I12" s="2"/>
      <c r="J12" s="2"/>
      <c r="K12" s="2"/>
      <c r="L12" s="5"/>
      <c r="M12" s="5"/>
      <c r="N12" s="2"/>
    </row>
    <row r="13" spans="1:21">
      <c r="B13" s="2"/>
      <c r="C13" s="2"/>
      <c r="D13" s="2"/>
      <c r="E13" s="2"/>
      <c r="F13" s="2"/>
      <c r="G13" s="2"/>
      <c r="H13" s="2"/>
      <c r="I13" s="2"/>
      <c r="J13" s="2"/>
      <c r="K13" s="2"/>
      <c r="L13" s="5"/>
      <c r="M13" s="5"/>
      <c r="N13" s="2"/>
    </row>
    <row r="20" spans="12:12">
      <c r="L20" s="16">
        <f>SUM(L6:L19)</f>
        <v>31600</v>
      </c>
    </row>
  </sheetData>
  <pageMargins left="0.7" right="0.7" top="0.75" bottom="0.75" header="0.3" footer="0.3"/>
  <pageSetup paperSize="9" orientation="portrait" verticalDpi="0" r:id="rId1"/>
</worksheet>
</file>

<file path=xl/worksheets/sheet173.xml><?xml version="1.0" encoding="utf-8"?>
<worksheet xmlns="http://schemas.openxmlformats.org/spreadsheetml/2006/main" xmlns:r="http://schemas.openxmlformats.org/officeDocument/2006/relationships">
  <dimension ref="A5:U20"/>
  <sheetViews>
    <sheetView workbookViewId="0">
      <selection activeCell="A16" sqref="A16"/>
    </sheetView>
  </sheetViews>
  <sheetFormatPr defaultRowHeight="14.4"/>
  <cols>
    <col min="1" max="1" width="8.88671875" style="1"/>
    <col min="2" max="2" width="17.44140625" style="1" customWidth="1"/>
    <col min="3" max="3" width="8.88671875" style="1"/>
    <col min="4" max="4" width="5.5546875" style="1" customWidth="1"/>
    <col min="5" max="5" width="11.2187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128</v>
      </c>
    </row>
    <row r="6" spans="1:21">
      <c r="A6" s="32" t="s">
        <v>695</v>
      </c>
      <c r="B6" s="42" t="s">
        <v>702</v>
      </c>
      <c r="C6" s="42" t="s">
        <v>375</v>
      </c>
      <c r="D6" s="42" t="s">
        <v>16</v>
      </c>
      <c r="E6" s="42" t="s">
        <v>703</v>
      </c>
      <c r="F6" s="42">
        <v>0</v>
      </c>
      <c r="G6" s="42"/>
      <c r="H6" s="42">
        <v>17660</v>
      </c>
      <c r="I6" s="42">
        <v>1</v>
      </c>
      <c r="J6" s="42"/>
      <c r="K6" s="42">
        <f t="shared" ref="K6" si="0">I6*J6</f>
        <v>0</v>
      </c>
      <c r="L6" s="43">
        <f t="shared" ref="L6" si="1">H6-K6</f>
        <v>17660</v>
      </c>
      <c r="M6" s="43"/>
      <c r="N6" s="43">
        <f t="shared" ref="N6" si="2">L6-M6</f>
        <v>17660</v>
      </c>
      <c r="O6" s="43">
        <f t="shared" ref="O6" si="3">H6/1000*70</f>
        <v>1236.2</v>
      </c>
      <c r="P6" s="42">
        <f t="shared" ref="P6" si="4">L6*O6</f>
        <v>21831292</v>
      </c>
    </row>
    <row r="7" spans="1:21">
      <c r="A7" s="38"/>
      <c r="B7" s="2"/>
      <c r="C7" s="2"/>
      <c r="D7" s="2"/>
      <c r="E7" s="2"/>
      <c r="F7" s="2"/>
      <c r="G7" s="2"/>
      <c r="H7" s="2"/>
      <c r="I7" s="2"/>
      <c r="J7" s="2"/>
      <c r="K7" s="5"/>
      <c r="L7" s="19"/>
      <c r="M7" s="5"/>
      <c r="N7" s="2"/>
      <c r="O7" s="2"/>
      <c r="P7" s="2"/>
    </row>
    <row r="8" spans="1:21">
      <c r="A8" s="32" t="s">
        <v>3475</v>
      </c>
      <c r="B8" s="42" t="s">
        <v>702</v>
      </c>
      <c r="C8" s="42" t="s">
        <v>375</v>
      </c>
      <c r="D8" s="42" t="s">
        <v>16</v>
      </c>
      <c r="E8" s="47" t="s">
        <v>3476</v>
      </c>
      <c r="F8" s="47">
        <v>0</v>
      </c>
      <c r="G8" s="47"/>
      <c r="H8" s="47">
        <v>18890</v>
      </c>
      <c r="I8" s="47">
        <v>1</v>
      </c>
      <c r="J8" s="47"/>
      <c r="K8" s="43">
        <f t="shared" ref="K8" si="5">I8*J8</f>
        <v>0</v>
      </c>
      <c r="L8" s="43">
        <f t="shared" ref="L8" si="6">H8-K8</f>
        <v>18890</v>
      </c>
      <c r="M8" s="43"/>
      <c r="N8" s="43">
        <f t="shared" ref="N8" si="7">L8-M8</f>
        <v>18890</v>
      </c>
      <c r="O8" s="43">
        <f t="shared" ref="O8" si="8">H8/1000*70</f>
        <v>1322.3</v>
      </c>
      <c r="P8" s="42">
        <v>13500</v>
      </c>
      <c r="Q8" s="42">
        <v>12.25</v>
      </c>
      <c r="R8" s="42">
        <f t="shared" ref="R8" si="9">L8*Q8</f>
        <v>231402.5</v>
      </c>
    </row>
    <row r="9" spans="1:21">
      <c r="A9" s="34"/>
      <c r="B9" s="2"/>
      <c r="C9" s="2"/>
      <c r="D9" s="2"/>
      <c r="E9" s="2"/>
      <c r="F9" s="2"/>
      <c r="G9" s="2"/>
      <c r="H9" s="2"/>
      <c r="I9" s="2"/>
      <c r="J9" s="2"/>
      <c r="K9" s="5"/>
      <c r="L9" s="19"/>
      <c r="M9" s="5"/>
      <c r="N9" s="2"/>
      <c r="O9" s="2"/>
      <c r="P9" s="2"/>
    </row>
    <row r="10" spans="1:21">
      <c r="A10" s="34" t="s">
        <v>3574</v>
      </c>
      <c r="B10" s="42" t="s">
        <v>702</v>
      </c>
      <c r="C10" s="42" t="s">
        <v>3581</v>
      </c>
      <c r="D10" s="42" t="s">
        <v>16</v>
      </c>
      <c r="E10" s="47" t="s">
        <v>3476</v>
      </c>
      <c r="F10" s="47">
        <v>0</v>
      </c>
      <c r="G10" s="47"/>
      <c r="H10" s="47">
        <v>18380</v>
      </c>
      <c r="I10" s="47">
        <v>1</v>
      </c>
      <c r="J10" s="47"/>
      <c r="K10" s="43">
        <f t="shared" ref="K10" si="10">I10*J10</f>
        <v>0</v>
      </c>
      <c r="L10" s="43">
        <f t="shared" ref="L10" si="11">H10-K10</f>
        <v>18380</v>
      </c>
      <c r="M10" s="43"/>
      <c r="N10" s="43">
        <f t="shared" ref="N10" si="12">L10-M10</f>
        <v>18380</v>
      </c>
      <c r="O10" s="43">
        <f t="shared" ref="O10" si="13">H10/1000*70</f>
        <v>1286.5999999999999</v>
      </c>
      <c r="P10" s="42">
        <v>10000</v>
      </c>
      <c r="Q10" s="42">
        <v>12.25</v>
      </c>
      <c r="R10" s="42">
        <f t="shared" ref="R10" si="14">L10*Q10</f>
        <v>225155</v>
      </c>
    </row>
    <row r="11" spans="1:21">
      <c r="A11" s="11"/>
      <c r="B11" s="2"/>
      <c r="C11" s="2"/>
      <c r="D11" s="2"/>
      <c r="E11" s="2"/>
      <c r="F11" s="2"/>
      <c r="G11" s="2"/>
      <c r="H11" s="2"/>
      <c r="I11" s="2"/>
      <c r="J11" s="2"/>
      <c r="K11" s="2"/>
      <c r="L11" s="5"/>
      <c r="M11" s="5"/>
      <c r="N11" s="2"/>
    </row>
    <row r="12" spans="1:21">
      <c r="A12" s="1" t="s">
        <v>3721</v>
      </c>
      <c r="B12" s="42" t="s">
        <v>702</v>
      </c>
      <c r="C12" s="42" t="s">
        <v>3581</v>
      </c>
      <c r="D12" s="42" t="s">
        <v>16</v>
      </c>
      <c r="E12" s="47" t="s">
        <v>562</v>
      </c>
      <c r="F12" s="47">
        <v>0</v>
      </c>
      <c r="G12" s="47"/>
      <c r="H12" s="47">
        <v>20580</v>
      </c>
      <c r="I12" s="47">
        <v>1</v>
      </c>
      <c r="J12" s="47"/>
      <c r="K12" s="43">
        <f t="shared" ref="K12" si="15">I12*J12</f>
        <v>0</v>
      </c>
      <c r="L12" s="43">
        <f t="shared" ref="L12" si="16">H12-K12</f>
        <v>20580</v>
      </c>
      <c r="M12" s="43"/>
      <c r="N12" s="43">
        <f t="shared" ref="N12" si="17">L12-M12</f>
        <v>20580</v>
      </c>
      <c r="O12" s="43">
        <f t="shared" ref="O12" si="18">H12/1000*70</f>
        <v>1440.6</v>
      </c>
      <c r="P12" s="42">
        <v>10000</v>
      </c>
      <c r="Q12" s="42"/>
      <c r="R12" s="42">
        <f t="shared" ref="R12" si="19">L12*Q12</f>
        <v>0</v>
      </c>
    </row>
    <row r="13" spans="1:21">
      <c r="B13" s="2"/>
      <c r="C13" s="2"/>
      <c r="D13" s="2"/>
      <c r="E13" s="2"/>
      <c r="F13" s="2"/>
      <c r="G13" s="2"/>
      <c r="H13" s="2"/>
      <c r="I13" s="2"/>
      <c r="J13" s="2"/>
      <c r="K13" s="2"/>
      <c r="L13" s="5"/>
      <c r="M13" s="5"/>
      <c r="N13" s="2"/>
    </row>
    <row r="14" spans="1:21">
      <c r="A14" s="374" t="s">
        <v>3975</v>
      </c>
      <c r="B14" s="345" t="s">
        <v>702</v>
      </c>
      <c r="C14" s="345" t="s">
        <v>375</v>
      </c>
      <c r="D14" s="42" t="s">
        <v>16</v>
      </c>
      <c r="E14" s="345" t="s">
        <v>3979</v>
      </c>
      <c r="F14" s="345">
        <v>0</v>
      </c>
      <c r="G14" s="345"/>
      <c r="H14" s="345">
        <v>15420</v>
      </c>
      <c r="I14" s="345">
        <v>1</v>
      </c>
      <c r="J14" s="345"/>
      <c r="K14" s="43">
        <f t="shared" ref="K14:K15" si="20">I14*J14</f>
        <v>0</v>
      </c>
      <c r="L14" s="43">
        <f t="shared" ref="L14:L15" si="21">H14-K14</f>
        <v>15420</v>
      </c>
      <c r="M14" s="43"/>
      <c r="N14" s="43">
        <f t="shared" ref="N14:N15" si="22">L14-M14</f>
        <v>15420</v>
      </c>
      <c r="O14" s="43">
        <f t="shared" ref="O14:O15" si="23">H14/1000*70</f>
        <v>1079.4000000000001</v>
      </c>
      <c r="P14" s="42">
        <v>20000</v>
      </c>
      <c r="Q14" s="42"/>
      <c r="R14" s="42">
        <f t="shared" ref="R14:R15" si="24">L14*Q14</f>
        <v>0</v>
      </c>
    </row>
    <row r="15" spans="1:21">
      <c r="A15" s="374"/>
      <c r="B15" s="345" t="s">
        <v>3980</v>
      </c>
      <c r="C15" s="345" t="s">
        <v>375</v>
      </c>
      <c r="D15" s="42" t="s">
        <v>16</v>
      </c>
      <c r="E15" s="345" t="s">
        <v>3981</v>
      </c>
      <c r="F15" s="345">
        <v>0</v>
      </c>
      <c r="G15" s="345"/>
      <c r="H15" s="345">
        <v>13760</v>
      </c>
      <c r="I15" s="345">
        <v>1</v>
      </c>
      <c r="J15" s="345"/>
      <c r="K15" s="43">
        <f t="shared" si="20"/>
        <v>0</v>
      </c>
      <c r="L15" s="43">
        <f t="shared" si="21"/>
        <v>13760</v>
      </c>
      <c r="M15" s="43"/>
      <c r="N15" s="43">
        <f t="shared" si="22"/>
        <v>13760</v>
      </c>
      <c r="O15" s="43">
        <f t="shared" si="23"/>
        <v>963.19999999999993</v>
      </c>
      <c r="P15" s="42">
        <v>14000</v>
      </c>
      <c r="Q15" s="42"/>
      <c r="R15" s="42">
        <f t="shared" si="24"/>
        <v>0</v>
      </c>
    </row>
    <row r="20" spans="12:12">
      <c r="L20" s="16">
        <f>SUM(L6:L19)</f>
        <v>104690</v>
      </c>
    </row>
  </sheetData>
  <mergeCells count="1">
    <mergeCell ref="A14:A15"/>
  </mergeCells>
  <pageMargins left="0.7" right="0.7" top="0.75" bottom="0.75" header="0.3" footer="0.3"/>
  <pageSetup paperSize="9" orientation="portrait" verticalDpi="0" r:id="rId1"/>
</worksheet>
</file>

<file path=xl/worksheets/sheet174.xml><?xml version="1.0" encoding="utf-8"?>
<worksheet xmlns="http://schemas.openxmlformats.org/spreadsheetml/2006/main" xmlns:r="http://schemas.openxmlformats.org/officeDocument/2006/relationships">
  <dimension ref="A5:T18"/>
  <sheetViews>
    <sheetView workbookViewId="0">
      <selection activeCell="A19" sqref="A19"/>
    </sheetView>
  </sheetViews>
  <sheetFormatPr defaultRowHeight="14.4"/>
  <cols>
    <col min="1" max="1" width="8.88671875" style="1"/>
    <col min="2" max="2" width="13.88671875" style="1" customWidth="1"/>
    <col min="3" max="3" width="14.109375" style="1" customWidth="1"/>
    <col min="4" max="4" width="5.5546875" style="1" customWidth="1"/>
    <col min="5" max="5" width="8.88671875" style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0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0">
      <c r="A6" s="383" t="s">
        <v>26</v>
      </c>
      <c r="B6" s="2" t="s">
        <v>19</v>
      </c>
      <c r="C6" s="2" t="s">
        <v>27</v>
      </c>
      <c r="D6" s="2" t="s">
        <v>16</v>
      </c>
      <c r="E6" s="2" t="s">
        <v>52</v>
      </c>
      <c r="F6" s="2">
        <v>398</v>
      </c>
      <c r="G6" s="2"/>
      <c r="H6" s="2">
        <v>9000</v>
      </c>
      <c r="I6" s="2">
        <v>360</v>
      </c>
      <c r="J6" s="2"/>
      <c r="K6" s="2">
        <f t="shared" ref="K6:K7" si="0">I6*J6</f>
        <v>0</v>
      </c>
      <c r="L6" s="5">
        <f t="shared" ref="L6:L7" si="1">H6-K6</f>
        <v>9000</v>
      </c>
      <c r="M6" s="5">
        <f t="shared" ref="M6:M7" si="2">H6/1000*70</f>
        <v>630</v>
      </c>
      <c r="N6" s="2">
        <v>0</v>
      </c>
    </row>
    <row r="7" spans="1:20">
      <c r="A7" s="384"/>
      <c r="B7" s="2" t="s">
        <v>19</v>
      </c>
      <c r="C7" s="2" t="s">
        <v>27</v>
      </c>
      <c r="D7" s="2" t="s">
        <v>16</v>
      </c>
      <c r="E7" s="2" t="s">
        <v>53</v>
      </c>
      <c r="F7" s="2">
        <v>397</v>
      </c>
      <c r="G7" s="2"/>
      <c r="H7" s="2">
        <v>9000</v>
      </c>
      <c r="I7" s="2">
        <v>360</v>
      </c>
      <c r="J7" s="2"/>
      <c r="K7" s="2">
        <f t="shared" si="0"/>
        <v>0</v>
      </c>
      <c r="L7" s="5">
        <f t="shared" si="1"/>
        <v>9000</v>
      </c>
      <c r="M7" s="5">
        <f t="shared" si="2"/>
        <v>630</v>
      </c>
      <c r="N7" s="2">
        <v>0</v>
      </c>
    </row>
    <row r="8" spans="1:20">
      <c r="A8" s="8"/>
      <c r="B8" s="2"/>
      <c r="C8" s="2"/>
      <c r="D8" s="2"/>
      <c r="E8" s="2"/>
      <c r="F8" s="2"/>
      <c r="G8" s="2"/>
      <c r="H8" s="2"/>
      <c r="I8" s="2"/>
      <c r="J8" s="2"/>
      <c r="K8" s="2"/>
      <c r="L8" s="5"/>
      <c r="M8" s="5"/>
      <c r="N8" s="2"/>
    </row>
    <row r="9" spans="1:20">
      <c r="A9" s="9" t="s">
        <v>502</v>
      </c>
      <c r="B9" s="42" t="s">
        <v>19</v>
      </c>
      <c r="C9" s="42" t="s">
        <v>511</v>
      </c>
      <c r="D9" s="42" t="s">
        <v>16</v>
      </c>
      <c r="E9" s="42" t="s">
        <v>512</v>
      </c>
      <c r="F9" s="42">
        <v>747</v>
      </c>
      <c r="G9" s="42"/>
      <c r="H9" s="42">
        <v>18000</v>
      </c>
      <c r="I9" s="42">
        <v>720</v>
      </c>
      <c r="J9" s="42"/>
      <c r="K9" s="43">
        <f t="shared" ref="K9" si="3">I9*J9</f>
        <v>0</v>
      </c>
      <c r="L9" s="43">
        <f t="shared" ref="L9" si="4">H9-K9</f>
        <v>18000</v>
      </c>
      <c r="M9" s="43">
        <f t="shared" ref="M9" si="5">H9/1000*70</f>
        <v>1260</v>
      </c>
      <c r="N9" s="42">
        <v>0</v>
      </c>
    </row>
    <row r="10" spans="1:20">
      <c r="A10" s="10"/>
      <c r="B10" s="2"/>
      <c r="C10" s="2"/>
      <c r="D10" s="2"/>
      <c r="E10" s="2"/>
      <c r="F10" s="2"/>
      <c r="G10" s="2"/>
      <c r="H10" s="2"/>
      <c r="I10" s="2"/>
      <c r="J10" s="2"/>
      <c r="K10" s="2"/>
      <c r="L10" s="5"/>
      <c r="M10" s="5"/>
      <c r="N10" s="2"/>
    </row>
    <row r="11" spans="1:20">
      <c r="A11" s="374" t="s">
        <v>804</v>
      </c>
      <c r="B11" s="42" t="s">
        <v>19</v>
      </c>
      <c r="C11" s="42" t="s">
        <v>511</v>
      </c>
      <c r="D11" s="42" t="s">
        <v>16</v>
      </c>
      <c r="E11" s="42" t="s">
        <v>806</v>
      </c>
      <c r="F11" s="42">
        <v>6226</v>
      </c>
      <c r="G11" s="42"/>
      <c r="H11" s="42">
        <v>18000</v>
      </c>
      <c r="I11" s="42">
        <v>720</v>
      </c>
      <c r="J11" s="42"/>
      <c r="K11" s="43">
        <f t="shared" ref="K11:K12" si="6">I11*J11</f>
        <v>0</v>
      </c>
      <c r="L11" s="43">
        <f t="shared" ref="L11:L12" si="7">H11-K11</f>
        <v>18000</v>
      </c>
      <c r="M11" s="43"/>
      <c r="N11" s="43">
        <f t="shared" ref="N11:N12" si="8">L11-M11</f>
        <v>18000</v>
      </c>
      <c r="O11" s="43">
        <f t="shared" ref="O11:O12" si="9">H11/1000*70</f>
        <v>1260</v>
      </c>
      <c r="P11" s="42">
        <v>0</v>
      </c>
      <c r="Q11" s="42"/>
      <c r="R11" s="42">
        <f t="shared" ref="R11:R12" si="10">L11*Q11</f>
        <v>0</v>
      </c>
    </row>
    <row r="12" spans="1:20">
      <c r="A12" s="374"/>
      <c r="B12" s="42" t="s">
        <v>19</v>
      </c>
      <c r="C12" s="42" t="s">
        <v>511</v>
      </c>
      <c r="D12" s="42" t="s">
        <v>16</v>
      </c>
      <c r="E12" s="42" t="s">
        <v>467</v>
      </c>
      <c r="F12" s="42">
        <v>6225</v>
      </c>
      <c r="G12" s="42"/>
      <c r="H12" s="42">
        <v>18000</v>
      </c>
      <c r="I12" s="42">
        <v>720</v>
      </c>
      <c r="J12" s="42"/>
      <c r="K12" s="42">
        <f t="shared" si="6"/>
        <v>0</v>
      </c>
      <c r="L12" s="43">
        <f t="shared" si="7"/>
        <v>18000</v>
      </c>
      <c r="M12" s="43"/>
      <c r="N12" s="43">
        <f t="shared" si="8"/>
        <v>18000</v>
      </c>
      <c r="O12" s="43">
        <f t="shared" si="9"/>
        <v>1260</v>
      </c>
      <c r="P12" s="42">
        <v>0</v>
      </c>
      <c r="Q12" s="42"/>
      <c r="R12" s="42">
        <f t="shared" si="10"/>
        <v>0</v>
      </c>
    </row>
    <row r="14" spans="1:20">
      <c r="A14" s="374" t="s">
        <v>1296</v>
      </c>
      <c r="B14" s="42" t="s">
        <v>19</v>
      </c>
      <c r="C14" s="42" t="s">
        <v>27</v>
      </c>
      <c r="D14" s="42" t="s">
        <v>16</v>
      </c>
      <c r="E14" s="42" t="s">
        <v>1297</v>
      </c>
      <c r="F14" s="42">
        <v>1507</v>
      </c>
      <c r="G14" s="42"/>
      <c r="H14" s="42">
        <v>12000</v>
      </c>
      <c r="I14" s="42">
        <v>480</v>
      </c>
      <c r="J14" s="42"/>
      <c r="K14" s="42">
        <f t="shared" ref="K14:K16" si="11">I14*J14</f>
        <v>0</v>
      </c>
      <c r="L14" s="43">
        <f t="shared" ref="L14:L16" si="12">H14-K14</f>
        <v>12000</v>
      </c>
      <c r="M14" s="43"/>
      <c r="N14" s="43">
        <f t="shared" ref="N14:N16" si="13">L14-M14</f>
        <v>12000</v>
      </c>
      <c r="O14" s="43">
        <f t="shared" ref="O14:O16" si="14">H14/1000*70</f>
        <v>840</v>
      </c>
      <c r="P14" s="42">
        <v>28000</v>
      </c>
      <c r="Q14" s="42"/>
      <c r="R14" s="42">
        <f t="shared" ref="R14:R16" si="15">L14*Q14</f>
        <v>0</v>
      </c>
    </row>
    <row r="15" spans="1:20">
      <c r="A15" s="374"/>
      <c r="B15" s="42" t="s">
        <v>19</v>
      </c>
      <c r="C15" s="42" t="s">
        <v>27</v>
      </c>
      <c r="D15" s="42" t="s">
        <v>16</v>
      </c>
      <c r="E15" s="42" t="s">
        <v>1298</v>
      </c>
      <c r="F15" s="42">
        <v>1506</v>
      </c>
      <c r="G15" s="42"/>
      <c r="H15" s="42">
        <v>12000</v>
      </c>
      <c r="I15" s="42">
        <v>480</v>
      </c>
      <c r="J15" s="42"/>
      <c r="K15" s="42">
        <f t="shared" si="11"/>
        <v>0</v>
      </c>
      <c r="L15" s="43">
        <f t="shared" si="12"/>
        <v>12000</v>
      </c>
      <c r="M15" s="43"/>
      <c r="N15" s="43">
        <f t="shared" si="13"/>
        <v>12000</v>
      </c>
      <c r="O15" s="43">
        <f t="shared" si="14"/>
        <v>840</v>
      </c>
      <c r="P15" s="42">
        <v>28000</v>
      </c>
      <c r="Q15" s="42"/>
      <c r="R15" s="42">
        <f t="shared" si="15"/>
        <v>0</v>
      </c>
    </row>
    <row r="16" spans="1:20">
      <c r="A16" s="374"/>
      <c r="B16" s="42" t="s">
        <v>19</v>
      </c>
      <c r="C16" s="42" t="s">
        <v>27</v>
      </c>
      <c r="D16" s="42" t="s">
        <v>16</v>
      </c>
      <c r="E16" s="42" t="s">
        <v>1299</v>
      </c>
      <c r="F16" s="42">
        <v>1505</v>
      </c>
      <c r="G16" s="42"/>
      <c r="H16" s="42">
        <v>12000</v>
      </c>
      <c r="I16" s="42">
        <v>480</v>
      </c>
      <c r="J16" s="42"/>
      <c r="K16" s="42">
        <f t="shared" si="11"/>
        <v>0</v>
      </c>
      <c r="L16" s="43">
        <f t="shared" si="12"/>
        <v>12000</v>
      </c>
      <c r="M16" s="43"/>
      <c r="N16" s="43">
        <f t="shared" si="13"/>
        <v>12000</v>
      </c>
      <c r="O16" s="43">
        <f t="shared" si="14"/>
        <v>840</v>
      </c>
      <c r="P16" s="42">
        <v>28000</v>
      </c>
      <c r="Q16" s="42"/>
      <c r="R16" s="42">
        <f t="shared" si="15"/>
        <v>0</v>
      </c>
    </row>
    <row r="18" spans="1:19">
      <c r="A18" s="1" t="s">
        <v>2252</v>
      </c>
      <c r="B18" s="42" t="s">
        <v>684</v>
      </c>
      <c r="C18" s="42" t="s">
        <v>27</v>
      </c>
      <c r="D18" s="42" t="s">
        <v>16</v>
      </c>
      <c r="E18" s="47" t="s">
        <v>3729</v>
      </c>
      <c r="F18" s="47">
        <v>26711</v>
      </c>
      <c r="G18" s="47"/>
      <c r="H18" s="47">
        <v>16500</v>
      </c>
      <c r="I18" s="47">
        <v>660</v>
      </c>
      <c r="J18" s="47"/>
      <c r="K18" s="43">
        <f t="shared" ref="K18" si="16">I18*J18</f>
        <v>0</v>
      </c>
      <c r="L18" s="43">
        <f t="shared" ref="L18" si="17">H18-K18</f>
        <v>16500</v>
      </c>
      <c r="M18" s="43"/>
      <c r="N18" s="43">
        <f t="shared" ref="N18" si="18">L18-M18</f>
        <v>16500</v>
      </c>
      <c r="O18" s="43">
        <f t="shared" ref="O18" si="19">H18/1000*70</f>
        <v>1155</v>
      </c>
      <c r="P18" s="42">
        <v>33000</v>
      </c>
      <c r="Q18" s="42"/>
      <c r="R18" s="42">
        <f t="shared" ref="R18" si="20">L18*Q18</f>
        <v>0</v>
      </c>
      <c r="S18" s="85"/>
    </row>
  </sheetData>
  <mergeCells count="3">
    <mergeCell ref="A6:A7"/>
    <mergeCell ref="A11:A12"/>
    <mergeCell ref="A14:A16"/>
  </mergeCells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5:T7"/>
  <sheetViews>
    <sheetView workbookViewId="0">
      <selection activeCell="B10" sqref="B10"/>
    </sheetView>
  </sheetViews>
  <sheetFormatPr defaultRowHeight="14.4"/>
  <cols>
    <col min="1" max="1" width="8.88671875" style="1"/>
    <col min="2" max="2" width="13.88671875" style="1" customWidth="1"/>
    <col min="3" max="3" width="14.109375" style="1" customWidth="1"/>
    <col min="4" max="4" width="5.5546875" style="1" customWidth="1"/>
    <col min="5" max="5" width="8.88671875" style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0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7" spans="1:20">
      <c r="A7" s="1" t="s">
        <v>3454</v>
      </c>
      <c r="B7" s="42" t="s">
        <v>3458</v>
      </c>
      <c r="C7" s="42" t="s">
        <v>27</v>
      </c>
      <c r="D7" s="42" t="s">
        <v>16</v>
      </c>
      <c r="E7" s="47" t="s">
        <v>3459</v>
      </c>
      <c r="F7" s="47">
        <v>2975</v>
      </c>
      <c r="G7" s="47"/>
      <c r="H7" s="47">
        <v>1000</v>
      </c>
      <c r="I7" s="47">
        <v>40</v>
      </c>
      <c r="J7" s="47"/>
      <c r="K7" s="43">
        <f t="shared" ref="K7" si="0">I7*J7</f>
        <v>0</v>
      </c>
      <c r="L7" s="43">
        <f t="shared" ref="L7" si="1">H7-K7</f>
        <v>1000</v>
      </c>
      <c r="M7" s="43"/>
      <c r="N7" s="43">
        <f t="shared" ref="N7" si="2">L7-M7</f>
        <v>1000</v>
      </c>
      <c r="O7" s="43">
        <f t="shared" ref="O7" si="3">H7/1000*70</f>
        <v>70</v>
      </c>
      <c r="P7" s="42">
        <v>0</v>
      </c>
      <c r="Q7" s="42">
        <v>160</v>
      </c>
      <c r="R7" s="42">
        <f t="shared" ref="R7" si="4">L7*Q7</f>
        <v>160000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5:T9"/>
  <sheetViews>
    <sheetView workbookViewId="0">
      <selection activeCell="C7" sqref="C7"/>
    </sheetView>
  </sheetViews>
  <sheetFormatPr defaultRowHeight="14.4"/>
  <cols>
    <col min="1" max="1" width="8.88671875" style="1"/>
    <col min="2" max="2" width="13.88671875" style="1" customWidth="1"/>
    <col min="3" max="3" width="14.109375" style="1" customWidth="1"/>
    <col min="4" max="4" width="5.5546875" style="1" customWidth="1"/>
    <col min="5" max="5" width="8.88671875" style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0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9" spans="1:20">
      <c r="A9" s="1" t="s">
        <v>3705</v>
      </c>
      <c r="B9" s="42" t="s">
        <v>2661</v>
      </c>
      <c r="C9" s="42" t="s">
        <v>27</v>
      </c>
      <c r="D9" s="42" t="s">
        <v>16</v>
      </c>
      <c r="E9" s="47" t="s">
        <v>3712</v>
      </c>
      <c r="F9" s="47">
        <v>3594</v>
      </c>
      <c r="G9" s="47"/>
      <c r="H9" s="47">
        <v>1000</v>
      </c>
      <c r="I9" s="47">
        <v>40</v>
      </c>
      <c r="J9" s="47"/>
      <c r="K9" s="43">
        <f t="shared" ref="K9" si="0">I9*J9</f>
        <v>0</v>
      </c>
      <c r="L9" s="43">
        <f t="shared" ref="L9" si="1">H9-K9</f>
        <v>1000</v>
      </c>
      <c r="M9" s="43"/>
      <c r="N9" s="43">
        <f t="shared" ref="N9" si="2">L9-M9</f>
        <v>1000</v>
      </c>
      <c r="O9" s="43">
        <f t="shared" ref="O9" si="3">H9/1000*70</f>
        <v>70</v>
      </c>
      <c r="P9" s="42">
        <v>0</v>
      </c>
      <c r="Q9" s="42"/>
      <c r="R9" s="42">
        <f t="shared" ref="R9" si="4">L9*Q9</f>
        <v>0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5:T12"/>
  <sheetViews>
    <sheetView workbookViewId="0">
      <selection activeCell="B15" sqref="B15"/>
    </sheetView>
  </sheetViews>
  <sheetFormatPr defaultRowHeight="14.4"/>
  <cols>
    <col min="1" max="1" width="8.88671875" style="1"/>
    <col min="2" max="2" width="13.88671875" style="1" customWidth="1"/>
    <col min="3" max="3" width="13.21875" style="1" customWidth="1"/>
    <col min="4" max="4" width="5.5546875" style="1" customWidth="1"/>
    <col min="5" max="5" width="8.88671875" style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0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0">
      <c r="A6" s="7" t="s">
        <v>28</v>
      </c>
      <c r="B6" s="2" t="s">
        <v>35</v>
      </c>
      <c r="C6" s="2" t="s">
        <v>31</v>
      </c>
      <c r="D6" s="2" t="s">
        <v>16</v>
      </c>
      <c r="E6" s="2" t="s">
        <v>56</v>
      </c>
      <c r="F6" s="2">
        <v>1062</v>
      </c>
      <c r="G6" s="2">
        <v>347</v>
      </c>
      <c r="H6" s="2">
        <v>500</v>
      </c>
      <c r="I6" s="2">
        <v>20</v>
      </c>
      <c r="J6" s="2"/>
      <c r="K6" s="2">
        <f t="shared" ref="K6" si="0">I6*J6</f>
        <v>0</v>
      </c>
      <c r="L6" s="5">
        <f t="shared" ref="L6" si="1">H6-K6</f>
        <v>500</v>
      </c>
      <c r="M6" s="5">
        <f t="shared" ref="M6" si="2">H6/1000*70</f>
        <v>35</v>
      </c>
      <c r="N6" s="2">
        <v>0</v>
      </c>
      <c r="Q6" s="1" t="s">
        <v>25</v>
      </c>
      <c r="R6" s="1">
        <v>119</v>
      </c>
      <c r="S6" s="1">
        <v>500</v>
      </c>
      <c r="T6" s="1" t="s">
        <v>28</v>
      </c>
    </row>
    <row r="7" spans="1:20">
      <c r="A7" s="8"/>
      <c r="B7" s="2"/>
      <c r="C7" s="2"/>
      <c r="D7" s="2"/>
      <c r="E7" s="2"/>
      <c r="F7" s="2"/>
      <c r="G7" s="2"/>
      <c r="H7" s="2"/>
      <c r="I7" s="2"/>
      <c r="J7" s="2"/>
      <c r="K7" s="2"/>
      <c r="L7" s="5"/>
      <c r="M7" s="5"/>
      <c r="N7" s="2"/>
    </row>
    <row r="8" spans="1:20">
      <c r="A8" s="8" t="s">
        <v>964</v>
      </c>
      <c r="B8" s="92" t="s">
        <v>35</v>
      </c>
      <c r="C8" s="92" t="s">
        <v>965</v>
      </c>
      <c r="D8" s="42" t="s">
        <v>16</v>
      </c>
      <c r="E8" s="92" t="s">
        <v>966</v>
      </c>
      <c r="F8" s="92">
        <v>2312</v>
      </c>
      <c r="G8" s="92"/>
      <c r="H8" s="92">
        <v>200</v>
      </c>
      <c r="I8" s="92">
        <v>8</v>
      </c>
      <c r="J8" s="92"/>
      <c r="K8" s="42">
        <f t="shared" ref="K8" si="3">I8*J8</f>
        <v>0</v>
      </c>
      <c r="L8" s="43">
        <f t="shared" ref="L8" si="4">H8-K8</f>
        <v>200</v>
      </c>
      <c r="M8" s="43"/>
      <c r="N8" s="43">
        <f t="shared" ref="N8" si="5">L8-M8</f>
        <v>200</v>
      </c>
      <c r="O8" s="43">
        <f t="shared" ref="O8" si="6">H8/1000*70</f>
        <v>14</v>
      </c>
      <c r="P8" s="92">
        <v>0</v>
      </c>
      <c r="Q8" s="92">
        <v>160</v>
      </c>
      <c r="R8" s="92">
        <f t="shared" ref="R8" si="7">L8*Q8</f>
        <v>32000</v>
      </c>
    </row>
    <row r="9" spans="1:20">
      <c r="A9" s="9"/>
      <c r="B9" s="2"/>
      <c r="C9" s="2"/>
      <c r="D9" s="2"/>
      <c r="E9" s="2"/>
      <c r="F9" s="2"/>
      <c r="G9" s="2"/>
      <c r="H9" s="2"/>
      <c r="I9" s="2"/>
      <c r="J9" s="2"/>
      <c r="K9" s="2"/>
      <c r="L9" s="5"/>
      <c r="M9" s="5"/>
      <c r="N9" s="2"/>
    </row>
    <row r="10" spans="1:20">
      <c r="A10" s="10" t="s">
        <v>1116</v>
      </c>
      <c r="B10" s="42" t="s">
        <v>1104</v>
      </c>
      <c r="C10" s="42" t="s">
        <v>31</v>
      </c>
      <c r="D10" s="42" t="s">
        <v>16</v>
      </c>
      <c r="E10" s="42" t="s">
        <v>1119</v>
      </c>
      <c r="F10" s="42">
        <v>341</v>
      </c>
      <c r="G10" s="42"/>
      <c r="H10" s="42">
        <v>300</v>
      </c>
      <c r="I10" s="42">
        <v>12</v>
      </c>
      <c r="J10" s="42"/>
      <c r="K10" s="42">
        <f t="shared" ref="K10" si="8">I10*J10</f>
        <v>0</v>
      </c>
      <c r="L10" s="43">
        <f t="shared" ref="L10" si="9">H10-K10</f>
        <v>300</v>
      </c>
      <c r="M10" s="43"/>
      <c r="N10" s="43">
        <f t="shared" ref="N10" si="10">L10-M10</f>
        <v>300</v>
      </c>
      <c r="O10" s="43">
        <f t="shared" ref="O10" si="11">H10/1000*70</f>
        <v>21</v>
      </c>
      <c r="P10" s="42">
        <v>0</v>
      </c>
      <c r="Q10" s="42">
        <v>550</v>
      </c>
      <c r="R10" s="42">
        <f t="shared" ref="R10" si="12">L10*Q10</f>
        <v>165000</v>
      </c>
    </row>
    <row r="11" spans="1:20">
      <c r="A11" s="11"/>
      <c r="B11" s="2"/>
      <c r="C11" s="2"/>
      <c r="D11" s="2"/>
      <c r="E11" s="2"/>
      <c r="F11" s="2"/>
      <c r="G11" s="2"/>
      <c r="H11" s="2"/>
      <c r="I11" s="2"/>
      <c r="J11" s="2"/>
      <c r="K11" s="2"/>
      <c r="L11" s="5"/>
      <c r="M11" s="5"/>
      <c r="N11" s="2"/>
    </row>
    <row r="12" spans="1:20">
      <c r="A12" s="1" t="s">
        <v>2042</v>
      </c>
      <c r="B12" s="42" t="s">
        <v>35</v>
      </c>
      <c r="C12" s="42" t="s">
        <v>2044</v>
      </c>
      <c r="D12" s="42" t="s">
        <v>16</v>
      </c>
      <c r="E12" s="42" t="s">
        <v>2045</v>
      </c>
      <c r="F12" s="42">
        <v>105055</v>
      </c>
      <c r="G12" s="42"/>
      <c r="H12" s="42">
        <v>500</v>
      </c>
      <c r="I12" s="42">
        <v>20</v>
      </c>
      <c r="J12" s="42"/>
      <c r="K12" s="43">
        <f t="shared" ref="K12" si="13">I12*J12</f>
        <v>0</v>
      </c>
      <c r="L12" s="43">
        <f t="shared" ref="L12" si="14">H12-K12</f>
        <v>500</v>
      </c>
      <c r="M12" s="43"/>
      <c r="N12" s="43">
        <f t="shared" ref="N12" si="15">L12-M12</f>
        <v>500</v>
      </c>
      <c r="O12" s="43">
        <f t="shared" ref="O12" si="16">H12/1000*70</f>
        <v>35</v>
      </c>
      <c r="P12" s="42">
        <v>0</v>
      </c>
      <c r="Q12" s="42">
        <v>205</v>
      </c>
      <c r="R12" s="42">
        <f t="shared" ref="R12" si="17">L12*Q12</f>
        <v>102500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5:U39"/>
  <sheetViews>
    <sheetView topLeftCell="A20" workbookViewId="0">
      <selection activeCell="B41" sqref="B41"/>
    </sheetView>
  </sheetViews>
  <sheetFormatPr defaultRowHeight="14.4"/>
  <cols>
    <col min="1" max="1" width="8.88671875" style="1"/>
    <col min="2" max="2" width="15.5546875" style="1" customWidth="1"/>
    <col min="3" max="3" width="15" style="1" customWidth="1"/>
    <col min="4" max="4" width="5.5546875" style="1" customWidth="1"/>
    <col min="5" max="5" width="8.88671875" style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1">
      <c r="A6" s="7" t="s">
        <v>28</v>
      </c>
      <c r="B6" s="2" t="s">
        <v>34</v>
      </c>
      <c r="C6" s="2" t="s">
        <v>32</v>
      </c>
      <c r="D6" s="2" t="s">
        <v>16</v>
      </c>
      <c r="E6" s="2" t="s">
        <v>57</v>
      </c>
      <c r="F6" s="2">
        <v>29</v>
      </c>
      <c r="G6" s="2">
        <v>346</v>
      </c>
      <c r="H6" s="2">
        <v>500</v>
      </c>
      <c r="I6" s="2">
        <v>20</v>
      </c>
      <c r="J6" s="2"/>
      <c r="K6" s="2">
        <f t="shared" ref="K6" si="0">I6*J6</f>
        <v>0</v>
      </c>
      <c r="L6" s="5">
        <f t="shared" ref="L6" si="1">H6-K6</f>
        <v>500</v>
      </c>
      <c r="M6" s="5">
        <f t="shared" ref="M6" si="2">H6/1000*70</f>
        <v>35</v>
      </c>
      <c r="N6" s="2">
        <v>0</v>
      </c>
      <c r="Q6" s="1" t="s">
        <v>28</v>
      </c>
      <c r="R6" s="1">
        <v>120</v>
      </c>
      <c r="S6" s="1">
        <v>500</v>
      </c>
      <c r="T6" s="1" t="s">
        <v>65</v>
      </c>
    </row>
    <row r="7" spans="1:21">
      <c r="A7" s="8"/>
      <c r="B7" s="2"/>
      <c r="C7" s="2"/>
      <c r="D7" s="2"/>
      <c r="E7" s="2"/>
      <c r="F7" s="2"/>
      <c r="G7" s="2"/>
      <c r="H7" s="2"/>
      <c r="I7" s="2"/>
      <c r="J7" s="2"/>
      <c r="K7" s="2"/>
      <c r="L7" s="5"/>
      <c r="M7" s="5"/>
      <c r="N7" s="2"/>
    </row>
    <row r="8" spans="1:21">
      <c r="A8" s="8" t="s">
        <v>704</v>
      </c>
      <c r="B8" s="42" t="s">
        <v>712</v>
      </c>
      <c r="C8" s="42" t="s">
        <v>32</v>
      </c>
      <c r="D8" s="42" t="s">
        <v>16</v>
      </c>
      <c r="E8" s="42" t="s">
        <v>713</v>
      </c>
      <c r="F8" s="42">
        <v>23</v>
      </c>
      <c r="G8" s="42"/>
      <c r="H8" s="42">
        <v>500</v>
      </c>
      <c r="I8" s="42">
        <v>20</v>
      </c>
      <c r="J8" s="42"/>
      <c r="K8" s="42">
        <f t="shared" ref="K8" si="3">I8*J8</f>
        <v>0</v>
      </c>
      <c r="L8" s="43">
        <f t="shared" ref="L8" si="4">H8-K8</f>
        <v>500</v>
      </c>
      <c r="M8" s="43"/>
      <c r="N8" s="43">
        <f t="shared" ref="N8" si="5">L8-M8</f>
        <v>500</v>
      </c>
      <c r="O8" s="43">
        <f t="shared" ref="O8" si="6">H8/1000*70</f>
        <v>35</v>
      </c>
      <c r="P8" s="42">
        <v>0</v>
      </c>
    </row>
    <row r="9" spans="1:21">
      <c r="A9" s="9"/>
      <c r="B9" s="2"/>
      <c r="C9" s="2"/>
      <c r="D9" s="2"/>
      <c r="E9" s="2"/>
      <c r="F9" s="2"/>
      <c r="G9" s="2"/>
      <c r="H9" s="2"/>
      <c r="I9" s="2"/>
      <c r="J9" s="2"/>
      <c r="K9" s="2"/>
      <c r="L9" s="5"/>
      <c r="M9" s="5"/>
      <c r="N9" s="2"/>
    </row>
    <row r="10" spans="1:21">
      <c r="A10" s="10"/>
      <c r="B10" s="2"/>
      <c r="C10" s="2"/>
      <c r="D10" s="2"/>
      <c r="E10" s="2"/>
      <c r="F10" s="2"/>
      <c r="G10" s="2"/>
      <c r="H10" s="2"/>
      <c r="I10" s="2"/>
      <c r="J10" s="2"/>
      <c r="K10" s="2"/>
      <c r="L10" s="5"/>
      <c r="M10" s="5"/>
      <c r="N10" s="2"/>
      <c r="Q10" s="1" t="s">
        <v>960</v>
      </c>
      <c r="R10" s="1">
        <v>261</v>
      </c>
      <c r="S10" s="1">
        <v>100</v>
      </c>
      <c r="U10" s="1">
        <v>500</v>
      </c>
    </row>
    <row r="11" spans="1:21">
      <c r="A11" s="11" t="s">
        <v>982</v>
      </c>
      <c r="B11" s="42" t="s">
        <v>712</v>
      </c>
      <c r="C11" s="42" t="s">
        <v>32</v>
      </c>
      <c r="D11" s="42" t="s">
        <v>16</v>
      </c>
      <c r="E11" s="42" t="s">
        <v>393</v>
      </c>
      <c r="F11" s="42">
        <v>22</v>
      </c>
      <c r="G11" s="42"/>
      <c r="H11" s="42">
        <v>100</v>
      </c>
      <c r="I11" s="42">
        <v>4</v>
      </c>
      <c r="J11" s="42"/>
      <c r="K11" s="42">
        <f t="shared" ref="K11" si="7">I11*J11</f>
        <v>0</v>
      </c>
      <c r="L11" s="43">
        <f t="shared" ref="L11" si="8">H11-K11</f>
        <v>100</v>
      </c>
      <c r="M11" s="43"/>
      <c r="N11" s="43">
        <f t="shared" ref="N11" si="9">L11-M11</f>
        <v>100</v>
      </c>
      <c r="O11" s="43">
        <f t="shared" ref="O11" si="10">H11/1000*70</f>
        <v>7</v>
      </c>
      <c r="P11" s="42"/>
      <c r="Q11" s="42">
        <v>500</v>
      </c>
      <c r="R11" s="42">
        <f t="shared" ref="R11" si="11">L11*Q11</f>
        <v>50000</v>
      </c>
    </row>
    <row r="13" spans="1:21">
      <c r="B13" s="42" t="s">
        <v>1107</v>
      </c>
      <c r="C13" s="42" t="s">
        <v>1108</v>
      </c>
      <c r="D13" s="42" t="s">
        <v>16</v>
      </c>
      <c r="E13" s="42" t="s">
        <v>1109</v>
      </c>
      <c r="F13" s="42">
        <v>10</v>
      </c>
      <c r="G13" s="42"/>
      <c r="H13" s="42">
        <v>500</v>
      </c>
      <c r="I13" s="42">
        <v>20</v>
      </c>
      <c r="J13" s="42"/>
      <c r="K13" s="42">
        <f t="shared" ref="K13" si="12">I13*J13</f>
        <v>0</v>
      </c>
      <c r="L13" s="43">
        <f t="shared" ref="L13" si="13">H13-K13</f>
        <v>500</v>
      </c>
      <c r="M13" s="43"/>
      <c r="N13" s="43">
        <f t="shared" ref="N13" si="14">L13-M13</f>
        <v>500</v>
      </c>
      <c r="O13" s="43">
        <f t="shared" ref="O13" si="15">H13/1000*70</f>
        <v>35</v>
      </c>
      <c r="P13" s="42">
        <v>0</v>
      </c>
      <c r="Q13" s="42">
        <v>495</v>
      </c>
      <c r="R13" s="42">
        <f t="shared" ref="R13" si="16">L13*Q13</f>
        <v>247500</v>
      </c>
    </row>
    <row r="15" spans="1:21">
      <c r="A15" s="1" t="s">
        <v>2036</v>
      </c>
      <c r="B15" s="42" t="s">
        <v>712</v>
      </c>
      <c r="C15" s="42" t="s">
        <v>2037</v>
      </c>
      <c r="D15" s="42" t="s">
        <v>16</v>
      </c>
      <c r="E15" s="42" t="s">
        <v>2038</v>
      </c>
      <c r="F15" s="42">
        <v>311</v>
      </c>
      <c r="G15" s="42"/>
      <c r="H15" s="42">
        <v>500</v>
      </c>
      <c r="I15" s="42">
        <v>20</v>
      </c>
      <c r="J15" s="42">
        <v>0</v>
      </c>
      <c r="K15" s="43">
        <f t="shared" ref="K15" si="17">I15*J15</f>
        <v>0</v>
      </c>
      <c r="L15" s="43">
        <f t="shared" ref="L15" si="18">H15-K15</f>
        <v>500</v>
      </c>
      <c r="M15" s="43"/>
      <c r="N15" s="43">
        <f t="shared" ref="N15" si="19">L15-M15</f>
        <v>500</v>
      </c>
      <c r="O15" s="43">
        <f t="shared" ref="O15" si="20">H15/1000*70</f>
        <v>35</v>
      </c>
      <c r="P15" s="42">
        <v>0</v>
      </c>
      <c r="Q15" s="42">
        <v>285</v>
      </c>
      <c r="R15" s="42">
        <f t="shared" ref="R15" si="21">L15*Q15</f>
        <v>142500</v>
      </c>
    </row>
    <row r="17" spans="1:18">
      <c r="A17" s="1" t="s">
        <v>2188</v>
      </c>
      <c r="B17" s="42" t="s">
        <v>712</v>
      </c>
      <c r="C17" s="42" t="s">
        <v>2189</v>
      </c>
      <c r="D17" s="42" t="s">
        <v>16</v>
      </c>
      <c r="E17" s="42" t="s">
        <v>835</v>
      </c>
      <c r="F17" s="42">
        <v>348</v>
      </c>
      <c r="G17" s="42"/>
      <c r="H17" s="42">
        <v>100</v>
      </c>
      <c r="I17" s="42">
        <v>4</v>
      </c>
      <c r="J17" s="42"/>
      <c r="K17" s="43">
        <f t="shared" ref="K17" si="22">I17*J17</f>
        <v>0</v>
      </c>
      <c r="L17" s="43">
        <f t="shared" ref="L17" si="23">H17-K17</f>
        <v>100</v>
      </c>
      <c r="M17" s="43"/>
      <c r="N17" s="43">
        <f t="shared" ref="N17" si="24">L17-M17</f>
        <v>100</v>
      </c>
      <c r="O17" s="43">
        <f t="shared" ref="O17" si="25">H17/1000*70</f>
        <v>7</v>
      </c>
      <c r="P17" s="42">
        <v>0</v>
      </c>
      <c r="Q17" s="42">
        <v>155</v>
      </c>
      <c r="R17" s="42">
        <f t="shared" ref="R17" si="26">L17*Q17</f>
        <v>15500</v>
      </c>
    </row>
    <row r="19" spans="1:18">
      <c r="A19" s="1" t="s">
        <v>2435</v>
      </c>
      <c r="B19" s="42" t="s">
        <v>712</v>
      </c>
      <c r="C19" s="55" t="s">
        <v>2438</v>
      </c>
      <c r="D19" s="42" t="s">
        <v>16</v>
      </c>
      <c r="E19" s="42" t="s">
        <v>2439</v>
      </c>
      <c r="F19" s="42">
        <v>38</v>
      </c>
      <c r="G19" s="42"/>
      <c r="H19" s="42">
        <v>500</v>
      </c>
      <c r="I19" s="42">
        <v>20</v>
      </c>
      <c r="J19" s="42"/>
      <c r="K19" s="43">
        <f t="shared" ref="K19" si="27">I19*J19</f>
        <v>0</v>
      </c>
      <c r="L19" s="43">
        <f t="shared" ref="L19" si="28">H19-K19</f>
        <v>500</v>
      </c>
      <c r="M19" s="43"/>
      <c r="N19" s="43">
        <f t="shared" ref="N19" si="29">L19-M19</f>
        <v>500</v>
      </c>
      <c r="O19" s="43">
        <f t="shared" ref="O19" si="30">H19/1000*70</f>
        <v>35</v>
      </c>
      <c r="P19" s="42">
        <v>0</v>
      </c>
      <c r="Q19" s="42">
        <v>185</v>
      </c>
      <c r="R19" s="42">
        <f t="shared" ref="R19" si="31">L19*Q19</f>
        <v>92500</v>
      </c>
    </row>
    <row r="21" spans="1:18">
      <c r="A21" s="1" t="s">
        <v>2801</v>
      </c>
      <c r="B21" s="42" t="s">
        <v>34</v>
      </c>
      <c r="C21" s="42" t="s">
        <v>2805</v>
      </c>
      <c r="D21" s="42" t="s">
        <v>16</v>
      </c>
      <c r="E21" s="42" t="s">
        <v>2806</v>
      </c>
      <c r="F21" s="42">
        <v>231</v>
      </c>
      <c r="G21" s="42"/>
      <c r="H21" s="42">
        <v>200</v>
      </c>
      <c r="I21" s="42">
        <v>10</v>
      </c>
      <c r="J21" s="42"/>
      <c r="K21" s="43">
        <f t="shared" ref="K21" si="32">I21*J21</f>
        <v>0</v>
      </c>
      <c r="L21" s="43">
        <f t="shared" ref="L21" si="33">H21-K21</f>
        <v>200</v>
      </c>
      <c r="M21" s="43"/>
      <c r="N21" s="43">
        <f t="shared" ref="N21" si="34">L21-M21</f>
        <v>200</v>
      </c>
      <c r="O21" s="43">
        <f t="shared" ref="O21" si="35">H21/1000*70</f>
        <v>14</v>
      </c>
      <c r="P21" s="42">
        <v>0</v>
      </c>
      <c r="Q21" s="42">
        <v>360</v>
      </c>
      <c r="R21" s="42">
        <f t="shared" ref="R21" si="36">L21*Q21</f>
        <v>72000</v>
      </c>
    </row>
    <row r="23" spans="1:18">
      <c r="A23" s="1" t="s">
        <v>2901</v>
      </c>
      <c r="B23" s="42" t="s">
        <v>34</v>
      </c>
      <c r="C23" s="42" t="s">
        <v>2898</v>
      </c>
      <c r="D23" s="42" t="s">
        <v>16</v>
      </c>
      <c r="E23" s="42" t="s">
        <v>2806</v>
      </c>
      <c r="F23" s="42">
        <v>38</v>
      </c>
      <c r="G23" s="42"/>
      <c r="H23" s="42">
        <v>100</v>
      </c>
      <c r="I23" s="42">
        <v>5</v>
      </c>
      <c r="J23" s="42"/>
      <c r="K23" s="43">
        <f t="shared" ref="K23" si="37">I23*J23</f>
        <v>0</v>
      </c>
      <c r="L23" s="43">
        <f t="shared" ref="L23" si="38">H23-K23</f>
        <v>100</v>
      </c>
      <c r="M23" s="43"/>
      <c r="N23" s="43">
        <f t="shared" ref="N23" si="39">L23-M23</f>
        <v>100</v>
      </c>
      <c r="O23" s="43">
        <f t="shared" ref="O23" si="40">H23/1000*70</f>
        <v>7</v>
      </c>
      <c r="P23" s="42">
        <v>0</v>
      </c>
      <c r="Q23" s="42">
        <v>650</v>
      </c>
      <c r="R23" s="42">
        <f t="shared" ref="R23" si="41">L23*Q23</f>
        <v>65000</v>
      </c>
    </row>
    <row r="25" spans="1:18">
      <c r="A25" s="374" t="s">
        <v>3044</v>
      </c>
      <c r="B25" s="42" t="s">
        <v>34</v>
      </c>
      <c r="C25" s="42" t="s">
        <v>3049</v>
      </c>
      <c r="D25" s="42" t="s">
        <v>16</v>
      </c>
      <c r="E25" s="42" t="s">
        <v>3050</v>
      </c>
      <c r="F25" s="42">
        <v>9</v>
      </c>
      <c r="G25" s="42"/>
      <c r="H25" s="42">
        <v>300</v>
      </c>
      <c r="I25" s="42">
        <v>15</v>
      </c>
      <c r="J25" s="42"/>
      <c r="K25" s="43">
        <f t="shared" ref="K25:K26" si="42">I25*J25</f>
        <v>0</v>
      </c>
      <c r="L25" s="43">
        <f t="shared" ref="L25:L26" si="43">H25-K25</f>
        <v>300</v>
      </c>
      <c r="M25" s="43"/>
      <c r="N25" s="43">
        <f t="shared" ref="N25:N26" si="44">L25-M25</f>
        <v>300</v>
      </c>
      <c r="O25" s="43">
        <f t="shared" ref="O25:O26" si="45">H25/1000*70</f>
        <v>21</v>
      </c>
      <c r="P25" s="42">
        <v>0</v>
      </c>
      <c r="Q25" s="42">
        <v>650</v>
      </c>
      <c r="R25" s="42">
        <f t="shared" ref="R25:R26" si="46">L25*Q25</f>
        <v>195000</v>
      </c>
    </row>
    <row r="26" spans="1:18">
      <c r="A26" s="374"/>
      <c r="B26" s="42"/>
      <c r="C26" s="42" t="s">
        <v>2805</v>
      </c>
      <c r="D26" s="42" t="s">
        <v>16</v>
      </c>
      <c r="E26" s="42" t="s">
        <v>3050</v>
      </c>
      <c r="F26" s="42">
        <v>9</v>
      </c>
      <c r="G26" s="42"/>
      <c r="H26" s="42">
        <v>200</v>
      </c>
      <c r="I26" s="42">
        <v>10</v>
      </c>
      <c r="J26" s="42"/>
      <c r="K26" s="43">
        <f t="shared" si="42"/>
        <v>0</v>
      </c>
      <c r="L26" s="43">
        <f t="shared" si="43"/>
        <v>200</v>
      </c>
      <c r="M26" s="43"/>
      <c r="N26" s="43">
        <f t="shared" si="44"/>
        <v>200</v>
      </c>
      <c r="O26" s="43">
        <f t="shared" si="45"/>
        <v>14</v>
      </c>
      <c r="P26" s="42">
        <v>0</v>
      </c>
      <c r="Q26" s="42">
        <v>360</v>
      </c>
      <c r="R26" s="42">
        <f t="shared" si="46"/>
        <v>72000</v>
      </c>
    </row>
    <row r="28" spans="1:18">
      <c r="A28" s="374" t="s">
        <v>3197</v>
      </c>
      <c r="B28" s="42" t="s">
        <v>712</v>
      </c>
      <c r="C28" s="42" t="s">
        <v>2805</v>
      </c>
      <c r="D28" s="42" t="s">
        <v>16</v>
      </c>
      <c r="E28" s="42" t="s">
        <v>2439</v>
      </c>
      <c r="F28" s="42">
        <v>512</v>
      </c>
      <c r="G28" s="42"/>
      <c r="H28" s="42">
        <v>140</v>
      </c>
      <c r="I28" s="42">
        <v>7</v>
      </c>
      <c r="J28" s="42"/>
      <c r="K28" s="43">
        <f t="shared" ref="K28:K29" si="47">I28*J28</f>
        <v>0</v>
      </c>
      <c r="L28" s="43">
        <f t="shared" ref="L28:L29" si="48">H28-K28</f>
        <v>140</v>
      </c>
      <c r="M28" s="43"/>
      <c r="N28" s="43">
        <f t="shared" ref="N28:N29" si="49">L28-M28</f>
        <v>140</v>
      </c>
      <c r="O28" s="43">
        <f t="shared" ref="O28:O29" si="50">H28/1000*70</f>
        <v>9.8000000000000007</v>
      </c>
      <c r="P28" s="42">
        <v>0</v>
      </c>
      <c r="Q28" s="42">
        <v>360</v>
      </c>
      <c r="R28" s="42">
        <f t="shared" ref="R28:R29" si="51">L28*Q28</f>
        <v>50400</v>
      </c>
    </row>
    <row r="29" spans="1:18">
      <c r="A29" s="374"/>
      <c r="B29" s="42"/>
      <c r="C29" s="42" t="s">
        <v>3204</v>
      </c>
      <c r="D29" s="42" t="s">
        <v>16</v>
      </c>
      <c r="E29" s="42" t="s">
        <v>2439</v>
      </c>
      <c r="F29" s="42"/>
      <c r="G29" s="42"/>
      <c r="H29" s="42">
        <v>100</v>
      </c>
      <c r="I29" s="42">
        <v>5</v>
      </c>
      <c r="J29" s="42"/>
      <c r="K29" s="43">
        <f t="shared" si="47"/>
        <v>0</v>
      </c>
      <c r="L29" s="43">
        <f t="shared" si="48"/>
        <v>100</v>
      </c>
      <c r="M29" s="43"/>
      <c r="N29" s="43">
        <f t="shared" si="49"/>
        <v>100</v>
      </c>
      <c r="O29" s="43">
        <f t="shared" si="50"/>
        <v>7</v>
      </c>
      <c r="P29" s="42">
        <v>0</v>
      </c>
      <c r="Q29" s="42">
        <v>650</v>
      </c>
      <c r="R29" s="42">
        <f t="shared" si="51"/>
        <v>65000</v>
      </c>
    </row>
    <row r="31" spans="1:18">
      <c r="A31" s="1" t="s">
        <v>3252</v>
      </c>
      <c r="B31" s="42" t="s">
        <v>712</v>
      </c>
      <c r="C31" s="42" t="s">
        <v>2805</v>
      </c>
      <c r="D31" s="42" t="s">
        <v>16</v>
      </c>
      <c r="E31" s="42" t="s">
        <v>3259</v>
      </c>
      <c r="F31" s="42">
        <v>191</v>
      </c>
      <c r="G31" s="42"/>
      <c r="H31" s="42">
        <v>160</v>
      </c>
      <c r="I31" s="42">
        <v>8</v>
      </c>
      <c r="J31" s="42"/>
      <c r="K31" s="43">
        <f t="shared" ref="K31" si="52">I31*J31</f>
        <v>0</v>
      </c>
      <c r="L31" s="43">
        <f t="shared" ref="L31" si="53">H31-K31</f>
        <v>160</v>
      </c>
      <c r="M31" s="43"/>
      <c r="N31" s="43">
        <f t="shared" ref="N31" si="54">L31-M31</f>
        <v>160</v>
      </c>
      <c r="O31" s="43">
        <f t="shared" ref="O31" si="55">H31/1000*70</f>
        <v>11.200000000000001</v>
      </c>
      <c r="P31" s="42">
        <v>0</v>
      </c>
      <c r="Q31" s="42">
        <v>360</v>
      </c>
      <c r="R31" s="42">
        <f t="shared" ref="R31" si="56">L31*Q31</f>
        <v>57600</v>
      </c>
    </row>
    <row r="33" spans="1:19">
      <c r="A33" s="1" t="s">
        <v>3395</v>
      </c>
      <c r="B33" s="42" t="s">
        <v>3397</v>
      </c>
      <c r="C33" s="42" t="s">
        <v>3398</v>
      </c>
      <c r="D33" s="42" t="s">
        <v>16</v>
      </c>
      <c r="E33" s="47" t="s">
        <v>3399</v>
      </c>
      <c r="F33" s="47">
        <v>10</v>
      </c>
      <c r="G33" s="47"/>
      <c r="H33" s="47">
        <v>400</v>
      </c>
      <c r="I33" s="47">
        <v>20</v>
      </c>
      <c r="J33" s="47"/>
      <c r="K33" s="43">
        <f t="shared" ref="K33" si="57">I33*J33</f>
        <v>0</v>
      </c>
      <c r="L33" s="43">
        <f t="shared" ref="L33" si="58">H33-K33</f>
        <v>400</v>
      </c>
      <c r="M33" s="43"/>
      <c r="N33" s="43">
        <f t="shared" ref="N33" si="59">L33-M33</f>
        <v>400</v>
      </c>
      <c r="O33" s="43">
        <f t="shared" ref="O33" si="60">H33/1000*70</f>
        <v>28</v>
      </c>
      <c r="P33" s="42">
        <v>0</v>
      </c>
      <c r="Q33" s="42">
        <v>650</v>
      </c>
      <c r="R33" s="42">
        <f t="shared" ref="R33" si="61">L33*Q33</f>
        <v>260000</v>
      </c>
    </row>
    <row r="35" spans="1:19">
      <c r="A35" s="374" t="s">
        <v>3485</v>
      </c>
      <c r="B35" s="42" t="s">
        <v>3397</v>
      </c>
      <c r="C35" s="42" t="s">
        <v>3486</v>
      </c>
      <c r="D35" s="42" t="s">
        <v>16</v>
      </c>
      <c r="E35" s="47" t="s">
        <v>3487</v>
      </c>
      <c r="F35" s="47">
        <v>45</v>
      </c>
      <c r="G35" s="47"/>
      <c r="H35" s="47">
        <v>200</v>
      </c>
      <c r="I35" s="47">
        <v>10</v>
      </c>
      <c r="J35" s="47"/>
      <c r="K35" s="43">
        <f t="shared" ref="K35:K37" si="62">I35*J35</f>
        <v>0</v>
      </c>
      <c r="L35" s="43">
        <f t="shared" ref="L35:L37" si="63">H35-K35</f>
        <v>200</v>
      </c>
      <c r="M35" s="43"/>
      <c r="N35" s="43">
        <f t="shared" ref="N35:N37" si="64">L35-M35</f>
        <v>200</v>
      </c>
      <c r="O35" s="43">
        <f t="shared" ref="O35:O37" si="65">H35/1000*70</f>
        <v>14</v>
      </c>
      <c r="P35" s="42"/>
      <c r="Q35" s="42">
        <v>360</v>
      </c>
      <c r="R35" s="42">
        <f t="shared" ref="R35:R37" si="66">L35*Q35</f>
        <v>72000</v>
      </c>
    </row>
    <row r="36" spans="1:19">
      <c r="A36" s="374"/>
      <c r="B36" s="42"/>
      <c r="C36" s="42" t="s">
        <v>3398</v>
      </c>
      <c r="D36" s="42" t="s">
        <v>16</v>
      </c>
      <c r="E36" s="47" t="s">
        <v>3487</v>
      </c>
      <c r="F36" s="47">
        <v>45</v>
      </c>
      <c r="G36" s="47"/>
      <c r="H36" s="47">
        <v>200</v>
      </c>
      <c r="I36" s="47">
        <v>10</v>
      </c>
      <c r="J36" s="47"/>
      <c r="K36" s="43">
        <f t="shared" si="62"/>
        <v>0</v>
      </c>
      <c r="L36" s="43">
        <f t="shared" si="63"/>
        <v>200</v>
      </c>
      <c r="M36" s="43"/>
      <c r="N36" s="43">
        <f t="shared" si="64"/>
        <v>200</v>
      </c>
      <c r="O36" s="43">
        <f t="shared" si="65"/>
        <v>14</v>
      </c>
      <c r="P36" s="42"/>
      <c r="Q36" s="42">
        <v>650</v>
      </c>
      <c r="R36" s="42">
        <f t="shared" si="66"/>
        <v>130000</v>
      </c>
    </row>
    <row r="37" spans="1:19">
      <c r="A37" s="1" t="s">
        <v>3609</v>
      </c>
      <c r="B37" s="42" t="s">
        <v>712</v>
      </c>
      <c r="C37" s="42" t="s">
        <v>2805</v>
      </c>
      <c r="D37" s="42" t="s">
        <v>16</v>
      </c>
      <c r="E37" s="47" t="s">
        <v>3608</v>
      </c>
      <c r="F37" s="47">
        <v>184</v>
      </c>
      <c r="G37" s="47"/>
      <c r="H37" s="47">
        <v>500</v>
      </c>
      <c r="I37" s="47">
        <v>25</v>
      </c>
      <c r="J37" s="47"/>
      <c r="K37" s="43">
        <f t="shared" si="62"/>
        <v>0</v>
      </c>
      <c r="L37" s="43">
        <f t="shared" si="63"/>
        <v>500</v>
      </c>
      <c r="M37" s="43"/>
      <c r="N37" s="43">
        <f t="shared" si="64"/>
        <v>500</v>
      </c>
      <c r="O37" s="43">
        <f t="shared" si="65"/>
        <v>35</v>
      </c>
      <c r="P37" s="42">
        <v>0</v>
      </c>
      <c r="Q37" s="42"/>
      <c r="R37" s="42">
        <f t="shared" si="66"/>
        <v>0</v>
      </c>
    </row>
    <row r="39" spans="1:19">
      <c r="A39" s="1" t="s">
        <v>4026</v>
      </c>
      <c r="B39" s="352" t="s">
        <v>34</v>
      </c>
      <c r="C39" s="352" t="s">
        <v>3204</v>
      </c>
      <c r="D39" s="42" t="s">
        <v>16</v>
      </c>
      <c r="E39" s="352" t="s">
        <v>3050</v>
      </c>
      <c r="F39" s="352">
        <v>389</v>
      </c>
      <c r="G39" s="352"/>
      <c r="H39" s="352">
        <v>100</v>
      </c>
      <c r="I39" s="352">
        <v>5</v>
      </c>
      <c r="J39" s="352"/>
      <c r="K39" s="43">
        <f t="shared" ref="K39" si="67">I39*J39</f>
        <v>0</v>
      </c>
      <c r="L39" s="43">
        <f t="shared" ref="L39" si="68">H39-K39</f>
        <v>100</v>
      </c>
      <c r="M39" s="43"/>
      <c r="N39" s="43">
        <f t="shared" ref="N39" si="69">L39-M39</f>
        <v>100</v>
      </c>
      <c r="O39" s="43">
        <f t="shared" ref="O39" si="70">H39/1000*70</f>
        <v>7</v>
      </c>
      <c r="P39" s="42">
        <v>0</v>
      </c>
      <c r="Q39" s="42"/>
      <c r="R39" s="42">
        <f t="shared" ref="R39" si="71">L39*Q39</f>
        <v>0</v>
      </c>
      <c r="S39" s="85"/>
    </row>
  </sheetData>
  <mergeCells count="3">
    <mergeCell ref="A25:A26"/>
    <mergeCell ref="A28:A29"/>
    <mergeCell ref="A35:A36"/>
  </mergeCells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5:T11"/>
  <sheetViews>
    <sheetView workbookViewId="0">
      <selection activeCell="Q5" sqref="Q5:T5"/>
    </sheetView>
  </sheetViews>
  <sheetFormatPr defaultRowHeight="14.4"/>
  <cols>
    <col min="1" max="1" width="8.88671875" style="1"/>
    <col min="2" max="2" width="13.88671875" style="1" customWidth="1"/>
    <col min="3" max="3" width="8.88671875" style="1"/>
    <col min="4" max="4" width="5.5546875" style="1" customWidth="1"/>
    <col min="5" max="5" width="8.88671875" style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0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0">
      <c r="A6" s="7" t="s">
        <v>28</v>
      </c>
      <c r="B6" s="2" t="s">
        <v>19</v>
      </c>
      <c r="C6" s="2" t="s">
        <v>33</v>
      </c>
      <c r="D6" s="2" t="s">
        <v>16</v>
      </c>
      <c r="E6" s="2" t="s">
        <v>61</v>
      </c>
      <c r="F6" s="2">
        <v>413</v>
      </c>
      <c r="G6" s="2"/>
      <c r="H6" s="2">
        <v>5000</v>
      </c>
      <c r="I6" s="2">
        <v>500</v>
      </c>
      <c r="J6" s="2"/>
      <c r="K6" s="2">
        <f t="shared" ref="K6" si="0">I6*J6</f>
        <v>0</v>
      </c>
      <c r="L6" s="5">
        <f t="shared" ref="L6" si="1">H6-K6</f>
        <v>5000</v>
      </c>
      <c r="M6" s="5">
        <f t="shared" ref="M6" si="2">H6/1000*70</f>
        <v>350</v>
      </c>
      <c r="N6" s="2">
        <v>0</v>
      </c>
    </row>
    <row r="7" spans="1:20">
      <c r="A7" s="8"/>
      <c r="B7" s="2"/>
      <c r="C7" s="2"/>
      <c r="D7" s="2"/>
      <c r="E7" s="2"/>
      <c r="F7" s="2"/>
      <c r="G7" s="2"/>
      <c r="H7" s="2"/>
      <c r="I7" s="2"/>
      <c r="J7" s="2"/>
      <c r="K7" s="2"/>
      <c r="L7" s="5"/>
      <c r="M7" s="5"/>
      <c r="N7" s="2"/>
    </row>
    <row r="8" spans="1:20">
      <c r="A8" s="8"/>
      <c r="B8" s="2"/>
      <c r="C8" s="2"/>
      <c r="D8" s="2"/>
      <c r="E8" s="2"/>
      <c r="F8" s="2"/>
      <c r="G8" s="2"/>
      <c r="H8" s="2"/>
      <c r="I8" s="2"/>
      <c r="J8" s="2"/>
      <c r="K8" s="2"/>
      <c r="L8" s="5"/>
      <c r="M8" s="5"/>
      <c r="N8" s="2"/>
    </row>
    <row r="9" spans="1:20">
      <c r="A9" s="9"/>
      <c r="B9" s="2"/>
      <c r="C9" s="2"/>
      <c r="D9" s="2"/>
      <c r="E9" s="2"/>
      <c r="F9" s="2"/>
      <c r="G9" s="2"/>
      <c r="H9" s="2"/>
      <c r="I9" s="2"/>
      <c r="J9" s="2"/>
      <c r="K9" s="2"/>
      <c r="L9" s="5"/>
      <c r="M9" s="5"/>
      <c r="N9" s="2"/>
    </row>
    <row r="10" spans="1:20">
      <c r="A10" s="10"/>
      <c r="B10" s="2"/>
      <c r="C10" s="2"/>
      <c r="D10" s="2"/>
      <c r="E10" s="2"/>
      <c r="F10" s="2"/>
      <c r="G10" s="2"/>
      <c r="H10" s="2"/>
      <c r="I10" s="2"/>
      <c r="J10" s="2"/>
      <c r="K10" s="2"/>
      <c r="L10" s="5"/>
      <c r="M10" s="5"/>
      <c r="N10" s="2"/>
    </row>
    <row r="11" spans="1:20">
      <c r="A11" s="11"/>
      <c r="B11" s="2"/>
      <c r="C11" s="2"/>
      <c r="D11" s="2"/>
      <c r="E11" s="2"/>
      <c r="F11" s="2"/>
      <c r="G11" s="2"/>
      <c r="H11" s="2"/>
      <c r="I11" s="2"/>
      <c r="J11" s="2"/>
      <c r="K11" s="2"/>
      <c r="L11" s="5"/>
      <c r="M11" s="5"/>
      <c r="N11" s="2"/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5:T11"/>
  <sheetViews>
    <sheetView workbookViewId="0">
      <selection activeCell="B8" sqref="B8"/>
    </sheetView>
  </sheetViews>
  <sheetFormatPr defaultRowHeight="14.4"/>
  <cols>
    <col min="1" max="1" width="8.88671875" style="1"/>
    <col min="2" max="2" width="13.88671875" style="1" customWidth="1"/>
    <col min="3" max="3" width="12.109375" style="1" customWidth="1"/>
    <col min="4" max="4" width="5.5546875" style="1" customWidth="1"/>
    <col min="5" max="5" width="8.88671875" style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0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0">
      <c r="A6" s="7" t="s">
        <v>291</v>
      </c>
      <c r="B6" s="2" t="s">
        <v>19</v>
      </c>
      <c r="C6" s="39" t="s">
        <v>294</v>
      </c>
      <c r="D6" s="2" t="s">
        <v>16</v>
      </c>
      <c r="E6" s="2" t="s">
        <v>295</v>
      </c>
      <c r="F6" s="2">
        <v>726</v>
      </c>
      <c r="G6" s="2"/>
      <c r="H6" s="2">
        <v>18000</v>
      </c>
      <c r="I6" s="2"/>
      <c r="J6" s="2"/>
      <c r="K6" s="5">
        <f t="shared" ref="K6" si="0">I6*J6</f>
        <v>0</v>
      </c>
      <c r="L6" s="19">
        <f t="shared" ref="L6" si="1">H6-K6</f>
        <v>18000</v>
      </c>
      <c r="M6" s="5">
        <f t="shared" ref="M6" si="2">H6/1000*70</f>
        <v>1260</v>
      </c>
      <c r="N6" s="2"/>
      <c r="O6" s="2"/>
      <c r="P6" s="2">
        <f t="shared" ref="P6" si="3">L6*O6</f>
        <v>0</v>
      </c>
    </row>
    <row r="7" spans="1:20">
      <c r="A7" s="8"/>
      <c r="B7" s="2"/>
      <c r="C7" s="2"/>
      <c r="D7" s="2"/>
      <c r="E7" s="2"/>
      <c r="F7" s="2"/>
      <c r="G7" s="2"/>
      <c r="H7" s="2"/>
      <c r="I7" s="2"/>
      <c r="J7" s="2"/>
      <c r="K7" s="2"/>
      <c r="L7" s="5"/>
      <c r="M7" s="5"/>
      <c r="N7" s="2"/>
    </row>
    <row r="8" spans="1:20">
      <c r="A8" s="8"/>
      <c r="B8" s="2"/>
      <c r="C8" s="2"/>
      <c r="D8" s="2"/>
      <c r="E8" s="2"/>
      <c r="F8" s="2"/>
      <c r="G8" s="2"/>
      <c r="H8" s="2"/>
      <c r="I8" s="2"/>
      <c r="J8" s="2"/>
      <c r="K8" s="2"/>
      <c r="L8" s="5"/>
      <c r="M8" s="5"/>
      <c r="N8" s="2"/>
    </row>
    <row r="9" spans="1:20">
      <c r="A9" s="9"/>
      <c r="B9" s="2"/>
      <c r="C9" s="2"/>
      <c r="D9" s="2"/>
      <c r="E9" s="2"/>
      <c r="F9" s="2"/>
      <c r="G9" s="2"/>
      <c r="H9" s="2"/>
      <c r="I9" s="2"/>
      <c r="J9" s="2"/>
      <c r="K9" s="2"/>
      <c r="L9" s="5"/>
      <c r="M9" s="5"/>
      <c r="N9" s="2"/>
    </row>
    <row r="10" spans="1:20">
      <c r="A10" s="10"/>
      <c r="B10" s="2"/>
      <c r="C10" s="2"/>
      <c r="D10" s="2"/>
      <c r="E10" s="2"/>
      <c r="F10" s="2"/>
      <c r="G10" s="2"/>
      <c r="H10" s="2"/>
      <c r="I10" s="2"/>
      <c r="J10" s="2"/>
      <c r="K10" s="2"/>
      <c r="L10" s="5"/>
      <c r="M10" s="5"/>
      <c r="N10" s="2"/>
    </row>
    <row r="11" spans="1:20">
      <c r="A11" s="11"/>
      <c r="B11" s="2"/>
      <c r="C11" s="2"/>
      <c r="D11" s="2"/>
      <c r="E11" s="2"/>
      <c r="F11" s="2"/>
      <c r="G11" s="2"/>
      <c r="H11" s="2"/>
      <c r="I11" s="2"/>
      <c r="J11" s="2"/>
      <c r="K11" s="2"/>
      <c r="L11" s="5"/>
      <c r="M11" s="5"/>
      <c r="N11" s="2"/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5:T11"/>
  <sheetViews>
    <sheetView workbookViewId="0">
      <selection activeCell="B22" sqref="B22"/>
    </sheetView>
  </sheetViews>
  <sheetFormatPr defaultRowHeight="14.4"/>
  <cols>
    <col min="1" max="1" width="8.88671875" style="1"/>
    <col min="2" max="2" width="13.88671875" style="1" customWidth="1"/>
    <col min="3" max="3" width="8.88671875" style="1"/>
    <col min="4" max="4" width="5.5546875" style="1" customWidth="1"/>
    <col min="5" max="5" width="8.88671875" style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0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0">
      <c r="A6" s="7" t="s">
        <v>291</v>
      </c>
      <c r="B6" s="2" t="s">
        <v>19</v>
      </c>
      <c r="C6" s="39" t="s">
        <v>292</v>
      </c>
      <c r="D6" s="2" t="s">
        <v>16</v>
      </c>
      <c r="E6" s="2" t="s">
        <v>293</v>
      </c>
      <c r="F6" s="2">
        <v>727</v>
      </c>
      <c r="G6" s="2"/>
      <c r="H6" s="2">
        <v>18000</v>
      </c>
      <c r="I6" s="2"/>
      <c r="J6" s="2"/>
      <c r="K6" s="5">
        <f t="shared" ref="K6" si="0">I6*J6</f>
        <v>0</v>
      </c>
      <c r="L6" s="19">
        <f t="shared" ref="L6" si="1">H6-K6</f>
        <v>18000</v>
      </c>
      <c r="M6" s="5">
        <f t="shared" ref="M6" si="2">H6/1000*70</f>
        <v>1260</v>
      </c>
      <c r="N6" s="2">
        <v>0</v>
      </c>
    </row>
    <row r="7" spans="1:20">
      <c r="A7" s="8"/>
      <c r="B7" s="2"/>
      <c r="C7" s="2"/>
      <c r="D7" s="2"/>
      <c r="E7" s="2"/>
      <c r="F7" s="2"/>
      <c r="G7" s="2"/>
      <c r="H7" s="2"/>
      <c r="I7" s="2"/>
      <c r="J7" s="2"/>
      <c r="K7" s="2"/>
      <c r="L7" s="5"/>
      <c r="M7" s="5"/>
      <c r="N7" s="2"/>
    </row>
    <row r="8" spans="1:20">
      <c r="A8" s="8"/>
      <c r="B8" s="2"/>
      <c r="C8" s="2"/>
      <c r="D8" s="2"/>
      <c r="E8" s="2"/>
      <c r="F8" s="2"/>
      <c r="G8" s="2"/>
      <c r="H8" s="2"/>
      <c r="I8" s="2"/>
      <c r="J8" s="2"/>
      <c r="K8" s="2"/>
      <c r="L8" s="5"/>
      <c r="M8" s="5"/>
      <c r="N8" s="2"/>
    </row>
    <row r="9" spans="1:20">
      <c r="A9" s="9"/>
      <c r="B9" s="2"/>
      <c r="C9" s="2"/>
      <c r="D9" s="2"/>
      <c r="E9" s="2"/>
      <c r="F9" s="2"/>
      <c r="G9" s="2"/>
      <c r="H9" s="2"/>
      <c r="I9" s="2"/>
      <c r="J9" s="2"/>
      <c r="K9" s="2"/>
      <c r="L9" s="5"/>
      <c r="M9" s="5"/>
      <c r="N9" s="2"/>
    </row>
    <row r="10" spans="1:20">
      <c r="A10" s="10"/>
      <c r="B10" s="2"/>
      <c r="C10" s="2"/>
      <c r="D10" s="2"/>
      <c r="E10" s="2"/>
      <c r="F10" s="2"/>
      <c r="G10" s="2"/>
      <c r="H10" s="2"/>
      <c r="I10" s="2"/>
      <c r="J10" s="2"/>
      <c r="K10" s="2"/>
      <c r="L10" s="5"/>
      <c r="M10" s="5"/>
      <c r="N10" s="2"/>
    </row>
    <row r="11" spans="1:20">
      <c r="A11" s="11"/>
      <c r="B11" s="2"/>
      <c r="C11" s="2"/>
      <c r="D11" s="2"/>
      <c r="E11" s="2"/>
      <c r="F11" s="2"/>
      <c r="G11" s="2"/>
      <c r="H11" s="2"/>
      <c r="I11" s="2"/>
      <c r="J11" s="2"/>
      <c r="K11" s="2"/>
      <c r="L11" s="5"/>
      <c r="M11" s="5"/>
      <c r="N11" s="2"/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5:U63"/>
  <sheetViews>
    <sheetView topLeftCell="A47" workbookViewId="0">
      <selection activeCell="A39" sqref="A39:S63"/>
    </sheetView>
  </sheetViews>
  <sheetFormatPr defaultRowHeight="14.4"/>
  <cols>
    <col min="1" max="1" width="8.88671875" style="1"/>
    <col min="2" max="2" width="13.88671875" style="1" customWidth="1"/>
    <col min="3" max="3" width="8.88671875" style="1"/>
    <col min="4" max="4" width="5.5546875" style="1" customWidth="1"/>
    <col min="5" max="5" width="8.88671875" style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6.109375" style="1" customWidth="1"/>
    <col min="12" max="12" width="7.6640625" style="1" customWidth="1"/>
    <col min="13" max="13" width="5.5546875" style="1" customWidth="1"/>
    <col min="14" max="14" width="7.88671875" style="1" customWidth="1"/>
    <col min="15" max="15" width="8.88671875" style="1"/>
    <col min="16" max="16" width="8.5546875" style="1" customWidth="1"/>
    <col min="17" max="17" width="4.77734375" style="1" customWidth="1"/>
    <col min="18" max="16384" width="8.88671875" style="1"/>
  </cols>
  <sheetData>
    <row r="5" spans="1:20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0">
      <c r="A6" s="383" t="s">
        <v>302</v>
      </c>
      <c r="B6" s="2" t="s">
        <v>19</v>
      </c>
      <c r="C6" s="2" t="s">
        <v>303</v>
      </c>
      <c r="D6" s="2" t="s">
        <v>16</v>
      </c>
      <c r="E6" s="2" t="s">
        <v>304</v>
      </c>
      <c r="F6" s="2">
        <v>683</v>
      </c>
      <c r="G6" s="2"/>
      <c r="H6" s="2">
        <v>38875</v>
      </c>
      <c r="I6" s="2">
        <v>1555</v>
      </c>
      <c r="J6" s="2"/>
      <c r="K6" s="5">
        <f t="shared" ref="K6:K8" si="0">I6*J6</f>
        <v>0</v>
      </c>
      <c r="L6" s="19">
        <f t="shared" ref="L6:L8" si="1">H6-K6</f>
        <v>38875</v>
      </c>
      <c r="M6" s="5">
        <f t="shared" ref="M6:M8" si="2">H6/1000*70</f>
        <v>2721.25</v>
      </c>
      <c r="N6" s="2">
        <v>61500</v>
      </c>
      <c r="O6" s="2"/>
      <c r="P6" s="2">
        <f t="shared" ref="P6:P8" si="3">L6*O6</f>
        <v>0</v>
      </c>
    </row>
    <row r="7" spans="1:20">
      <c r="A7" s="384"/>
      <c r="B7" s="2" t="s">
        <v>19</v>
      </c>
      <c r="C7" s="2" t="s">
        <v>303</v>
      </c>
      <c r="D7" s="2" t="s">
        <v>16</v>
      </c>
      <c r="E7" s="2" t="s">
        <v>305</v>
      </c>
      <c r="F7" s="2">
        <v>684</v>
      </c>
      <c r="G7" s="2"/>
      <c r="H7" s="2">
        <v>39000</v>
      </c>
      <c r="I7" s="2">
        <v>1560</v>
      </c>
      <c r="J7" s="2"/>
      <c r="K7" s="5">
        <f t="shared" si="0"/>
        <v>0</v>
      </c>
      <c r="L7" s="19">
        <f t="shared" si="1"/>
        <v>39000</v>
      </c>
      <c r="M7" s="5">
        <f t="shared" si="2"/>
        <v>2730</v>
      </c>
      <c r="N7" s="2">
        <v>61500</v>
      </c>
      <c r="O7" s="2"/>
      <c r="P7" s="2">
        <f t="shared" si="3"/>
        <v>0</v>
      </c>
    </row>
    <row r="8" spans="1:20">
      <c r="A8" s="384"/>
      <c r="B8" s="2" t="s">
        <v>19</v>
      </c>
      <c r="C8" s="2" t="s">
        <v>303</v>
      </c>
      <c r="D8" s="2" t="s">
        <v>16</v>
      </c>
      <c r="E8" s="2" t="s">
        <v>306</v>
      </c>
      <c r="F8" s="2">
        <v>685</v>
      </c>
      <c r="G8" s="2"/>
      <c r="H8" s="2">
        <v>22125</v>
      </c>
      <c r="I8" s="2">
        <v>885</v>
      </c>
      <c r="J8" s="2"/>
      <c r="K8" s="5">
        <f t="shared" si="0"/>
        <v>0</v>
      </c>
      <c r="L8" s="19">
        <f t="shared" si="1"/>
        <v>22125</v>
      </c>
      <c r="M8" s="5">
        <f t="shared" si="2"/>
        <v>1548.75</v>
      </c>
      <c r="N8" s="2">
        <v>38000</v>
      </c>
      <c r="O8" s="2"/>
      <c r="P8" s="2">
        <f t="shared" si="3"/>
        <v>0</v>
      </c>
    </row>
    <row r="9" spans="1:20">
      <c r="A9" s="9"/>
      <c r="B9" s="2"/>
      <c r="C9" s="2"/>
      <c r="D9" s="2"/>
      <c r="E9" s="2"/>
      <c r="F9" s="2"/>
      <c r="G9" s="2"/>
      <c r="H9" s="2"/>
      <c r="I9" s="2"/>
      <c r="J9" s="2"/>
      <c r="K9" s="2"/>
      <c r="L9" s="5"/>
      <c r="M9" s="5"/>
      <c r="N9" s="2"/>
    </row>
    <row r="10" spans="1:20">
      <c r="A10" s="10"/>
      <c r="B10" s="2"/>
      <c r="C10" s="2"/>
      <c r="D10" s="2"/>
      <c r="E10" s="2"/>
      <c r="F10" s="2"/>
      <c r="G10" s="2"/>
      <c r="H10" s="2"/>
      <c r="I10" s="2"/>
      <c r="J10" s="2"/>
      <c r="K10" s="2"/>
      <c r="L10" s="5"/>
      <c r="M10" s="5"/>
      <c r="N10" s="2"/>
    </row>
    <row r="11" spans="1:20">
      <c r="A11" s="11"/>
      <c r="B11" s="2"/>
      <c r="C11" s="2"/>
      <c r="D11" s="2"/>
      <c r="E11" s="2"/>
      <c r="F11" s="2"/>
      <c r="G11" s="2"/>
      <c r="H11" s="2"/>
      <c r="I11" s="2"/>
      <c r="J11" s="2"/>
      <c r="K11" s="2"/>
      <c r="L11" s="5"/>
      <c r="M11" s="5"/>
      <c r="N11" s="2"/>
    </row>
    <row r="13" spans="1:20">
      <c r="L13" s="16">
        <f>SUM(L6:L12)</f>
        <v>100000</v>
      </c>
      <c r="M13" s="16">
        <f t="shared" ref="M13:N13" si="4">SUM(M6:M12)</f>
        <v>7000</v>
      </c>
      <c r="N13" s="16">
        <f t="shared" si="4"/>
        <v>161000</v>
      </c>
    </row>
    <row r="15" spans="1:20">
      <c r="A15" s="375" t="s">
        <v>3133</v>
      </c>
      <c r="B15" s="42" t="s">
        <v>3136</v>
      </c>
      <c r="C15" s="42" t="s">
        <v>303</v>
      </c>
      <c r="D15" s="42" t="s">
        <v>16</v>
      </c>
      <c r="E15" s="42" t="s">
        <v>3137</v>
      </c>
      <c r="F15" s="42">
        <v>785</v>
      </c>
      <c r="G15" s="42"/>
      <c r="H15" s="42">
        <v>12500</v>
      </c>
      <c r="I15" s="42">
        <v>500</v>
      </c>
      <c r="J15" s="42"/>
      <c r="K15" s="43">
        <f t="shared" ref="K15:K30" si="5">I15*J15</f>
        <v>0</v>
      </c>
      <c r="L15" s="43">
        <f t="shared" ref="L15:L30" si="6">H15-K15</f>
        <v>12500</v>
      </c>
      <c r="M15" s="43"/>
      <c r="N15" s="43">
        <f t="shared" ref="N15:N30" si="7">L15-M15</f>
        <v>12500</v>
      </c>
      <c r="O15" s="43">
        <f t="shared" ref="O15:O30" si="8">H15/1000*70</f>
        <v>875</v>
      </c>
      <c r="P15" s="42">
        <v>22000</v>
      </c>
      <c r="Q15" s="42"/>
      <c r="R15" s="42">
        <f t="shared" ref="R15:R30" si="9">L15*Q15</f>
        <v>0</v>
      </c>
      <c r="S15" s="42">
        <v>1</v>
      </c>
    </row>
    <row r="16" spans="1:20">
      <c r="A16" s="375"/>
      <c r="B16" s="42" t="s">
        <v>3136</v>
      </c>
      <c r="C16" s="42" t="s">
        <v>303</v>
      </c>
      <c r="D16" s="42" t="s">
        <v>16</v>
      </c>
      <c r="E16" s="42" t="s">
        <v>3138</v>
      </c>
      <c r="F16" s="42">
        <v>786</v>
      </c>
      <c r="G16" s="42"/>
      <c r="H16" s="42">
        <v>12500</v>
      </c>
      <c r="I16" s="42">
        <v>500</v>
      </c>
      <c r="J16" s="42"/>
      <c r="K16" s="43">
        <f t="shared" si="5"/>
        <v>0</v>
      </c>
      <c r="L16" s="43">
        <f t="shared" si="6"/>
        <v>12500</v>
      </c>
      <c r="M16" s="43"/>
      <c r="N16" s="43">
        <f t="shared" si="7"/>
        <v>12500</v>
      </c>
      <c r="O16" s="43">
        <f t="shared" si="8"/>
        <v>875</v>
      </c>
      <c r="P16" s="42">
        <v>22000</v>
      </c>
      <c r="Q16" s="42"/>
      <c r="R16" s="42">
        <f t="shared" si="9"/>
        <v>0</v>
      </c>
      <c r="S16" s="42">
        <v>2</v>
      </c>
    </row>
    <row r="17" spans="1:19">
      <c r="A17" s="375"/>
      <c r="B17" s="42" t="s">
        <v>3136</v>
      </c>
      <c r="C17" s="42" t="s">
        <v>303</v>
      </c>
      <c r="D17" s="42" t="s">
        <v>16</v>
      </c>
      <c r="E17" s="42" t="s">
        <v>3139</v>
      </c>
      <c r="F17" s="42">
        <v>788</v>
      </c>
      <c r="G17" s="42"/>
      <c r="H17" s="42">
        <v>12500</v>
      </c>
      <c r="I17" s="42">
        <v>500</v>
      </c>
      <c r="J17" s="42"/>
      <c r="K17" s="43">
        <f t="shared" si="5"/>
        <v>0</v>
      </c>
      <c r="L17" s="43">
        <f t="shared" si="6"/>
        <v>12500</v>
      </c>
      <c r="M17" s="43"/>
      <c r="N17" s="43">
        <f t="shared" si="7"/>
        <v>12500</v>
      </c>
      <c r="O17" s="43">
        <f t="shared" si="8"/>
        <v>875</v>
      </c>
      <c r="P17" s="42">
        <v>22000</v>
      </c>
      <c r="Q17" s="42"/>
      <c r="R17" s="42">
        <f t="shared" si="9"/>
        <v>0</v>
      </c>
      <c r="S17" s="42">
        <v>3</v>
      </c>
    </row>
    <row r="18" spans="1:19">
      <c r="A18" s="375"/>
      <c r="B18" s="42" t="s">
        <v>3136</v>
      </c>
      <c r="C18" s="42" t="s">
        <v>303</v>
      </c>
      <c r="D18" s="42" t="s">
        <v>16</v>
      </c>
      <c r="E18" s="42" t="s">
        <v>3140</v>
      </c>
      <c r="F18" s="42">
        <v>791</v>
      </c>
      <c r="G18" s="42"/>
      <c r="H18" s="42">
        <v>10500</v>
      </c>
      <c r="I18" s="42">
        <v>420</v>
      </c>
      <c r="J18" s="42"/>
      <c r="K18" s="43">
        <f t="shared" si="5"/>
        <v>0</v>
      </c>
      <c r="L18" s="43">
        <f t="shared" si="6"/>
        <v>10500</v>
      </c>
      <c r="M18" s="43"/>
      <c r="N18" s="43">
        <f t="shared" si="7"/>
        <v>10500</v>
      </c>
      <c r="O18" s="43">
        <f t="shared" si="8"/>
        <v>735</v>
      </c>
      <c r="P18" s="42">
        <v>22000</v>
      </c>
      <c r="Q18" s="42"/>
      <c r="R18" s="42">
        <f t="shared" si="9"/>
        <v>0</v>
      </c>
      <c r="S18" s="42">
        <v>4</v>
      </c>
    </row>
    <row r="19" spans="1:19">
      <c r="A19" s="375"/>
      <c r="B19" s="42" t="s">
        <v>3136</v>
      </c>
      <c r="C19" s="42" t="s">
        <v>303</v>
      </c>
      <c r="D19" s="42" t="s">
        <v>16</v>
      </c>
      <c r="E19" s="42" t="s">
        <v>3141</v>
      </c>
      <c r="F19" s="42">
        <v>733</v>
      </c>
      <c r="G19" s="42"/>
      <c r="H19" s="42">
        <v>12500</v>
      </c>
      <c r="I19" s="42">
        <v>500</v>
      </c>
      <c r="J19" s="42"/>
      <c r="K19" s="43">
        <f t="shared" si="5"/>
        <v>0</v>
      </c>
      <c r="L19" s="43">
        <f t="shared" si="6"/>
        <v>12500</v>
      </c>
      <c r="M19" s="43"/>
      <c r="N19" s="43">
        <f t="shared" si="7"/>
        <v>12500</v>
      </c>
      <c r="O19" s="43">
        <f t="shared" si="8"/>
        <v>875</v>
      </c>
      <c r="P19" s="42">
        <v>22000</v>
      </c>
      <c r="Q19" s="42"/>
      <c r="R19" s="42">
        <f t="shared" si="9"/>
        <v>0</v>
      </c>
      <c r="S19" s="42">
        <v>5</v>
      </c>
    </row>
    <row r="20" spans="1:19">
      <c r="A20" s="375"/>
      <c r="B20" s="42" t="s">
        <v>3136</v>
      </c>
      <c r="C20" s="42" t="s">
        <v>303</v>
      </c>
      <c r="D20" s="42" t="s">
        <v>16</v>
      </c>
      <c r="E20" s="42" t="s">
        <v>1611</v>
      </c>
      <c r="F20" s="42">
        <v>780</v>
      </c>
      <c r="G20" s="42"/>
      <c r="H20" s="42">
        <v>12500</v>
      </c>
      <c r="I20" s="42">
        <v>500</v>
      </c>
      <c r="J20" s="42"/>
      <c r="K20" s="43">
        <f t="shared" si="5"/>
        <v>0</v>
      </c>
      <c r="L20" s="43">
        <f t="shared" si="6"/>
        <v>12500</v>
      </c>
      <c r="M20" s="43"/>
      <c r="N20" s="43">
        <f t="shared" si="7"/>
        <v>12500</v>
      </c>
      <c r="O20" s="43">
        <f t="shared" si="8"/>
        <v>875</v>
      </c>
      <c r="P20" s="42">
        <v>22000</v>
      </c>
      <c r="Q20" s="42"/>
      <c r="R20" s="42">
        <f t="shared" si="9"/>
        <v>0</v>
      </c>
      <c r="S20" s="42">
        <v>6</v>
      </c>
    </row>
    <row r="21" spans="1:19">
      <c r="A21" s="375"/>
      <c r="B21" s="42" t="s">
        <v>3136</v>
      </c>
      <c r="C21" s="42" t="s">
        <v>303</v>
      </c>
      <c r="D21" s="42" t="s">
        <v>16</v>
      </c>
      <c r="E21" s="42" t="s">
        <v>3142</v>
      </c>
      <c r="F21" s="42">
        <v>794</v>
      </c>
      <c r="G21" s="42"/>
      <c r="H21" s="42">
        <v>7500</v>
      </c>
      <c r="I21" s="42">
        <v>300</v>
      </c>
      <c r="J21" s="42"/>
      <c r="K21" s="43">
        <f t="shared" si="5"/>
        <v>0</v>
      </c>
      <c r="L21" s="43">
        <f t="shared" si="6"/>
        <v>7500</v>
      </c>
      <c r="M21" s="43"/>
      <c r="N21" s="43">
        <f t="shared" si="7"/>
        <v>7500</v>
      </c>
      <c r="O21" s="43">
        <f t="shared" si="8"/>
        <v>525</v>
      </c>
      <c r="P21" s="42">
        <v>17000</v>
      </c>
      <c r="Q21" s="42"/>
      <c r="R21" s="42">
        <f t="shared" si="9"/>
        <v>0</v>
      </c>
      <c r="S21" s="42">
        <v>7</v>
      </c>
    </row>
    <row r="22" spans="1:19">
      <c r="A22" s="375"/>
      <c r="B22" s="42" t="s">
        <v>3136</v>
      </c>
      <c r="C22" s="42" t="s">
        <v>303</v>
      </c>
      <c r="D22" s="42" t="s">
        <v>16</v>
      </c>
      <c r="E22" s="42" t="s">
        <v>3143</v>
      </c>
      <c r="F22" s="42">
        <v>779</v>
      </c>
      <c r="G22" s="42"/>
      <c r="H22" s="42">
        <v>12500</v>
      </c>
      <c r="I22" s="42">
        <v>500</v>
      </c>
      <c r="J22" s="42"/>
      <c r="K22" s="43">
        <f t="shared" si="5"/>
        <v>0</v>
      </c>
      <c r="L22" s="43">
        <f t="shared" si="6"/>
        <v>12500</v>
      </c>
      <c r="M22" s="43"/>
      <c r="N22" s="43">
        <f t="shared" si="7"/>
        <v>12500</v>
      </c>
      <c r="O22" s="43">
        <f t="shared" si="8"/>
        <v>875</v>
      </c>
      <c r="P22" s="42">
        <v>22000</v>
      </c>
      <c r="Q22" s="42"/>
      <c r="R22" s="42">
        <f t="shared" si="9"/>
        <v>0</v>
      </c>
      <c r="S22" s="42">
        <v>8</v>
      </c>
    </row>
    <row r="23" spans="1:19">
      <c r="A23" s="375"/>
      <c r="B23" s="42" t="s">
        <v>3136</v>
      </c>
      <c r="C23" s="42" t="s">
        <v>303</v>
      </c>
      <c r="D23" s="42" t="s">
        <v>16</v>
      </c>
      <c r="E23" s="42" t="s">
        <v>3144</v>
      </c>
      <c r="F23" s="42">
        <v>787</v>
      </c>
      <c r="G23" s="42"/>
      <c r="H23" s="42">
        <v>12500</v>
      </c>
      <c r="I23" s="42">
        <v>500</v>
      </c>
      <c r="J23" s="42"/>
      <c r="K23" s="43">
        <f t="shared" si="5"/>
        <v>0</v>
      </c>
      <c r="L23" s="43">
        <f t="shared" si="6"/>
        <v>12500</v>
      </c>
      <c r="M23" s="43"/>
      <c r="N23" s="43">
        <f t="shared" si="7"/>
        <v>12500</v>
      </c>
      <c r="O23" s="43">
        <f t="shared" si="8"/>
        <v>875</v>
      </c>
      <c r="P23" s="42">
        <v>22000</v>
      </c>
      <c r="Q23" s="42"/>
      <c r="R23" s="42">
        <f t="shared" si="9"/>
        <v>0</v>
      </c>
      <c r="S23" s="42">
        <v>9</v>
      </c>
    </row>
    <row r="24" spans="1:19">
      <c r="A24" s="375"/>
      <c r="B24" s="42" t="s">
        <v>3136</v>
      </c>
      <c r="C24" s="42" t="s">
        <v>303</v>
      </c>
      <c r="D24" s="42" t="s">
        <v>16</v>
      </c>
      <c r="E24" s="42" t="s">
        <v>3145</v>
      </c>
      <c r="F24" s="42">
        <v>783</v>
      </c>
      <c r="G24" s="42"/>
      <c r="H24" s="42">
        <v>12500</v>
      </c>
      <c r="I24" s="42">
        <v>500</v>
      </c>
      <c r="J24" s="42"/>
      <c r="K24" s="43">
        <f t="shared" si="5"/>
        <v>0</v>
      </c>
      <c r="L24" s="43">
        <f t="shared" si="6"/>
        <v>12500</v>
      </c>
      <c r="M24" s="43"/>
      <c r="N24" s="43">
        <f t="shared" si="7"/>
        <v>12500</v>
      </c>
      <c r="O24" s="43">
        <f t="shared" si="8"/>
        <v>875</v>
      </c>
      <c r="P24" s="42">
        <v>22000</v>
      </c>
      <c r="Q24" s="42"/>
      <c r="R24" s="42">
        <f t="shared" si="9"/>
        <v>0</v>
      </c>
      <c r="S24" s="42">
        <v>10</v>
      </c>
    </row>
    <row r="25" spans="1:19">
      <c r="A25" s="375"/>
      <c r="B25" s="42" t="s">
        <v>3136</v>
      </c>
      <c r="C25" s="42" t="s">
        <v>303</v>
      </c>
      <c r="D25" s="42" t="s">
        <v>16</v>
      </c>
      <c r="E25" s="42" t="s">
        <v>3146</v>
      </c>
      <c r="F25" s="42">
        <v>744</v>
      </c>
      <c r="G25" s="42"/>
      <c r="H25" s="42">
        <v>12500</v>
      </c>
      <c r="I25" s="42">
        <v>500</v>
      </c>
      <c r="J25" s="42"/>
      <c r="K25" s="43">
        <f t="shared" si="5"/>
        <v>0</v>
      </c>
      <c r="L25" s="43">
        <f t="shared" si="6"/>
        <v>12500</v>
      </c>
      <c r="M25" s="43"/>
      <c r="N25" s="43">
        <f t="shared" si="7"/>
        <v>12500</v>
      </c>
      <c r="O25" s="43">
        <f t="shared" si="8"/>
        <v>875</v>
      </c>
      <c r="P25" s="42">
        <v>22000</v>
      </c>
      <c r="Q25" s="42"/>
      <c r="R25" s="42">
        <f t="shared" si="9"/>
        <v>0</v>
      </c>
      <c r="S25" s="42">
        <v>11</v>
      </c>
    </row>
    <row r="26" spans="1:19">
      <c r="A26" s="375"/>
      <c r="B26" s="42" t="s">
        <v>3136</v>
      </c>
      <c r="C26" s="42" t="s">
        <v>303</v>
      </c>
      <c r="D26" s="42" t="s">
        <v>16</v>
      </c>
      <c r="E26" s="42" t="s">
        <v>3147</v>
      </c>
      <c r="F26" s="42">
        <v>796</v>
      </c>
      <c r="G26" s="42"/>
      <c r="H26" s="42">
        <f>425*25</f>
        <v>10625</v>
      </c>
      <c r="I26" s="42">
        <v>425</v>
      </c>
      <c r="J26" s="42"/>
      <c r="K26" s="43">
        <f t="shared" si="5"/>
        <v>0</v>
      </c>
      <c r="L26" s="43">
        <f t="shared" si="6"/>
        <v>10625</v>
      </c>
      <c r="M26" s="43"/>
      <c r="N26" s="43">
        <f t="shared" si="7"/>
        <v>10625</v>
      </c>
      <c r="O26" s="43">
        <f t="shared" si="8"/>
        <v>743.75</v>
      </c>
      <c r="P26" s="42">
        <v>22000</v>
      </c>
      <c r="Q26" s="42"/>
      <c r="R26" s="42">
        <f t="shared" si="9"/>
        <v>0</v>
      </c>
      <c r="S26" s="42">
        <v>12</v>
      </c>
    </row>
    <row r="27" spans="1:19">
      <c r="A27" s="375"/>
      <c r="B27" s="42" t="s">
        <v>3136</v>
      </c>
      <c r="C27" s="42" t="s">
        <v>303</v>
      </c>
      <c r="D27" s="42" t="s">
        <v>16</v>
      </c>
      <c r="E27" s="42" t="s">
        <v>3148</v>
      </c>
      <c r="F27" s="42">
        <v>793</v>
      </c>
      <c r="G27" s="42"/>
      <c r="H27" s="42">
        <v>12500</v>
      </c>
      <c r="I27" s="42">
        <v>500</v>
      </c>
      <c r="J27" s="42"/>
      <c r="K27" s="43">
        <f t="shared" si="5"/>
        <v>0</v>
      </c>
      <c r="L27" s="43">
        <f t="shared" si="6"/>
        <v>12500</v>
      </c>
      <c r="M27" s="43"/>
      <c r="N27" s="43">
        <f t="shared" si="7"/>
        <v>12500</v>
      </c>
      <c r="O27" s="43">
        <f t="shared" si="8"/>
        <v>875</v>
      </c>
      <c r="P27" s="42">
        <v>22000</v>
      </c>
      <c r="Q27" s="42"/>
      <c r="R27" s="42">
        <f t="shared" si="9"/>
        <v>0</v>
      </c>
      <c r="S27" s="42">
        <v>13</v>
      </c>
    </row>
    <row r="28" spans="1:19">
      <c r="A28" s="386" t="s">
        <v>3149</v>
      </c>
      <c r="B28" s="42" t="s">
        <v>3136</v>
      </c>
      <c r="C28" s="42" t="s">
        <v>303</v>
      </c>
      <c r="D28" s="42" t="s">
        <v>16</v>
      </c>
      <c r="E28" s="42" t="s">
        <v>3151</v>
      </c>
      <c r="F28" s="42">
        <v>782</v>
      </c>
      <c r="G28" s="42"/>
      <c r="H28" s="42">
        <v>12500</v>
      </c>
      <c r="I28" s="42">
        <v>500</v>
      </c>
      <c r="J28" s="42"/>
      <c r="K28" s="43">
        <f t="shared" si="5"/>
        <v>0</v>
      </c>
      <c r="L28" s="43">
        <f t="shared" si="6"/>
        <v>12500</v>
      </c>
      <c r="M28" s="43"/>
      <c r="N28" s="43">
        <f t="shared" si="7"/>
        <v>12500</v>
      </c>
      <c r="O28" s="43">
        <f t="shared" si="8"/>
        <v>875</v>
      </c>
      <c r="P28" s="42">
        <v>22000</v>
      </c>
      <c r="Q28" s="42"/>
      <c r="R28" s="42">
        <f t="shared" si="9"/>
        <v>0</v>
      </c>
      <c r="S28" s="42">
        <v>14</v>
      </c>
    </row>
    <row r="29" spans="1:19">
      <c r="A29" s="374"/>
      <c r="B29" s="42" t="s">
        <v>3136</v>
      </c>
      <c r="C29" s="42" t="s">
        <v>303</v>
      </c>
      <c r="D29" s="42" t="s">
        <v>16</v>
      </c>
      <c r="E29" s="42" t="s">
        <v>3152</v>
      </c>
      <c r="F29" s="42">
        <v>790</v>
      </c>
      <c r="G29" s="42"/>
      <c r="H29" s="42">
        <v>12500</v>
      </c>
      <c r="I29" s="42">
        <v>500</v>
      </c>
      <c r="J29" s="42"/>
      <c r="K29" s="43">
        <f t="shared" si="5"/>
        <v>0</v>
      </c>
      <c r="L29" s="43">
        <f t="shared" si="6"/>
        <v>12500</v>
      </c>
      <c r="M29" s="43"/>
      <c r="N29" s="43">
        <f t="shared" si="7"/>
        <v>12500</v>
      </c>
      <c r="O29" s="43">
        <f t="shared" si="8"/>
        <v>875</v>
      </c>
      <c r="P29" s="42">
        <v>22000</v>
      </c>
      <c r="Q29" s="42"/>
      <c r="R29" s="42">
        <f t="shared" si="9"/>
        <v>0</v>
      </c>
      <c r="S29" s="42">
        <v>15</v>
      </c>
    </row>
    <row r="30" spans="1:19">
      <c r="A30" s="374"/>
      <c r="B30" s="42" t="s">
        <v>3136</v>
      </c>
      <c r="C30" s="42" t="s">
        <v>303</v>
      </c>
      <c r="D30" s="42" t="s">
        <v>16</v>
      </c>
      <c r="E30" s="42" t="s">
        <v>3153</v>
      </c>
      <c r="F30" s="42">
        <v>781</v>
      </c>
      <c r="G30" s="42"/>
      <c r="H30" s="42">
        <v>12500</v>
      </c>
      <c r="I30" s="42">
        <v>500</v>
      </c>
      <c r="J30" s="42"/>
      <c r="K30" s="43">
        <f t="shared" si="5"/>
        <v>0</v>
      </c>
      <c r="L30" s="43">
        <f t="shared" si="6"/>
        <v>12500</v>
      </c>
      <c r="M30" s="43"/>
      <c r="N30" s="43">
        <f t="shared" si="7"/>
        <v>12500</v>
      </c>
      <c r="O30" s="43">
        <f t="shared" si="8"/>
        <v>875</v>
      </c>
      <c r="P30" s="42">
        <v>22000</v>
      </c>
      <c r="Q30" s="42"/>
      <c r="R30" s="42">
        <f t="shared" si="9"/>
        <v>0</v>
      </c>
      <c r="S30" s="42">
        <v>16</v>
      </c>
    </row>
    <row r="33" spans="1:21">
      <c r="P33" s="1">
        <f>SUM(P15:P32)</f>
        <v>347000</v>
      </c>
    </row>
    <row r="34" spans="1:21">
      <c r="H34" s="1">
        <f>SUM(H15:H33)</f>
        <v>191125</v>
      </c>
      <c r="I34" s="1">
        <f>SUM(I15:I33)</f>
        <v>7645</v>
      </c>
      <c r="K34" s="1">
        <f>195000/25</f>
        <v>7800</v>
      </c>
      <c r="O34" s="16">
        <f>SUM(O15:O33)</f>
        <v>13378.75</v>
      </c>
    </row>
    <row r="39" spans="1:21" ht="23.4">
      <c r="A39" s="3" t="s">
        <v>3</v>
      </c>
      <c r="B39" s="3" t="s">
        <v>4</v>
      </c>
      <c r="C39" s="3" t="s">
        <v>5</v>
      </c>
      <c r="D39" s="3" t="s">
        <v>6</v>
      </c>
      <c r="E39" s="3" t="s">
        <v>37</v>
      </c>
      <c r="F39" s="3" t="s">
        <v>7</v>
      </c>
      <c r="G39" s="3" t="s">
        <v>8</v>
      </c>
      <c r="H39" s="3" t="s">
        <v>9</v>
      </c>
      <c r="I39" s="4" t="s">
        <v>10</v>
      </c>
      <c r="J39" s="4" t="s">
        <v>18</v>
      </c>
      <c r="K39" s="4" t="s">
        <v>17</v>
      </c>
      <c r="L39" s="3" t="s">
        <v>676</v>
      </c>
      <c r="M39" s="95" t="s">
        <v>677</v>
      </c>
      <c r="N39" s="3" t="s">
        <v>11</v>
      </c>
      <c r="O39" s="3" t="s">
        <v>36</v>
      </c>
      <c r="P39" s="3" t="s">
        <v>12</v>
      </c>
      <c r="Q39" s="3" t="s">
        <v>256</v>
      </c>
      <c r="R39" s="3" t="s">
        <v>257</v>
      </c>
      <c r="S39" s="3" t="s">
        <v>2</v>
      </c>
    </row>
    <row r="40" spans="1:21">
      <c r="A40" s="374" t="s">
        <v>3834</v>
      </c>
      <c r="B40" s="42" t="s">
        <v>2872</v>
      </c>
      <c r="C40" s="42" t="s">
        <v>303</v>
      </c>
      <c r="D40" s="42" t="s">
        <v>16</v>
      </c>
      <c r="E40" s="47" t="s">
        <v>3843</v>
      </c>
      <c r="F40" s="47">
        <v>26758</v>
      </c>
      <c r="G40" s="47"/>
      <c r="H40" s="47">
        <v>12500</v>
      </c>
      <c r="I40" s="47">
        <v>500</v>
      </c>
      <c r="J40" s="47"/>
      <c r="K40" s="43">
        <f t="shared" ref="K40:K47" si="10">I40*J40</f>
        <v>0</v>
      </c>
      <c r="L40" s="43">
        <f t="shared" ref="L40:L47" si="11">H40-K40</f>
        <v>12500</v>
      </c>
      <c r="M40" s="43"/>
      <c r="N40" s="43">
        <f t="shared" ref="N40:N47" si="12">L40-M40</f>
        <v>12500</v>
      </c>
      <c r="O40" s="43">
        <f t="shared" ref="O40:O47" si="13">H40/1000*70</f>
        <v>875</v>
      </c>
      <c r="P40" s="42">
        <v>20500</v>
      </c>
      <c r="Q40" s="42"/>
      <c r="R40" s="42">
        <f t="shared" ref="R40:R47" si="14">L40*Q40</f>
        <v>0</v>
      </c>
      <c r="S40" s="1">
        <v>1</v>
      </c>
      <c r="T40" s="1">
        <v>12620</v>
      </c>
      <c r="U40" s="1">
        <f>T40-H40</f>
        <v>120</v>
      </c>
    </row>
    <row r="41" spans="1:21">
      <c r="A41" s="374"/>
      <c r="B41" s="42" t="s">
        <v>2872</v>
      </c>
      <c r="C41" s="42" t="s">
        <v>303</v>
      </c>
      <c r="D41" s="42" t="s">
        <v>16</v>
      </c>
      <c r="E41" s="47" t="s">
        <v>3683</v>
      </c>
      <c r="F41" s="47">
        <v>26770</v>
      </c>
      <c r="G41" s="47"/>
      <c r="H41" s="47">
        <v>12500</v>
      </c>
      <c r="I41" s="47">
        <v>500</v>
      </c>
      <c r="J41" s="47"/>
      <c r="K41" s="43">
        <f t="shared" si="10"/>
        <v>0</v>
      </c>
      <c r="L41" s="43">
        <f t="shared" si="11"/>
        <v>12500</v>
      </c>
      <c r="M41" s="43"/>
      <c r="N41" s="43">
        <f t="shared" si="12"/>
        <v>12500</v>
      </c>
      <c r="O41" s="43">
        <f t="shared" si="13"/>
        <v>875</v>
      </c>
      <c r="P41" s="42">
        <v>20500</v>
      </c>
      <c r="Q41" s="42"/>
      <c r="R41" s="42">
        <f t="shared" si="14"/>
        <v>0</v>
      </c>
      <c r="S41" s="1">
        <v>2</v>
      </c>
      <c r="T41" s="1">
        <v>12570</v>
      </c>
      <c r="U41" s="1">
        <f t="shared" ref="U41:U61" si="15">T41-H41</f>
        <v>70</v>
      </c>
    </row>
    <row r="42" spans="1:21">
      <c r="A42" s="374"/>
      <c r="B42" s="42" t="s">
        <v>2872</v>
      </c>
      <c r="C42" s="42" t="s">
        <v>303</v>
      </c>
      <c r="D42" s="42" t="s">
        <v>16</v>
      </c>
      <c r="E42" s="47" t="s">
        <v>3844</v>
      </c>
      <c r="F42" s="47">
        <v>26771</v>
      </c>
      <c r="G42" s="47"/>
      <c r="H42" s="47">
        <v>12500</v>
      </c>
      <c r="I42" s="47">
        <v>500</v>
      </c>
      <c r="J42" s="47"/>
      <c r="K42" s="43">
        <f t="shared" si="10"/>
        <v>0</v>
      </c>
      <c r="L42" s="43">
        <f t="shared" si="11"/>
        <v>12500</v>
      </c>
      <c r="M42" s="43"/>
      <c r="N42" s="43">
        <f t="shared" si="12"/>
        <v>12500</v>
      </c>
      <c r="O42" s="43">
        <f t="shared" si="13"/>
        <v>875</v>
      </c>
      <c r="P42" s="42">
        <v>20500</v>
      </c>
      <c r="Q42" s="42"/>
      <c r="R42" s="42">
        <f t="shared" si="14"/>
        <v>0</v>
      </c>
      <c r="S42" s="1">
        <v>3</v>
      </c>
      <c r="T42" s="1">
        <v>12590</v>
      </c>
      <c r="U42" s="1">
        <f t="shared" si="15"/>
        <v>90</v>
      </c>
    </row>
    <row r="43" spans="1:21">
      <c r="A43" s="374"/>
      <c r="B43" s="42" t="s">
        <v>2872</v>
      </c>
      <c r="C43" s="42" t="s">
        <v>303</v>
      </c>
      <c r="D43" s="42" t="s">
        <v>16</v>
      </c>
      <c r="E43" s="47" t="s">
        <v>3845</v>
      </c>
      <c r="F43" s="47">
        <v>26776</v>
      </c>
      <c r="G43" s="47"/>
      <c r="H43" s="47">
        <v>12425</v>
      </c>
      <c r="I43" s="47">
        <v>497</v>
      </c>
      <c r="J43" s="47"/>
      <c r="K43" s="43">
        <f t="shared" si="10"/>
        <v>0</v>
      </c>
      <c r="L43" s="43">
        <f t="shared" si="11"/>
        <v>12425</v>
      </c>
      <c r="M43" s="43"/>
      <c r="N43" s="43">
        <f t="shared" si="12"/>
        <v>12425</v>
      </c>
      <c r="O43" s="43">
        <f t="shared" si="13"/>
        <v>869.75</v>
      </c>
      <c r="P43" s="42">
        <v>20500</v>
      </c>
      <c r="Q43" s="42"/>
      <c r="R43" s="42">
        <f t="shared" si="14"/>
        <v>0</v>
      </c>
      <c r="S43" s="1">
        <v>4</v>
      </c>
      <c r="T43" s="1">
        <v>12510</v>
      </c>
      <c r="U43" s="1">
        <f t="shared" si="15"/>
        <v>85</v>
      </c>
    </row>
    <row r="44" spans="1:21">
      <c r="A44" s="374"/>
      <c r="B44" s="42" t="s">
        <v>2872</v>
      </c>
      <c r="C44" s="42" t="s">
        <v>303</v>
      </c>
      <c r="D44" s="42" t="s">
        <v>16</v>
      </c>
      <c r="E44" s="47" t="s">
        <v>3846</v>
      </c>
      <c r="F44" s="47">
        <v>26755</v>
      </c>
      <c r="G44" s="47"/>
      <c r="H44" s="47">
        <v>12525</v>
      </c>
      <c r="I44" s="47">
        <v>501</v>
      </c>
      <c r="J44" s="47"/>
      <c r="K44" s="43">
        <f t="shared" si="10"/>
        <v>0</v>
      </c>
      <c r="L44" s="43">
        <f t="shared" si="11"/>
        <v>12525</v>
      </c>
      <c r="M44" s="43"/>
      <c r="N44" s="43">
        <f t="shared" si="12"/>
        <v>12525</v>
      </c>
      <c r="O44" s="43">
        <f t="shared" si="13"/>
        <v>876.75</v>
      </c>
      <c r="P44" s="42">
        <v>20500</v>
      </c>
      <c r="Q44" s="42"/>
      <c r="R44" s="42">
        <f t="shared" si="14"/>
        <v>0</v>
      </c>
      <c r="S44" s="1">
        <v>5</v>
      </c>
      <c r="T44" s="1">
        <v>12710</v>
      </c>
      <c r="U44" s="304">
        <f t="shared" si="15"/>
        <v>185</v>
      </c>
    </row>
    <row r="45" spans="1:21">
      <c r="A45" s="374"/>
      <c r="B45" s="42" t="s">
        <v>2872</v>
      </c>
      <c r="C45" s="42" t="s">
        <v>303</v>
      </c>
      <c r="D45" s="42" t="s">
        <v>16</v>
      </c>
      <c r="E45" s="47" t="s">
        <v>3847</v>
      </c>
      <c r="F45" s="47">
        <v>26765</v>
      </c>
      <c r="G45" s="47"/>
      <c r="H45" s="47">
        <v>12500</v>
      </c>
      <c r="I45" s="47">
        <v>500</v>
      </c>
      <c r="J45" s="47"/>
      <c r="K45" s="43">
        <f t="shared" si="10"/>
        <v>0</v>
      </c>
      <c r="L45" s="43">
        <f t="shared" si="11"/>
        <v>12500</v>
      </c>
      <c r="M45" s="43"/>
      <c r="N45" s="43">
        <f t="shared" si="12"/>
        <v>12500</v>
      </c>
      <c r="O45" s="43">
        <f t="shared" si="13"/>
        <v>875</v>
      </c>
      <c r="P45" s="42">
        <v>20500</v>
      </c>
      <c r="Q45" s="42"/>
      <c r="R45" s="42">
        <f t="shared" si="14"/>
        <v>0</v>
      </c>
      <c r="S45" s="1">
        <v>6</v>
      </c>
      <c r="T45" s="1">
        <v>12630</v>
      </c>
      <c r="U45" s="1">
        <f t="shared" si="15"/>
        <v>130</v>
      </c>
    </row>
    <row r="46" spans="1:21">
      <c r="A46" s="374"/>
      <c r="B46" s="42" t="s">
        <v>2872</v>
      </c>
      <c r="C46" s="42" t="s">
        <v>303</v>
      </c>
      <c r="D46" s="42" t="s">
        <v>16</v>
      </c>
      <c r="E46" s="47" t="s">
        <v>3483</v>
      </c>
      <c r="F46" s="47">
        <v>26763</v>
      </c>
      <c r="G46" s="47"/>
      <c r="H46" s="47">
        <v>12500</v>
      </c>
      <c r="I46" s="47">
        <v>500</v>
      </c>
      <c r="J46" s="47"/>
      <c r="K46" s="43">
        <f t="shared" si="10"/>
        <v>0</v>
      </c>
      <c r="L46" s="43">
        <f t="shared" si="11"/>
        <v>12500</v>
      </c>
      <c r="M46" s="43"/>
      <c r="N46" s="43">
        <f t="shared" si="12"/>
        <v>12500</v>
      </c>
      <c r="O46" s="43">
        <f t="shared" si="13"/>
        <v>875</v>
      </c>
      <c r="P46" s="42">
        <v>20500</v>
      </c>
      <c r="Q46" s="42"/>
      <c r="R46" s="42">
        <f t="shared" si="14"/>
        <v>0</v>
      </c>
      <c r="S46" s="1">
        <v>7</v>
      </c>
      <c r="T46" s="1">
        <v>12600</v>
      </c>
      <c r="U46" s="1">
        <f t="shared" si="15"/>
        <v>100</v>
      </c>
    </row>
    <row r="47" spans="1:21">
      <c r="A47" s="374"/>
      <c r="B47" s="42" t="s">
        <v>2872</v>
      </c>
      <c r="C47" s="42" t="s">
        <v>303</v>
      </c>
      <c r="D47" s="42" t="s">
        <v>16</v>
      </c>
      <c r="E47" s="47" t="s">
        <v>3848</v>
      </c>
      <c r="F47" s="47">
        <v>26768</v>
      </c>
      <c r="G47" s="47"/>
      <c r="H47" s="47">
        <v>12000</v>
      </c>
      <c r="I47" s="47">
        <v>480</v>
      </c>
      <c r="J47" s="47"/>
      <c r="K47" s="43">
        <f t="shared" si="10"/>
        <v>0</v>
      </c>
      <c r="L47" s="43">
        <f t="shared" si="11"/>
        <v>12000</v>
      </c>
      <c r="M47" s="43"/>
      <c r="N47" s="43">
        <f t="shared" si="12"/>
        <v>12000</v>
      </c>
      <c r="O47" s="43">
        <f t="shared" si="13"/>
        <v>840</v>
      </c>
      <c r="P47" s="42">
        <v>20500</v>
      </c>
      <c r="Q47" s="42"/>
      <c r="R47" s="42">
        <f t="shared" si="14"/>
        <v>0</v>
      </c>
      <c r="S47" s="1">
        <v>8</v>
      </c>
      <c r="T47" s="1">
        <v>12120</v>
      </c>
      <c r="U47" s="1">
        <f t="shared" si="15"/>
        <v>120</v>
      </c>
    </row>
    <row r="48" spans="1:21">
      <c r="A48" s="374" t="s">
        <v>3849</v>
      </c>
      <c r="B48" s="42" t="s">
        <v>2872</v>
      </c>
      <c r="C48" s="42" t="s">
        <v>303</v>
      </c>
      <c r="D48" s="42" t="s">
        <v>16</v>
      </c>
      <c r="E48" s="47" t="s">
        <v>3681</v>
      </c>
      <c r="F48" s="47">
        <v>26772</v>
      </c>
      <c r="G48" s="47"/>
      <c r="H48" s="47">
        <v>18975</v>
      </c>
      <c r="I48" s="47">
        <v>759</v>
      </c>
      <c r="J48" s="47"/>
      <c r="K48" s="43">
        <f t="shared" ref="K48:K61" si="16">I48*J48</f>
        <v>0</v>
      </c>
      <c r="L48" s="43">
        <f t="shared" ref="L48:L61" si="17">H48-K48</f>
        <v>18975</v>
      </c>
      <c r="M48" s="43"/>
      <c r="N48" s="43">
        <f t="shared" ref="N48:N61" si="18">L48-M48</f>
        <v>18975</v>
      </c>
      <c r="O48" s="43">
        <f t="shared" ref="O48:O61" si="19">H48/1000*70</f>
        <v>1328.25</v>
      </c>
      <c r="P48" s="42">
        <v>29000</v>
      </c>
      <c r="Q48" s="42"/>
      <c r="R48" s="42">
        <f t="shared" ref="R48:R61" si="20">L48*Q48</f>
        <v>0</v>
      </c>
      <c r="S48" s="1">
        <v>9</v>
      </c>
      <c r="T48" s="1">
        <v>19170</v>
      </c>
      <c r="U48" s="304">
        <f t="shared" si="15"/>
        <v>195</v>
      </c>
    </row>
    <row r="49" spans="1:21">
      <c r="A49" s="374"/>
      <c r="B49" s="42" t="s">
        <v>2872</v>
      </c>
      <c r="C49" s="42" t="s">
        <v>303</v>
      </c>
      <c r="D49" s="42" t="s">
        <v>16</v>
      </c>
      <c r="E49" s="47" t="s">
        <v>3858</v>
      </c>
      <c r="F49" s="47">
        <v>26759</v>
      </c>
      <c r="G49" s="47"/>
      <c r="H49" s="47">
        <v>12200</v>
      </c>
      <c r="I49" s="47">
        <v>488</v>
      </c>
      <c r="J49" s="47"/>
      <c r="K49" s="43">
        <f t="shared" si="16"/>
        <v>0</v>
      </c>
      <c r="L49" s="43">
        <f t="shared" si="17"/>
        <v>12200</v>
      </c>
      <c r="M49" s="43"/>
      <c r="N49" s="43">
        <f t="shared" si="18"/>
        <v>12200</v>
      </c>
      <c r="O49" s="43">
        <f t="shared" si="19"/>
        <v>854</v>
      </c>
      <c r="P49" s="42">
        <v>20500</v>
      </c>
      <c r="Q49" s="42"/>
      <c r="R49" s="42">
        <f t="shared" si="20"/>
        <v>0</v>
      </c>
      <c r="S49" s="1">
        <v>10</v>
      </c>
      <c r="T49" s="1">
        <v>12310</v>
      </c>
      <c r="U49" s="1">
        <f t="shared" si="15"/>
        <v>110</v>
      </c>
    </row>
    <row r="50" spans="1:21">
      <c r="A50" s="374"/>
      <c r="B50" s="42" t="s">
        <v>2872</v>
      </c>
      <c r="C50" s="42" t="s">
        <v>303</v>
      </c>
      <c r="D50" s="42" t="s">
        <v>16</v>
      </c>
      <c r="E50" s="47" t="s">
        <v>3859</v>
      </c>
      <c r="F50" s="47">
        <v>26762</v>
      </c>
      <c r="G50" s="47"/>
      <c r="H50" s="47">
        <v>12500</v>
      </c>
      <c r="I50" s="47">
        <v>500</v>
      </c>
      <c r="J50" s="47"/>
      <c r="K50" s="43">
        <f t="shared" si="16"/>
        <v>0</v>
      </c>
      <c r="L50" s="43">
        <f t="shared" si="17"/>
        <v>12500</v>
      </c>
      <c r="M50" s="43"/>
      <c r="N50" s="43">
        <f t="shared" si="18"/>
        <v>12500</v>
      </c>
      <c r="O50" s="43">
        <f t="shared" si="19"/>
        <v>875</v>
      </c>
      <c r="P50" s="42">
        <v>20500</v>
      </c>
      <c r="Q50" s="42"/>
      <c r="R50" s="42">
        <f t="shared" si="20"/>
        <v>0</v>
      </c>
      <c r="S50" s="1">
        <v>11</v>
      </c>
      <c r="T50" s="1">
        <v>12600</v>
      </c>
      <c r="U50" s="1">
        <f t="shared" si="15"/>
        <v>100</v>
      </c>
    </row>
    <row r="51" spans="1:21">
      <c r="A51" s="374"/>
      <c r="B51" s="42" t="s">
        <v>2872</v>
      </c>
      <c r="C51" s="42" t="s">
        <v>303</v>
      </c>
      <c r="D51" s="42" t="s">
        <v>16</v>
      </c>
      <c r="E51" s="47" t="s">
        <v>1355</v>
      </c>
      <c r="F51" s="47">
        <v>26775</v>
      </c>
      <c r="G51" s="47"/>
      <c r="H51" s="47">
        <v>19000</v>
      </c>
      <c r="I51" s="47">
        <v>760</v>
      </c>
      <c r="J51" s="47"/>
      <c r="K51" s="43">
        <f t="shared" si="16"/>
        <v>0</v>
      </c>
      <c r="L51" s="43">
        <f t="shared" si="17"/>
        <v>19000</v>
      </c>
      <c r="M51" s="43"/>
      <c r="N51" s="43">
        <f t="shared" si="18"/>
        <v>19000</v>
      </c>
      <c r="O51" s="43">
        <f t="shared" si="19"/>
        <v>1330</v>
      </c>
      <c r="P51" s="42">
        <v>29000</v>
      </c>
      <c r="Q51" s="42"/>
      <c r="R51" s="42">
        <f t="shared" si="20"/>
        <v>0</v>
      </c>
      <c r="S51" s="1">
        <v>12</v>
      </c>
      <c r="T51" s="1">
        <v>19170</v>
      </c>
      <c r="U51" s="304">
        <f t="shared" si="15"/>
        <v>170</v>
      </c>
    </row>
    <row r="52" spans="1:21">
      <c r="A52" s="374"/>
      <c r="B52" s="42" t="s">
        <v>2872</v>
      </c>
      <c r="C52" s="42" t="s">
        <v>303</v>
      </c>
      <c r="D52" s="42" t="s">
        <v>16</v>
      </c>
      <c r="E52" s="47" t="s">
        <v>2701</v>
      </c>
      <c r="F52" s="47">
        <v>26756</v>
      </c>
      <c r="G52" s="47"/>
      <c r="H52" s="47">
        <v>12450</v>
      </c>
      <c r="I52" s="47">
        <v>498</v>
      </c>
      <c r="J52" s="47"/>
      <c r="K52" s="43">
        <f t="shared" si="16"/>
        <v>0</v>
      </c>
      <c r="L52" s="43">
        <f t="shared" si="17"/>
        <v>12450</v>
      </c>
      <c r="M52" s="43"/>
      <c r="N52" s="43">
        <f t="shared" si="18"/>
        <v>12450</v>
      </c>
      <c r="O52" s="43">
        <f t="shared" si="19"/>
        <v>871.5</v>
      </c>
      <c r="P52" s="42">
        <v>20500</v>
      </c>
      <c r="Q52" s="42"/>
      <c r="R52" s="42">
        <f t="shared" si="20"/>
        <v>0</v>
      </c>
      <c r="S52" s="1">
        <v>13</v>
      </c>
      <c r="T52" s="1">
        <v>12550</v>
      </c>
      <c r="U52" s="1">
        <f t="shared" si="15"/>
        <v>100</v>
      </c>
    </row>
    <row r="53" spans="1:21">
      <c r="A53" s="374"/>
      <c r="B53" s="42" t="s">
        <v>2872</v>
      </c>
      <c r="C53" s="42" t="s">
        <v>303</v>
      </c>
      <c r="D53" s="42" t="s">
        <v>16</v>
      </c>
      <c r="E53" s="47" t="s">
        <v>3860</v>
      </c>
      <c r="F53" s="47">
        <v>26773</v>
      </c>
      <c r="G53" s="47"/>
      <c r="H53" s="47">
        <v>19000</v>
      </c>
      <c r="I53" s="47">
        <v>760</v>
      </c>
      <c r="J53" s="47"/>
      <c r="K53" s="43">
        <f t="shared" si="16"/>
        <v>0</v>
      </c>
      <c r="L53" s="43">
        <f t="shared" si="17"/>
        <v>19000</v>
      </c>
      <c r="M53" s="43"/>
      <c r="N53" s="43">
        <f t="shared" si="18"/>
        <v>19000</v>
      </c>
      <c r="O53" s="43">
        <f t="shared" si="19"/>
        <v>1330</v>
      </c>
      <c r="P53" s="42">
        <v>29000</v>
      </c>
      <c r="Q53" s="42"/>
      <c r="R53" s="42">
        <f t="shared" si="20"/>
        <v>0</v>
      </c>
      <c r="S53" s="1">
        <v>14</v>
      </c>
      <c r="T53" s="1">
        <v>19160</v>
      </c>
      <c r="U53" s="304">
        <f t="shared" si="15"/>
        <v>160</v>
      </c>
    </row>
    <row r="54" spans="1:21">
      <c r="A54" s="374"/>
      <c r="B54" s="42" t="s">
        <v>2872</v>
      </c>
      <c r="C54" s="42" t="s">
        <v>303</v>
      </c>
      <c r="D54" s="42" t="s">
        <v>16</v>
      </c>
      <c r="E54" s="47" t="s">
        <v>3861</v>
      </c>
      <c r="F54" s="47">
        <v>26764</v>
      </c>
      <c r="G54" s="47"/>
      <c r="H54" s="47">
        <v>12575</v>
      </c>
      <c r="I54" s="47">
        <v>503</v>
      </c>
      <c r="J54" s="47"/>
      <c r="K54" s="43">
        <f t="shared" si="16"/>
        <v>0</v>
      </c>
      <c r="L54" s="43">
        <f t="shared" si="17"/>
        <v>12575</v>
      </c>
      <c r="M54" s="43"/>
      <c r="N54" s="43">
        <f t="shared" si="18"/>
        <v>12575</v>
      </c>
      <c r="O54" s="43">
        <f t="shared" si="19"/>
        <v>880.25</v>
      </c>
      <c r="P54" s="42">
        <v>20500</v>
      </c>
      <c r="Q54" s="42"/>
      <c r="R54" s="42">
        <f t="shared" si="20"/>
        <v>0</v>
      </c>
      <c r="S54" s="1">
        <v>15</v>
      </c>
      <c r="T54" s="1">
        <v>12690</v>
      </c>
      <c r="U54" s="1">
        <f t="shared" si="15"/>
        <v>115</v>
      </c>
    </row>
    <row r="55" spans="1:21">
      <c r="A55" s="374"/>
      <c r="B55" s="42" t="s">
        <v>2872</v>
      </c>
      <c r="C55" s="42" t="s">
        <v>303</v>
      </c>
      <c r="D55" s="42" t="s">
        <v>16</v>
      </c>
      <c r="E55" s="47" t="s">
        <v>3862</v>
      </c>
      <c r="F55" s="47">
        <v>26774</v>
      </c>
      <c r="G55" s="47"/>
      <c r="H55" s="47">
        <v>19000</v>
      </c>
      <c r="I55" s="47">
        <v>760</v>
      </c>
      <c r="J55" s="47"/>
      <c r="K55" s="43">
        <f t="shared" si="16"/>
        <v>0</v>
      </c>
      <c r="L55" s="43">
        <f t="shared" si="17"/>
        <v>19000</v>
      </c>
      <c r="M55" s="43"/>
      <c r="N55" s="43">
        <f t="shared" si="18"/>
        <v>19000</v>
      </c>
      <c r="O55" s="43">
        <f t="shared" si="19"/>
        <v>1330</v>
      </c>
      <c r="P55" s="42">
        <v>29000</v>
      </c>
      <c r="Q55" s="42"/>
      <c r="R55" s="42">
        <f t="shared" si="20"/>
        <v>0</v>
      </c>
      <c r="S55" s="1">
        <v>16</v>
      </c>
      <c r="T55" s="1">
        <v>19230</v>
      </c>
      <c r="U55" s="304">
        <f t="shared" si="15"/>
        <v>230</v>
      </c>
    </row>
    <row r="56" spans="1:21">
      <c r="A56" s="374"/>
      <c r="B56" s="42" t="s">
        <v>2872</v>
      </c>
      <c r="C56" s="42" t="s">
        <v>303</v>
      </c>
      <c r="D56" s="42" t="s">
        <v>16</v>
      </c>
      <c r="E56" s="47" t="s">
        <v>3863</v>
      </c>
      <c r="F56" s="47">
        <v>26761</v>
      </c>
      <c r="G56" s="47"/>
      <c r="H56" s="47">
        <v>12175</v>
      </c>
      <c r="I56" s="47">
        <v>487</v>
      </c>
      <c r="J56" s="47"/>
      <c r="K56" s="43">
        <f t="shared" si="16"/>
        <v>0</v>
      </c>
      <c r="L56" s="43">
        <f t="shared" si="17"/>
        <v>12175</v>
      </c>
      <c r="M56" s="43"/>
      <c r="N56" s="43">
        <f t="shared" si="18"/>
        <v>12175</v>
      </c>
      <c r="O56" s="43">
        <f t="shared" si="19"/>
        <v>852.25</v>
      </c>
      <c r="P56" s="42">
        <v>20500</v>
      </c>
      <c r="Q56" s="42"/>
      <c r="R56" s="42">
        <f t="shared" si="20"/>
        <v>0</v>
      </c>
      <c r="S56" s="1">
        <v>17</v>
      </c>
      <c r="T56" s="1">
        <v>12310</v>
      </c>
      <c r="U56" s="1">
        <f t="shared" si="15"/>
        <v>135</v>
      </c>
    </row>
    <row r="57" spans="1:21">
      <c r="A57" s="374"/>
      <c r="B57" s="42" t="s">
        <v>2872</v>
      </c>
      <c r="C57" s="42" t="s">
        <v>303</v>
      </c>
      <c r="D57" s="42" t="s">
        <v>16</v>
      </c>
      <c r="E57" s="47" t="s">
        <v>3864</v>
      </c>
      <c r="F57" s="47">
        <v>26760</v>
      </c>
      <c r="G57" s="47"/>
      <c r="H57" s="47">
        <v>12500</v>
      </c>
      <c r="I57" s="47">
        <v>500</v>
      </c>
      <c r="J57" s="47"/>
      <c r="K57" s="43">
        <f t="shared" si="16"/>
        <v>0</v>
      </c>
      <c r="L57" s="43">
        <f t="shared" si="17"/>
        <v>12500</v>
      </c>
      <c r="M57" s="43"/>
      <c r="N57" s="43">
        <f t="shared" si="18"/>
        <v>12500</v>
      </c>
      <c r="O57" s="43">
        <f t="shared" si="19"/>
        <v>875</v>
      </c>
      <c r="P57" s="42">
        <v>20500</v>
      </c>
      <c r="Q57" s="42"/>
      <c r="R57" s="42">
        <f t="shared" si="20"/>
        <v>0</v>
      </c>
      <c r="S57" s="1">
        <v>18</v>
      </c>
      <c r="T57" s="1">
        <v>12620</v>
      </c>
      <c r="U57" s="1">
        <f t="shared" si="15"/>
        <v>120</v>
      </c>
    </row>
    <row r="58" spans="1:21">
      <c r="A58" s="374"/>
      <c r="B58" s="42" t="s">
        <v>2872</v>
      </c>
      <c r="C58" s="42" t="s">
        <v>303</v>
      </c>
      <c r="D58" s="42" t="s">
        <v>16</v>
      </c>
      <c r="E58" s="47" t="s">
        <v>3865</v>
      </c>
      <c r="F58" s="47">
        <v>26769</v>
      </c>
      <c r="G58" s="47"/>
      <c r="H58" s="47">
        <v>12500</v>
      </c>
      <c r="I58" s="47">
        <v>500</v>
      </c>
      <c r="J58" s="47"/>
      <c r="K58" s="43">
        <f t="shared" si="16"/>
        <v>0</v>
      </c>
      <c r="L58" s="43">
        <f t="shared" si="17"/>
        <v>12500</v>
      </c>
      <c r="M58" s="43"/>
      <c r="N58" s="43">
        <f t="shared" si="18"/>
        <v>12500</v>
      </c>
      <c r="O58" s="43">
        <f t="shared" si="19"/>
        <v>875</v>
      </c>
      <c r="P58" s="42">
        <v>20500</v>
      </c>
      <c r="Q58" s="42"/>
      <c r="R58" s="42">
        <f t="shared" si="20"/>
        <v>0</v>
      </c>
      <c r="S58" s="1">
        <v>19</v>
      </c>
      <c r="T58" s="1">
        <v>12600</v>
      </c>
      <c r="U58" s="1">
        <f t="shared" si="15"/>
        <v>100</v>
      </c>
    </row>
    <row r="59" spans="1:21">
      <c r="A59" s="374"/>
      <c r="B59" s="42" t="s">
        <v>2872</v>
      </c>
      <c r="C59" s="42" t="s">
        <v>303</v>
      </c>
      <c r="D59" s="42" t="s">
        <v>16</v>
      </c>
      <c r="E59" s="47" t="s">
        <v>3866</v>
      </c>
      <c r="F59" s="47">
        <v>26754</v>
      </c>
      <c r="G59" s="47"/>
      <c r="H59" s="47">
        <v>12475</v>
      </c>
      <c r="I59" s="47">
        <v>499</v>
      </c>
      <c r="J59" s="47"/>
      <c r="K59" s="43">
        <f t="shared" si="16"/>
        <v>0</v>
      </c>
      <c r="L59" s="43">
        <f t="shared" si="17"/>
        <v>12475</v>
      </c>
      <c r="M59" s="43"/>
      <c r="N59" s="43">
        <f t="shared" si="18"/>
        <v>12475</v>
      </c>
      <c r="O59" s="43">
        <f t="shared" si="19"/>
        <v>873.25</v>
      </c>
      <c r="P59" s="42">
        <v>20500</v>
      </c>
      <c r="Q59" s="42"/>
      <c r="R59" s="42">
        <f t="shared" si="20"/>
        <v>0</v>
      </c>
      <c r="S59" s="1">
        <v>20</v>
      </c>
      <c r="T59" s="1">
        <v>12590</v>
      </c>
      <c r="U59" s="1">
        <f t="shared" si="15"/>
        <v>115</v>
      </c>
    </row>
    <row r="60" spans="1:21">
      <c r="A60" s="374"/>
      <c r="B60" s="42" t="s">
        <v>2872</v>
      </c>
      <c r="C60" s="42" t="s">
        <v>303</v>
      </c>
      <c r="D60" s="42" t="s">
        <v>16</v>
      </c>
      <c r="E60" s="47" t="s">
        <v>3867</v>
      </c>
      <c r="F60" s="47">
        <v>26767</v>
      </c>
      <c r="G60" s="47"/>
      <c r="H60" s="47">
        <v>12500</v>
      </c>
      <c r="I60" s="47">
        <v>500</v>
      </c>
      <c r="J60" s="47"/>
      <c r="K60" s="43">
        <f t="shared" si="16"/>
        <v>0</v>
      </c>
      <c r="L60" s="43">
        <f t="shared" si="17"/>
        <v>12500</v>
      </c>
      <c r="M60" s="43"/>
      <c r="N60" s="43">
        <f t="shared" si="18"/>
        <v>12500</v>
      </c>
      <c r="O60" s="43">
        <f t="shared" si="19"/>
        <v>875</v>
      </c>
      <c r="P60" s="42">
        <v>20500</v>
      </c>
      <c r="Q60" s="42"/>
      <c r="R60" s="42">
        <f t="shared" si="20"/>
        <v>0</v>
      </c>
      <c r="S60" s="1">
        <v>21</v>
      </c>
      <c r="T60" s="1">
        <v>12590</v>
      </c>
      <c r="U60" s="1">
        <f t="shared" si="15"/>
        <v>90</v>
      </c>
    </row>
    <row r="61" spans="1:21">
      <c r="A61" s="374"/>
      <c r="B61" s="42" t="s">
        <v>2872</v>
      </c>
      <c r="C61" s="42" t="s">
        <v>303</v>
      </c>
      <c r="D61" s="42" t="s">
        <v>16</v>
      </c>
      <c r="E61" s="47" t="s">
        <v>3668</v>
      </c>
      <c r="F61" s="47">
        <v>26766</v>
      </c>
      <c r="G61" s="47"/>
      <c r="H61" s="47">
        <v>12500</v>
      </c>
      <c r="I61" s="47">
        <v>500</v>
      </c>
      <c r="J61" s="47"/>
      <c r="K61" s="43">
        <f t="shared" si="16"/>
        <v>0</v>
      </c>
      <c r="L61" s="43">
        <f t="shared" si="17"/>
        <v>12500</v>
      </c>
      <c r="M61" s="43"/>
      <c r="N61" s="43">
        <f t="shared" si="18"/>
        <v>12500</v>
      </c>
      <c r="O61" s="43">
        <f t="shared" si="19"/>
        <v>875</v>
      </c>
      <c r="P61" s="42">
        <v>20500</v>
      </c>
      <c r="Q61" s="42"/>
      <c r="R61" s="42">
        <f t="shared" si="20"/>
        <v>0</v>
      </c>
      <c r="S61" s="1">
        <v>22</v>
      </c>
      <c r="T61" s="1">
        <v>12590</v>
      </c>
      <c r="U61" s="1">
        <f t="shared" si="15"/>
        <v>90</v>
      </c>
    </row>
    <row r="63" spans="1:21">
      <c r="H63" s="1">
        <f>SUM(H40:H62)</f>
        <v>299800</v>
      </c>
      <c r="I63" s="1">
        <f t="shared" ref="I63:Q63" si="21">SUM(I40:I62)</f>
        <v>11992</v>
      </c>
      <c r="J63" s="1">
        <f t="shared" si="21"/>
        <v>0</v>
      </c>
      <c r="K63" s="1">
        <f t="shared" si="21"/>
        <v>0</v>
      </c>
      <c r="L63" s="1">
        <f t="shared" si="21"/>
        <v>299800</v>
      </c>
      <c r="M63" s="1">
        <f t="shared" si="21"/>
        <v>0</v>
      </c>
      <c r="N63" s="1">
        <f t="shared" si="21"/>
        <v>299800</v>
      </c>
      <c r="O63" s="1">
        <f t="shared" si="21"/>
        <v>20986</v>
      </c>
      <c r="P63" s="1">
        <f t="shared" si="21"/>
        <v>485000</v>
      </c>
      <c r="Q63" s="1">
        <f t="shared" si="21"/>
        <v>0</v>
      </c>
      <c r="T63" s="1">
        <f>SUM(T40:T62)</f>
        <v>302530</v>
      </c>
      <c r="U63" s="1">
        <f>SUM(U40:U62)</f>
        <v>2730</v>
      </c>
    </row>
  </sheetData>
  <mergeCells count="5">
    <mergeCell ref="A6:A8"/>
    <mergeCell ref="A15:A27"/>
    <mergeCell ref="A28:A30"/>
    <mergeCell ref="A40:A47"/>
    <mergeCell ref="A48:A61"/>
  </mergeCells>
  <pageMargins left="0.2" right="0.2" top="0.25" bottom="0" header="0.3" footer="0.3"/>
  <pageSetup paperSize="9" orientation="landscape" verticalDpi="0" r:id="rId1"/>
</worksheet>
</file>

<file path=xl/worksheets/sheet183.xml><?xml version="1.0" encoding="utf-8"?>
<worksheet xmlns="http://schemas.openxmlformats.org/spreadsheetml/2006/main" xmlns:r="http://schemas.openxmlformats.org/officeDocument/2006/relationships">
  <dimension ref="A5:U17"/>
  <sheetViews>
    <sheetView workbookViewId="0">
      <selection activeCell="B20" sqref="B20"/>
    </sheetView>
  </sheetViews>
  <sheetFormatPr defaultRowHeight="14.4"/>
  <cols>
    <col min="1" max="1" width="8.88671875" style="1"/>
    <col min="2" max="2" width="18.21875" style="1" customWidth="1"/>
    <col min="3" max="3" width="11.88671875" style="1" customWidth="1"/>
    <col min="4" max="4" width="5.5546875" style="1" customWidth="1"/>
    <col min="5" max="5" width="8.88671875" style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1">
      <c r="A6" s="109"/>
      <c r="B6" s="42"/>
      <c r="C6" s="42"/>
      <c r="D6" s="42"/>
      <c r="E6" s="42"/>
      <c r="F6" s="56"/>
      <c r="G6" s="42"/>
      <c r="H6" s="42"/>
      <c r="I6" s="42"/>
      <c r="J6" s="56"/>
      <c r="K6" s="56"/>
      <c r="L6" s="42"/>
      <c r="M6" s="56"/>
      <c r="N6" s="42"/>
      <c r="O6" s="42"/>
      <c r="P6" s="44"/>
      <c r="Q6" s="110" t="s">
        <v>863</v>
      </c>
      <c r="R6" s="110">
        <v>248</v>
      </c>
      <c r="S6" s="67">
        <v>20000</v>
      </c>
      <c r="T6" s="67"/>
      <c r="U6" s="1">
        <v>51</v>
      </c>
    </row>
    <row r="7" spans="1:21">
      <c r="A7" s="7" t="s">
        <v>874</v>
      </c>
      <c r="B7" s="42" t="s">
        <v>864</v>
      </c>
      <c r="C7" s="42" t="s">
        <v>303</v>
      </c>
      <c r="D7" s="42" t="s">
        <v>16</v>
      </c>
      <c r="E7" s="42" t="s">
        <v>876</v>
      </c>
      <c r="F7" s="42">
        <v>2574</v>
      </c>
      <c r="G7" s="42"/>
      <c r="H7" s="42">
        <v>20000</v>
      </c>
      <c r="I7" s="42">
        <v>400</v>
      </c>
      <c r="J7" s="42"/>
      <c r="K7" s="42">
        <f t="shared" ref="K7" si="0">I7*J7</f>
        <v>0</v>
      </c>
      <c r="L7" s="43">
        <f t="shared" ref="L7" si="1">H7-K7</f>
        <v>20000</v>
      </c>
      <c r="M7" s="43"/>
      <c r="N7" s="43">
        <f t="shared" ref="N7" si="2">L7-M7</f>
        <v>20000</v>
      </c>
      <c r="O7" s="43">
        <f t="shared" ref="O7" si="3">H7/1000*70</f>
        <v>1400</v>
      </c>
      <c r="P7" s="42">
        <v>0</v>
      </c>
      <c r="Q7" s="42">
        <v>51</v>
      </c>
      <c r="R7" s="42">
        <f t="shared" ref="R7" si="4">L7*Q7</f>
        <v>1020000</v>
      </c>
    </row>
    <row r="8" spans="1:21">
      <c r="A8" s="8"/>
      <c r="B8" s="2"/>
      <c r="C8" s="2"/>
      <c r="D8" s="2"/>
      <c r="E8" s="2"/>
      <c r="F8" s="2"/>
      <c r="G8" s="2"/>
      <c r="H8" s="2"/>
      <c r="I8" s="2"/>
      <c r="J8" s="2"/>
      <c r="K8" s="5"/>
      <c r="L8" s="19"/>
      <c r="M8" s="5"/>
      <c r="N8" s="2"/>
      <c r="O8" s="2"/>
      <c r="P8" s="2">
        <f t="shared" ref="P8" si="5">L8*O8</f>
        <v>0</v>
      </c>
    </row>
    <row r="9" spans="1:21">
      <c r="A9" s="8" t="s">
        <v>1326</v>
      </c>
      <c r="B9" s="42" t="s">
        <v>684</v>
      </c>
      <c r="C9" s="42" t="s">
        <v>303</v>
      </c>
      <c r="D9" s="42" t="s">
        <v>16</v>
      </c>
      <c r="E9" s="42" t="s">
        <v>666</v>
      </c>
      <c r="F9" s="42">
        <v>1978016</v>
      </c>
      <c r="G9" s="42"/>
      <c r="H9" s="42">
        <v>10000</v>
      </c>
      <c r="I9" s="42">
        <v>400</v>
      </c>
      <c r="J9" s="42"/>
      <c r="K9" s="42">
        <f t="shared" ref="K9" si="6">I9*J9</f>
        <v>0</v>
      </c>
      <c r="L9" s="43">
        <f t="shared" ref="L9" si="7">H9-K9</f>
        <v>10000</v>
      </c>
      <c r="M9" s="43"/>
      <c r="N9" s="43">
        <f t="shared" ref="N9" si="8">L9-M9</f>
        <v>10000</v>
      </c>
      <c r="O9" s="43">
        <f t="shared" ref="O9" si="9">H9/1000*70</f>
        <v>700</v>
      </c>
      <c r="P9" s="42"/>
      <c r="Q9" s="42">
        <v>53</v>
      </c>
      <c r="R9" s="42">
        <f t="shared" ref="R9" si="10">L9*Q9</f>
        <v>530000</v>
      </c>
    </row>
    <row r="10" spans="1:21">
      <c r="A10" s="9"/>
      <c r="B10" s="2"/>
      <c r="C10" s="2"/>
      <c r="D10" s="2"/>
      <c r="E10" s="2"/>
      <c r="F10" s="2"/>
      <c r="G10" s="2"/>
      <c r="H10" s="2"/>
      <c r="I10" s="2"/>
      <c r="J10" s="2"/>
      <c r="K10" s="2"/>
      <c r="L10" s="5"/>
      <c r="M10" s="5"/>
      <c r="N10" s="2"/>
    </row>
    <row r="11" spans="1:21">
      <c r="A11" s="10"/>
      <c r="B11" s="2"/>
      <c r="C11" s="2"/>
      <c r="D11" s="2"/>
      <c r="E11" s="2"/>
      <c r="F11" s="2"/>
      <c r="G11" s="2"/>
      <c r="H11" s="2"/>
      <c r="I11" s="2"/>
      <c r="J11" s="2"/>
      <c r="K11" s="2"/>
      <c r="L11" s="5"/>
      <c r="M11" s="5"/>
      <c r="N11" s="2"/>
    </row>
    <row r="12" spans="1:21">
      <c r="A12" s="374" t="s">
        <v>1636</v>
      </c>
      <c r="B12" s="42" t="s">
        <v>1637</v>
      </c>
      <c r="C12" s="42" t="s">
        <v>710</v>
      </c>
      <c r="D12" s="42" t="s">
        <v>16</v>
      </c>
      <c r="E12" s="42" t="s">
        <v>1638</v>
      </c>
      <c r="F12" s="42">
        <v>129382</v>
      </c>
      <c r="G12" s="42"/>
      <c r="H12" s="42">
        <v>125</v>
      </c>
      <c r="I12" s="42">
        <v>5</v>
      </c>
      <c r="J12" s="42"/>
      <c r="K12" s="42">
        <f t="shared" ref="K12:K17" si="11">I12*J12</f>
        <v>0</v>
      </c>
      <c r="L12" s="43">
        <f t="shared" ref="L12:L17" si="12">H12-K12</f>
        <v>125</v>
      </c>
      <c r="M12" s="43"/>
      <c r="N12" s="43">
        <f t="shared" ref="N12:N17" si="13">L12-M12</f>
        <v>125</v>
      </c>
      <c r="O12" s="43">
        <f t="shared" ref="O12:O17" si="14">H12/1000*70</f>
        <v>8.75</v>
      </c>
      <c r="P12" s="42">
        <v>2500</v>
      </c>
      <c r="Q12" s="42"/>
      <c r="R12" s="42">
        <f t="shared" ref="R12:R17" si="15">L12*Q12</f>
        <v>0</v>
      </c>
    </row>
    <row r="13" spans="1:21">
      <c r="A13" s="374"/>
      <c r="B13" s="42"/>
      <c r="C13" s="42" t="s">
        <v>724</v>
      </c>
      <c r="D13" s="42" t="s">
        <v>16</v>
      </c>
      <c r="E13" s="42"/>
      <c r="F13" s="42"/>
      <c r="G13" s="42"/>
      <c r="H13" s="42">
        <v>225</v>
      </c>
      <c r="I13" s="42">
        <v>9</v>
      </c>
      <c r="J13" s="42"/>
      <c r="K13" s="42">
        <f t="shared" si="11"/>
        <v>0</v>
      </c>
      <c r="L13" s="43">
        <f t="shared" si="12"/>
        <v>225</v>
      </c>
      <c r="M13" s="43"/>
      <c r="N13" s="43">
        <f t="shared" si="13"/>
        <v>225</v>
      </c>
      <c r="O13" s="43">
        <f t="shared" si="14"/>
        <v>15.75</v>
      </c>
      <c r="P13" s="42"/>
      <c r="Q13" s="42"/>
      <c r="R13" s="42">
        <f t="shared" si="15"/>
        <v>0</v>
      </c>
    </row>
    <row r="14" spans="1:21">
      <c r="A14" s="374"/>
      <c r="B14" s="42"/>
      <c r="C14" s="42" t="s">
        <v>1639</v>
      </c>
      <c r="D14" s="42" t="s">
        <v>16</v>
      </c>
      <c r="E14" s="42"/>
      <c r="F14" s="42"/>
      <c r="G14" s="42"/>
      <c r="H14" s="42">
        <v>450</v>
      </c>
      <c r="I14" s="42">
        <v>18</v>
      </c>
      <c r="J14" s="42"/>
      <c r="K14" s="42">
        <f t="shared" si="11"/>
        <v>0</v>
      </c>
      <c r="L14" s="43">
        <f t="shared" si="12"/>
        <v>450</v>
      </c>
      <c r="M14" s="43"/>
      <c r="N14" s="43">
        <f t="shared" si="13"/>
        <v>450</v>
      </c>
      <c r="O14" s="43">
        <f t="shared" si="14"/>
        <v>31.5</v>
      </c>
      <c r="P14" s="42"/>
      <c r="Q14" s="42"/>
      <c r="R14" s="42">
        <f t="shared" si="15"/>
        <v>0</v>
      </c>
    </row>
    <row r="15" spans="1:21">
      <c r="A15" s="374"/>
      <c r="B15" s="42"/>
      <c r="C15" s="42" t="s">
        <v>1640</v>
      </c>
      <c r="D15" s="42" t="s">
        <v>16</v>
      </c>
      <c r="E15" s="42"/>
      <c r="F15" s="42"/>
      <c r="G15" s="42"/>
      <c r="H15" s="42">
        <v>500</v>
      </c>
      <c r="I15" s="42">
        <v>20</v>
      </c>
      <c r="J15" s="42"/>
      <c r="K15" s="42">
        <f t="shared" si="11"/>
        <v>0</v>
      </c>
      <c r="L15" s="43">
        <f t="shared" si="12"/>
        <v>500</v>
      </c>
      <c r="M15" s="43"/>
      <c r="N15" s="43">
        <f t="shared" si="13"/>
        <v>500</v>
      </c>
      <c r="O15" s="43">
        <f t="shared" si="14"/>
        <v>35</v>
      </c>
      <c r="P15" s="42"/>
      <c r="Q15" s="42"/>
      <c r="R15" s="42">
        <f t="shared" si="15"/>
        <v>0</v>
      </c>
    </row>
    <row r="16" spans="1:21">
      <c r="A16" s="374"/>
      <c r="B16" s="42"/>
      <c r="C16" s="42" t="s">
        <v>1556</v>
      </c>
      <c r="D16" s="42" t="s">
        <v>16</v>
      </c>
      <c r="E16" s="42"/>
      <c r="F16" s="42"/>
      <c r="G16" s="42"/>
      <c r="H16" s="42">
        <v>125</v>
      </c>
      <c r="I16" s="42">
        <v>5</v>
      </c>
      <c r="J16" s="42"/>
      <c r="K16" s="42">
        <f t="shared" si="11"/>
        <v>0</v>
      </c>
      <c r="L16" s="43">
        <f t="shared" si="12"/>
        <v>125</v>
      </c>
      <c r="M16" s="43"/>
      <c r="N16" s="43">
        <f t="shared" si="13"/>
        <v>125</v>
      </c>
      <c r="O16" s="43">
        <f t="shared" si="14"/>
        <v>8.75</v>
      </c>
      <c r="P16" s="42"/>
      <c r="Q16" s="42"/>
      <c r="R16" s="42">
        <f t="shared" si="15"/>
        <v>0</v>
      </c>
    </row>
    <row r="17" spans="1:18">
      <c r="A17" s="374"/>
      <c r="B17" s="42"/>
      <c r="C17" s="42" t="s">
        <v>292</v>
      </c>
      <c r="D17" s="42" t="s">
        <v>16</v>
      </c>
      <c r="E17" s="42"/>
      <c r="F17" s="42"/>
      <c r="G17" s="42"/>
      <c r="H17" s="42">
        <v>275</v>
      </c>
      <c r="I17" s="42">
        <v>11</v>
      </c>
      <c r="J17" s="42"/>
      <c r="K17" s="42">
        <f t="shared" si="11"/>
        <v>0</v>
      </c>
      <c r="L17" s="43">
        <f t="shared" si="12"/>
        <v>275</v>
      </c>
      <c r="M17" s="43"/>
      <c r="N17" s="43">
        <f t="shared" si="13"/>
        <v>275</v>
      </c>
      <c r="O17" s="43">
        <f t="shared" si="14"/>
        <v>19.25</v>
      </c>
      <c r="P17" s="42"/>
      <c r="Q17" s="42"/>
      <c r="R17" s="42">
        <f t="shared" si="15"/>
        <v>0</v>
      </c>
    </row>
  </sheetData>
  <mergeCells count="1">
    <mergeCell ref="A12:A17"/>
  </mergeCells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5:U14"/>
  <sheetViews>
    <sheetView workbookViewId="0">
      <selection activeCell="Q21" sqref="Q21"/>
    </sheetView>
  </sheetViews>
  <sheetFormatPr defaultRowHeight="14.4"/>
  <cols>
    <col min="1" max="1" width="8.88671875" style="1"/>
    <col min="2" max="2" width="13.88671875" style="1" customWidth="1"/>
    <col min="3" max="3" width="8.88671875" style="1"/>
    <col min="4" max="4" width="5.5546875" style="1" customWidth="1"/>
    <col min="5" max="5" width="8.88671875" style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1">
      <c r="A6" s="109"/>
      <c r="B6" s="42"/>
      <c r="C6" s="42"/>
      <c r="D6" s="42"/>
      <c r="E6" s="42"/>
      <c r="F6" s="56"/>
      <c r="G6" s="42"/>
      <c r="H6" s="42"/>
      <c r="I6" s="42"/>
      <c r="J6" s="56"/>
      <c r="K6" s="56"/>
      <c r="L6" s="42"/>
      <c r="M6" s="56"/>
      <c r="N6" s="42"/>
      <c r="O6" s="42"/>
      <c r="P6" s="44" t="s">
        <v>935</v>
      </c>
      <c r="Q6" s="110" t="s">
        <v>900</v>
      </c>
      <c r="R6" s="110">
        <v>253</v>
      </c>
      <c r="S6" s="67">
        <v>50000</v>
      </c>
      <c r="T6" s="67"/>
      <c r="U6" s="1">
        <v>49.5</v>
      </c>
    </row>
    <row r="7" spans="1:21">
      <c r="A7" s="7" t="s">
        <v>931</v>
      </c>
      <c r="B7" s="42" t="s">
        <v>932</v>
      </c>
      <c r="C7" s="42" t="s">
        <v>303</v>
      </c>
      <c r="D7" s="42" t="s">
        <v>16</v>
      </c>
      <c r="E7" s="42" t="s">
        <v>933</v>
      </c>
      <c r="F7" s="42">
        <v>23</v>
      </c>
      <c r="G7" s="42"/>
      <c r="H7" s="42">
        <v>18000</v>
      </c>
      <c r="I7" s="42">
        <v>720</v>
      </c>
      <c r="J7" s="42"/>
      <c r="K7" s="42">
        <f t="shared" ref="K7" si="0">I7*J7</f>
        <v>0</v>
      </c>
      <c r="L7" s="43">
        <f t="shared" ref="L7" si="1">H7-K7</f>
        <v>18000</v>
      </c>
      <c r="M7" s="43"/>
      <c r="N7" s="43">
        <f t="shared" ref="N7" si="2">L7-M7</f>
        <v>18000</v>
      </c>
      <c r="O7" s="43">
        <f t="shared" ref="O7" si="3">H7/1000*70</f>
        <v>1260</v>
      </c>
      <c r="P7" s="42">
        <v>0</v>
      </c>
      <c r="Q7" s="42">
        <v>49.5</v>
      </c>
      <c r="R7" s="42">
        <f t="shared" ref="R7" si="4">L7*Q7</f>
        <v>891000</v>
      </c>
    </row>
    <row r="8" spans="1:21">
      <c r="A8" s="8"/>
      <c r="B8" s="2"/>
      <c r="C8" s="2"/>
      <c r="D8" s="2"/>
      <c r="E8" s="2"/>
      <c r="F8" s="2"/>
      <c r="G8" s="2"/>
      <c r="H8" s="2"/>
      <c r="I8" s="2"/>
      <c r="J8" s="2"/>
      <c r="K8" s="5"/>
      <c r="L8" s="19"/>
      <c r="M8" s="5"/>
      <c r="N8" s="2"/>
      <c r="O8" s="2"/>
      <c r="P8" s="2"/>
    </row>
    <row r="9" spans="1:21">
      <c r="A9" s="8"/>
      <c r="B9" s="2"/>
      <c r="C9" s="2"/>
      <c r="D9" s="2"/>
      <c r="E9" s="2"/>
      <c r="F9" s="2"/>
      <c r="G9" s="2"/>
      <c r="H9" s="2"/>
      <c r="I9" s="2"/>
      <c r="J9" s="2"/>
      <c r="K9" s="5"/>
      <c r="L9" s="19"/>
      <c r="M9" s="5"/>
      <c r="N9" s="2"/>
      <c r="O9" s="2"/>
      <c r="P9" s="2"/>
    </row>
    <row r="10" spans="1:21">
      <c r="A10" s="9"/>
      <c r="B10" s="2"/>
      <c r="C10" s="2"/>
      <c r="D10" s="2"/>
      <c r="E10" s="2"/>
      <c r="F10" s="2"/>
      <c r="G10" s="2"/>
      <c r="H10" s="2"/>
      <c r="I10" s="2"/>
      <c r="J10" s="2"/>
      <c r="K10" s="2"/>
      <c r="L10" s="5"/>
      <c r="M10" s="5"/>
      <c r="N10" s="2"/>
    </row>
    <row r="11" spans="1:21">
      <c r="A11" s="10"/>
      <c r="B11" s="2"/>
      <c r="C11" s="2"/>
      <c r="D11" s="2"/>
      <c r="E11" s="2"/>
      <c r="F11" s="2"/>
      <c r="G11" s="2"/>
      <c r="H11" s="2"/>
      <c r="I11" s="2"/>
      <c r="J11" s="2"/>
      <c r="K11" s="2"/>
      <c r="L11" s="5"/>
      <c r="M11" s="5"/>
      <c r="N11" s="2"/>
    </row>
    <row r="12" spans="1:21">
      <c r="A12" s="11"/>
      <c r="B12" s="2"/>
      <c r="C12" s="2"/>
      <c r="D12" s="2"/>
      <c r="E12" s="2"/>
      <c r="F12" s="2"/>
      <c r="G12" s="2"/>
      <c r="H12" s="2"/>
      <c r="I12" s="2"/>
      <c r="J12" s="2"/>
      <c r="K12" s="2"/>
      <c r="L12" s="5"/>
      <c r="M12" s="5"/>
      <c r="N12" s="2"/>
    </row>
    <row r="14" spans="1:21">
      <c r="L14" s="16"/>
      <c r="M14" s="16"/>
      <c r="N14" s="16"/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5:T14"/>
  <sheetViews>
    <sheetView workbookViewId="0">
      <selection activeCell="B19" sqref="B19"/>
    </sheetView>
  </sheetViews>
  <sheetFormatPr defaultRowHeight="14.4"/>
  <cols>
    <col min="1" max="1" width="8.88671875" style="1"/>
    <col min="2" max="2" width="22.33203125" style="1" customWidth="1"/>
    <col min="3" max="3" width="8.88671875" style="1"/>
    <col min="4" max="4" width="5.5546875" style="1" customWidth="1"/>
    <col min="5" max="5" width="8.88671875" style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0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0">
      <c r="A6" s="109"/>
      <c r="B6" s="42"/>
      <c r="C6" s="42"/>
      <c r="D6" s="42"/>
      <c r="E6" s="42"/>
      <c r="F6" s="56"/>
      <c r="G6" s="42"/>
      <c r="H6" s="42"/>
      <c r="I6" s="42"/>
      <c r="J6" s="56"/>
      <c r="K6" s="56"/>
      <c r="L6" s="42"/>
      <c r="M6" s="56"/>
      <c r="N6" s="42"/>
      <c r="O6" s="42"/>
      <c r="P6" s="44"/>
      <c r="Q6" s="110"/>
      <c r="R6" s="110"/>
      <c r="S6" s="67"/>
      <c r="T6" s="67"/>
    </row>
    <row r="7" spans="1:20">
      <c r="A7" s="7" t="s">
        <v>1145</v>
      </c>
      <c r="B7" s="42" t="s">
        <v>1146</v>
      </c>
      <c r="C7" s="42" t="s">
        <v>303</v>
      </c>
      <c r="D7" s="42" t="s">
        <v>16</v>
      </c>
      <c r="E7" s="42" t="s">
        <v>972</v>
      </c>
      <c r="F7" s="42">
        <v>1953252</v>
      </c>
      <c r="G7" s="42"/>
      <c r="H7" s="42">
        <v>10000</v>
      </c>
      <c r="I7" s="42">
        <v>400</v>
      </c>
      <c r="J7" s="42"/>
      <c r="K7" s="42">
        <f t="shared" ref="K7" si="0">I7*J7</f>
        <v>0</v>
      </c>
      <c r="L7" s="43">
        <f t="shared" ref="L7" si="1">H7-K7</f>
        <v>10000</v>
      </c>
      <c r="M7" s="43"/>
      <c r="N7" s="43">
        <f t="shared" ref="N7" si="2">L7-M7</f>
        <v>10000</v>
      </c>
      <c r="O7" s="43">
        <f t="shared" ref="O7" si="3">H7/1000*70</f>
        <v>700</v>
      </c>
      <c r="P7" s="42">
        <v>0</v>
      </c>
      <c r="Q7" s="42">
        <v>53</v>
      </c>
      <c r="R7" s="42">
        <f t="shared" ref="R7" si="4">L7*Q7</f>
        <v>530000</v>
      </c>
    </row>
    <row r="8" spans="1:20">
      <c r="A8" s="8"/>
      <c r="B8" s="2"/>
      <c r="C8" s="2"/>
      <c r="D8" s="2"/>
      <c r="E8" s="2"/>
      <c r="F8" s="2"/>
      <c r="G8" s="2"/>
      <c r="H8" s="2"/>
      <c r="I8" s="2"/>
      <c r="J8" s="2"/>
      <c r="K8" s="5"/>
      <c r="L8" s="19"/>
      <c r="M8" s="5"/>
      <c r="N8" s="2"/>
      <c r="O8" s="2"/>
      <c r="P8" s="2"/>
    </row>
    <row r="9" spans="1:20">
      <c r="A9" s="8"/>
      <c r="B9" s="2"/>
      <c r="C9" s="2"/>
      <c r="D9" s="2"/>
      <c r="E9" s="2"/>
      <c r="F9" s="2"/>
      <c r="G9" s="2"/>
      <c r="H9" s="2"/>
      <c r="I9" s="2"/>
      <c r="J9" s="2"/>
      <c r="K9" s="5"/>
      <c r="L9" s="19"/>
      <c r="M9" s="5"/>
      <c r="N9" s="2"/>
      <c r="O9" s="2"/>
      <c r="P9" s="2"/>
    </row>
    <row r="10" spans="1:20">
      <c r="A10" s="9"/>
      <c r="B10" s="2"/>
      <c r="C10" s="2"/>
      <c r="D10" s="2"/>
      <c r="E10" s="2"/>
      <c r="F10" s="2"/>
      <c r="G10" s="2"/>
      <c r="H10" s="2"/>
      <c r="I10" s="2"/>
      <c r="J10" s="2"/>
      <c r="K10" s="2"/>
      <c r="L10" s="5"/>
      <c r="M10" s="5"/>
      <c r="N10" s="2"/>
    </row>
    <row r="11" spans="1:20">
      <c r="A11" s="10"/>
      <c r="B11" s="2"/>
      <c r="C11" s="2"/>
      <c r="D11" s="2"/>
      <c r="E11" s="2"/>
      <c r="F11" s="2"/>
      <c r="G11" s="2"/>
      <c r="H11" s="2"/>
      <c r="I11" s="2"/>
      <c r="J11" s="2"/>
      <c r="K11" s="2"/>
      <c r="L11" s="5"/>
      <c r="M11" s="5"/>
      <c r="N11" s="2"/>
    </row>
    <row r="12" spans="1:20">
      <c r="A12" s="11"/>
      <c r="B12" s="2"/>
      <c r="C12" s="2"/>
      <c r="D12" s="2"/>
      <c r="E12" s="2"/>
      <c r="F12" s="2"/>
      <c r="G12" s="2"/>
      <c r="H12" s="2"/>
      <c r="I12" s="2"/>
      <c r="J12" s="2"/>
      <c r="K12" s="2"/>
      <c r="L12" s="5"/>
      <c r="M12" s="5"/>
      <c r="N12" s="2"/>
    </row>
    <row r="14" spans="1:20">
      <c r="L14" s="16"/>
      <c r="M14" s="16"/>
      <c r="N14" s="16"/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5:T14"/>
  <sheetViews>
    <sheetView workbookViewId="0">
      <selection activeCell="I17" sqref="I17"/>
    </sheetView>
  </sheetViews>
  <sheetFormatPr defaultRowHeight="14.4"/>
  <cols>
    <col min="1" max="1" width="8.88671875" style="1"/>
    <col min="2" max="2" width="22.33203125" style="1" customWidth="1"/>
    <col min="3" max="3" width="8.88671875" style="1"/>
    <col min="4" max="4" width="5.5546875" style="1" customWidth="1"/>
    <col min="5" max="5" width="8.88671875" style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0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0">
      <c r="A6" s="109"/>
      <c r="B6" s="42"/>
      <c r="C6" s="42"/>
      <c r="D6" s="42"/>
      <c r="E6" s="42"/>
      <c r="F6" s="56"/>
      <c r="G6" s="42"/>
      <c r="H6" s="42"/>
      <c r="I6" s="42"/>
      <c r="J6" s="56"/>
      <c r="K6" s="56"/>
      <c r="L6" s="42"/>
      <c r="M6" s="56"/>
      <c r="N6" s="42"/>
      <c r="O6" s="42"/>
      <c r="P6" s="44"/>
      <c r="Q6" s="110"/>
      <c r="R6" s="110"/>
      <c r="S6" s="67"/>
      <c r="T6" s="67"/>
    </row>
    <row r="7" spans="1:20">
      <c r="A7" s="7" t="s">
        <v>1490</v>
      </c>
      <c r="B7" s="92" t="s">
        <v>1493</v>
      </c>
      <c r="C7" s="42" t="s">
        <v>303</v>
      </c>
      <c r="D7" s="42" t="s">
        <v>16</v>
      </c>
      <c r="E7" s="42" t="s">
        <v>1494</v>
      </c>
      <c r="F7" s="42">
        <v>0</v>
      </c>
      <c r="G7" s="42"/>
      <c r="H7" s="42">
        <v>20000</v>
      </c>
      <c r="I7" s="42">
        <v>800</v>
      </c>
      <c r="J7" s="42"/>
      <c r="K7" s="42">
        <f t="shared" ref="K7" si="0">I7*J7</f>
        <v>0</v>
      </c>
      <c r="L7" s="43">
        <f t="shared" ref="L7" si="1">H7-K7</f>
        <v>20000</v>
      </c>
      <c r="M7" s="43"/>
      <c r="N7" s="43">
        <f t="shared" ref="N7" si="2">L7-M7</f>
        <v>20000</v>
      </c>
      <c r="O7" s="43">
        <f t="shared" ref="O7" si="3">H7/1000*70</f>
        <v>1400</v>
      </c>
      <c r="P7" s="42">
        <v>0</v>
      </c>
      <c r="Q7" s="42"/>
      <c r="R7" s="42">
        <f t="shared" ref="R7" si="4">L7*Q7</f>
        <v>0</v>
      </c>
    </row>
    <row r="8" spans="1:20">
      <c r="A8" s="8"/>
      <c r="B8" s="173"/>
      <c r="C8" s="173"/>
      <c r="D8" s="173"/>
      <c r="E8" s="173"/>
      <c r="F8" s="173"/>
      <c r="G8" s="173"/>
      <c r="H8" s="173"/>
      <c r="I8" s="173"/>
      <c r="J8" s="173"/>
      <c r="K8" s="5"/>
      <c r="L8" s="19"/>
      <c r="M8" s="5"/>
      <c r="N8" s="173"/>
      <c r="O8" s="173"/>
      <c r="P8" s="173"/>
    </row>
    <row r="9" spans="1:20">
      <c r="A9" s="8" t="s">
        <v>2549</v>
      </c>
      <c r="B9" s="42" t="s">
        <v>1269</v>
      </c>
      <c r="C9" s="42" t="s">
        <v>1252</v>
      </c>
      <c r="D9" s="42" t="s">
        <v>16</v>
      </c>
      <c r="E9" s="42" t="s">
        <v>2550</v>
      </c>
      <c r="F9" s="42">
        <v>7916</v>
      </c>
      <c r="G9" s="42"/>
      <c r="H9" s="42">
        <v>1975</v>
      </c>
      <c r="I9" s="42">
        <v>79</v>
      </c>
      <c r="J9" s="42"/>
      <c r="K9" s="43">
        <f t="shared" ref="K9" si="5">I9*J9</f>
        <v>0</v>
      </c>
      <c r="L9" s="43">
        <f t="shared" ref="L9" si="6">H9-K9</f>
        <v>1975</v>
      </c>
      <c r="M9" s="43"/>
      <c r="N9" s="43">
        <f t="shared" ref="N9" si="7">L9-M9</f>
        <v>1975</v>
      </c>
      <c r="O9" s="43">
        <f t="shared" ref="O9" si="8">H9/1000*70</f>
        <v>138.25</v>
      </c>
      <c r="P9" s="42">
        <v>0</v>
      </c>
      <c r="Q9" s="42">
        <v>275</v>
      </c>
      <c r="R9" s="42">
        <f t="shared" ref="R9" si="9">L9*Q9</f>
        <v>543125</v>
      </c>
    </row>
    <row r="10" spans="1:20">
      <c r="A10" s="9"/>
      <c r="B10" s="173"/>
      <c r="C10" s="173"/>
      <c r="D10" s="173"/>
      <c r="E10" s="173"/>
      <c r="F10" s="173"/>
      <c r="G10" s="173"/>
      <c r="H10" s="173"/>
      <c r="I10" s="173"/>
      <c r="J10" s="173"/>
      <c r="K10" s="173"/>
      <c r="L10" s="5"/>
      <c r="M10" s="5"/>
      <c r="N10" s="173"/>
    </row>
    <row r="11" spans="1:20">
      <c r="A11" s="10" t="s">
        <v>2813</v>
      </c>
      <c r="B11" s="42" t="s">
        <v>1269</v>
      </c>
      <c r="C11" s="42" t="s">
        <v>303</v>
      </c>
      <c r="D11" s="42" t="s">
        <v>16</v>
      </c>
      <c r="E11" s="42" t="s">
        <v>2823</v>
      </c>
      <c r="F11" s="42">
        <v>7934</v>
      </c>
      <c r="G11" s="42"/>
      <c r="H11" s="42">
        <v>2500</v>
      </c>
      <c r="I11" s="42">
        <v>100</v>
      </c>
      <c r="J11" s="42"/>
      <c r="K11" s="43">
        <f t="shared" ref="K11" si="10">I11*J11</f>
        <v>0</v>
      </c>
      <c r="L11" s="43">
        <f t="shared" ref="L11" si="11">H11-K11</f>
        <v>2500</v>
      </c>
      <c r="M11" s="43"/>
      <c r="N11" s="43">
        <f t="shared" ref="N11" si="12">L11-M11</f>
        <v>2500</v>
      </c>
      <c r="O11" s="43">
        <f t="shared" ref="O11" si="13">H11/1000*70</f>
        <v>175</v>
      </c>
      <c r="P11" s="42">
        <v>0</v>
      </c>
      <c r="Q11" s="42">
        <v>53</v>
      </c>
      <c r="R11" s="42">
        <f t="shared" ref="R11" si="14">L11*Q11</f>
        <v>132500</v>
      </c>
      <c r="S11" s="42"/>
    </row>
    <row r="12" spans="1:20">
      <c r="A12" s="11"/>
      <c r="B12" s="173"/>
      <c r="C12" s="173"/>
      <c r="D12" s="173"/>
      <c r="E12" s="173"/>
      <c r="F12" s="173"/>
      <c r="G12" s="173"/>
      <c r="H12" s="173"/>
      <c r="I12" s="173"/>
      <c r="J12" s="173"/>
      <c r="K12" s="173"/>
      <c r="L12" s="5"/>
      <c r="M12" s="5"/>
      <c r="N12" s="173"/>
    </row>
    <row r="14" spans="1:20">
      <c r="L14" s="16"/>
      <c r="M14" s="16"/>
      <c r="N14" s="16"/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5:T13"/>
  <sheetViews>
    <sheetView workbookViewId="0">
      <selection activeCell="D19" sqref="C19:D19"/>
    </sheetView>
  </sheetViews>
  <sheetFormatPr defaultRowHeight="14.4"/>
  <cols>
    <col min="1" max="1" width="8.88671875" style="1"/>
    <col min="2" max="2" width="22.33203125" style="1" customWidth="1"/>
    <col min="3" max="3" width="8.88671875" style="1"/>
    <col min="4" max="4" width="5.5546875" style="1" customWidth="1"/>
    <col min="5" max="5" width="8.88671875" style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0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0">
      <c r="A6" s="109"/>
      <c r="B6" s="42"/>
      <c r="C6" s="42"/>
      <c r="D6" s="42"/>
      <c r="E6" s="42"/>
      <c r="F6" s="56"/>
      <c r="G6" s="42"/>
      <c r="H6" s="42"/>
      <c r="I6" s="42"/>
      <c r="J6" s="56"/>
      <c r="K6" s="56"/>
      <c r="L6" s="42"/>
      <c r="M6" s="56"/>
      <c r="N6" s="42"/>
      <c r="O6" s="42"/>
      <c r="P6" s="44"/>
      <c r="Q6" s="110"/>
      <c r="R6" s="110"/>
      <c r="S6" s="67"/>
      <c r="T6" s="67"/>
    </row>
    <row r="7" spans="1:20">
      <c r="A7" s="7" t="s">
        <v>2219</v>
      </c>
      <c r="B7" s="42" t="s">
        <v>2220</v>
      </c>
      <c r="C7" s="42" t="s">
        <v>2221</v>
      </c>
      <c r="D7" s="42" t="s">
        <v>16</v>
      </c>
      <c r="E7" s="42" t="s">
        <v>2222</v>
      </c>
      <c r="F7" s="42">
        <v>1</v>
      </c>
      <c r="G7" s="42"/>
      <c r="H7" s="42">
        <v>6000</v>
      </c>
      <c r="I7" s="42">
        <v>240</v>
      </c>
      <c r="J7" s="42"/>
      <c r="K7" s="43">
        <f t="shared" ref="K7" si="0">I7*J7</f>
        <v>0</v>
      </c>
      <c r="L7" s="43">
        <f t="shared" ref="L7" si="1">H7-K7</f>
        <v>6000</v>
      </c>
      <c r="M7" s="43"/>
      <c r="N7" s="43">
        <f t="shared" ref="N7" si="2">L7-M7</f>
        <v>6000</v>
      </c>
      <c r="O7" s="43">
        <f t="shared" ref="O7" si="3">H7/1000*70</f>
        <v>420</v>
      </c>
      <c r="P7" s="42">
        <v>0</v>
      </c>
      <c r="Q7" s="42">
        <v>43</v>
      </c>
      <c r="R7" s="42">
        <f t="shared" ref="R7" si="4">L7*Q7</f>
        <v>258000</v>
      </c>
    </row>
    <row r="8" spans="1:20">
      <c r="A8" s="8"/>
      <c r="B8" s="252"/>
      <c r="C8" s="252"/>
      <c r="D8" s="252"/>
      <c r="E8" s="252"/>
      <c r="F8" s="252"/>
      <c r="G8" s="252"/>
      <c r="H8" s="252"/>
      <c r="I8" s="252"/>
      <c r="J8" s="252"/>
      <c r="K8" s="5"/>
      <c r="L8" s="19"/>
      <c r="M8" s="5"/>
      <c r="N8" s="252"/>
      <c r="O8" s="252"/>
      <c r="P8" s="252"/>
    </row>
    <row r="9" spans="1:20">
      <c r="A9" s="9"/>
      <c r="B9" s="252"/>
      <c r="C9" s="252"/>
      <c r="D9" s="252"/>
      <c r="E9" s="252"/>
      <c r="F9" s="252"/>
      <c r="G9" s="252"/>
      <c r="H9" s="252"/>
      <c r="I9" s="252"/>
      <c r="J9" s="252"/>
      <c r="K9" s="252"/>
      <c r="L9" s="5"/>
      <c r="M9" s="5"/>
      <c r="N9" s="252"/>
    </row>
    <row r="10" spans="1:20">
      <c r="A10" s="10"/>
      <c r="B10" s="252"/>
      <c r="C10" s="252"/>
      <c r="D10" s="252"/>
      <c r="E10" s="252"/>
      <c r="F10" s="252"/>
      <c r="G10" s="252"/>
      <c r="H10" s="252"/>
      <c r="I10" s="252"/>
      <c r="J10" s="252"/>
      <c r="K10" s="252"/>
      <c r="L10" s="5"/>
      <c r="M10" s="5"/>
      <c r="N10" s="252"/>
    </row>
    <row r="11" spans="1:20">
      <c r="A11" s="11"/>
      <c r="B11" s="252"/>
      <c r="C11" s="252"/>
      <c r="D11" s="252"/>
      <c r="E11" s="252"/>
      <c r="F11" s="252"/>
      <c r="G11" s="252"/>
      <c r="H11" s="252"/>
      <c r="I11" s="252"/>
      <c r="J11" s="252"/>
      <c r="K11" s="252"/>
      <c r="L11" s="5"/>
      <c r="M11" s="5"/>
      <c r="N11" s="252"/>
    </row>
    <row r="13" spans="1:20">
      <c r="L13" s="16"/>
      <c r="M13" s="16"/>
      <c r="N13" s="16"/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5:T13"/>
  <sheetViews>
    <sheetView workbookViewId="0">
      <selection activeCell="Q19" sqref="Q19"/>
    </sheetView>
  </sheetViews>
  <sheetFormatPr defaultRowHeight="14.4"/>
  <cols>
    <col min="1" max="1" width="8.88671875" style="1"/>
    <col min="2" max="2" width="22.33203125" style="1" customWidth="1"/>
    <col min="3" max="3" width="8.88671875" style="1"/>
    <col min="4" max="4" width="5.5546875" style="1" customWidth="1"/>
    <col min="5" max="5" width="8.88671875" style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0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0">
      <c r="A6" s="109"/>
      <c r="B6" s="42"/>
      <c r="C6" s="42"/>
      <c r="D6" s="42"/>
      <c r="E6" s="42"/>
      <c r="F6" s="56"/>
      <c r="G6" s="42"/>
      <c r="H6" s="42"/>
      <c r="I6" s="42"/>
      <c r="J6" s="56"/>
      <c r="K6" s="56"/>
      <c r="L6" s="42"/>
      <c r="M6" s="56"/>
      <c r="N6" s="42"/>
      <c r="O6" s="42"/>
      <c r="P6" s="44"/>
      <c r="Q6" s="110"/>
      <c r="R6" s="110"/>
      <c r="S6" s="67"/>
      <c r="T6" s="67"/>
    </row>
    <row r="7" spans="1:20">
      <c r="A7" s="8"/>
      <c r="B7" s="257"/>
      <c r="C7" s="257"/>
      <c r="D7" s="257"/>
      <c r="E7" s="257"/>
      <c r="F7" s="257"/>
      <c r="G7" s="257"/>
      <c r="H7" s="257"/>
      <c r="I7" s="257"/>
      <c r="J7" s="257"/>
      <c r="K7" s="5"/>
      <c r="L7" s="19"/>
      <c r="M7" s="5"/>
      <c r="N7" s="257"/>
      <c r="O7" s="257"/>
      <c r="P7" s="257"/>
    </row>
    <row r="8" spans="1:20">
      <c r="A8" s="8" t="s">
        <v>2253</v>
      </c>
      <c r="B8" s="42" t="s">
        <v>948</v>
      </c>
      <c r="C8" s="42" t="s">
        <v>303</v>
      </c>
      <c r="D8" s="42" t="s">
        <v>16</v>
      </c>
      <c r="E8" s="42" t="s">
        <v>2256</v>
      </c>
      <c r="F8" s="42">
        <v>2925</v>
      </c>
      <c r="G8" s="42"/>
      <c r="H8" s="42">
        <v>5000</v>
      </c>
      <c r="I8" s="42">
        <v>200</v>
      </c>
      <c r="J8" s="42"/>
      <c r="K8" s="43">
        <f t="shared" ref="K8" si="0">I8*J8</f>
        <v>0</v>
      </c>
      <c r="L8" s="43">
        <f t="shared" ref="L8" si="1">H8-K8</f>
        <v>5000</v>
      </c>
      <c r="M8" s="43"/>
      <c r="N8" s="43">
        <f t="shared" ref="N8" si="2">L8-M8</f>
        <v>5000</v>
      </c>
      <c r="O8" s="43">
        <f t="shared" ref="O8" si="3">H8/1000*70</f>
        <v>350</v>
      </c>
      <c r="P8" s="42">
        <v>4000</v>
      </c>
      <c r="Q8" s="42"/>
      <c r="R8" s="42">
        <f t="shared" ref="R8" si="4">L8*Q8</f>
        <v>0</v>
      </c>
    </row>
    <row r="9" spans="1:20">
      <c r="A9" s="9"/>
      <c r="B9" s="257"/>
      <c r="C9" s="257"/>
      <c r="D9" s="257"/>
      <c r="E9" s="257"/>
      <c r="F9" s="257"/>
      <c r="G9" s="257"/>
      <c r="H9" s="257"/>
      <c r="I9" s="257"/>
      <c r="J9" s="257"/>
      <c r="K9" s="257"/>
      <c r="L9" s="5"/>
      <c r="M9" s="5"/>
      <c r="N9" s="257"/>
    </row>
    <row r="10" spans="1:20">
      <c r="A10" s="10" t="s">
        <v>2389</v>
      </c>
      <c r="B10" s="42" t="s">
        <v>948</v>
      </c>
      <c r="C10" s="42" t="s">
        <v>303</v>
      </c>
      <c r="D10" s="42" t="s">
        <v>16</v>
      </c>
      <c r="E10" s="42" t="s">
        <v>2256</v>
      </c>
      <c r="F10" s="42">
        <v>2958</v>
      </c>
      <c r="G10" s="42"/>
      <c r="H10" s="42">
        <v>2000</v>
      </c>
      <c r="I10" s="42">
        <v>80</v>
      </c>
      <c r="J10" s="42"/>
      <c r="K10" s="43">
        <f t="shared" ref="K10" si="5">I10*J10</f>
        <v>0</v>
      </c>
      <c r="L10" s="43">
        <f t="shared" ref="L10" si="6">H10-K10</f>
        <v>2000</v>
      </c>
      <c r="M10" s="43"/>
      <c r="N10" s="43">
        <f t="shared" ref="N10" si="7">L10-M10</f>
        <v>2000</v>
      </c>
      <c r="O10" s="43">
        <f t="shared" ref="O10" si="8">H10/1000*70</f>
        <v>140</v>
      </c>
      <c r="P10" s="42">
        <v>4000</v>
      </c>
      <c r="Q10" s="42">
        <v>54</v>
      </c>
      <c r="R10" s="42">
        <f t="shared" ref="R10" si="9">L10*Q10</f>
        <v>108000</v>
      </c>
    </row>
    <row r="11" spans="1:20">
      <c r="A11" s="11"/>
      <c r="B11" s="257"/>
      <c r="C11" s="257"/>
      <c r="D11" s="257"/>
      <c r="E11" s="257"/>
      <c r="F11" s="257"/>
      <c r="G11" s="257"/>
      <c r="H11" s="257"/>
      <c r="I11" s="257"/>
      <c r="J11" s="257"/>
      <c r="K11" s="257"/>
      <c r="L11" s="5"/>
      <c r="M11" s="5"/>
      <c r="N11" s="257"/>
    </row>
    <row r="13" spans="1:20">
      <c r="B13" s="42" t="s">
        <v>2546</v>
      </c>
      <c r="C13" s="42" t="s">
        <v>303</v>
      </c>
      <c r="D13" s="42" t="s">
        <v>16</v>
      </c>
      <c r="E13" s="42" t="s">
        <v>2547</v>
      </c>
      <c r="F13" s="42">
        <v>6353</v>
      </c>
      <c r="G13" s="42"/>
      <c r="H13" s="42">
        <v>5000</v>
      </c>
      <c r="I13" s="42">
        <v>200</v>
      </c>
      <c r="J13" s="42"/>
      <c r="K13" s="43">
        <f t="shared" ref="K13" si="10">I13*J13</f>
        <v>0</v>
      </c>
      <c r="L13" s="43">
        <f t="shared" ref="L13" si="11">H13-K13</f>
        <v>5000</v>
      </c>
      <c r="M13" s="43"/>
      <c r="N13" s="43">
        <f t="shared" ref="N13" si="12">L13-M13</f>
        <v>5000</v>
      </c>
      <c r="O13" s="43">
        <f t="shared" ref="O13" si="13">H13/1000*70</f>
        <v>350</v>
      </c>
      <c r="P13" s="42">
        <v>0</v>
      </c>
      <c r="Q13" s="42">
        <v>55</v>
      </c>
      <c r="R13" s="42">
        <f t="shared" ref="R13" si="14">L13*Q13</f>
        <v>275000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5:T13"/>
  <sheetViews>
    <sheetView workbookViewId="0">
      <selection activeCell="A14" sqref="A14"/>
    </sheetView>
  </sheetViews>
  <sheetFormatPr defaultRowHeight="14.4"/>
  <cols>
    <col min="1" max="1" width="8.88671875" style="1"/>
    <col min="2" max="2" width="22.33203125" style="1" customWidth="1"/>
    <col min="3" max="3" width="8.88671875" style="1"/>
    <col min="4" max="4" width="5.5546875" style="1" customWidth="1"/>
    <col min="5" max="5" width="8.88671875" style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0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0">
      <c r="A6" s="109"/>
      <c r="B6" s="42"/>
      <c r="C6" s="42"/>
      <c r="D6" s="42"/>
      <c r="E6" s="42"/>
      <c r="F6" s="56"/>
      <c r="G6" s="42"/>
      <c r="H6" s="42"/>
      <c r="I6" s="42"/>
      <c r="J6" s="56"/>
      <c r="K6" s="56"/>
      <c r="L6" s="42"/>
      <c r="M6" s="56"/>
      <c r="N6" s="42"/>
      <c r="O6" s="42"/>
      <c r="P6" s="44"/>
      <c r="Q6" s="110"/>
      <c r="R6" s="110"/>
      <c r="S6" s="67"/>
      <c r="T6" s="67"/>
    </row>
    <row r="7" spans="1:20">
      <c r="A7" s="1" t="s">
        <v>2544</v>
      </c>
      <c r="B7" s="42" t="s">
        <v>2546</v>
      </c>
      <c r="C7" s="42" t="s">
        <v>303</v>
      </c>
      <c r="D7" s="42" t="s">
        <v>16</v>
      </c>
      <c r="E7" s="42" t="s">
        <v>2547</v>
      </c>
      <c r="F7" s="42">
        <v>6353</v>
      </c>
      <c r="G7" s="42"/>
      <c r="H7" s="42">
        <v>5000</v>
      </c>
      <c r="I7" s="42">
        <v>200</v>
      </c>
      <c r="J7" s="42"/>
      <c r="K7" s="43">
        <f t="shared" ref="K7" si="0">I7*J7</f>
        <v>0</v>
      </c>
      <c r="L7" s="43">
        <f t="shared" ref="L7" si="1">H7-K7</f>
        <v>5000</v>
      </c>
      <c r="M7" s="43"/>
      <c r="N7" s="43">
        <f t="shared" ref="N7" si="2">L7-M7</f>
        <v>5000</v>
      </c>
      <c r="O7" s="43">
        <f t="shared" ref="O7" si="3">H7/1000*70</f>
        <v>350</v>
      </c>
      <c r="P7" s="42">
        <v>0</v>
      </c>
      <c r="Q7" s="42">
        <v>55</v>
      </c>
      <c r="R7" s="42">
        <f t="shared" ref="R7" si="4">L7*Q7</f>
        <v>275000</v>
      </c>
    </row>
    <row r="9" spans="1:20">
      <c r="A9" s="1" t="s">
        <v>2618</v>
      </c>
      <c r="B9" s="42" t="s">
        <v>2546</v>
      </c>
      <c r="C9" s="42" t="s">
        <v>303</v>
      </c>
      <c r="D9" s="42" t="s">
        <v>16</v>
      </c>
      <c r="E9" s="42" t="s">
        <v>2626</v>
      </c>
      <c r="F9" s="42">
        <v>5558</v>
      </c>
      <c r="G9" s="42"/>
      <c r="H9" s="42">
        <v>10000</v>
      </c>
      <c r="I9" s="42">
        <v>400</v>
      </c>
      <c r="J9" s="42"/>
      <c r="K9" s="43">
        <f t="shared" ref="K9" si="5">I9*J9</f>
        <v>0</v>
      </c>
      <c r="L9" s="43">
        <f t="shared" ref="L9" si="6">H9-K9</f>
        <v>10000</v>
      </c>
      <c r="M9" s="43"/>
      <c r="N9" s="43">
        <f t="shared" ref="N9" si="7">L9-M9</f>
        <v>10000</v>
      </c>
      <c r="O9" s="43">
        <f t="shared" ref="O9" si="8">H9/1000*70</f>
        <v>700</v>
      </c>
      <c r="P9" s="42">
        <v>0</v>
      </c>
      <c r="Q9" s="42">
        <v>55</v>
      </c>
      <c r="R9" s="42">
        <f t="shared" ref="R9" si="9">L9*Q9</f>
        <v>550000</v>
      </c>
    </row>
    <row r="11" spans="1:20">
      <c r="B11" s="42" t="s">
        <v>1269</v>
      </c>
      <c r="C11" s="42" t="s">
        <v>303</v>
      </c>
      <c r="D11" s="42" t="s">
        <v>16</v>
      </c>
      <c r="E11" s="42" t="s">
        <v>2823</v>
      </c>
      <c r="F11" s="42">
        <v>7934</v>
      </c>
      <c r="G11" s="42"/>
      <c r="H11" s="42">
        <v>2500</v>
      </c>
      <c r="I11" s="42">
        <v>100</v>
      </c>
      <c r="J11" s="42"/>
      <c r="K11" s="43">
        <f t="shared" ref="K11" si="10">I11*J11</f>
        <v>0</v>
      </c>
      <c r="L11" s="43">
        <f t="shared" ref="L11" si="11">H11-K11</f>
        <v>2500</v>
      </c>
      <c r="M11" s="43"/>
      <c r="N11" s="43">
        <f t="shared" ref="N11" si="12">L11-M11</f>
        <v>2500</v>
      </c>
      <c r="O11" s="43">
        <f t="shared" ref="O11" si="13">H11/1000*70</f>
        <v>175</v>
      </c>
      <c r="P11" s="42">
        <v>0</v>
      </c>
      <c r="Q11" s="42">
        <v>53</v>
      </c>
      <c r="R11" s="42">
        <f t="shared" ref="R11" si="14">L11*Q11</f>
        <v>132500</v>
      </c>
      <c r="S11" s="42"/>
    </row>
    <row r="13" spans="1:20">
      <c r="A13" s="1" t="s">
        <v>3020</v>
      </c>
      <c r="B13" s="42" t="s">
        <v>3023</v>
      </c>
      <c r="C13" s="42" t="s">
        <v>3024</v>
      </c>
      <c r="D13" s="42" t="s">
        <v>16</v>
      </c>
      <c r="E13" s="42" t="s">
        <v>3025</v>
      </c>
      <c r="F13" s="42">
        <v>5709</v>
      </c>
      <c r="G13" s="42"/>
      <c r="H13" s="42">
        <v>300</v>
      </c>
      <c r="I13" s="42">
        <v>12</v>
      </c>
      <c r="J13" s="42"/>
      <c r="K13" s="43">
        <f t="shared" ref="K13" si="15">I13*J13</f>
        <v>0</v>
      </c>
      <c r="L13" s="43">
        <f t="shared" ref="L13" si="16">H13-K13</f>
        <v>300</v>
      </c>
      <c r="M13" s="43"/>
      <c r="N13" s="43">
        <f t="shared" ref="N13" si="17">L13-M13</f>
        <v>300</v>
      </c>
      <c r="O13" s="43">
        <f t="shared" ref="O13" si="18">H13/1000*70</f>
        <v>21</v>
      </c>
      <c r="P13" s="42">
        <v>0</v>
      </c>
      <c r="Q13" s="42">
        <v>165</v>
      </c>
      <c r="R13" s="42">
        <f t="shared" ref="R13" si="19">L13*Q13</f>
        <v>49500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5:T8"/>
  <sheetViews>
    <sheetView workbookViewId="0">
      <selection activeCell="B12" sqref="B12"/>
    </sheetView>
  </sheetViews>
  <sheetFormatPr defaultRowHeight="14.4"/>
  <cols>
    <col min="1" max="1" width="8.88671875" style="1"/>
    <col min="2" max="2" width="22.33203125" style="1" customWidth="1"/>
    <col min="3" max="3" width="8.88671875" style="1"/>
    <col min="4" max="4" width="5.5546875" style="1" customWidth="1"/>
    <col min="5" max="5" width="8.88671875" style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0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0">
      <c r="A6" s="109"/>
      <c r="B6" s="42"/>
      <c r="C6" s="42"/>
      <c r="D6" s="42"/>
      <c r="E6" s="42"/>
      <c r="F6" s="56"/>
      <c r="G6" s="42"/>
      <c r="H6" s="42"/>
      <c r="I6" s="42"/>
      <c r="J6" s="56"/>
      <c r="K6" s="56"/>
      <c r="L6" s="42"/>
      <c r="M6" s="56"/>
      <c r="N6" s="42"/>
      <c r="O6" s="42"/>
      <c r="P6" s="44"/>
      <c r="Q6" s="110"/>
      <c r="R6" s="110"/>
      <c r="S6" s="67"/>
      <c r="T6" s="67"/>
    </row>
    <row r="8" spans="1:20">
      <c r="A8" s="1" t="s">
        <v>2911</v>
      </c>
      <c r="B8" s="42" t="s">
        <v>1782</v>
      </c>
      <c r="C8" s="42" t="s">
        <v>303</v>
      </c>
      <c r="D8" s="42" t="s">
        <v>16</v>
      </c>
      <c r="E8" s="42" t="s">
        <v>2912</v>
      </c>
      <c r="F8" s="42">
        <v>83407</v>
      </c>
      <c r="G8" s="42"/>
      <c r="H8" s="42">
        <f>510*25</f>
        <v>12750</v>
      </c>
      <c r="I8" s="42">
        <v>510</v>
      </c>
      <c r="J8" s="42"/>
      <c r="K8" s="43">
        <f t="shared" ref="K8" si="0">I8*J8</f>
        <v>0</v>
      </c>
      <c r="L8" s="43">
        <f t="shared" ref="L8" si="1">H8-K8</f>
        <v>12750</v>
      </c>
      <c r="M8" s="43"/>
      <c r="N8" s="43">
        <f t="shared" ref="N8" si="2">L8-M8</f>
        <v>12750</v>
      </c>
      <c r="O8" s="43">
        <f t="shared" ref="O8" si="3">H8/1000*70</f>
        <v>892.5</v>
      </c>
      <c r="P8" s="42">
        <v>14000</v>
      </c>
      <c r="Q8" s="42">
        <v>57</v>
      </c>
      <c r="R8" s="42">
        <f t="shared" ref="R8" si="4">L8*Q8</f>
        <v>726750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5:T11"/>
  <sheetViews>
    <sheetView workbookViewId="0">
      <selection activeCell="H16" sqref="H16"/>
    </sheetView>
  </sheetViews>
  <sheetFormatPr defaultRowHeight="14.4"/>
  <cols>
    <col min="1" max="1" width="8.88671875" style="1"/>
    <col min="2" max="2" width="13.88671875" style="1" customWidth="1"/>
    <col min="3" max="3" width="8.88671875" style="1"/>
    <col min="4" max="4" width="5.5546875" style="1" customWidth="1"/>
    <col min="5" max="5" width="8.88671875" style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0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0">
      <c r="A6" s="7" t="s">
        <v>65</v>
      </c>
      <c r="B6" s="2" t="s">
        <v>69</v>
      </c>
      <c r="C6" s="2" t="s">
        <v>70</v>
      </c>
      <c r="D6" s="2" t="s">
        <v>16</v>
      </c>
      <c r="E6" s="2" t="s">
        <v>73</v>
      </c>
      <c r="F6" s="2">
        <v>27</v>
      </c>
      <c r="G6" s="2"/>
      <c r="H6" s="2">
        <v>500</v>
      </c>
      <c r="I6" s="2">
        <v>20</v>
      </c>
      <c r="J6" s="2"/>
      <c r="K6" s="2">
        <f t="shared" ref="K6" si="0">I6*J6</f>
        <v>0</v>
      </c>
      <c r="L6" s="5">
        <f t="shared" ref="L6" si="1">H6-K6</f>
        <v>500</v>
      </c>
      <c r="M6" s="5">
        <f t="shared" ref="M6" si="2">H6/1000*70</f>
        <v>35</v>
      </c>
      <c r="N6" s="2"/>
      <c r="Q6" s="1" t="s">
        <v>25</v>
      </c>
      <c r="R6" s="1">
        <v>121</v>
      </c>
      <c r="S6" s="1">
        <v>500</v>
      </c>
      <c r="T6" s="1" t="s">
        <v>65</v>
      </c>
    </row>
    <row r="7" spans="1:20">
      <c r="A7" s="8"/>
      <c r="B7" s="2"/>
      <c r="C7" s="2"/>
      <c r="D7" s="2"/>
      <c r="E7" s="2"/>
      <c r="F7" s="2"/>
      <c r="G7" s="2"/>
      <c r="H7" s="2"/>
      <c r="I7" s="2"/>
      <c r="J7" s="2"/>
      <c r="K7" s="2"/>
      <c r="L7" s="5"/>
      <c r="M7" s="5"/>
      <c r="N7" s="2"/>
    </row>
    <row r="8" spans="1:20">
      <c r="A8" s="8"/>
      <c r="B8" s="2"/>
      <c r="C8" s="2"/>
      <c r="D8" s="2"/>
      <c r="E8" s="2"/>
      <c r="F8" s="2"/>
      <c r="G8" s="2"/>
      <c r="H8" s="2"/>
      <c r="I8" s="2"/>
      <c r="J8" s="2"/>
      <c r="K8" s="2"/>
      <c r="L8" s="5"/>
      <c r="M8" s="5"/>
      <c r="N8" s="2"/>
    </row>
    <row r="9" spans="1:20">
      <c r="A9" s="9"/>
      <c r="B9" s="2"/>
      <c r="C9" s="2"/>
      <c r="D9" s="2"/>
      <c r="E9" s="2"/>
      <c r="F9" s="2"/>
      <c r="G9" s="2"/>
      <c r="H9" s="2"/>
      <c r="I9" s="2"/>
      <c r="J9" s="2"/>
      <c r="K9" s="2"/>
      <c r="L9" s="5"/>
      <c r="M9" s="5"/>
      <c r="N9" s="2"/>
    </row>
    <row r="10" spans="1:20">
      <c r="A10" s="10"/>
      <c r="B10" s="2"/>
      <c r="C10" s="2"/>
      <c r="D10" s="2"/>
      <c r="E10" s="2"/>
      <c r="F10" s="2"/>
      <c r="G10" s="2"/>
      <c r="H10" s="2"/>
      <c r="I10" s="2"/>
      <c r="J10" s="2"/>
      <c r="K10" s="2"/>
      <c r="L10" s="5"/>
      <c r="M10" s="5"/>
      <c r="N10" s="2"/>
    </row>
    <row r="11" spans="1:20">
      <c r="A11" s="11"/>
      <c r="B11" s="2"/>
      <c r="C11" s="2"/>
      <c r="D11" s="2"/>
      <c r="E11" s="2"/>
      <c r="F11" s="2"/>
      <c r="G11" s="2"/>
      <c r="H11" s="2"/>
      <c r="I11" s="2"/>
      <c r="J11" s="2"/>
      <c r="K11" s="2"/>
      <c r="L11" s="5"/>
      <c r="M11" s="5"/>
      <c r="N11" s="2"/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5:V76"/>
  <sheetViews>
    <sheetView topLeftCell="A55" workbookViewId="0">
      <selection activeCell="A77" sqref="A77"/>
    </sheetView>
  </sheetViews>
  <sheetFormatPr defaultRowHeight="14.4"/>
  <cols>
    <col min="1" max="1" width="7.5546875" style="1" customWidth="1"/>
    <col min="2" max="2" width="13.88671875" style="1" customWidth="1"/>
    <col min="3" max="3" width="10.5546875" style="1" customWidth="1"/>
    <col min="4" max="4" width="5.5546875" style="1" customWidth="1"/>
    <col min="5" max="5" width="8.88671875" style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2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2">
      <c r="A6" s="7" t="s">
        <v>76</v>
      </c>
      <c r="B6" s="2" t="s">
        <v>93</v>
      </c>
      <c r="C6" s="2" t="s">
        <v>94</v>
      </c>
      <c r="D6" s="2" t="s">
        <v>16</v>
      </c>
      <c r="E6" s="2" t="s">
        <v>95</v>
      </c>
      <c r="F6" s="2">
        <v>805</v>
      </c>
      <c r="G6" s="2"/>
      <c r="H6" s="2">
        <v>500</v>
      </c>
      <c r="I6" s="2">
        <v>20</v>
      </c>
      <c r="J6" s="2"/>
      <c r="K6" s="2">
        <f t="shared" ref="K6" si="0">I6*J6</f>
        <v>0</v>
      </c>
      <c r="L6" s="5">
        <f t="shared" ref="L6" si="1">H6-K6</f>
        <v>500</v>
      </c>
      <c r="M6" s="5">
        <f t="shared" ref="M6" si="2">H6/1000*70</f>
        <v>35</v>
      </c>
      <c r="N6" s="2">
        <v>0</v>
      </c>
      <c r="Q6" s="1" t="s">
        <v>25</v>
      </c>
      <c r="R6" s="1">
        <v>122</v>
      </c>
      <c r="S6" s="1" t="s">
        <v>84</v>
      </c>
      <c r="T6" s="1" t="s">
        <v>85</v>
      </c>
    </row>
    <row r="7" spans="1:22">
      <c r="A7" s="8"/>
      <c r="B7" s="2"/>
      <c r="C7" s="2"/>
      <c r="D7" s="2"/>
      <c r="E7" s="2"/>
      <c r="F7" s="2"/>
      <c r="G7" s="2"/>
      <c r="H7" s="2"/>
      <c r="I7" s="2"/>
      <c r="J7" s="2"/>
      <c r="K7" s="2"/>
      <c r="L7" s="5"/>
      <c r="M7" s="5"/>
      <c r="N7" s="2"/>
    </row>
    <row r="8" spans="1:22">
      <c r="A8" s="8"/>
      <c r="B8" s="2"/>
      <c r="C8" s="2"/>
      <c r="D8" s="2"/>
      <c r="E8" s="2"/>
      <c r="F8" s="2"/>
      <c r="G8" s="2"/>
      <c r="H8" s="2"/>
      <c r="I8" s="2"/>
      <c r="J8" s="2"/>
      <c r="K8" s="2"/>
      <c r="L8" s="5"/>
      <c r="M8" s="5"/>
      <c r="N8" s="2"/>
    </row>
    <row r="9" spans="1:22">
      <c r="A9" s="9" t="s">
        <v>338</v>
      </c>
      <c r="B9" s="42" t="s">
        <v>340</v>
      </c>
      <c r="C9" s="42" t="s">
        <v>341</v>
      </c>
      <c r="D9" s="42" t="s">
        <v>16</v>
      </c>
      <c r="E9" s="42" t="s">
        <v>342</v>
      </c>
      <c r="F9" s="42">
        <v>8570</v>
      </c>
      <c r="G9" s="42"/>
      <c r="H9" s="42">
        <v>2000</v>
      </c>
      <c r="I9" s="42">
        <v>80</v>
      </c>
      <c r="J9" s="42"/>
      <c r="K9" s="42">
        <f t="shared" ref="K9" si="3">I9*J9</f>
        <v>0</v>
      </c>
      <c r="L9" s="43">
        <f t="shared" ref="L9" si="4">H9-K9</f>
        <v>2000</v>
      </c>
      <c r="M9" s="43">
        <f t="shared" ref="M9" si="5">H9/1000*70</f>
        <v>140</v>
      </c>
      <c r="N9" s="42">
        <v>0</v>
      </c>
      <c r="O9" s="42">
        <v>165</v>
      </c>
      <c r="P9" s="42">
        <f t="shared" ref="P9" si="6">L9*O9</f>
        <v>330000</v>
      </c>
      <c r="Q9" s="1" t="s">
        <v>313</v>
      </c>
      <c r="R9" s="1">
        <v>148</v>
      </c>
      <c r="S9" s="1">
        <v>2000</v>
      </c>
      <c r="T9" s="1" t="s">
        <v>317</v>
      </c>
      <c r="U9" s="1">
        <v>165</v>
      </c>
      <c r="V9" s="1" t="s">
        <v>318</v>
      </c>
    </row>
    <row r="10" spans="1:22">
      <c r="A10" s="10"/>
      <c r="B10" s="2"/>
      <c r="C10" s="2"/>
      <c r="D10" s="2"/>
      <c r="E10" s="2"/>
      <c r="F10" s="2"/>
      <c r="G10" s="2"/>
      <c r="H10" s="2"/>
      <c r="I10" s="2"/>
      <c r="J10" s="2"/>
      <c r="K10" s="2"/>
      <c r="L10" s="5"/>
      <c r="M10" s="5"/>
      <c r="N10" s="2"/>
    </row>
    <row r="11" spans="1:22">
      <c r="A11" s="11" t="s">
        <v>704</v>
      </c>
      <c r="B11" s="42" t="s">
        <v>709</v>
      </c>
      <c r="C11" s="42" t="s">
        <v>710</v>
      </c>
      <c r="D11" s="42" t="s">
        <v>16</v>
      </c>
      <c r="E11" s="42" t="s">
        <v>711</v>
      </c>
      <c r="F11" s="42">
        <v>9963</v>
      </c>
      <c r="G11" s="42"/>
      <c r="H11" s="42">
        <v>1000</v>
      </c>
      <c r="I11" s="42">
        <v>40</v>
      </c>
      <c r="J11" s="42"/>
      <c r="K11" s="42">
        <f t="shared" ref="K11" si="7">I11*J11</f>
        <v>0</v>
      </c>
      <c r="L11" s="43">
        <f t="shared" ref="L11" si="8">H11-K11</f>
        <v>1000</v>
      </c>
      <c r="M11" s="43"/>
      <c r="N11" s="43">
        <f t="shared" ref="N11" si="9">L11-M11</f>
        <v>1000</v>
      </c>
      <c r="O11" s="43">
        <f t="shared" ref="O11" si="10">H11/1000*70</f>
        <v>70</v>
      </c>
      <c r="P11" s="42">
        <v>0</v>
      </c>
    </row>
    <row r="13" spans="1:22">
      <c r="A13" s="1" t="s">
        <v>718</v>
      </c>
      <c r="B13" s="42" t="s">
        <v>709</v>
      </c>
      <c r="C13" s="42" t="s">
        <v>720</v>
      </c>
      <c r="D13" s="42" t="s">
        <v>16</v>
      </c>
      <c r="E13" s="42" t="s">
        <v>721</v>
      </c>
      <c r="F13" s="42">
        <v>9986</v>
      </c>
      <c r="G13" s="42"/>
      <c r="H13" s="42">
        <v>1000</v>
      </c>
      <c r="I13" s="42"/>
      <c r="J13" s="42"/>
      <c r="K13" s="42">
        <f t="shared" ref="K13" si="11">I13*J13</f>
        <v>0</v>
      </c>
      <c r="L13" s="43">
        <f t="shared" ref="L13" si="12">H13-K13</f>
        <v>1000</v>
      </c>
      <c r="M13" s="43"/>
      <c r="N13" s="43">
        <f t="shared" ref="N13" si="13">L13-M13</f>
        <v>1000</v>
      </c>
      <c r="O13" s="43">
        <f t="shared" ref="O13" si="14">H13/1000*70</f>
        <v>70</v>
      </c>
      <c r="P13" s="42">
        <v>0</v>
      </c>
      <c r="Q13" s="42"/>
    </row>
    <row r="15" spans="1:22">
      <c r="A15" s="1" t="s">
        <v>884</v>
      </c>
      <c r="B15" s="42" t="s">
        <v>93</v>
      </c>
      <c r="C15" s="42" t="s">
        <v>891</v>
      </c>
      <c r="D15" s="42" t="s">
        <v>16</v>
      </c>
      <c r="E15" s="42" t="s">
        <v>892</v>
      </c>
      <c r="F15" s="42">
        <v>10335</v>
      </c>
      <c r="G15" s="42"/>
      <c r="H15" s="42">
        <v>1000</v>
      </c>
      <c r="I15" s="42"/>
      <c r="J15" s="42"/>
      <c r="K15" s="42">
        <f t="shared" ref="K15" si="15">I15*J15</f>
        <v>0</v>
      </c>
      <c r="L15" s="43">
        <f t="shared" ref="L15" si="16">H15-K15</f>
        <v>1000</v>
      </c>
      <c r="M15" s="43"/>
      <c r="N15" s="43">
        <f t="shared" ref="N15" si="17">L15-M15</f>
        <v>1000</v>
      </c>
      <c r="O15" s="43">
        <f t="shared" ref="O15" si="18">H15/1000*70</f>
        <v>70</v>
      </c>
      <c r="P15" s="42">
        <v>0</v>
      </c>
      <c r="Q15" s="42"/>
      <c r="R15" s="42">
        <f t="shared" ref="R15" si="19">L15*Q15</f>
        <v>0</v>
      </c>
    </row>
    <row r="16" spans="1:22" ht="15.6">
      <c r="Q16" s="1" t="s">
        <v>960</v>
      </c>
      <c r="R16" s="1">
        <v>259</v>
      </c>
      <c r="S16" s="117" t="s">
        <v>980</v>
      </c>
      <c r="U16" s="117" t="s">
        <v>981</v>
      </c>
    </row>
    <row r="17" spans="1:19" ht="23.4">
      <c r="A17" s="1" t="s">
        <v>975</v>
      </c>
      <c r="B17" s="92" t="s">
        <v>93</v>
      </c>
      <c r="C17" s="116" t="s">
        <v>977</v>
      </c>
      <c r="D17" s="42" t="s">
        <v>16</v>
      </c>
      <c r="E17" s="92" t="s">
        <v>979</v>
      </c>
      <c r="F17" s="92">
        <v>10880</v>
      </c>
      <c r="G17" s="92"/>
      <c r="H17" s="92">
        <v>700</v>
      </c>
      <c r="I17" s="92">
        <v>28</v>
      </c>
      <c r="J17" s="92"/>
      <c r="K17" s="42">
        <f t="shared" ref="K17" si="20">I17*J17</f>
        <v>0</v>
      </c>
      <c r="L17" s="43">
        <f t="shared" ref="L17" si="21">H17-K17</f>
        <v>700</v>
      </c>
      <c r="M17" s="43"/>
      <c r="N17" s="43">
        <f t="shared" ref="N17" si="22">L17-M17</f>
        <v>700</v>
      </c>
      <c r="O17" s="43">
        <f t="shared" ref="O17" si="23">H17/1000*70</f>
        <v>49</v>
      </c>
      <c r="P17" s="92">
        <v>0</v>
      </c>
      <c r="Q17" s="92"/>
      <c r="R17" s="92">
        <f t="shared" ref="R17" si="24">L17*Q17</f>
        <v>0</v>
      </c>
      <c r="S17" s="116" t="s">
        <v>978</v>
      </c>
    </row>
    <row r="19" spans="1:19">
      <c r="A19" s="1" t="s">
        <v>1028</v>
      </c>
      <c r="B19" s="42" t="s">
        <v>93</v>
      </c>
      <c r="C19" s="42" t="s">
        <v>891</v>
      </c>
      <c r="D19" s="42" t="s">
        <v>16</v>
      </c>
      <c r="E19" s="42" t="s">
        <v>1030</v>
      </c>
      <c r="F19" s="42">
        <v>11250</v>
      </c>
      <c r="G19" s="42"/>
      <c r="H19" s="42">
        <v>1000</v>
      </c>
      <c r="I19" s="42">
        <v>40</v>
      </c>
      <c r="J19" s="42"/>
      <c r="K19" s="42">
        <f t="shared" ref="K19" si="25">I19*J19</f>
        <v>0</v>
      </c>
      <c r="L19" s="43">
        <f t="shared" ref="L19" si="26">H19-K19</f>
        <v>1000</v>
      </c>
      <c r="M19" s="43"/>
      <c r="N19" s="43">
        <f t="shared" ref="N19" si="27">L19-M19</f>
        <v>1000</v>
      </c>
      <c r="O19" s="43">
        <f t="shared" ref="O19" si="28">H19/1000*70</f>
        <v>70</v>
      </c>
      <c r="P19" s="42">
        <v>0</v>
      </c>
      <c r="Q19" s="42"/>
      <c r="R19" s="42">
        <f t="shared" ref="R19" si="29">L19*Q19</f>
        <v>0</v>
      </c>
    </row>
    <row r="21" spans="1:19">
      <c r="A21" s="374" t="s">
        <v>1120</v>
      </c>
      <c r="B21" s="42" t="s">
        <v>1122</v>
      </c>
      <c r="C21" s="42" t="s">
        <v>891</v>
      </c>
      <c r="D21" s="42" t="s">
        <v>16</v>
      </c>
      <c r="E21" s="42" t="s">
        <v>1123</v>
      </c>
      <c r="F21" s="42">
        <v>11618</v>
      </c>
      <c r="G21" s="42"/>
      <c r="H21" s="42">
        <v>2000</v>
      </c>
      <c r="I21" s="42"/>
      <c r="J21" s="42"/>
      <c r="K21" s="42">
        <f t="shared" ref="K21:K22" si="30">I21*J21</f>
        <v>0</v>
      </c>
      <c r="L21" s="43">
        <f t="shared" ref="L21:L22" si="31">H21-K21</f>
        <v>2000</v>
      </c>
      <c r="M21" s="43"/>
      <c r="N21" s="43">
        <f t="shared" ref="N21:N22" si="32">L21-M21</f>
        <v>2000</v>
      </c>
      <c r="O21" s="43">
        <f t="shared" ref="O21:O22" si="33">H21/1000*70</f>
        <v>140</v>
      </c>
      <c r="P21" s="42"/>
      <c r="Q21" s="42">
        <v>165</v>
      </c>
      <c r="R21" s="42">
        <f t="shared" ref="R21:R22" si="34">L21*Q21</f>
        <v>330000</v>
      </c>
    </row>
    <row r="22" spans="1:19">
      <c r="A22" s="374"/>
      <c r="B22" s="92"/>
      <c r="C22" s="92" t="s">
        <v>724</v>
      </c>
      <c r="D22" s="42" t="s">
        <v>16</v>
      </c>
      <c r="E22" s="42" t="s">
        <v>1123</v>
      </c>
      <c r="F22" s="42">
        <v>11618</v>
      </c>
      <c r="G22" s="42"/>
      <c r="H22" s="42">
        <v>300</v>
      </c>
      <c r="I22" s="42"/>
      <c r="J22" s="42"/>
      <c r="K22" s="42">
        <f t="shared" si="30"/>
        <v>0</v>
      </c>
      <c r="L22" s="43">
        <f t="shared" si="31"/>
        <v>300</v>
      </c>
      <c r="M22" s="43"/>
      <c r="N22" s="43">
        <f t="shared" si="32"/>
        <v>300</v>
      </c>
      <c r="O22" s="43">
        <f t="shared" si="33"/>
        <v>21</v>
      </c>
      <c r="P22" s="42"/>
      <c r="Q22" s="42">
        <v>575</v>
      </c>
      <c r="R22" s="42">
        <f t="shared" si="34"/>
        <v>172500</v>
      </c>
    </row>
    <row r="24" spans="1:19">
      <c r="A24" s="1" t="s">
        <v>1358</v>
      </c>
      <c r="B24" s="42" t="s">
        <v>93</v>
      </c>
      <c r="C24" s="42" t="s">
        <v>1363</v>
      </c>
      <c r="D24" s="42" t="s">
        <v>16</v>
      </c>
      <c r="E24" s="42" t="s">
        <v>892</v>
      </c>
      <c r="F24" s="42">
        <v>12448</v>
      </c>
      <c r="G24" s="42"/>
      <c r="H24" s="42">
        <v>1000</v>
      </c>
      <c r="I24" s="42">
        <v>40</v>
      </c>
      <c r="J24" s="42"/>
      <c r="K24" s="42">
        <f t="shared" ref="K24" si="35">I24*J24</f>
        <v>0</v>
      </c>
      <c r="L24" s="43">
        <f t="shared" ref="L24" si="36">H24-K24</f>
        <v>1000</v>
      </c>
      <c r="M24" s="43"/>
      <c r="N24" s="43">
        <f t="shared" ref="N24" si="37">L24-M24</f>
        <v>1000</v>
      </c>
      <c r="O24" s="43">
        <f t="shared" ref="O24" si="38">H24/1000*70</f>
        <v>70</v>
      </c>
      <c r="P24" s="42">
        <v>0</v>
      </c>
      <c r="Q24" s="42">
        <v>570</v>
      </c>
      <c r="R24" s="42">
        <f t="shared" ref="R24" si="39">L24*Q24</f>
        <v>570000</v>
      </c>
    </row>
    <row r="26" spans="1:19">
      <c r="A26" s="1" t="s">
        <v>1953</v>
      </c>
      <c r="B26" s="42" t="s">
        <v>93</v>
      </c>
      <c r="C26" s="42" t="s">
        <v>724</v>
      </c>
      <c r="D26" s="42" t="s">
        <v>16</v>
      </c>
      <c r="E26" s="42" t="s">
        <v>892</v>
      </c>
      <c r="F26" s="42">
        <v>13600</v>
      </c>
      <c r="G26" s="42"/>
      <c r="H26" s="42">
        <v>500</v>
      </c>
      <c r="I26" s="42">
        <v>20</v>
      </c>
      <c r="J26" s="42"/>
      <c r="K26" s="43">
        <f t="shared" ref="K26" si="40">I26*J26</f>
        <v>0</v>
      </c>
      <c r="L26" s="43">
        <f t="shared" ref="L26" si="41">H26-K26</f>
        <v>500</v>
      </c>
      <c r="M26" s="43"/>
      <c r="N26" s="43">
        <f t="shared" ref="N26" si="42">L26-M26</f>
        <v>500</v>
      </c>
      <c r="O26" s="43">
        <f t="shared" ref="O26" si="43">H26/1000*70</f>
        <v>35</v>
      </c>
      <c r="P26" s="42">
        <v>0</v>
      </c>
      <c r="Q26" s="42">
        <v>570</v>
      </c>
      <c r="R26" s="42">
        <f t="shared" ref="R26" si="44">L26*Q26</f>
        <v>285000</v>
      </c>
    </row>
    <row r="28" spans="1:19">
      <c r="A28" s="1" t="s">
        <v>2103</v>
      </c>
      <c r="B28" s="42" t="s">
        <v>93</v>
      </c>
      <c r="C28" s="42" t="s">
        <v>710</v>
      </c>
      <c r="D28" s="42" t="s">
        <v>16</v>
      </c>
      <c r="E28" s="42" t="s">
        <v>892</v>
      </c>
      <c r="F28" s="42">
        <v>13994</v>
      </c>
      <c r="G28" s="42"/>
      <c r="H28" s="42">
        <v>100</v>
      </c>
      <c r="I28" s="42">
        <v>4</v>
      </c>
      <c r="J28" s="42"/>
      <c r="K28" s="43">
        <f t="shared" ref="K28:K30" si="45">I28*J28</f>
        <v>0</v>
      </c>
      <c r="L28" s="43">
        <f t="shared" ref="L28:L30" si="46">H28-K28</f>
        <v>100</v>
      </c>
      <c r="M28" s="43"/>
      <c r="N28" s="43">
        <f t="shared" ref="N28:N30" si="47">L28-M28</f>
        <v>100</v>
      </c>
      <c r="O28" s="43">
        <f t="shared" ref="O28:O30" si="48">H28/1000*70</f>
        <v>7</v>
      </c>
      <c r="P28" s="42">
        <v>0</v>
      </c>
      <c r="Q28" s="42">
        <v>975</v>
      </c>
      <c r="R28" s="42">
        <f t="shared" ref="R28:R30" si="49">L28*Q28</f>
        <v>97500</v>
      </c>
    </row>
    <row r="29" spans="1:19">
      <c r="A29" s="374" t="s">
        <v>2198</v>
      </c>
      <c r="B29" s="42" t="s">
        <v>340</v>
      </c>
      <c r="C29" s="42" t="s">
        <v>710</v>
      </c>
      <c r="D29" s="42" t="s">
        <v>16</v>
      </c>
      <c r="E29" s="42" t="s">
        <v>2203</v>
      </c>
      <c r="F29" s="42">
        <v>14209</v>
      </c>
      <c r="G29" s="42"/>
      <c r="H29" s="42">
        <v>400</v>
      </c>
      <c r="I29" s="42">
        <v>16</v>
      </c>
      <c r="J29" s="42"/>
      <c r="K29" s="43">
        <f t="shared" si="45"/>
        <v>0</v>
      </c>
      <c r="L29" s="43">
        <f t="shared" si="46"/>
        <v>400</v>
      </c>
      <c r="M29" s="43"/>
      <c r="N29" s="43">
        <f t="shared" si="47"/>
        <v>400</v>
      </c>
      <c r="O29" s="43">
        <f t="shared" si="48"/>
        <v>28</v>
      </c>
      <c r="P29" s="42">
        <v>0</v>
      </c>
      <c r="Q29" s="42">
        <v>975</v>
      </c>
      <c r="R29" s="42">
        <f t="shared" si="49"/>
        <v>390000</v>
      </c>
    </row>
    <row r="30" spans="1:19">
      <c r="A30" s="374"/>
      <c r="B30" s="42"/>
      <c r="C30" s="42" t="s">
        <v>724</v>
      </c>
      <c r="D30" s="42" t="s">
        <v>16</v>
      </c>
      <c r="E30" s="42" t="s">
        <v>2203</v>
      </c>
      <c r="F30" s="42">
        <v>14209</v>
      </c>
      <c r="G30" s="42"/>
      <c r="H30" s="42">
        <v>400</v>
      </c>
      <c r="I30" s="42">
        <v>16</v>
      </c>
      <c r="J30" s="42"/>
      <c r="K30" s="43">
        <f t="shared" si="45"/>
        <v>0</v>
      </c>
      <c r="L30" s="43">
        <f t="shared" si="46"/>
        <v>400</v>
      </c>
      <c r="M30" s="43"/>
      <c r="N30" s="43">
        <f t="shared" si="47"/>
        <v>400</v>
      </c>
      <c r="O30" s="43">
        <f t="shared" si="48"/>
        <v>28</v>
      </c>
      <c r="P30" s="42">
        <v>0</v>
      </c>
      <c r="Q30" s="42">
        <v>570</v>
      </c>
      <c r="R30" s="42">
        <f t="shared" si="49"/>
        <v>228000</v>
      </c>
    </row>
    <row r="32" spans="1:19">
      <c r="A32" s="374" t="s">
        <v>2263</v>
      </c>
      <c r="B32" s="42" t="s">
        <v>340</v>
      </c>
      <c r="C32" s="42" t="s">
        <v>710</v>
      </c>
      <c r="D32" s="42" t="s">
        <v>16</v>
      </c>
      <c r="E32" s="42" t="s">
        <v>2266</v>
      </c>
      <c r="F32" s="42">
        <v>14527</v>
      </c>
      <c r="G32" s="42">
        <v>1461</v>
      </c>
      <c r="H32" s="42">
        <v>200</v>
      </c>
      <c r="I32" s="42">
        <v>8</v>
      </c>
      <c r="J32" s="42"/>
      <c r="K32" s="43">
        <f t="shared" ref="K32:K33" si="50">I32*J32</f>
        <v>0</v>
      </c>
      <c r="L32" s="43">
        <f t="shared" ref="L32:L33" si="51">H32-K32</f>
        <v>200</v>
      </c>
      <c r="M32" s="43"/>
      <c r="N32" s="43">
        <f t="shared" ref="N32:N33" si="52">L32-M32</f>
        <v>200</v>
      </c>
      <c r="O32" s="43">
        <f t="shared" ref="O32:O33" si="53">H32/1000*70</f>
        <v>14</v>
      </c>
      <c r="P32" s="42"/>
      <c r="Q32" s="42"/>
      <c r="R32" s="42">
        <f t="shared" ref="R32:R33" si="54">L32*Q32</f>
        <v>0</v>
      </c>
    </row>
    <row r="33" spans="1:19">
      <c r="A33" s="374"/>
      <c r="B33" s="42"/>
      <c r="C33" s="42" t="s">
        <v>2265</v>
      </c>
      <c r="D33" s="42" t="s">
        <v>16</v>
      </c>
      <c r="E33" s="42" t="s">
        <v>2266</v>
      </c>
      <c r="F33" s="42"/>
      <c r="G33" s="42"/>
      <c r="H33" s="42">
        <v>300</v>
      </c>
      <c r="I33" s="42">
        <v>12</v>
      </c>
      <c r="J33" s="42"/>
      <c r="K33" s="43">
        <f t="shared" si="50"/>
        <v>0</v>
      </c>
      <c r="L33" s="43">
        <f t="shared" si="51"/>
        <v>300</v>
      </c>
      <c r="M33" s="43"/>
      <c r="N33" s="43">
        <f t="shared" si="52"/>
        <v>300</v>
      </c>
      <c r="O33" s="43">
        <f t="shared" si="53"/>
        <v>21</v>
      </c>
      <c r="P33" s="42"/>
      <c r="Q33" s="42"/>
      <c r="R33" s="42">
        <f t="shared" si="54"/>
        <v>0</v>
      </c>
    </row>
    <row r="35" spans="1:19">
      <c r="A35" s="1" t="s">
        <v>2403</v>
      </c>
      <c r="B35" s="42" t="s">
        <v>93</v>
      </c>
      <c r="C35" s="42" t="s">
        <v>710</v>
      </c>
      <c r="D35" s="42" t="s">
        <v>16</v>
      </c>
      <c r="E35" s="42" t="s">
        <v>892</v>
      </c>
      <c r="F35" s="42">
        <v>14950</v>
      </c>
      <c r="G35" s="42"/>
      <c r="H35" s="42">
        <v>800</v>
      </c>
      <c r="I35" s="42">
        <v>32</v>
      </c>
      <c r="J35" s="42"/>
      <c r="K35" s="43">
        <f t="shared" ref="K35" si="55">I35*J35</f>
        <v>0</v>
      </c>
      <c r="L35" s="43">
        <f t="shared" ref="L35" si="56">H35-K35</f>
        <v>800</v>
      </c>
      <c r="M35" s="43"/>
      <c r="N35" s="43">
        <f t="shared" ref="N35" si="57">L35-M35</f>
        <v>800</v>
      </c>
      <c r="O35" s="43">
        <f t="shared" ref="O35" si="58">H35/1000*70</f>
        <v>56</v>
      </c>
      <c r="P35" s="42">
        <v>0</v>
      </c>
      <c r="Q35" s="42"/>
      <c r="R35" s="42">
        <f t="shared" ref="R35" si="59">L35*Q35</f>
        <v>0</v>
      </c>
    </row>
    <row r="37" spans="1:19">
      <c r="A37" s="1" t="s">
        <v>2434</v>
      </c>
      <c r="B37" s="42" t="s">
        <v>93</v>
      </c>
      <c r="C37" s="42" t="s">
        <v>724</v>
      </c>
      <c r="D37" s="42" t="s">
        <v>16</v>
      </c>
      <c r="E37" s="42" t="s">
        <v>892</v>
      </c>
      <c r="F37" s="42">
        <v>15025</v>
      </c>
      <c r="G37" s="42"/>
      <c r="H37" s="42">
        <v>300</v>
      </c>
      <c r="I37" s="42">
        <v>12</v>
      </c>
      <c r="J37" s="42"/>
      <c r="K37" s="43">
        <f t="shared" ref="K37" si="60">I37*J37</f>
        <v>0</v>
      </c>
      <c r="L37" s="43">
        <f t="shared" ref="L37" si="61">H37-K37</f>
        <v>300</v>
      </c>
      <c r="M37" s="43"/>
      <c r="N37" s="43">
        <f t="shared" ref="N37" si="62">L37-M37</f>
        <v>300</v>
      </c>
      <c r="O37" s="43">
        <f t="shared" ref="O37" si="63">H37/1000*70</f>
        <v>21</v>
      </c>
      <c r="P37" s="42">
        <v>0</v>
      </c>
      <c r="Q37" s="42">
        <v>570</v>
      </c>
      <c r="R37" s="42">
        <f t="shared" ref="R37" si="64">L37*Q37</f>
        <v>171000</v>
      </c>
      <c r="S37" s="42"/>
    </row>
    <row r="39" spans="1:19">
      <c r="A39" s="1" t="s">
        <v>2488</v>
      </c>
      <c r="B39" s="42" t="s">
        <v>340</v>
      </c>
      <c r="C39" s="42" t="s">
        <v>724</v>
      </c>
      <c r="D39" s="42" t="s">
        <v>16</v>
      </c>
      <c r="E39" s="42" t="s">
        <v>2266</v>
      </c>
      <c r="F39" s="42">
        <v>15201</v>
      </c>
      <c r="G39" s="42"/>
      <c r="H39" s="42">
        <v>500</v>
      </c>
      <c r="I39" s="42">
        <v>20</v>
      </c>
      <c r="J39" s="42"/>
      <c r="K39" s="43">
        <f t="shared" ref="K39" si="65">I39*J39</f>
        <v>0</v>
      </c>
      <c r="L39" s="43">
        <f t="shared" ref="L39" si="66">H39-K39</f>
        <v>500</v>
      </c>
      <c r="M39" s="43"/>
      <c r="N39" s="43">
        <f t="shared" ref="N39" si="67">L39-M39</f>
        <v>500</v>
      </c>
      <c r="O39" s="43">
        <f t="shared" ref="O39" si="68">H39/1000*70</f>
        <v>35</v>
      </c>
      <c r="P39" s="42">
        <v>0</v>
      </c>
      <c r="Q39" s="42">
        <v>570</v>
      </c>
      <c r="R39" s="42">
        <f t="shared" ref="R39" si="69">L39*Q39</f>
        <v>285000</v>
      </c>
    </row>
    <row r="41" spans="1:19">
      <c r="A41" s="374" t="s">
        <v>2510</v>
      </c>
      <c r="B41" s="42" t="s">
        <v>340</v>
      </c>
      <c r="C41" s="42" t="s">
        <v>710</v>
      </c>
      <c r="D41" s="42" t="s">
        <v>16</v>
      </c>
      <c r="E41" s="42" t="s">
        <v>892</v>
      </c>
      <c r="F41" s="42">
        <v>15254</v>
      </c>
      <c r="G41" s="42"/>
      <c r="H41" s="42">
        <v>300</v>
      </c>
      <c r="I41" s="42">
        <v>12</v>
      </c>
      <c r="J41" s="42"/>
      <c r="K41" s="43">
        <f t="shared" ref="K41:K42" si="70">I41*J41</f>
        <v>0</v>
      </c>
      <c r="L41" s="43">
        <f t="shared" ref="L41:L42" si="71">H41-K41</f>
        <v>300</v>
      </c>
      <c r="M41" s="43"/>
      <c r="N41" s="43">
        <f t="shared" ref="N41:N42" si="72">L41-M41</f>
        <v>300</v>
      </c>
      <c r="O41" s="43">
        <f t="shared" ref="O41:O42" si="73">H41/1000*70</f>
        <v>21</v>
      </c>
      <c r="P41" s="42">
        <v>0</v>
      </c>
      <c r="Q41" s="42">
        <v>975</v>
      </c>
      <c r="R41" s="42">
        <f t="shared" ref="R41:R42" si="74">L41*Q41</f>
        <v>292500</v>
      </c>
    </row>
    <row r="42" spans="1:19">
      <c r="A42" s="374"/>
      <c r="B42" s="42"/>
      <c r="C42" s="42" t="s">
        <v>891</v>
      </c>
      <c r="D42" s="42" t="s">
        <v>16</v>
      </c>
      <c r="E42" s="42" t="s">
        <v>892</v>
      </c>
      <c r="F42" s="42">
        <v>15254</v>
      </c>
      <c r="G42" s="42"/>
      <c r="H42" s="42">
        <v>200</v>
      </c>
      <c r="I42" s="42">
        <v>8</v>
      </c>
      <c r="J42" s="42"/>
      <c r="K42" s="43">
        <f t="shared" si="70"/>
        <v>0</v>
      </c>
      <c r="L42" s="43">
        <f t="shared" si="71"/>
        <v>200</v>
      </c>
      <c r="M42" s="43"/>
      <c r="N42" s="43">
        <f t="shared" si="72"/>
        <v>200</v>
      </c>
      <c r="O42" s="43">
        <f t="shared" si="73"/>
        <v>14</v>
      </c>
      <c r="P42" s="42">
        <v>0</v>
      </c>
      <c r="Q42" s="42">
        <v>165</v>
      </c>
      <c r="R42" s="42">
        <f t="shared" si="74"/>
        <v>33000</v>
      </c>
    </row>
    <row r="44" spans="1:19">
      <c r="A44" s="1" t="s">
        <v>2583</v>
      </c>
      <c r="B44" s="42" t="s">
        <v>93</v>
      </c>
      <c r="C44" s="42" t="s">
        <v>724</v>
      </c>
      <c r="D44" s="42" t="s">
        <v>16</v>
      </c>
      <c r="E44" s="42" t="s">
        <v>2203</v>
      </c>
      <c r="F44" s="42">
        <v>15502</v>
      </c>
      <c r="G44" s="42"/>
      <c r="H44" s="42">
        <v>500</v>
      </c>
      <c r="I44" s="42">
        <v>20</v>
      </c>
      <c r="J44" s="42"/>
      <c r="K44" s="43">
        <f t="shared" ref="K44" si="75">I44*J44</f>
        <v>0</v>
      </c>
      <c r="L44" s="43">
        <f t="shared" ref="L44" si="76">H44-K44</f>
        <v>500</v>
      </c>
      <c r="M44" s="43"/>
      <c r="N44" s="43">
        <f t="shared" ref="N44" si="77">L44-M44</f>
        <v>500</v>
      </c>
      <c r="O44" s="43">
        <f t="shared" ref="O44" si="78">H44/1000*70</f>
        <v>35</v>
      </c>
      <c r="P44" s="42">
        <v>0</v>
      </c>
      <c r="Q44" s="42">
        <v>570</v>
      </c>
      <c r="R44" s="42">
        <f t="shared" ref="R44" si="79">L44*Q44</f>
        <v>285000</v>
      </c>
    </row>
    <row r="46" spans="1:19">
      <c r="A46" s="1" t="s">
        <v>2698</v>
      </c>
      <c r="B46" s="42" t="s">
        <v>340</v>
      </c>
      <c r="C46" s="42" t="s">
        <v>724</v>
      </c>
      <c r="D46" s="42" t="s">
        <v>16</v>
      </c>
      <c r="E46" s="42" t="s">
        <v>2203</v>
      </c>
      <c r="F46" s="42">
        <v>15694</v>
      </c>
      <c r="G46" s="42"/>
      <c r="H46" s="42">
        <v>500</v>
      </c>
      <c r="I46" s="42">
        <v>20</v>
      </c>
      <c r="J46" s="42"/>
      <c r="K46" s="43">
        <f t="shared" ref="K46" si="80">I46*J46</f>
        <v>0</v>
      </c>
      <c r="L46" s="43">
        <f t="shared" ref="L46" si="81">H46-K46</f>
        <v>500</v>
      </c>
      <c r="M46" s="43"/>
      <c r="N46" s="43">
        <f t="shared" ref="N46" si="82">L46-M46</f>
        <v>500</v>
      </c>
      <c r="O46" s="43">
        <f t="shared" ref="O46" si="83">H46/1000*70</f>
        <v>35</v>
      </c>
      <c r="P46" s="42">
        <v>0</v>
      </c>
      <c r="Q46" s="42">
        <v>570</v>
      </c>
      <c r="R46" s="42">
        <f t="shared" ref="R46" si="84">L46*Q46</f>
        <v>285000</v>
      </c>
    </row>
    <row r="48" spans="1:19">
      <c r="A48" s="1" t="s">
        <v>2801</v>
      </c>
      <c r="B48" s="42" t="s">
        <v>93</v>
      </c>
      <c r="C48" s="42" t="s">
        <v>710</v>
      </c>
      <c r="D48" s="42" t="s">
        <v>16</v>
      </c>
      <c r="E48" s="42" t="s">
        <v>2203</v>
      </c>
      <c r="F48" s="42">
        <v>15885</v>
      </c>
      <c r="G48" s="42"/>
      <c r="H48" s="42">
        <v>100</v>
      </c>
      <c r="I48" s="42">
        <v>4</v>
      </c>
      <c r="J48" s="42"/>
      <c r="K48" s="43">
        <f t="shared" ref="K48" si="85">I48*J48</f>
        <v>0</v>
      </c>
      <c r="L48" s="43">
        <f t="shared" ref="L48" si="86">H48-K48</f>
        <v>100</v>
      </c>
      <c r="M48" s="43"/>
      <c r="N48" s="43">
        <f t="shared" ref="N48" si="87">L48-M48</f>
        <v>100</v>
      </c>
      <c r="O48" s="43">
        <f t="shared" ref="O48" si="88">H48/1000*70</f>
        <v>7</v>
      </c>
      <c r="P48" s="42">
        <v>0</v>
      </c>
      <c r="Q48" s="42">
        <v>975</v>
      </c>
      <c r="R48" s="42">
        <f t="shared" ref="R48" si="89">L48*Q48</f>
        <v>97500</v>
      </c>
    </row>
    <row r="50" spans="1:18">
      <c r="A50" s="1" t="s">
        <v>2862</v>
      </c>
      <c r="B50" s="42" t="s">
        <v>340</v>
      </c>
      <c r="C50" s="42" t="s">
        <v>724</v>
      </c>
      <c r="D50" s="42" t="s">
        <v>16</v>
      </c>
      <c r="E50" s="42" t="s">
        <v>2203</v>
      </c>
      <c r="F50" s="42">
        <v>15995</v>
      </c>
      <c r="G50" s="42"/>
      <c r="H50" s="42">
        <v>500</v>
      </c>
      <c r="I50" s="42">
        <v>20</v>
      </c>
      <c r="J50" s="42"/>
      <c r="K50" s="43">
        <f t="shared" ref="K50" si="90">I50*J50</f>
        <v>0</v>
      </c>
      <c r="L50" s="43">
        <f t="shared" ref="L50" si="91">H50-K50</f>
        <v>500</v>
      </c>
      <c r="M50" s="43"/>
      <c r="N50" s="43">
        <f t="shared" ref="N50" si="92">L50-M50</f>
        <v>500</v>
      </c>
      <c r="O50" s="43">
        <f t="shared" ref="O50" si="93">H50/1000*70</f>
        <v>35</v>
      </c>
      <c r="P50" s="42">
        <v>0</v>
      </c>
      <c r="Q50" s="42">
        <v>570</v>
      </c>
      <c r="R50" s="42">
        <f t="shared" ref="R50" si="94">L50*Q50</f>
        <v>285000</v>
      </c>
    </row>
    <row r="52" spans="1:18">
      <c r="A52" s="1" t="s">
        <v>2887</v>
      </c>
      <c r="B52" s="42" t="s">
        <v>93</v>
      </c>
      <c r="C52" s="42" t="s">
        <v>724</v>
      </c>
      <c r="D52" s="42" t="s">
        <v>16</v>
      </c>
      <c r="E52" s="42" t="s">
        <v>892</v>
      </c>
      <c r="F52" s="42">
        <v>16085</v>
      </c>
      <c r="G52" s="42"/>
      <c r="H52" s="42">
        <v>300</v>
      </c>
      <c r="I52" s="42">
        <v>12</v>
      </c>
      <c r="J52" s="42"/>
      <c r="K52" s="43">
        <f t="shared" ref="K52" si="95">I52*J52</f>
        <v>0</v>
      </c>
      <c r="L52" s="43">
        <f t="shared" ref="L52" si="96">H52-K52</f>
        <v>300</v>
      </c>
      <c r="M52" s="43"/>
      <c r="N52" s="43">
        <f t="shared" ref="N52" si="97">L52-M52</f>
        <v>300</v>
      </c>
      <c r="O52" s="43">
        <f t="shared" ref="O52" si="98">H52/1000*70</f>
        <v>21</v>
      </c>
      <c r="P52" s="42">
        <v>0</v>
      </c>
      <c r="Q52" s="42">
        <v>570</v>
      </c>
      <c r="R52" s="42">
        <f t="shared" ref="R52" si="99">L52*Q52</f>
        <v>171000</v>
      </c>
    </row>
    <row r="54" spans="1:18">
      <c r="A54" s="374" t="s">
        <v>2903</v>
      </c>
      <c r="B54" s="42" t="s">
        <v>93</v>
      </c>
      <c r="C54" s="42" t="s">
        <v>724</v>
      </c>
      <c r="D54" s="42" t="s">
        <v>16</v>
      </c>
      <c r="E54" s="42" t="s">
        <v>2203</v>
      </c>
      <c r="F54" s="42">
        <v>0</v>
      </c>
      <c r="G54" s="42"/>
      <c r="H54" s="42">
        <v>500</v>
      </c>
      <c r="I54" s="42">
        <v>20</v>
      </c>
      <c r="J54" s="42"/>
      <c r="K54" s="43">
        <f t="shared" ref="K54:K55" si="100">I54*J54</f>
        <v>0</v>
      </c>
      <c r="L54" s="43">
        <f t="shared" ref="L54:L55" si="101">H54-K54</f>
        <v>500</v>
      </c>
      <c r="M54" s="43"/>
      <c r="N54" s="43">
        <f t="shared" ref="N54:N55" si="102">L54-M54</f>
        <v>500</v>
      </c>
      <c r="O54" s="43">
        <f t="shared" ref="O54:O55" si="103">H54/1000*70</f>
        <v>35</v>
      </c>
      <c r="P54" s="42">
        <v>0</v>
      </c>
      <c r="Q54" s="42">
        <v>570</v>
      </c>
      <c r="R54" s="42">
        <f t="shared" ref="R54:R55" si="104">L54*Q54</f>
        <v>285000</v>
      </c>
    </row>
    <row r="55" spans="1:18">
      <c r="A55" s="374"/>
      <c r="B55" s="42"/>
      <c r="C55" s="42" t="s">
        <v>710</v>
      </c>
      <c r="D55" s="42" t="s">
        <v>16</v>
      </c>
      <c r="E55" s="42"/>
      <c r="F55" s="42"/>
      <c r="G55" s="42"/>
      <c r="H55" s="42">
        <v>200</v>
      </c>
      <c r="I55" s="42">
        <v>8</v>
      </c>
      <c r="J55" s="42"/>
      <c r="K55" s="43">
        <f t="shared" si="100"/>
        <v>0</v>
      </c>
      <c r="L55" s="43">
        <f t="shared" si="101"/>
        <v>200</v>
      </c>
      <c r="M55" s="43"/>
      <c r="N55" s="43">
        <f t="shared" si="102"/>
        <v>200</v>
      </c>
      <c r="O55" s="43">
        <f t="shared" si="103"/>
        <v>14</v>
      </c>
      <c r="P55" s="42">
        <v>0</v>
      </c>
      <c r="Q55" s="42">
        <v>975</v>
      </c>
      <c r="R55" s="42">
        <f t="shared" si="104"/>
        <v>195000</v>
      </c>
    </row>
    <row r="57" spans="1:18">
      <c r="A57" s="374" t="s">
        <v>2960</v>
      </c>
      <c r="B57" s="42" t="s">
        <v>340</v>
      </c>
      <c r="C57" s="42" t="s">
        <v>724</v>
      </c>
      <c r="D57" s="42" t="s">
        <v>16</v>
      </c>
      <c r="E57" s="42" t="s">
        <v>2266</v>
      </c>
      <c r="F57" s="42">
        <v>16120</v>
      </c>
      <c r="G57" s="42"/>
      <c r="H57" s="42">
        <v>500</v>
      </c>
      <c r="I57" s="42">
        <v>20</v>
      </c>
      <c r="J57" s="42"/>
      <c r="K57" s="43">
        <f t="shared" ref="K57:K60" si="105">I57*J57</f>
        <v>0</v>
      </c>
      <c r="L57" s="43">
        <f t="shared" ref="L57:L60" si="106">H57-K57</f>
        <v>500</v>
      </c>
      <c r="M57" s="43"/>
      <c r="N57" s="43">
        <f t="shared" ref="N57:N60" si="107">L57-M57</f>
        <v>500</v>
      </c>
      <c r="O57" s="43">
        <f t="shared" ref="O57:O60" si="108">H57/1000*70</f>
        <v>35</v>
      </c>
      <c r="P57" s="42">
        <v>0</v>
      </c>
      <c r="Q57" s="42">
        <v>570</v>
      </c>
      <c r="R57" s="42">
        <f t="shared" ref="R57:R60" si="109">L57*Q57</f>
        <v>285000</v>
      </c>
    </row>
    <row r="58" spans="1:18">
      <c r="A58" s="374"/>
      <c r="B58" s="42"/>
      <c r="C58" s="42" t="s">
        <v>710</v>
      </c>
      <c r="D58" s="42" t="s">
        <v>16</v>
      </c>
      <c r="E58" s="42" t="s">
        <v>2266</v>
      </c>
      <c r="F58" s="42">
        <v>16120</v>
      </c>
      <c r="G58" s="42"/>
      <c r="H58" s="42">
        <v>200</v>
      </c>
      <c r="I58" s="42">
        <v>8</v>
      </c>
      <c r="J58" s="42"/>
      <c r="K58" s="43">
        <f t="shared" si="105"/>
        <v>0</v>
      </c>
      <c r="L58" s="43">
        <f t="shared" si="106"/>
        <v>200</v>
      </c>
      <c r="M58" s="43"/>
      <c r="N58" s="43">
        <f t="shared" si="107"/>
        <v>200</v>
      </c>
      <c r="O58" s="43">
        <f t="shared" si="108"/>
        <v>14</v>
      </c>
      <c r="P58" s="42">
        <v>0</v>
      </c>
      <c r="Q58" s="42">
        <v>975</v>
      </c>
      <c r="R58" s="42">
        <f t="shared" si="109"/>
        <v>195000</v>
      </c>
    </row>
    <row r="59" spans="1:18">
      <c r="A59" s="374" t="s">
        <v>3217</v>
      </c>
      <c r="B59" s="42" t="s">
        <v>709</v>
      </c>
      <c r="C59" s="42" t="s">
        <v>724</v>
      </c>
      <c r="D59" s="42" t="s">
        <v>16</v>
      </c>
      <c r="E59" s="42" t="s">
        <v>2266</v>
      </c>
      <c r="F59" s="42">
        <v>16592</v>
      </c>
      <c r="G59" s="42"/>
      <c r="H59" s="42">
        <v>200</v>
      </c>
      <c r="I59" s="42">
        <v>8</v>
      </c>
      <c r="J59" s="42"/>
      <c r="K59" s="43">
        <f t="shared" si="105"/>
        <v>0</v>
      </c>
      <c r="L59" s="43">
        <f t="shared" si="106"/>
        <v>200</v>
      </c>
      <c r="M59" s="43"/>
      <c r="N59" s="43">
        <f t="shared" si="107"/>
        <v>200</v>
      </c>
      <c r="O59" s="43">
        <f t="shared" si="108"/>
        <v>14</v>
      </c>
      <c r="P59" s="42">
        <v>0</v>
      </c>
      <c r="Q59" s="42">
        <v>570</v>
      </c>
      <c r="R59" s="42">
        <f t="shared" si="109"/>
        <v>114000</v>
      </c>
    </row>
    <row r="60" spans="1:18">
      <c r="A60" s="374"/>
      <c r="B60" s="42"/>
      <c r="C60" s="42" t="s">
        <v>710</v>
      </c>
      <c r="D60" s="42" t="s">
        <v>16</v>
      </c>
      <c r="E60" s="42"/>
      <c r="F60" s="42"/>
      <c r="G60" s="42"/>
      <c r="H60" s="42">
        <v>150</v>
      </c>
      <c r="I60" s="42">
        <v>6</v>
      </c>
      <c r="J60" s="42"/>
      <c r="K60" s="43">
        <f t="shared" si="105"/>
        <v>0</v>
      </c>
      <c r="L60" s="43">
        <f t="shared" si="106"/>
        <v>150</v>
      </c>
      <c r="M60" s="43"/>
      <c r="N60" s="43">
        <f t="shared" si="107"/>
        <v>150</v>
      </c>
      <c r="O60" s="43">
        <f t="shared" si="108"/>
        <v>10.5</v>
      </c>
      <c r="P60" s="42">
        <v>0</v>
      </c>
      <c r="Q60" s="42">
        <v>975</v>
      </c>
      <c r="R60" s="42">
        <f t="shared" si="109"/>
        <v>146250</v>
      </c>
    </row>
    <row r="62" spans="1:18">
      <c r="A62" s="1" t="s">
        <v>3316</v>
      </c>
      <c r="B62" s="42" t="s">
        <v>93</v>
      </c>
      <c r="C62" s="42" t="s">
        <v>710</v>
      </c>
      <c r="D62" s="42" t="s">
        <v>16</v>
      </c>
      <c r="E62" s="47" t="s">
        <v>2266</v>
      </c>
      <c r="F62" s="47">
        <v>16815</v>
      </c>
      <c r="G62" s="47"/>
      <c r="H62" s="47">
        <v>400</v>
      </c>
      <c r="I62" s="47">
        <v>16</v>
      </c>
      <c r="J62" s="47"/>
      <c r="K62" s="43">
        <f t="shared" ref="K62" si="110">I62*J62</f>
        <v>0</v>
      </c>
      <c r="L62" s="43">
        <f t="shared" ref="L62" si="111">H62-K62</f>
        <v>400</v>
      </c>
      <c r="M62" s="43"/>
      <c r="N62" s="43">
        <f t="shared" ref="N62" si="112">L62-M62</f>
        <v>400</v>
      </c>
      <c r="O62" s="43">
        <f t="shared" ref="O62" si="113">H62/1000*70</f>
        <v>28</v>
      </c>
      <c r="P62" s="42">
        <v>0</v>
      </c>
      <c r="Q62" s="42">
        <v>975</v>
      </c>
      <c r="R62" s="42">
        <f t="shared" ref="R62" si="114">L62*Q62</f>
        <v>390000</v>
      </c>
    </row>
    <row r="64" spans="1:18">
      <c r="A64" s="1" t="s">
        <v>3419</v>
      </c>
      <c r="B64" s="42" t="s">
        <v>340</v>
      </c>
      <c r="C64" s="42" t="s">
        <v>724</v>
      </c>
      <c r="D64" s="42" t="s">
        <v>16</v>
      </c>
      <c r="E64" s="47" t="s">
        <v>892</v>
      </c>
      <c r="F64" s="47">
        <v>17091</v>
      </c>
      <c r="G64" s="47"/>
      <c r="H64" s="47">
        <v>300</v>
      </c>
      <c r="I64" s="47">
        <v>12</v>
      </c>
      <c r="J64" s="47"/>
      <c r="K64" s="43">
        <f t="shared" ref="K64:K66" si="115">I64*J64</f>
        <v>0</v>
      </c>
      <c r="L64" s="43">
        <f t="shared" ref="L64:L66" si="116">H64-K64</f>
        <v>300</v>
      </c>
      <c r="M64" s="43"/>
      <c r="N64" s="43">
        <f t="shared" ref="N64:N66" si="117">L64-M64</f>
        <v>300</v>
      </c>
      <c r="O64" s="43">
        <f t="shared" ref="O64:O66" si="118">H64/1000*70</f>
        <v>21</v>
      </c>
      <c r="P64" s="42">
        <v>0</v>
      </c>
      <c r="Q64" s="42"/>
      <c r="R64" s="42">
        <f t="shared" ref="R64:R66" si="119">L64*Q64</f>
        <v>0</v>
      </c>
    </row>
    <row r="65" spans="1:19">
      <c r="A65" s="374" t="s">
        <v>3510</v>
      </c>
      <c r="B65" s="42" t="s">
        <v>340</v>
      </c>
      <c r="C65" s="42" t="s">
        <v>724</v>
      </c>
      <c r="D65" s="42" t="s">
        <v>16</v>
      </c>
      <c r="E65" s="47" t="s">
        <v>2266</v>
      </c>
      <c r="F65" s="47">
        <v>17312</v>
      </c>
      <c r="G65" s="47"/>
      <c r="H65" s="47">
        <v>200</v>
      </c>
      <c r="I65" s="47">
        <v>8</v>
      </c>
      <c r="J65" s="47"/>
      <c r="K65" s="43">
        <f t="shared" si="115"/>
        <v>0</v>
      </c>
      <c r="L65" s="43">
        <f t="shared" si="116"/>
        <v>200</v>
      </c>
      <c r="M65" s="43"/>
      <c r="N65" s="43">
        <f t="shared" si="117"/>
        <v>200</v>
      </c>
      <c r="O65" s="43">
        <f t="shared" si="118"/>
        <v>14</v>
      </c>
      <c r="P65" s="42">
        <v>0</v>
      </c>
      <c r="Q65" s="42">
        <v>570</v>
      </c>
      <c r="R65" s="42">
        <f t="shared" si="119"/>
        <v>114000</v>
      </c>
    </row>
    <row r="66" spans="1:19">
      <c r="A66" s="374"/>
      <c r="B66" s="42"/>
      <c r="C66" s="42" t="s">
        <v>710</v>
      </c>
      <c r="D66" s="42" t="s">
        <v>16</v>
      </c>
      <c r="E66" s="47" t="s">
        <v>2266</v>
      </c>
      <c r="F66" s="47">
        <v>17312</v>
      </c>
      <c r="G66" s="47"/>
      <c r="H66" s="47">
        <v>200</v>
      </c>
      <c r="I66" s="47">
        <v>8</v>
      </c>
      <c r="J66" s="47"/>
      <c r="K66" s="43">
        <f t="shared" si="115"/>
        <v>0</v>
      </c>
      <c r="L66" s="43">
        <f t="shared" si="116"/>
        <v>200</v>
      </c>
      <c r="M66" s="43"/>
      <c r="N66" s="43">
        <f t="shared" si="117"/>
        <v>200</v>
      </c>
      <c r="O66" s="43">
        <f t="shared" si="118"/>
        <v>14</v>
      </c>
      <c r="P66" s="42">
        <v>0</v>
      </c>
      <c r="Q66" s="42">
        <v>975</v>
      </c>
      <c r="R66" s="42">
        <f t="shared" si="119"/>
        <v>195000</v>
      </c>
    </row>
    <row r="68" spans="1:19">
      <c r="A68" s="1" t="s">
        <v>3543</v>
      </c>
      <c r="B68" s="42" t="s">
        <v>340</v>
      </c>
      <c r="C68" s="42" t="s">
        <v>724</v>
      </c>
      <c r="D68" s="42" t="s">
        <v>16</v>
      </c>
      <c r="E68" s="47" t="s">
        <v>2203</v>
      </c>
      <c r="F68" s="47">
        <v>17386</v>
      </c>
      <c r="G68" s="47"/>
      <c r="H68" s="47">
        <v>300</v>
      </c>
      <c r="I68" s="47">
        <v>12</v>
      </c>
      <c r="J68" s="47"/>
      <c r="K68" s="43">
        <f t="shared" ref="K68" si="120">I68*J68</f>
        <v>0</v>
      </c>
      <c r="L68" s="43">
        <f t="shared" ref="L68" si="121">H68-K68</f>
        <v>300</v>
      </c>
      <c r="M68" s="43"/>
      <c r="N68" s="43">
        <f t="shared" ref="N68" si="122">L68-M68</f>
        <v>300</v>
      </c>
      <c r="O68" s="43">
        <f t="shared" ref="O68" si="123">H68/1000*70</f>
        <v>21</v>
      </c>
      <c r="P68" s="42">
        <v>0</v>
      </c>
      <c r="Q68" s="42"/>
      <c r="R68" s="42">
        <f t="shared" ref="R68" si="124">L68*Q68</f>
        <v>0</v>
      </c>
      <c r="S68" s="48"/>
    </row>
    <row r="70" spans="1:19">
      <c r="A70" s="1" t="s">
        <v>3666</v>
      </c>
      <c r="B70" s="42" t="s">
        <v>340</v>
      </c>
      <c r="C70" s="42" t="s">
        <v>724</v>
      </c>
      <c r="D70" s="42" t="s">
        <v>16</v>
      </c>
      <c r="E70" s="47" t="s">
        <v>2266</v>
      </c>
      <c r="F70" s="47">
        <v>17635</v>
      </c>
      <c r="G70" s="47"/>
      <c r="H70" s="47">
        <v>300</v>
      </c>
      <c r="I70" s="47">
        <v>12</v>
      </c>
      <c r="J70" s="47"/>
      <c r="K70" s="43">
        <f t="shared" ref="K70" si="125">I70*J70</f>
        <v>0</v>
      </c>
      <c r="L70" s="43">
        <f t="shared" ref="L70" si="126">H70-K70</f>
        <v>300</v>
      </c>
      <c r="M70" s="43"/>
      <c r="N70" s="43">
        <f t="shared" ref="N70" si="127">L70-M70</f>
        <v>300</v>
      </c>
      <c r="O70" s="43">
        <f t="shared" ref="O70" si="128">H70/1000*70</f>
        <v>21</v>
      </c>
      <c r="P70" s="42">
        <v>0</v>
      </c>
      <c r="Q70" s="42"/>
      <c r="R70" s="42">
        <f t="shared" ref="R70" si="129">L70*Q70</f>
        <v>0</v>
      </c>
    </row>
    <row r="72" spans="1:19">
      <c r="A72" s="1" t="s">
        <v>3807</v>
      </c>
      <c r="B72" s="42" t="s">
        <v>93</v>
      </c>
      <c r="C72" s="42" t="s">
        <v>724</v>
      </c>
      <c r="D72" s="42" t="s">
        <v>16</v>
      </c>
      <c r="E72" s="47" t="s">
        <v>2203</v>
      </c>
      <c r="F72" s="47">
        <v>42</v>
      </c>
      <c r="G72" s="47"/>
      <c r="H72" s="47">
        <v>200</v>
      </c>
      <c r="I72" s="47">
        <v>8</v>
      </c>
      <c r="J72" s="47"/>
      <c r="K72" s="43">
        <f>I72*J72</f>
        <v>0</v>
      </c>
      <c r="L72" s="43">
        <f>H72-K72</f>
        <v>200</v>
      </c>
      <c r="M72" s="43"/>
      <c r="N72" s="43">
        <f>L72-M72</f>
        <v>200</v>
      </c>
      <c r="O72" s="43">
        <f>H72/1000*70</f>
        <v>14</v>
      </c>
      <c r="P72" s="42">
        <v>0</v>
      </c>
      <c r="Q72" s="42"/>
      <c r="R72" s="42">
        <f>L72*Q72</f>
        <v>0</v>
      </c>
    </row>
    <row r="73" spans="1:19">
      <c r="B73" s="42"/>
      <c r="C73" s="42" t="s">
        <v>710</v>
      </c>
      <c r="D73" s="42" t="s">
        <v>16</v>
      </c>
      <c r="E73" s="47" t="s">
        <v>2203</v>
      </c>
      <c r="F73" s="47">
        <v>42</v>
      </c>
      <c r="G73" s="47"/>
      <c r="H73" s="47">
        <v>100</v>
      </c>
      <c r="I73" s="47">
        <v>4</v>
      </c>
      <c r="J73" s="47"/>
      <c r="K73" s="43">
        <f>I73*J73</f>
        <v>0</v>
      </c>
      <c r="L73" s="43">
        <f>H73-K73</f>
        <v>100</v>
      </c>
      <c r="M73" s="43"/>
      <c r="N73" s="43">
        <f>L73-M73</f>
        <v>100</v>
      </c>
      <c r="O73" s="43">
        <f>H73/1000*70</f>
        <v>7</v>
      </c>
      <c r="P73" s="42">
        <v>0</v>
      </c>
      <c r="Q73" s="42"/>
      <c r="R73" s="42">
        <f>L73*Q73</f>
        <v>0</v>
      </c>
    </row>
    <row r="75" spans="1:19">
      <c r="A75" s="374" t="s">
        <v>4017</v>
      </c>
      <c r="B75" s="350" t="s">
        <v>93</v>
      </c>
      <c r="C75" s="350" t="s">
        <v>724</v>
      </c>
      <c r="D75" s="42" t="s">
        <v>16</v>
      </c>
      <c r="E75" s="350" t="s">
        <v>2203</v>
      </c>
      <c r="F75" s="350">
        <v>18195</v>
      </c>
      <c r="G75" s="350"/>
      <c r="H75" s="350">
        <v>600</v>
      </c>
      <c r="I75" s="350">
        <v>24</v>
      </c>
      <c r="J75" s="350"/>
      <c r="K75" s="43">
        <f t="shared" ref="K75:K76" si="130">I75*J75</f>
        <v>0</v>
      </c>
      <c r="L75" s="43">
        <f t="shared" ref="L75:L76" si="131">H75-K75</f>
        <v>600</v>
      </c>
      <c r="M75" s="43"/>
      <c r="N75" s="43">
        <f t="shared" ref="N75:N76" si="132">L75-M75</f>
        <v>600</v>
      </c>
      <c r="O75" s="43">
        <f t="shared" ref="O75:O76" si="133">H75/1000*70</f>
        <v>42</v>
      </c>
      <c r="P75" s="42">
        <v>0</v>
      </c>
      <c r="Q75" s="42"/>
      <c r="R75" s="42">
        <f t="shared" ref="R75:R76" si="134">L75*Q75</f>
        <v>0</v>
      </c>
    </row>
    <row r="76" spans="1:19">
      <c r="A76" s="374"/>
      <c r="B76" s="350"/>
      <c r="C76" s="350" t="s">
        <v>710</v>
      </c>
      <c r="D76" s="42" t="s">
        <v>16</v>
      </c>
      <c r="E76" s="350" t="s">
        <v>2203</v>
      </c>
      <c r="F76" s="350">
        <v>18195</v>
      </c>
      <c r="G76" s="350"/>
      <c r="H76" s="350">
        <v>100</v>
      </c>
      <c r="I76" s="350">
        <v>4</v>
      </c>
      <c r="J76" s="350"/>
      <c r="K76" s="43">
        <f t="shared" si="130"/>
        <v>0</v>
      </c>
      <c r="L76" s="43">
        <f t="shared" si="131"/>
        <v>100</v>
      </c>
      <c r="M76" s="43"/>
      <c r="N76" s="43">
        <f t="shared" si="132"/>
        <v>100</v>
      </c>
      <c r="O76" s="43">
        <f t="shared" si="133"/>
        <v>7</v>
      </c>
      <c r="P76" s="42">
        <v>0</v>
      </c>
      <c r="Q76" s="42"/>
      <c r="R76" s="42">
        <f t="shared" si="134"/>
        <v>0</v>
      </c>
    </row>
  </sheetData>
  <mergeCells count="9">
    <mergeCell ref="A75:A76"/>
    <mergeCell ref="A65:A66"/>
    <mergeCell ref="A59:A60"/>
    <mergeCell ref="A57:A58"/>
    <mergeCell ref="A21:A22"/>
    <mergeCell ref="A29:A30"/>
    <mergeCell ref="A32:A33"/>
    <mergeCell ref="A41:A42"/>
    <mergeCell ref="A54:A55"/>
  </mergeCells>
  <pageMargins left="0.7" right="0.7" top="0.75" bottom="0.75" header="0.3" footer="0.3"/>
  <pageSetup paperSize="9" orientation="portrait" verticalDpi="0" r:id="rId1"/>
</worksheet>
</file>

<file path=xl/worksheets/sheet193.xml><?xml version="1.0" encoding="utf-8"?>
<worksheet xmlns="http://schemas.openxmlformats.org/spreadsheetml/2006/main" xmlns:r="http://schemas.openxmlformats.org/officeDocument/2006/relationships">
  <dimension ref="A5:U47"/>
  <sheetViews>
    <sheetView topLeftCell="A25" zoomScale="85" zoomScaleNormal="85" workbookViewId="0">
      <selection activeCell="B49" sqref="B49"/>
    </sheetView>
  </sheetViews>
  <sheetFormatPr defaultRowHeight="14.4"/>
  <cols>
    <col min="1" max="1" width="8.88671875" style="1"/>
    <col min="2" max="2" width="17.109375" style="1" customWidth="1"/>
    <col min="3" max="3" width="13.44140625" style="1" customWidth="1"/>
    <col min="4" max="4" width="5.5546875" style="1" customWidth="1"/>
    <col min="5" max="5" width="8.88671875" style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1">
      <c r="A6" s="7"/>
      <c r="B6" s="2"/>
      <c r="C6" s="2"/>
      <c r="D6" s="2"/>
      <c r="E6" s="2"/>
      <c r="F6" s="2"/>
      <c r="G6" s="2"/>
      <c r="H6" s="2"/>
      <c r="I6" s="2"/>
      <c r="J6" s="2"/>
      <c r="K6" s="2"/>
      <c r="L6" s="5"/>
      <c r="M6" s="5"/>
      <c r="N6" s="2"/>
      <c r="Q6" s="1" t="s">
        <v>25</v>
      </c>
      <c r="R6" s="1">
        <v>118</v>
      </c>
      <c r="S6" s="1">
        <v>50</v>
      </c>
      <c r="T6" s="1" t="s">
        <v>28</v>
      </c>
    </row>
    <row r="7" spans="1:21">
      <c r="A7" s="8" t="s">
        <v>151</v>
      </c>
      <c r="B7" s="2" t="s">
        <v>152</v>
      </c>
      <c r="C7" s="2" t="s">
        <v>153</v>
      </c>
      <c r="D7" s="2" t="s">
        <v>16</v>
      </c>
      <c r="E7" s="2" t="s">
        <v>154</v>
      </c>
      <c r="F7" s="2">
        <v>3194</v>
      </c>
      <c r="G7" s="2"/>
      <c r="H7" s="2">
        <v>50</v>
      </c>
      <c r="I7" s="2">
        <v>2</v>
      </c>
      <c r="J7" s="2"/>
      <c r="K7" s="5">
        <f t="shared" ref="K7" si="0">I7*J7</f>
        <v>0</v>
      </c>
      <c r="L7" s="19">
        <f t="shared" ref="L7" si="1">H7-K7</f>
        <v>50</v>
      </c>
      <c r="M7" s="5">
        <f t="shared" ref="M7" si="2">H7/1000*70</f>
        <v>3.5</v>
      </c>
      <c r="N7" s="2"/>
    </row>
    <row r="8" spans="1:21">
      <c r="A8" s="8"/>
      <c r="B8" s="2"/>
      <c r="C8" s="2"/>
      <c r="D8" s="2"/>
      <c r="E8" s="2"/>
      <c r="F8" s="2"/>
      <c r="G8" s="2"/>
      <c r="H8" s="2"/>
      <c r="I8" s="2"/>
      <c r="J8" s="2"/>
      <c r="K8" s="2"/>
      <c r="L8" s="5"/>
      <c r="M8" s="5"/>
      <c r="N8" s="2"/>
    </row>
    <row r="9" spans="1:21">
      <c r="A9" s="9" t="s">
        <v>409</v>
      </c>
      <c r="B9" s="42" t="s">
        <v>411</v>
      </c>
      <c r="C9" s="42" t="s">
        <v>412</v>
      </c>
      <c r="D9" s="42" t="s">
        <v>16</v>
      </c>
      <c r="E9" s="42" t="s">
        <v>393</v>
      </c>
      <c r="F9" s="42">
        <v>3137</v>
      </c>
      <c r="G9" s="42"/>
      <c r="H9" s="42">
        <v>50</v>
      </c>
      <c r="I9" s="42"/>
      <c r="J9" s="42"/>
      <c r="K9" s="43">
        <f t="shared" ref="K9" si="3">I9*J9</f>
        <v>0</v>
      </c>
      <c r="L9" s="43">
        <f t="shared" ref="L9" si="4">H9-K9</f>
        <v>50</v>
      </c>
      <c r="M9" s="43">
        <f t="shared" ref="M9" si="5">H9/1000*70</f>
        <v>3.5</v>
      </c>
      <c r="N9" s="42">
        <v>0</v>
      </c>
      <c r="O9" s="42"/>
      <c r="P9" s="42">
        <f t="shared" ref="P9" si="6">L9*O9</f>
        <v>0</v>
      </c>
    </row>
    <row r="10" spans="1:21">
      <c r="A10" s="10"/>
      <c r="B10" s="2"/>
      <c r="C10" s="2"/>
      <c r="D10" s="2"/>
      <c r="E10" s="2"/>
      <c r="F10" s="2"/>
      <c r="G10" s="2"/>
      <c r="H10" s="2"/>
      <c r="I10" s="2"/>
      <c r="J10" s="2"/>
      <c r="K10" s="2"/>
      <c r="L10" s="5"/>
      <c r="M10" s="5"/>
      <c r="N10" s="2"/>
    </row>
    <row r="11" spans="1:21">
      <c r="A11" s="11" t="s">
        <v>459</v>
      </c>
      <c r="B11" s="42" t="s">
        <v>461</v>
      </c>
      <c r="C11" s="42" t="s">
        <v>462</v>
      </c>
      <c r="D11" s="42" t="s">
        <v>16</v>
      </c>
      <c r="E11" s="42" t="s">
        <v>393</v>
      </c>
      <c r="F11" s="42">
        <v>3384</v>
      </c>
      <c r="G11" s="42"/>
      <c r="H11" s="42">
        <v>100</v>
      </c>
      <c r="I11" s="42"/>
      <c r="J11" s="42"/>
      <c r="K11" s="42">
        <f t="shared" ref="K11" si="7">I11*J11</f>
        <v>0</v>
      </c>
      <c r="L11" s="43">
        <f t="shared" ref="L11" si="8">H11-K11</f>
        <v>100</v>
      </c>
      <c r="M11" s="43">
        <f t="shared" ref="M11" si="9">H11/1000*70</f>
        <v>7</v>
      </c>
      <c r="N11" s="42">
        <v>0</v>
      </c>
    </row>
    <row r="13" spans="1:21">
      <c r="A13" s="1" t="s">
        <v>599</v>
      </c>
      <c r="B13" s="42" t="s">
        <v>411</v>
      </c>
      <c r="C13" s="42" t="s">
        <v>600</v>
      </c>
      <c r="D13" s="42" t="s">
        <v>16</v>
      </c>
      <c r="E13" s="42" t="s">
        <v>393</v>
      </c>
      <c r="F13" s="42">
        <v>3522</v>
      </c>
      <c r="G13" s="42"/>
      <c r="H13" s="42">
        <v>100</v>
      </c>
      <c r="I13" s="42"/>
      <c r="J13" s="42"/>
      <c r="K13" s="42">
        <f t="shared" ref="K13" si="10">I13*J13</f>
        <v>0</v>
      </c>
      <c r="L13" s="43">
        <f t="shared" ref="L13" si="11">H13-K13</f>
        <v>100</v>
      </c>
      <c r="M13" s="43">
        <f t="shared" ref="M13" si="12">H13/1000*70</f>
        <v>7</v>
      </c>
      <c r="N13" s="42">
        <v>0</v>
      </c>
      <c r="O13" s="42"/>
      <c r="P13" s="42">
        <f t="shared" ref="P13" si="13">L13*O13</f>
        <v>0</v>
      </c>
    </row>
    <row r="15" spans="1:21">
      <c r="A15" s="1" t="s">
        <v>718</v>
      </c>
      <c r="B15" s="42" t="s">
        <v>411</v>
      </c>
      <c r="C15" s="42" t="s">
        <v>462</v>
      </c>
      <c r="D15" s="42" t="s">
        <v>16</v>
      </c>
      <c r="E15" s="42" t="s">
        <v>719</v>
      </c>
      <c r="F15" s="42">
        <v>3549</v>
      </c>
      <c r="G15" s="42"/>
      <c r="H15" s="42">
        <v>100</v>
      </c>
      <c r="I15" s="42"/>
      <c r="J15" s="42"/>
      <c r="K15" s="42">
        <f t="shared" ref="K15" si="14">I15*J15</f>
        <v>0</v>
      </c>
      <c r="L15" s="43">
        <f t="shared" ref="L15" si="15">H15-K15</f>
        <v>100</v>
      </c>
      <c r="M15" s="43"/>
      <c r="N15" s="43">
        <f t="shared" ref="N15" si="16">L15-M15</f>
        <v>100</v>
      </c>
      <c r="O15" s="43">
        <f t="shared" ref="O15" si="17">H15/1000*70</f>
        <v>7</v>
      </c>
      <c r="P15" s="42">
        <v>0</v>
      </c>
      <c r="Q15" s="42"/>
      <c r="R15" s="42">
        <f t="shared" ref="R15" si="18">L15*Q15</f>
        <v>0</v>
      </c>
    </row>
    <row r="16" spans="1:21">
      <c r="Q16" s="1" t="s">
        <v>863</v>
      </c>
      <c r="R16" s="1">
        <v>249</v>
      </c>
      <c r="S16" s="1">
        <v>1000</v>
      </c>
      <c r="U16" s="1">
        <v>1700</v>
      </c>
    </row>
    <row r="17" spans="1:21">
      <c r="A17" s="1" t="s">
        <v>897</v>
      </c>
      <c r="B17" s="42" t="s">
        <v>411</v>
      </c>
      <c r="C17" s="42" t="s">
        <v>462</v>
      </c>
      <c r="D17" s="42" t="s">
        <v>16</v>
      </c>
      <c r="E17" s="42" t="s">
        <v>719</v>
      </c>
      <c r="F17" s="42">
        <v>3581</v>
      </c>
      <c r="G17" s="42"/>
      <c r="H17" s="42">
        <v>100</v>
      </c>
      <c r="I17" s="42">
        <v>4</v>
      </c>
      <c r="J17" s="42"/>
      <c r="K17" s="42">
        <f t="shared" ref="K17" si="19">I17*J17</f>
        <v>0</v>
      </c>
      <c r="L17" s="43">
        <f t="shared" ref="L17" si="20">H17-K17</f>
        <v>100</v>
      </c>
      <c r="M17" s="43"/>
      <c r="N17" s="43">
        <f t="shared" ref="N17" si="21">L17-M17</f>
        <v>100</v>
      </c>
      <c r="O17" s="43">
        <f t="shared" ref="O17" si="22">H17/1000*70</f>
        <v>7</v>
      </c>
      <c r="P17" s="42">
        <v>0</v>
      </c>
      <c r="Q17" s="42">
        <v>1700</v>
      </c>
      <c r="R17" s="42">
        <f t="shared" ref="R17" si="23">L17*Q17</f>
        <v>170000</v>
      </c>
    </row>
    <row r="18" spans="1:21">
      <c r="Q18" s="1" t="s">
        <v>960</v>
      </c>
      <c r="R18" s="1">
        <v>260</v>
      </c>
      <c r="S18" s="1">
        <v>100</v>
      </c>
      <c r="U18" s="1">
        <v>1700</v>
      </c>
    </row>
    <row r="19" spans="1:21">
      <c r="A19" s="1" t="s">
        <v>962</v>
      </c>
      <c r="B19" s="92" t="s">
        <v>411</v>
      </c>
      <c r="C19" s="92" t="s">
        <v>462</v>
      </c>
      <c r="D19" s="42" t="s">
        <v>16</v>
      </c>
      <c r="E19" s="92" t="s">
        <v>719</v>
      </c>
      <c r="F19" s="92">
        <v>3617</v>
      </c>
      <c r="G19" s="92"/>
      <c r="H19" s="92">
        <v>100</v>
      </c>
      <c r="I19" s="92">
        <v>4</v>
      </c>
      <c r="J19" s="92"/>
      <c r="K19" s="42">
        <f t="shared" ref="K19" si="24">I19*J19</f>
        <v>0</v>
      </c>
      <c r="L19" s="43">
        <f t="shared" ref="L19" si="25">H19-K19</f>
        <v>100</v>
      </c>
      <c r="M19" s="43"/>
      <c r="N19" s="43">
        <f t="shared" ref="N19" si="26">L19-M19</f>
        <v>100</v>
      </c>
      <c r="O19" s="43">
        <f t="shared" ref="O19" si="27">H19/1000*70</f>
        <v>7</v>
      </c>
      <c r="P19" s="92">
        <v>0</v>
      </c>
      <c r="Q19" s="92">
        <v>1700</v>
      </c>
      <c r="R19" s="92">
        <f t="shared" ref="R19" si="28">L19*Q19</f>
        <v>170000</v>
      </c>
    </row>
    <row r="21" spans="1:21">
      <c r="A21" s="1" t="s">
        <v>1440</v>
      </c>
      <c r="B21" s="42" t="s">
        <v>411</v>
      </c>
      <c r="C21" s="42" t="s">
        <v>462</v>
      </c>
      <c r="D21" s="42" t="s">
        <v>16</v>
      </c>
      <c r="E21" s="42" t="s">
        <v>719</v>
      </c>
      <c r="F21" s="42">
        <v>3650</v>
      </c>
      <c r="G21" s="42"/>
      <c r="H21" s="42">
        <v>200</v>
      </c>
      <c r="I21" s="42">
        <v>8</v>
      </c>
      <c r="J21" s="42"/>
      <c r="K21" s="42">
        <f t="shared" ref="K21" si="29">I21*J21</f>
        <v>0</v>
      </c>
      <c r="L21" s="43">
        <f t="shared" ref="L21" si="30">H21-K21</f>
        <v>200</v>
      </c>
      <c r="M21" s="43"/>
      <c r="N21" s="43">
        <f t="shared" ref="N21" si="31">L21-M21</f>
        <v>200</v>
      </c>
      <c r="O21" s="43">
        <f t="shared" ref="O21" si="32">H21/1000*70</f>
        <v>14</v>
      </c>
      <c r="P21" s="42">
        <v>0</v>
      </c>
      <c r="Q21" s="42">
        <v>1700</v>
      </c>
      <c r="R21" s="42">
        <f t="shared" ref="R21" si="33">L21*Q21</f>
        <v>340000</v>
      </c>
    </row>
    <row r="23" spans="1:21">
      <c r="A23" s="1" t="s">
        <v>1938</v>
      </c>
      <c r="B23" s="42" t="s">
        <v>411</v>
      </c>
      <c r="C23" s="42" t="s">
        <v>462</v>
      </c>
      <c r="D23" s="42" t="s">
        <v>16</v>
      </c>
      <c r="E23" s="42" t="s">
        <v>1939</v>
      </c>
      <c r="F23" s="42">
        <v>3780</v>
      </c>
      <c r="G23" s="42"/>
      <c r="H23" s="42">
        <v>200</v>
      </c>
      <c r="I23" s="42">
        <v>8</v>
      </c>
      <c r="J23" s="42"/>
      <c r="K23" s="42">
        <f t="shared" ref="K23" si="34">I23*J23</f>
        <v>0</v>
      </c>
      <c r="L23" s="43">
        <f t="shared" ref="L23" si="35">H23-K23</f>
        <v>200</v>
      </c>
      <c r="M23" s="43"/>
      <c r="N23" s="43">
        <f t="shared" ref="N23" si="36">L23-M23</f>
        <v>200</v>
      </c>
      <c r="O23" s="43">
        <f t="shared" ref="O23" si="37">H23/1000*70</f>
        <v>14</v>
      </c>
      <c r="P23" s="42">
        <v>0</v>
      </c>
      <c r="Q23" s="42">
        <v>1700</v>
      </c>
      <c r="R23" s="42">
        <f t="shared" ref="R23" si="38">L23*Q23</f>
        <v>340000</v>
      </c>
    </row>
    <row r="25" spans="1:21">
      <c r="A25" s="374" t="s">
        <v>2076</v>
      </c>
      <c r="B25" s="42" t="s">
        <v>2079</v>
      </c>
      <c r="C25" s="42" t="s">
        <v>2080</v>
      </c>
      <c r="D25" s="42" t="s">
        <v>16</v>
      </c>
      <c r="E25" s="42" t="s">
        <v>2081</v>
      </c>
      <c r="F25" s="42">
        <v>3850</v>
      </c>
      <c r="G25" s="42"/>
      <c r="H25" s="42">
        <v>500</v>
      </c>
      <c r="I25" s="42">
        <v>20</v>
      </c>
      <c r="J25" s="42"/>
      <c r="K25" s="43">
        <f t="shared" ref="K25:K26" si="39">I25*J25</f>
        <v>0</v>
      </c>
      <c r="L25" s="43">
        <f t="shared" ref="L25:L26" si="40">H25-K25</f>
        <v>500</v>
      </c>
      <c r="M25" s="43"/>
      <c r="N25" s="43">
        <f t="shared" ref="N25:N26" si="41">L25-M25</f>
        <v>500</v>
      </c>
      <c r="O25" s="43">
        <f t="shared" ref="O25:O26" si="42">H25/1000*70</f>
        <v>35</v>
      </c>
      <c r="P25" s="42">
        <v>0</v>
      </c>
      <c r="Q25" s="42"/>
      <c r="R25" s="42">
        <f t="shared" ref="R25:R26" si="43">L25*Q25</f>
        <v>0</v>
      </c>
    </row>
    <row r="26" spans="1:21">
      <c r="A26" s="374"/>
      <c r="B26" s="42"/>
      <c r="C26" s="42" t="s">
        <v>462</v>
      </c>
      <c r="D26" s="42" t="s">
        <v>16</v>
      </c>
      <c r="E26" s="42" t="s">
        <v>2081</v>
      </c>
      <c r="F26" s="42">
        <v>3849</v>
      </c>
      <c r="G26" s="42"/>
      <c r="H26" s="42">
        <v>200</v>
      </c>
      <c r="I26" s="42">
        <v>8</v>
      </c>
      <c r="J26" s="42"/>
      <c r="K26" s="43">
        <f t="shared" si="39"/>
        <v>0</v>
      </c>
      <c r="L26" s="43">
        <f t="shared" si="40"/>
        <v>200</v>
      </c>
      <c r="M26" s="43"/>
      <c r="N26" s="43">
        <f t="shared" si="41"/>
        <v>200</v>
      </c>
      <c r="O26" s="43">
        <f t="shared" si="42"/>
        <v>14</v>
      </c>
      <c r="P26" s="42">
        <v>0</v>
      </c>
      <c r="Q26" s="42">
        <v>1700</v>
      </c>
      <c r="R26" s="42">
        <f t="shared" si="43"/>
        <v>340000</v>
      </c>
    </row>
    <row r="28" spans="1:21">
      <c r="A28" s="374" t="s">
        <v>2198</v>
      </c>
      <c r="B28" s="42" t="s">
        <v>411</v>
      </c>
      <c r="C28" s="42" t="s">
        <v>462</v>
      </c>
      <c r="D28" s="42" t="s">
        <v>16</v>
      </c>
      <c r="E28" s="42" t="s">
        <v>719</v>
      </c>
      <c r="F28" s="42">
        <v>3897</v>
      </c>
      <c r="G28" s="42"/>
      <c r="H28" s="42">
        <v>300</v>
      </c>
      <c r="I28" s="42">
        <v>12</v>
      </c>
      <c r="J28" s="42"/>
      <c r="K28" s="43">
        <f t="shared" ref="K28:K29" si="44">I28*J28</f>
        <v>0</v>
      </c>
      <c r="L28" s="43">
        <f t="shared" ref="L28:L29" si="45">H28-K28</f>
        <v>300</v>
      </c>
      <c r="M28" s="43"/>
      <c r="N28" s="43">
        <f t="shared" ref="N28:N29" si="46">L28-M28</f>
        <v>300</v>
      </c>
      <c r="O28" s="43">
        <f t="shared" ref="O28:O29" si="47">H28/1000*70</f>
        <v>21</v>
      </c>
      <c r="P28" s="42">
        <v>0</v>
      </c>
      <c r="Q28" s="42">
        <v>1700</v>
      </c>
      <c r="R28" s="42">
        <f t="shared" ref="R28:R29" si="48">L28*Q28</f>
        <v>510000</v>
      </c>
    </row>
    <row r="29" spans="1:21">
      <c r="A29" s="374"/>
      <c r="B29" s="42"/>
      <c r="C29" s="42" t="s">
        <v>2202</v>
      </c>
      <c r="D29" s="42" t="s">
        <v>16</v>
      </c>
      <c r="E29" s="42" t="s">
        <v>719</v>
      </c>
      <c r="F29" s="42">
        <v>3897</v>
      </c>
      <c r="G29" s="42"/>
      <c r="H29" s="42">
        <v>100</v>
      </c>
      <c r="I29" s="42">
        <v>4</v>
      </c>
      <c r="J29" s="42"/>
      <c r="K29" s="43">
        <f t="shared" si="44"/>
        <v>0</v>
      </c>
      <c r="L29" s="43">
        <f t="shared" si="45"/>
        <v>100</v>
      </c>
      <c r="M29" s="43"/>
      <c r="N29" s="43">
        <f t="shared" si="46"/>
        <v>100</v>
      </c>
      <c r="O29" s="43">
        <f t="shared" si="47"/>
        <v>7</v>
      </c>
      <c r="P29" s="42">
        <v>0</v>
      </c>
      <c r="Q29" s="42">
        <v>600</v>
      </c>
      <c r="R29" s="42">
        <f t="shared" si="48"/>
        <v>60000</v>
      </c>
    </row>
    <row r="31" spans="1:21">
      <c r="A31" s="1" t="s">
        <v>2271</v>
      </c>
      <c r="B31" s="42" t="s">
        <v>411</v>
      </c>
      <c r="C31" s="42" t="s">
        <v>2202</v>
      </c>
      <c r="D31" s="42" t="s">
        <v>16</v>
      </c>
      <c r="E31" s="42" t="s">
        <v>719</v>
      </c>
      <c r="F31" s="42">
        <v>3941</v>
      </c>
      <c r="G31" s="42"/>
      <c r="H31" s="42">
        <v>300</v>
      </c>
      <c r="I31" s="42">
        <v>12</v>
      </c>
      <c r="J31" s="42"/>
      <c r="K31" s="43">
        <f t="shared" ref="K31" si="49">I31*J31</f>
        <v>0</v>
      </c>
      <c r="L31" s="43">
        <f t="shared" ref="L31" si="50">H31-K31</f>
        <v>300</v>
      </c>
      <c r="M31" s="43"/>
      <c r="N31" s="43">
        <f t="shared" ref="N31" si="51">L31-M31</f>
        <v>300</v>
      </c>
      <c r="O31" s="43">
        <f t="shared" ref="O31" si="52">H31/1000*70</f>
        <v>21</v>
      </c>
      <c r="P31" s="42"/>
      <c r="Q31" s="42">
        <v>600</v>
      </c>
      <c r="R31" s="42">
        <f t="shared" ref="R31" si="53">L31*Q31</f>
        <v>180000</v>
      </c>
    </row>
    <row r="33" spans="1:18">
      <c r="A33" s="1" t="s">
        <v>2403</v>
      </c>
      <c r="B33" s="42" t="s">
        <v>411</v>
      </c>
      <c r="C33" s="42" t="s">
        <v>2405</v>
      </c>
      <c r="D33" s="42" t="s">
        <v>16</v>
      </c>
      <c r="E33" s="42" t="s">
        <v>2406</v>
      </c>
      <c r="F33" s="42">
        <v>4005</v>
      </c>
      <c r="G33" s="42"/>
      <c r="H33" s="42">
        <v>200</v>
      </c>
      <c r="I33" s="42">
        <v>8</v>
      </c>
      <c r="J33" s="42"/>
      <c r="K33" s="43">
        <f t="shared" ref="K33" si="54">I33*J33</f>
        <v>0</v>
      </c>
      <c r="L33" s="43">
        <f t="shared" ref="L33" si="55">H33-K33</f>
        <v>200</v>
      </c>
      <c r="M33" s="43"/>
      <c r="N33" s="43">
        <f t="shared" ref="N33" si="56">L33-M33</f>
        <v>200</v>
      </c>
      <c r="O33" s="43">
        <f t="shared" ref="O33" si="57">H33/1000*70</f>
        <v>14</v>
      </c>
      <c r="P33" s="42">
        <v>0</v>
      </c>
      <c r="Q33" s="42">
        <v>1700</v>
      </c>
      <c r="R33" s="42">
        <f t="shared" ref="R33" si="58">L33*Q33</f>
        <v>340000</v>
      </c>
    </row>
    <row r="35" spans="1:18">
      <c r="A35" s="1" t="s">
        <v>2519</v>
      </c>
      <c r="B35" s="42" t="s">
        <v>411</v>
      </c>
      <c r="C35" s="42" t="s">
        <v>462</v>
      </c>
      <c r="D35" s="42" t="s">
        <v>16</v>
      </c>
      <c r="E35" s="42" t="s">
        <v>719</v>
      </c>
      <c r="F35" s="42">
        <v>4060</v>
      </c>
      <c r="G35" s="42"/>
      <c r="H35" s="42">
        <v>200</v>
      </c>
      <c r="I35" s="42">
        <v>8</v>
      </c>
      <c r="J35" s="42"/>
      <c r="K35" s="43">
        <f t="shared" ref="K35" si="59">I35*J35</f>
        <v>0</v>
      </c>
      <c r="L35" s="43">
        <f t="shared" ref="L35" si="60">H35-K35</f>
        <v>200</v>
      </c>
      <c r="M35" s="43"/>
      <c r="N35" s="43">
        <f t="shared" ref="N35" si="61">L35-M35</f>
        <v>200</v>
      </c>
      <c r="O35" s="43">
        <f t="shared" ref="O35" si="62">H35/1000*70</f>
        <v>14</v>
      </c>
      <c r="P35" s="42">
        <v>0</v>
      </c>
      <c r="Q35" s="42">
        <v>1700</v>
      </c>
      <c r="R35" s="42">
        <f t="shared" ref="R35" si="63">L35*Q35</f>
        <v>340000</v>
      </c>
    </row>
    <row r="37" spans="1:18">
      <c r="A37" s="1" t="s">
        <v>2706</v>
      </c>
      <c r="B37" s="42" t="s">
        <v>411</v>
      </c>
      <c r="C37" s="42" t="s">
        <v>462</v>
      </c>
      <c r="D37" s="42" t="s">
        <v>16</v>
      </c>
      <c r="E37" s="42" t="s">
        <v>1939</v>
      </c>
      <c r="F37" s="42">
        <v>4135</v>
      </c>
      <c r="G37" s="42"/>
      <c r="H37" s="42">
        <v>100</v>
      </c>
      <c r="I37" s="42">
        <v>4</v>
      </c>
      <c r="J37" s="42"/>
      <c r="K37" s="43">
        <f t="shared" ref="K37" si="64">I37*J37</f>
        <v>0</v>
      </c>
      <c r="L37" s="43">
        <f t="shared" ref="L37" si="65">H37-K37</f>
        <v>100</v>
      </c>
      <c r="M37" s="43"/>
      <c r="N37" s="43">
        <f t="shared" ref="N37" si="66">L37-M37</f>
        <v>100</v>
      </c>
      <c r="O37" s="43">
        <f t="shared" ref="O37" si="67">H37/1000*70</f>
        <v>7</v>
      </c>
      <c r="P37" s="42">
        <v>0</v>
      </c>
      <c r="Q37" s="42">
        <v>1700</v>
      </c>
      <c r="R37" s="42">
        <f t="shared" ref="R37" si="68">L37*Q37</f>
        <v>170000</v>
      </c>
    </row>
    <row r="39" spans="1:18">
      <c r="A39" s="1" t="s">
        <v>2911</v>
      </c>
      <c r="B39" s="42" t="s">
        <v>411</v>
      </c>
      <c r="C39" s="42" t="s">
        <v>462</v>
      </c>
      <c r="D39" s="42" t="s">
        <v>16</v>
      </c>
      <c r="E39" s="42" t="s">
        <v>2913</v>
      </c>
      <c r="F39" s="42">
        <v>4200</v>
      </c>
      <c r="G39" s="42"/>
      <c r="H39" s="42">
        <v>100</v>
      </c>
      <c r="I39" s="42">
        <v>4</v>
      </c>
      <c r="J39" s="42"/>
      <c r="K39" s="43">
        <f t="shared" ref="K39" si="69">I39*J39</f>
        <v>0</v>
      </c>
      <c r="L39" s="43">
        <f t="shared" ref="L39" si="70">H39-K39</f>
        <v>100</v>
      </c>
      <c r="M39" s="43"/>
      <c r="N39" s="43">
        <f t="shared" ref="N39" si="71">L39-M39</f>
        <v>100</v>
      </c>
      <c r="O39" s="43">
        <f t="shared" ref="O39" si="72">H39/1000*70</f>
        <v>7</v>
      </c>
      <c r="P39" s="42">
        <v>0</v>
      </c>
      <c r="Q39" s="42">
        <v>1700</v>
      </c>
      <c r="R39" s="42">
        <f t="shared" ref="R39" si="73">L39*Q39</f>
        <v>170000</v>
      </c>
    </row>
    <row r="41" spans="1:18">
      <c r="A41" s="1" t="s">
        <v>3020</v>
      </c>
      <c r="B41" s="42" t="s">
        <v>411</v>
      </c>
      <c r="C41" s="42" t="s">
        <v>462</v>
      </c>
      <c r="D41" s="42" t="s">
        <v>16</v>
      </c>
      <c r="E41" s="42" t="s">
        <v>1939</v>
      </c>
      <c r="F41" s="42">
        <v>4251</v>
      </c>
      <c r="G41" s="42"/>
      <c r="H41" s="42">
        <v>100</v>
      </c>
      <c r="I41" s="42">
        <v>4</v>
      </c>
      <c r="J41" s="42"/>
      <c r="K41" s="43">
        <f t="shared" ref="K41" si="74">I41*J41</f>
        <v>0</v>
      </c>
      <c r="L41" s="43">
        <f t="shared" ref="L41" si="75">H41-K41</f>
        <v>100</v>
      </c>
      <c r="M41" s="43"/>
      <c r="N41" s="43">
        <f t="shared" ref="N41" si="76">L41-M41</f>
        <v>100</v>
      </c>
      <c r="O41" s="43">
        <f t="shared" ref="O41" si="77">H41/1000*70</f>
        <v>7</v>
      </c>
      <c r="P41" s="42">
        <v>0</v>
      </c>
      <c r="Q41" s="42">
        <v>1700</v>
      </c>
      <c r="R41" s="42">
        <f t="shared" ref="R41" si="78">L41*Q41</f>
        <v>170000</v>
      </c>
    </row>
    <row r="43" spans="1:18">
      <c r="A43" s="1" t="s">
        <v>3068</v>
      </c>
      <c r="B43" s="42" t="s">
        <v>411</v>
      </c>
      <c r="C43" s="42" t="s">
        <v>462</v>
      </c>
      <c r="D43" s="42" t="s">
        <v>16</v>
      </c>
      <c r="E43" s="42" t="s">
        <v>3073</v>
      </c>
      <c r="F43" s="42">
        <v>4263</v>
      </c>
      <c r="G43" s="42"/>
      <c r="H43" s="42">
        <v>75</v>
      </c>
      <c r="I43" s="42">
        <v>3</v>
      </c>
      <c r="J43" s="42"/>
      <c r="K43" s="43">
        <f t="shared" ref="K43" si="79">I43*J43</f>
        <v>0</v>
      </c>
      <c r="L43" s="43">
        <f t="shared" ref="L43" si="80">H43-K43</f>
        <v>75</v>
      </c>
      <c r="M43" s="43"/>
      <c r="N43" s="43">
        <f t="shared" ref="N43" si="81">L43-M43</f>
        <v>75</v>
      </c>
      <c r="O43" s="43">
        <f t="shared" ref="O43" si="82">H43/1000*70</f>
        <v>5.25</v>
      </c>
      <c r="P43" s="42">
        <v>0</v>
      </c>
      <c r="Q43" s="42">
        <v>1700</v>
      </c>
      <c r="R43" s="42">
        <f t="shared" ref="R43" si="83">L43*Q43</f>
        <v>127500</v>
      </c>
    </row>
    <row r="45" spans="1:18">
      <c r="A45" s="1" t="s">
        <v>3183</v>
      </c>
      <c r="B45" s="42" t="s">
        <v>3184</v>
      </c>
      <c r="C45" s="42" t="s">
        <v>462</v>
      </c>
      <c r="D45" s="42" t="s">
        <v>16</v>
      </c>
      <c r="E45" s="42" t="s">
        <v>719</v>
      </c>
      <c r="F45" s="42">
        <v>4316</v>
      </c>
      <c r="G45" s="42"/>
      <c r="H45" s="42">
        <v>100</v>
      </c>
      <c r="I45" s="42">
        <v>4</v>
      </c>
      <c r="J45" s="42"/>
      <c r="K45" s="43">
        <f t="shared" ref="K45" si="84">I45*J45</f>
        <v>0</v>
      </c>
      <c r="L45" s="43">
        <f t="shared" ref="L45" si="85">H45-K45</f>
        <v>100</v>
      </c>
      <c r="M45" s="43"/>
      <c r="N45" s="43">
        <f t="shared" ref="N45" si="86">L45-M45</f>
        <v>100</v>
      </c>
      <c r="O45" s="43">
        <f t="shared" ref="O45" si="87">H45/1000*70</f>
        <v>7</v>
      </c>
      <c r="P45" s="42">
        <v>0</v>
      </c>
      <c r="Q45" s="42">
        <v>1700</v>
      </c>
      <c r="R45" s="42">
        <f t="shared" ref="R45" si="88">L45*Q45</f>
        <v>170000</v>
      </c>
    </row>
    <row r="47" spans="1:18">
      <c r="A47" s="1" t="s">
        <v>3248</v>
      </c>
      <c r="B47" s="42" t="s">
        <v>3184</v>
      </c>
      <c r="C47" s="42" t="s">
        <v>462</v>
      </c>
      <c r="D47" s="42" t="s">
        <v>16</v>
      </c>
      <c r="E47" s="42" t="s">
        <v>719</v>
      </c>
      <c r="F47" s="42">
        <v>4366</v>
      </c>
      <c r="G47" s="42"/>
      <c r="H47" s="42">
        <v>100</v>
      </c>
      <c r="I47" s="42">
        <v>4</v>
      </c>
      <c r="J47" s="42"/>
      <c r="K47" s="43">
        <f t="shared" ref="K47" si="89">I47*J47</f>
        <v>0</v>
      </c>
      <c r="L47" s="43">
        <f t="shared" ref="L47" si="90">H47-K47</f>
        <v>100</v>
      </c>
      <c r="M47" s="43"/>
      <c r="N47" s="43">
        <f t="shared" ref="N47" si="91">L47-M47</f>
        <v>100</v>
      </c>
      <c r="O47" s="43">
        <f t="shared" ref="O47" si="92">H47/1000*70</f>
        <v>7</v>
      </c>
      <c r="P47" s="42">
        <v>0</v>
      </c>
      <c r="Q47" s="42">
        <v>1700</v>
      </c>
      <c r="R47" s="42">
        <f t="shared" ref="R47" si="93">L47*Q47</f>
        <v>170000</v>
      </c>
    </row>
  </sheetData>
  <mergeCells count="2">
    <mergeCell ref="A25:A26"/>
    <mergeCell ref="A28:A29"/>
  </mergeCells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5:U27"/>
  <sheetViews>
    <sheetView zoomScale="85" zoomScaleNormal="85" workbookViewId="0">
      <selection activeCell="A14" sqref="A14"/>
    </sheetView>
  </sheetViews>
  <sheetFormatPr defaultRowHeight="14.4"/>
  <cols>
    <col min="1" max="1" width="8.88671875" style="1"/>
    <col min="2" max="2" width="17.109375" style="1" customWidth="1"/>
    <col min="3" max="3" width="13.44140625" style="1" customWidth="1"/>
    <col min="4" max="4" width="5.5546875" style="1" customWidth="1"/>
    <col min="5" max="5" width="8.88671875" style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0.399999999999999">
      <c r="A5" s="58" t="s">
        <v>3</v>
      </c>
      <c r="B5" s="58" t="s">
        <v>4</v>
      </c>
      <c r="C5" s="58" t="s">
        <v>5</v>
      </c>
      <c r="D5" s="58" t="s">
        <v>6</v>
      </c>
      <c r="E5" s="58" t="s">
        <v>37</v>
      </c>
      <c r="F5" s="59" t="s">
        <v>7</v>
      </c>
      <c r="G5" s="58" t="s">
        <v>8</v>
      </c>
      <c r="H5" s="58" t="s">
        <v>9</v>
      </c>
      <c r="I5" s="58" t="s">
        <v>10</v>
      </c>
      <c r="J5" s="59" t="s">
        <v>18</v>
      </c>
      <c r="K5" s="59" t="s">
        <v>17</v>
      </c>
      <c r="L5" s="58" t="s">
        <v>11</v>
      </c>
      <c r="M5" s="59" t="s">
        <v>36</v>
      </c>
      <c r="N5" s="58" t="s">
        <v>12</v>
      </c>
      <c r="O5" s="58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1">
      <c r="A6" s="69"/>
      <c r="B6" s="141"/>
      <c r="C6" s="141"/>
      <c r="D6" s="141"/>
      <c r="E6" s="141"/>
      <c r="F6" s="141"/>
      <c r="G6" s="141"/>
      <c r="H6" s="141"/>
      <c r="I6" s="141"/>
      <c r="J6" s="141"/>
      <c r="K6" s="141"/>
      <c r="L6" s="61"/>
      <c r="M6" s="61"/>
      <c r="N6" s="141"/>
      <c r="O6" s="62"/>
      <c r="P6" s="62"/>
      <c r="Q6" s="62"/>
      <c r="R6" s="62"/>
      <c r="S6" s="62"/>
      <c r="T6" s="62"/>
      <c r="U6" s="62"/>
    </row>
    <row r="7" spans="1:21">
      <c r="A7" s="69" t="s">
        <v>1124</v>
      </c>
      <c r="B7" s="42" t="s">
        <v>1125</v>
      </c>
      <c r="C7" s="42" t="s">
        <v>1126</v>
      </c>
      <c r="D7" s="42" t="s">
        <v>16</v>
      </c>
      <c r="E7" s="42" t="s">
        <v>1127</v>
      </c>
      <c r="F7" s="42">
        <v>443</v>
      </c>
      <c r="G7" s="42"/>
      <c r="H7" s="42">
        <v>50</v>
      </c>
      <c r="I7" s="42"/>
      <c r="J7" s="42"/>
      <c r="K7" s="42">
        <f t="shared" ref="K7" si="0">I7*J7</f>
        <v>0</v>
      </c>
      <c r="L7" s="43">
        <f t="shared" ref="L7" si="1">H7-K7</f>
        <v>50</v>
      </c>
      <c r="M7" s="43"/>
      <c r="N7" s="43">
        <f t="shared" ref="N7" si="2">L7-M7</f>
        <v>50</v>
      </c>
      <c r="O7" s="43">
        <f t="shared" ref="O7" si="3">H7/1000*70</f>
        <v>3.5</v>
      </c>
      <c r="P7" s="42">
        <v>0</v>
      </c>
      <c r="Q7" s="42">
        <v>1600</v>
      </c>
      <c r="R7" s="42">
        <f t="shared" ref="R7" si="4">L7*Q7</f>
        <v>80000</v>
      </c>
      <c r="S7" s="62"/>
      <c r="T7" s="62"/>
      <c r="U7" s="62"/>
    </row>
    <row r="8" spans="1:21">
      <c r="A8" s="69"/>
      <c r="B8" s="141"/>
      <c r="C8" s="141"/>
      <c r="D8" s="141"/>
      <c r="E8" s="141"/>
      <c r="F8" s="141"/>
      <c r="G8" s="141"/>
      <c r="H8" s="141"/>
      <c r="I8" s="141"/>
      <c r="J8" s="141"/>
      <c r="K8" s="141"/>
      <c r="L8" s="61"/>
      <c r="M8" s="61"/>
      <c r="N8" s="141"/>
      <c r="O8" s="62"/>
      <c r="P8" s="62"/>
      <c r="Q8" s="62"/>
      <c r="R8" s="62"/>
      <c r="S8" s="62"/>
      <c r="T8" s="62"/>
      <c r="U8" s="62"/>
    </row>
    <row r="9" spans="1:21">
      <c r="A9" s="69" t="s">
        <v>2801</v>
      </c>
      <c r="B9" s="42" t="s">
        <v>2802</v>
      </c>
      <c r="C9" s="42" t="s">
        <v>2803</v>
      </c>
      <c r="D9" s="42" t="s">
        <v>16</v>
      </c>
      <c r="E9" s="42" t="s">
        <v>2804</v>
      </c>
      <c r="F9" s="42">
        <v>2704</v>
      </c>
      <c r="G9" s="42"/>
      <c r="H9" s="42">
        <v>200</v>
      </c>
      <c r="I9" s="42">
        <v>8</v>
      </c>
      <c r="J9" s="42"/>
      <c r="K9" s="43">
        <f t="shared" ref="K9" si="5">I9*J9</f>
        <v>0</v>
      </c>
      <c r="L9" s="43">
        <f t="shared" ref="L9" si="6">H9-K9</f>
        <v>200</v>
      </c>
      <c r="M9" s="43"/>
      <c r="N9" s="43">
        <f t="shared" ref="N9" si="7">L9-M9</f>
        <v>200</v>
      </c>
      <c r="O9" s="43">
        <f t="shared" ref="O9" si="8">H9/1000*70</f>
        <v>14</v>
      </c>
      <c r="P9" s="42">
        <v>0</v>
      </c>
      <c r="Q9" s="42">
        <v>1600</v>
      </c>
      <c r="R9" s="42">
        <f t="shared" ref="R9" si="9">L9*Q9</f>
        <v>320000</v>
      </c>
      <c r="S9" s="62"/>
      <c r="T9" s="62"/>
      <c r="U9" s="62"/>
    </row>
    <row r="10" spans="1:21">
      <c r="A10" s="63"/>
      <c r="B10" s="141"/>
      <c r="C10" s="141"/>
      <c r="D10" s="141"/>
      <c r="E10" s="141"/>
      <c r="F10" s="141"/>
      <c r="G10" s="141"/>
      <c r="H10" s="141"/>
      <c r="I10" s="141"/>
      <c r="J10" s="141"/>
      <c r="K10" s="141"/>
      <c r="L10" s="61"/>
      <c r="M10" s="61"/>
      <c r="N10" s="141"/>
      <c r="O10" s="62"/>
      <c r="P10" s="62"/>
      <c r="Q10" s="62"/>
      <c r="R10" s="62"/>
      <c r="S10" s="62"/>
      <c r="T10" s="62"/>
      <c r="U10" s="62"/>
    </row>
    <row r="11" spans="1:21">
      <c r="A11" s="63" t="s">
        <v>3414</v>
      </c>
      <c r="B11" s="42" t="s">
        <v>1125</v>
      </c>
      <c r="C11" s="42" t="s">
        <v>2803</v>
      </c>
      <c r="D11" s="42" t="s">
        <v>16</v>
      </c>
      <c r="E11" s="47" t="s">
        <v>3415</v>
      </c>
      <c r="F11" s="47">
        <v>3613</v>
      </c>
      <c r="G11" s="47"/>
      <c r="H11" s="47">
        <v>100</v>
      </c>
      <c r="I11" s="47">
        <v>4</v>
      </c>
      <c r="J11" s="47"/>
      <c r="K11" s="43">
        <f t="shared" ref="K11" si="10">I11*J11</f>
        <v>0</v>
      </c>
      <c r="L11" s="43">
        <f t="shared" ref="L11" si="11">H11-K11</f>
        <v>100</v>
      </c>
      <c r="M11" s="43"/>
      <c r="N11" s="43">
        <f t="shared" ref="N11" si="12">L11-M11</f>
        <v>100</v>
      </c>
      <c r="O11" s="43">
        <f t="shared" ref="O11" si="13">H11/1000*70</f>
        <v>7</v>
      </c>
      <c r="P11" s="42">
        <v>0</v>
      </c>
      <c r="Q11" s="42"/>
      <c r="R11" s="42">
        <f t="shared" ref="R11" si="14">L11*Q11</f>
        <v>0</v>
      </c>
      <c r="S11" s="62"/>
      <c r="T11" s="62"/>
      <c r="U11" s="62"/>
    </row>
    <row r="12" spans="1:21">
      <c r="A12" s="62"/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</row>
    <row r="13" spans="1:21">
      <c r="A13" s="62" t="s">
        <v>3719</v>
      </c>
      <c r="B13" s="42" t="s">
        <v>1125</v>
      </c>
      <c r="C13" s="42" t="s">
        <v>2803</v>
      </c>
      <c r="D13" s="42" t="s">
        <v>16</v>
      </c>
      <c r="E13" s="47" t="s">
        <v>3720</v>
      </c>
      <c r="F13" s="47">
        <v>737</v>
      </c>
      <c r="G13" s="47"/>
      <c r="H13" s="47">
        <v>100</v>
      </c>
      <c r="I13" s="47">
        <v>4</v>
      </c>
      <c r="J13" s="47"/>
      <c r="K13" s="43">
        <f t="shared" ref="K13" si="15">I13*J13</f>
        <v>0</v>
      </c>
      <c r="L13" s="43">
        <f t="shared" ref="L13" si="16">H13-K13</f>
        <v>100</v>
      </c>
      <c r="M13" s="43"/>
      <c r="N13" s="43">
        <f t="shared" ref="N13" si="17">L13-M13</f>
        <v>100</v>
      </c>
      <c r="O13" s="43">
        <f t="shared" ref="O13" si="18">H13/1000*70</f>
        <v>7</v>
      </c>
      <c r="P13" s="42">
        <v>0</v>
      </c>
      <c r="Q13" s="42"/>
      <c r="R13" s="42">
        <f t="shared" ref="R13" si="19">L13*Q13</f>
        <v>0</v>
      </c>
      <c r="S13" s="42"/>
      <c r="T13" s="62"/>
      <c r="U13" s="62"/>
    </row>
    <row r="14" spans="1:21">
      <c r="A14" s="62"/>
      <c r="B14" s="62"/>
      <c r="C14" s="62"/>
      <c r="D14" s="62"/>
      <c r="E14" s="62"/>
      <c r="F14" s="62"/>
      <c r="G14" s="62"/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</row>
    <row r="15" spans="1:21">
      <c r="A15" s="62"/>
      <c r="B15" s="67"/>
      <c r="C15" s="67"/>
      <c r="D15" s="67"/>
      <c r="E15" s="67"/>
      <c r="F15" s="67"/>
      <c r="G15" s="67"/>
      <c r="H15" s="67"/>
      <c r="I15" s="67"/>
      <c r="J15" s="67"/>
      <c r="K15" s="67"/>
      <c r="L15" s="68"/>
      <c r="M15" s="68"/>
      <c r="N15" s="68"/>
      <c r="O15" s="68"/>
      <c r="P15" s="67"/>
      <c r="Q15" s="67"/>
      <c r="R15" s="67"/>
      <c r="S15" s="62"/>
      <c r="T15" s="62"/>
      <c r="U15" s="62"/>
    </row>
    <row r="16" spans="1:21">
      <c r="A16" s="62"/>
      <c r="B16" s="62"/>
      <c r="C16" s="62"/>
      <c r="D16" s="62"/>
      <c r="E16" s="62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</row>
    <row r="17" spans="1:21">
      <c r="A17" s="62"/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8"/>
      <c r="M17" s="68"/>
      <c r="N17" s="68"/>
      <c r="O17" s="68"/>
      <c r="P17" s="67"/>
      <c r="Q17" s="67"/>
      <c r="R17" s="67"/>
      <c r="S17" s="62"/>
      <c r="T17" s="62"/>
      <c r="U17" s="62"/>
    </row>
    <row r="18" spans="1:21">
      <c r="A18" s="62"/>
      <c r="B18" s="62"/>
      <c r="C18" s="62"/>
      <c r="D18" s="62"/>
      <c r="E18" s="62"/>
      <c r="F18" s="62"/>
      <c r="G18" s="62"/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</row>
    <row r="19" spans="1:21">
      <c r="A19" s="62"/>
      <c r="B19" s="142"/>
      <c r="C19" s="142"/>
      <c r="D19" s="67"/>
      <c r="E19" s="142"/>
      <c r="F19" s="142"/>
      <c r="G19" s="142"/>
      <c r="H19" s="142"/>
      <c r="I19" s="142"/>
      <c r="J19" s="142"/>
      <c r="K19" s="67"/>
      <c r="L19" s="68"/>
      <c r="M19" s="68"/>
      <c r="N19" s="68"/>
      <c r="O19" s="68"/>
      <c r="P19" s="142"/>
      <c r="Q19" s="142"/>
      <c r="R19" s="142"/>
      <c r="S19" s="62"/>
      <c r="T19" s="62"/>
      <c r="U19" s="62"/>
    </row>
    <row r="20" spans="1:21">
      <c r="A20" s="62"/>
      <c r="B20" s="62"/>
      <c r="C20" s="62"/>
      <c r="D20" s="62"/>
      <c r="E20" s="62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</row>
    <row r="21" spans="1:21">
      <c r="A21" s="62"/>
      <c r="B21" s="62"/>
      <c r="C21" s="62"/>
      <c r="D21" s="62"/>
      <c r="E21" s="62"/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</row>
    <row r="22" spans="1:21">
      <c r="A22" s="62"/>
      <c r="B22" s="62"/>
      <c r="C22" s="62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</row>
    <row r="23" spans="1:21">
      <c r="A23" s="62"/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</row>
    <row r="24" spans="1:21">
      <c r="A24" s="62"/>
      <c r="B24" s="62"/>
      <c r="C24" s="62"/>
      <c r="D24" s="62"/>
      <c r="E24" s="6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</row>
    <row r="25" spans="1:21">
      <c r="A25" s="62"/>
      <c r="B25" s="62"/>
      <c r="C25" s="62"/>
      <c r="D25" s="62"/>
      <c r="E25" s="62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</row>
    <row r="26" spans="1:21">
      <c r="A26" s="62"/>
      <c r="B26" s="62"/>
      <c r="C26" s="62"/>
      <c r="D26" s="62"/>
      <c r="E26" s="62"/>
      <c r="F26" s="62"/>
      <c r="G26" s="62"/>
      <c r="H26" s="62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</row>
    <row r="27" spans="1:21">
      <c r="A27" s="62"/>
      <c r="B27" s="62"/>
      <c r="C27" s="62"/>
      <c r="D27" s="62"/>
      <c r="E27" s="62"/>
      <c r="F27" s="62"/>
      <c r="G27" s="62"/>
      <c r="H27" s="62"/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5:T11"/>
  <sheetViews>
    <sheetView workbookViewId="0">
      <selection activeCell="B7" sqref="B7:N7"/>
    </sheetView>
  </sheetViews>
  <sheetFormatPr defaultRowHeight="14.4"/>
  <cols>
    <col min="1" max="1" width="8.88671875" style="1"/>
    <col min="2" max="2" width="17.109375" style="1" customWidth="1"/>
    <col min="3" max="3" width="8.88671875" style="1"/>
    <col min="4" max="4" width="5.5546875" style="1" customWidth="1"/>
    <col min="5" max="5" width="10.664062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0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0">
      <c r="A6" s="7"/>
      <c r="B6" s="2"/>
      <c r="C6" s="2"/>
      <c r="D6" s="2"/>
      <c r="E6" s="2"/>
      <c r="F6" s="2"/>
      <c r="G6" s="2"/>
      <c r="H6" s="2"/>
      <c r="I6" s="2"/>
      <c r="J6" s="2"/>
      <c r="K6" s="2"/>
      <c r="L6" s="5"/>
      <c r="M6" s="5"/>
      <c r="N6" s="2"/>
    </row>
    <row r="7" spans="1:20">
      <c r="A7" s="8" t="s">
        <v>151</v>
      </c>
      <c r="B7" s="2" t="s">
        <v>158</v>
      </c>
      <c r="C7" s="2" t="s">
        <v>157</v>
      </c>
      <c r="D7" s="2" t="s">
        <v>16</v>
      </c>
      <c r="E7" s="2" t="s">
        <v>159</v>
      </c>
      <c r="F7" s="2" t="s">
        <v>160</v>
      </c>
      <c r="G7" s="2"/>
      <c r="H7" s="2">
        <v>2000</v>
      </c>
      <c r="I7" s="2">
        <v>80</v>
      </c>
      <c r="J7" s="2">
        <v>0</v>
      </c>
      <c r="K7" s="5">
        <f t="shared" ref="K7" si="0">I7*J7</f>
        <v>0</v>
      </c>
      <c r="L7" s="19">
        <f t="shared" ref="L7" si="1">H7-K7</f>
        <v>2000</v>
      </c>
      <c r="M7" s="5">
        <f t="shared" ref="M7" si="2">H7/1000*70</f>
        <v>140</v>
      </c>
      <c r="N7" s="2"/>
    </row>
    <row r="8" spans="1:20">
      <c r="A8" s="8"/>
      <c r="B8" s="2"/>
      <c r="C8" s="2"/>
      <c r="D8" s="2"/>
      <c r="E8" s="2"/>
      <c r="F8" s="2"/>
      <c r="G8" s="2"/>
      <c r="H8" s="2"/>
      <c r="I8" s="2"/>
      <c r="J8" s="2"/>
      <c r="K8" s="2"/>
      <c r="L8" s="5"/>
      <c r="M8" s="5"/>
      <c r="N8" s="2"/>
    </row>
    <row r="9" spans="1:20">
      <c r="A9" s="9"/>
      <c r="B9" s="2"/>
      <c r="C9" s="2"/>
      <c r="D9" s="2"/>
      <c r="E9" s="2"/>
      <c r="F9" s="2"/>
      <c r="G9" s="2"/>
      <c r="H9" s="2"/>
      <c r="I9" s="2"/>
      <c r="J9" s="2"/>
      <c r="K9" s="2"/>
      <c r="L9" s="5"/>
      <c r="M9" s="5"/>
      <c r="N9" s="2"/>
    </row>
    <row r="10" spans="1:20">
      <c r="A10" s="10"/>
      <c r="B10" s="2"/>
      <c r="C10" s="2"/>
      <c r="D10" s="2"/>
      <c r="E10" s="2"/>
      <c r="F10" s="2"/>
      <c r="G10" s="2"/>
      <c r="H10" s="2"/>
      <c r="I10" s="2"/>
      <c r="J10" s="2"/>
      <c r="K10" s="2"/>
      <c r="L10" s="5"/>
      <c r="M10" s="5"/>
      <c r="N10" s="2"/>
    </row>
    <row r="11" spans="1:20">
      <c r="A11" s="11"/>
      <c r="B11" s="2"/>
      <c r="C11" s="2"/>
      <c r="D11" s="2"/>
      <c r="E11" s="2"/>
      <c r="F11" s="2"/>
      <c r="G11" s="2"/>
      <c r="H11" s="2"/>
      <c r="I11" s="2"/>
      <c r="J11" s="2"/>
      <c r="K11" s="2"/>
      <c r="L11" s="5"/>
      <c r="M11" s="5"/>
      <c r="N11" s="2"/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5:T11"/>
  <sheetViews>
    <sheetView workbookViewId="0">
      <selection activeCell="C11" sqref="C11"/>
    </sheetView>
  </sheetViews>
  <sheetFormatPr defaultRowHeight="14.4"/>
  <cols>
    <col min="1" max="1" width="8.88671875" style="1"/>
    <col min="2" max="2" width="19" style="1" customWidth="1"/>
    <col min="3" max="3" width="16.6640625" style="1" customWidth="1"/>
    <col min="4" max="4" width="5.5546875" style="1" customWidth="1"/>
    <col min="5" max="5" width="10.664062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0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0">
      <c r="A6" s="7"/>
      <c r="B6" s="2"/>
      <c r="C6" s="2"/>
      <c r="D6" s="2"/>
      <c r="E6" s="2"/>
      <c r="F6" s="2"/>
      <c r="G6" s="2"/>
      <c r="H6" s="2"/>
      <c r="I6" s="2"/>
      <c r="J6" s="2"/>
      <c r="K6" s="2"/>
      <c r="L6" s="5"/>
      <c r="M6" s="5"/>
      <c r="N6" s="2"/>
    </row>
    <row r="7" spans="1:20">
      <c r="A7" s="8" t="s">
        <v>367</v>
      </c>
      <c r="B7" s="42" t="s">
        <v>370</v>
      </c>
      <c r="C7" s="55" t="s">
        <v>371</v>
      </c>
      <c r="D7" s="42" t="s">
        <v>16</v>
      </c>
      <c r="E7" s="42" t="s">
        <v>372</v>
      </c>
      <c r="F7" s="42">
        <v>2785</v>
      </c>
      <c r="G7" s="42"/>
      <c r="H7" s="42">
        <v>1000</v>
      </c>
      <c r="I7" s="42">
        <v>40</v>
      </c>
      <c r="J7" s="42"/>
      <c r="K7" s="42">
        <f t="shared" ref="K7" si="0">I7*J7</f>
        <v>0</v>
      </c>
      <c r="L7" s="43">
        <f t="shared" ref="L7" si="1">H7-K7</f>
        <v>1000</v>
      </c>
      <c r="M7" s="43">
        <f t="shared" ref="M7" si="2">H7/1000*70</f>
        <v>70</v>
      </c>
      <c r="N7" s="42">
        <v>0</v>
      </c>
      <c r="O7" s="42">
        <v>240</v>
      </c>
      <c r="P7" s="42">
        <f t="shared" ref="P7" si="3">L7*O7</f>
        <v>240000</v>
      </c>
    </row>
    <row r="8" spans="1:20">
      <c r="A8" s="8"/>
      <c r="B8" s="2"/>
      <c r="C8" s="2"/>
      <c r="D8" s="2"/>
      <c r="E8" s="2"/>
      <c r="F8" s="2"/>
      <c r="G8" s="2"/>
      <c r="H8" s="2"/>
      <c r="I8" s="2"/>
      <c r="J8" s="2"/>
      <c r="K8" s="2"/>
      <c r="L8" s="5"/>
      <c r="M8" s="5"/>
      <c r="N8" s="2"/>
    </row>
    <row r="9" spans="1:20">
      <c r="A9" s="9"/>
      <c r="B9" s="2"/>
      <c r="C9" s="2"/>
      <c r="D9" s="2"/>
      <c r="E9" s="2"/>
      <c r="F9" s="2"/>
      <c r="G9" s="2"/>
      <c r="H9" s="2"/>
      <c r="I9" s="2"/>
      <c r="J9" s="2"/>
      <c r="K9" s="2"/>
      <c r="L9" s="5"/>
      <c r="M9" s="5"/>
      <c r="N9" s="2"/>
    </row>
    <row r="10" spans="1:20">
      <c r="A10" s="10"/>
      <c r="B10" s="2"/>
      <c r="C10" s="2"/>
      <c r="D10" s="2"/>
      <c r="E10" s="2"/>
      <c r="F10" s="2"/>
      <c r="G10" s="2"/>
      <c r="H10" s="2"/>
      <c r="I10" s="2"/>
      <c r="J10" s="2"/>
      <c r="K10" s="2"/>
      <c r="L10" s="5"/>
      <c r="M10" s="5"/>
      <c r="N10" s="2"/>
    </row>
    <row r="11" spans="1:20">
      <c r="A11" s="11"/>
      <c r="B11" s="2"/>
      <c r="C11" s="2"/>
      <c r="D11" s="2"/>
      <c r="E11" s="2"/>
      <c r="F11" s="2"/>
      <c r="G11" s="2"/>
      <c r="H11" s="2"/>
      <c r="I11" s="2"/>
      <c r="J11" s="2"/>
      <c r="K11" s="2"/>
      <c r="L11" s="5"/>
      <c r="M11" s="5"/>
      <c r="N11" s="2"/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5:T11"/>
  <sheetViews>
    <sheetView workbookViewId="0">
      <selection activeCell="C11" sqref="C11"/>
    </sheetView>
  </sheetViews>
  <sheetFormatPr defaultRowHeight="14.4"/>
  <cols>
    <col min="1" max="1" width="8.88671875" style="1"/>
    <col min="2" max="2" width="19" style="1" customWidth="1"/>
    <col min="3" max="3" width="16.6640625" style="1" customWidth="1"/>
    <col min="4" max="4" width="5.5546875" style="1" customWidth="1"/>
    <col min="5" max="5" width="10.664062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0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0">
      <c r="A6" s="7"/>
      <c r="B6" s="2"/>
      <c r="C6" s="2"/>
      <c r="D6" s="2"/>
      <c r="E6" s="2"/>
      <c r="F6" s="2"/>
      <c r="G6" s="2"/>
      <c r="H6" s="2"/>
      <c r="I6" s="2"/>
      <c r="J6" s="2"/>
      <c r="K6" s="2"/>
      <c r="L6" s="5"/>
      <c r="M6" s="5"/>
      <c r="N6" s="2"/>
    </row>
    <row r="7" spans="1:20">
      <c r="A7" s="8" t="s">
        <v>389</v>
      </c>
      <c r="B7" s="42" t="s">
        <v>391</v>
      </c>
      <c r="C7" s="42" t="s">
        <v>392</v>
      </c>
      <c r="D7" s="42" t="s">
        <v>16</v>
      </c>
      <c r="E7" s="42" t="s">
        <v>393</v>
      </c>
      <c r="F7" s="42">
        <v>2811</v>
      </c>
      <c r="G7" s="42"/>
      <c r="H7" s="42">
        <v>25</v>
      </c>
      <c r="I7" s="42"/>
      <c r="J7" s="42"/>
      <c r="K7" s="43">
        <f t="shared" ref="K7" si="0">I7*J7</f>
        <v>0</v>
      </c>
      <c r="L7" s="43">
        <f t="shared" ref="L7" si="1">H7-K7</f>
        <v>25</v>
      </c>
      <c r="M7" s="43">
        <f t="shared" ref="M7" si="2">H7/1000*70</f>
        <v>1.75</v>
      </c>
      <c r="N7" s="42">
        <v>0</v>
      </c>
      <c r="O7" s="42"/>
      <c r="P7" s="42">
        <f t="shared" ref="P7" si="3">L7*O7</f>
        <v>0</v>
      </c>
      <c r="Q7" s="42"/>
    </row>
    <row r="8" spans="1:20">
      <c r="A8" s="8"/>
      <c r="B8" s="2"/>
      <c r="C8" s="2"/>
      <c r="D8" s="2"/>
      <c r="E8" s="2"/>
      <c r="F8" s="2"/>
      <c r="G8" s="2"/>
      <c r="H8" s="2"/>
      <c r="I8" s="2"/>
      <c r="J8" s="2"/>
      <c r="K8" s="2"/>
      <c r="L8" s="5"/>
      <c r="M8" s="5"/>
      <c r="N8" s="2"/>
    </row>
    <row r="9" spans="1:20">
      <c r="A9" s="9"/>
      <c r="B9" s="42"/>
      <c r="C9" s="42"/>
      <c r="D9" s="42"/>
      <c r="E9" s="42"/>
      <c r="F9" s="42"/>
      <c r="G9" s="42"/>
      <c r="H9" s="42"/>
      <c r="I9" s="42"/>
      <c r="J9" s="42"/>
      <c r="K9" s="42"/>
      <c r="L9" s="43"/>
      <c r="M9" s="43"/>
      <c r="N9" s="43"/>
      <c r="O9" s="43">
        <f t="shared" ref="O9" si="4">H9/1000*70</f>
        <v>0</v>
      </c>
      <c r="P9" s="42">
        <v>0</v>
      </c>
    </row>
    <row r="10" spans="1:20">
      <c r="A10" s="10"/>
      <c r="B10" s="2"/>
      <c r="C10" s="2"/>
      <c r="D10" s="2"/>
      <c r="E10" s="2"/>
      <c r="F10" s="2"/>
      <c r="G10" s="2"/>
      <c r="H10" s="2"/>
      <c r="I10" s="2"/>
      <c r="J10" s="2"/>
      <c r="K10" s="2"/>
      <c r="L10" s="5"/>
      <c r="M10" s="5"/>
      <c r="N10" s="2"/>
    </row>
    <row r="11" spans="1:20">
      <c r="A11" s="11"/>
      <c r="B11" s="2"/>
      <c r="C11" s="2"/>
      <c r="D11" s="2"/>
      <c r="E11" s="2"/>
      <c r="F11" s="2"/>
      <c r="G11" s="2"/>
      <c r="H11" s="2"/>
      <c r="I11" s="2"/>
      <c r="J11" s="2"/>
      <c r="K11" s="2"/>
      <c r="L11" s="5"/>
      <c r="M11" s="5"/>
      <c r="N11" s="2"/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5:T52"/>
  <sheetViews>
    <sheetView topLeftCell="A40" workbookViewId="0">
      <selection activeCell="A53" sqref="A53"/>
    </sheetView>
  </sheetViews>
  <sheetFormatPr defaultRowHeight="14.4"/>
  <cols>
    <col min="1" max="1" width="8.88671875" style="1"/>
    <col min="2" max="2" width="19" style="1" customWidth="1"/>
    <col min="3" max="3" width="16.6640625" style="1" customWidth="1"/>
    <col min="4" max="4" width="5.5546875" style="1" customWidth="1"/>
    <col min="5" max="5" width="10.664062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0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0">
      <c r="A6" s="7"/>
      <c r="B6" s="2"/>
      <c r="C6" s="2"/>
      <c r="D6" s="2"/>
      <c r="E6" s="2"/>
      <c r="F6" s="2"/>
      <c r="G6" s="2"/>
      <c r="H6" s="2"/>
      <c r="I6" s="2"/>
      <c r="J6" s="2"/>
      <c r="K6" s="2"/>
      <c r="L6" s="5"/>
      <c r="M6" s="5"/>
      <c r="N6" s="2"/>
    </row>
    <row r="7" spans="1:20">
      <c r="A7" s="8"/>
      <c r="B7" s="42"/>
      <c r="C7" s="42"/>
      <c r="D7" s="42"/>
      <c r="E7" s="42"/>
      <c r="F7" s="42"/>
      <c r="G7" s="42"/>
      <c r="H7" s="42"/>
      <c r="I7" s="42"/>
      <c r="J7" s="42"/>
      <c r="K7" s="43"/>
      <c r="L7" s="43"/>
      <c r="M7" s="43"/>
      <c r="N7" s="42"/>
      <c r="O7" s="42"/>
      <c r="P7" s="42">
        <f t="shared" ref="P7" si="0">L7*O7</f>
        <v>0</v>
      </c>
      <c r="Q7" s="42"/>
    </row>
    <row r="8" spans="1:20">
      <c r="A8" s="8"/>
      <c r="B8" s="2"/>
      <c r="C8" s="2"/>
      <c r="D8" s="2"/>
      <c r="E8" s="2"/>
      <c r="F8" s="2"/>
      <c r="G8" s="2"/>
      <c r="H8" s="2"/>
      <c r="I8" s="2"/>
      <c r="J8" s="2"/>
      <c r="K8" s="2"/>
      <c r="L8" s="5"/>
      <c r="M8" s="5"/>
      <c r="N8" s="2"/>
    </row>
    <row r="9" spans="1:20">
      <c r="A9" s="9" t="s">
        <v>690</v>
      </c>
      <c r="B9" s="42" t="s">
        <v>391</v>
      </c>
      <c r="C9" s="42" t="s">
        <v>694</v>
      </c>
      <c r="D9" s="42" t="s">
        <v>16</v>
      </c>
      <c r="E9" s="42" t="s">
        <v>372</v>
      </c>
      <c r="F9" s="42">
        <v>3010</v>
      </c>
      <c r="G9" s="42"/>
      <c r="H9" s="42">
        <v>1000</v>
      </c>
      <c r="I9" s="42">
        <v>40</v>
      </c>
      <c r="J9" s="42"/>
      <c r="K9" s="42">
        <f t="shared" ref="K9" si="1">I9*J9</f>
        <v>0</v>
      </c>
      <c r="L9" s="43">
        <f t="shared" ref="L9" si="2">H9-K9</f>
        <v>1000</v>
      </c>
      <c r="M9" s="43"/>
      <c r="N9" s="43">
        <f t="shared" ref="N9" si="3">L9-M9</f>
        <v>1000</v>
      </c>
      <c r="O9" s="43">
        <f t="shared" ref="O9" si="4">H9/1000*70</f>
        <v>70</v>
      </c>
      <c r="P9" s="42">
        <v>0</v>
      </c>
    </row>
    <row r="10" spans="1:20">
      <c r="A10" s="10"/>
      <c r="B10" s="2"/>
      <c r="C10" s="2"/>
      <c r="D10" s="2"/>
      <c r="E10" s="2"/>
      <c r="F10" s="2"/>
      <c r="G10" s="2"/>
      <c r="H10" s="2"/>
      <c r="I10" s="2"/>
      <c r="J10" s="2"/>
      <c r="K10" s="2"/>
      <c r="L10" s="5"/>
      <c r="M10" s="5"/>
      <c r="N10" s="2"/>
    </row>
    <row r="11" spans="1:20">
      <c r="A11" s="11" t="s">
        <v>1120</v>
      </c>
      <c r="B11" s="42" t="s">
        <v>391</v>
      </c>
      <c r="C11" s="42" t="s">
        <v>1121</v>
      </c>
      <c r="D11" s="42" t="s">
        <v>16</v>
      </c>
      <c r="E11" s="42" t="s">
        <v>555</v>
      </c>
      <c r="F11" s="42">
        <v>3387</v>
      </c>
      <c r="G11" s="42"/>
      <c r="H11" s="42">
        <v>200</v>
      </c>
      <c r="I11" s="42">
        <v>8</v>
      </c>
      <c r="J11" s="42"/>
      <c r="K11" s="42">
        <f t="shared" ref="K11" si="5">I11*J11</f>
        <v>0</v>
      </c>
      <c r="L11" s="43">
        <f t="shared" ref="L11" si="6">H11-K11</f>
        <v>200</v>
      </c>
      <c r="M11" s="43"/>
      <c r="N11" s="43">
        <f t="shared" ref="N11" si="7">L11-M11</f>
        <v>200</v>
      </c>
      <c r="O11" s="43">
        <f t="shared" ref="O11" si="8">H11/1000*70</f>
        <v>14</v>
      </c>
      <c r="P11" s="42">
        <v>0</v>
      </c>
      <c r="Q11" s="42">
        <v>380</v>
      </c>
      <c r="R11" s="42">
        <f t="shared" ref="R11" si="9">L11*Q11</f>
        <v>76000</v>
      </c>
    </row>
    <row r="13" spans="1:20">
      <c r="A13" s="1" t="s">
        <v>1194</v>
      </c>
      <c r="B13" s="42" t="s">
        <v>391</v>
      </c>
      <c r="C13" s="56" t="s">
        <v>1200</v>
      </c>
      <c r="D13" s="42" t="s">
        <v>16</v>
      </c>
      <c r="E13" s="42" t="s">
        <v>1201</v>
      </c>
      <c r="F13" s="42">
        <v>3457</v>
      </c>
      <c r="G13" s="42"/>
      <c r="H13" s="42">
        <v>2300</v>
      </c>
      <c r="I13" s="42">
        <v>92</v>
      </c>
      <c r="J13" s="42"/>
      <c r="K13" s="42">
        <f t="shared" ref="K13" si="10">I13*J13</f>
        <v>0</v>
      </c>
      <c r="L13" s="43">
        <f t="shared" ref="L13" si="11">H13-K13</f>
        <v>2300</v>
      </c>
      <c r="M13" s="43"/>
      <c r="N13" s="43">
        <f t="shared" ref="N13" si="12">L13-M13</f>
        <v>2300</v>
      </c>
      <c r="O13" s="43">
        <f t="shared" ref="O13" si="13">H13/1000*70</f>
        <v>161</v>
      </c>
      <c r="P13" s="42">
        <v>0</v>
      </c>
      <c r="Q13" s="42"/>
      <c r="R13" s="42">
        <f t="shared" ref="R13" si="14">L13*Q13</f>
        <v>0</v>
      </c>
    </row>
    <row r="15" spans="1:20">
      <c r="A15" s="1" t="s">
        <v>1523</v>
      </c>
      <c r="B15" s="42" t="s">
        <v>391</v>
      </c>
      <c r="C15" s="42" t="s">
        <v>1529</v>
      </c>
      <c r="D15" s="42" t="s">
        <v>16</v>
      </c>
      <c r="E15" s="42" t="s">
        <v>1530</v>
      </c>
      <c r="F15" s="42">
        <v>3660</v>
      </c>
      <c r="G15" s="42"/>
      <c r="H15" s="42">
        <v>500</v>
      </c>
      <c r="I15" s="42">
        <v>20</v>
      </c>
      <c r="J15" s="42"/>
      <c r="K15" s="42">
        <f t="shared" ref="K15" si="15">I15*J15</f>
        <v>0</v>
      </c>
      <c r="L15" s="43">
        <f t="shared" ref="L15" si="16">H15-K15</f>
        <v>500</v>
      </c>
      <c r="M15" s="43"/>
      <c r="N15" s="43">
        <f t="shared" ref="N15" si="17">L15-M15</f>
        <v>500</v>
      </c>
      <c r="O15" s="43">
        <f t="shared" ref="O15" si="18">H15/1000*70</f>
        <v>35</v>
      </c>
      <c r="P15" s="42">
        <v>0</v>
      </c>
      <c r="Q15" s="42"/>
      <c r="R15" s="42">
        <f t="shared" ref="R15" si="19">L15*Q15</f>
        <v>0</v>
      </c>
    </row>
    <row r="17" spans="1:19">
      <c r="A17" s="1" t="s">
        <v>1756</v>
      </c>
      <c r="B17" s="42" t="s">
        <v>391</v>
      </c>
      <c r="C17" s="42" t="s">
        <v>1761</v>
      </c>
      <c r="D17" s="42" t="s">
        <v>16</v>
      </c>
      <c r="E17" s="42" t="s">
        <v>1760</v>
      </c>
      <c r="F17" s="42">
        <v>0</v>
      </c>
      <c r="G17" s="42"/>
      <c r="H17" s="42">
        <v>300</v>
      </c>
      <c r="I17" s="42">
        <v>12</v>
      </c>
      <c r="J17" s="42"/>
      <c r="K17" s="42">
        <f t="shared" ref="K17" si="20">I17*J17</f>
        <v>0</v>
      </c>
      <c r="L17" s="43">
        <f t="shared" ref="L17" si="21">H17-K17</f>
        <v>300</v>
      </c>
      <c r="M17" s="43"/>
      <c r="N17" s="43">
        <f t="shared" ref="N17" si="22">L17-M17</f>
        <v>300</v>
      </c>
      <c r="O17" s="43">
        <f t="shared" ref="O17" si="23">H17/1000*70</f>
        <v>21</v>
      </c>
      <c r="P17" s="211">
        <v>0</v>
      </c>
      <c r="Q17" s="211">
        <v>350</v>
      </c>
      <c r="R17" s="42">
        <f t="shared" ref="R17" si="24">L17*Q17</f>
        <v>105000</v>
      </c>
      <c r="S17" s="42" t="s">
        <v>1762</v>
      </c>
    </row>
    <row r="19" spans="1:19">
      <c r="A19" s="1" t="s">
        <v>1918</v>
      </c>
      <c r="B19" s="42" t="s">
        <v>391</v>
      </c>
      <c r="C19" s="42" t="s">
        <v>1529</v>
      </c>
      <c r="D19" s="42" t="s">
        <v>16</v>
      </c>
      <c r="E19" s="42" t="s">
        <v>372</v>
      </c>
      <c r="F19" s="42">
        <v>3851</v>
      </c>
      <c r="G19" s="42"/>
      <c r="H19" s="42">
        <v>1000</v>
      </c>
      <c r="I19" s="42">
        <v>40</v>
      </c>
      <c r="J19" s="42"/>
      <c r="K19" s="42">
        <f t="shared" ref="K19" si="25">I19*J19</f>
        <v>0</v>
      </c>
      <c r="L19" s="43">
        <f t="shared" ref="L19" si="26">H19-K19</f>
        <v>1000</v>
      </c>
      <c r="M19" s="43"/>
      <c r="N19" s="43">
        <f t="shared" ref="N19" si="27">L19-M19</f>
        <v>1000</v>
      </c>
      <c r="O19" s="43">
        <f t="shared" ref="O19" si="28">H19/1000*70</f>
        <v>70</v>
      </c>
      <c r="P19" s="42">
        <v>0</v>
      </c>
      <c r="Q19" s="42">
        <v>350</v>
      </c>
      <c r="R19" s="42">
        <f t="shared" ref="R19" si="29">L19*Q19</f>
        <v>350000</v>
      </c>
    </row>
    <row r="21" spans="1:19">
      <c r="A21" s="1" t="s">
        <v>2060</v>
      </c>
      <c r="B21" s="42" t="s">
        <v>391</v>
      </c>
      <c r="C21" s="42" t="s">
        <v>2062</v>
      </c>
      <c r="D21" s="42" t="s">
        <v>16</v>
      </c>
      <c r="E21" s="42" t="s">
        <v>372</v>
      </c>
      <c r="F21" s="42">
        <v>3948</v>
      </c>
      <c r="G21" s="42"/>
      <c r="H21" s="42">
        <v>1000</v>
      </c>
      <c r="I21" s="42">
        <v>40</v>
      </c>
      <c r="J21" s="42"/>
      <c r="K21" s="43">
        <f t="shared" ref="K21" si="30">I21*J21</f>
        <v>0</v>
      </c>
      <c r="L21" s="43">
        <f t="shared" ref="L21" si="31">H21-K21</f>
        <v>1000</v>
      </c>
      <c r="M21" s="43"/>
      <c r="N21" s="43">
        <f t="shared" ref="N21" si="32">L21-M21</f>
        <v>1000</v>
      </c>
      <c r="O21" s="43">
        <f t="shared" ref="O21" si="33">H21/1000*70</f>
        <v>70</v>
      </c>
      <c r="P21" s="42">
        <v>0</v>
      </c>
      <c r="Q21" s="42">
        <v>350</v>
      </c>
      <c r="R21" s="42">
        <f t="shared" ref="R21" si="34">L21*Q21</f>
        <v>350000</v>
      </c>
    </row>
    <row r="23" spans="1:19">
      <c r="A23" s="1" t="s">
        <v>2193</v>
      </c>
      <c r="B23" s="42" t="s">
        <v>391</v>
      </c>
      <c r="C23" s="42" t="s">
        <v>1529</v>
      </c>
      <c r="D23" s="42" t="s">
        <v>16</v>
      </c>
      <c r="E23" s="42" t="s">
        <v>2196</v>
      </c>
      <c r="F23" s="42">
        <v>4026</v>
      </c>
      <c r="G23" s="42"/>
      <c r="H23" s="42">
        <v>500</v>
      </c>
      <c r="I23" s="42">
        <v>20</v>
      </c>
      <c r="J23" s="42"/>
      <c r="K23" s="43">
        <f t="shared" ref="K23" si="35">I23*J23</f>
        <v>0</v>
      </c>
      <c r="L23" s="43">
        <f t="shared" ref="L23" si="36">H23-K23</f>
        <v>500</v>
      </c>
      <c r="M23" s="43"/>
      <c r="N23" s="43">
        <f t="shared" ref="N23" si="37">L23-M23</f>
        <v>500</v>
      </c>
      <c r="O23" s="43">
        <f t="shared" ref="O23" si="38">H23/1000*70</f>
        <v>35</v>
      </c>
      <c r="P23" s="42">
        <v>0</v>
      </c>
      <c r="Q23" s="42">
        <v>350</v>
      </c>
      <c r="R23" s="42">
        <f t="shared" ref="R23" si="39">L23*Q23</f>
        <v>175000</v>
      </c>
    </row>
    <row r="25" spans="1:19">
      <c r="A25" s="1" t="s">
        <v>2282</v>
      </c>
      <c r="B25" s="42" t="s">
        <v>391</v>
      </c>
      <c r="C25" s="42" t="s">
        <v>2062</v>
      </c>
      <c r="D25" s="42" t="s">
        <v>16</v>
      </c>
      <c r="E25" s="42" t="s">
        <v>2287</v>
      </c>
      <c r="F25" s="42">
        <v>4128</v>
      </c>
      <c r="G25" s="42"/>
      <c r="H25" s="42">
        <v>500</v>
      </c>
      <c r="I25" s="42">
        <v>20</v>
      </c>
      <c r="J25" s="42"/>
      <c r="K25" s="43">
        <f t="shared" ref="K25" si="40">I25*J25</f>
        <v>0</v>
      </c>
      <c r="L25" s="43">
        <f t="shared" ref="L25" si="41">H25-K25</f>
        <v>500</v>
      </c>
      <c r="M25" s="43"/>
      <c r="N25" s="43">
        <f t="shared" ref="N25" si="42">L25-M25</f>
        <v>500</v>
      </c>
      <c r="O25" s="43">
        <f t="shared" ref="O25" si="43">H25/1000*70</f>
        <v>35</v>
      </c>
      <c r="P25" s="42">
        <v>0</v>
      </c>
      <c r="Q25" s="42">
        <v>350</v>
      </c>
      <c r="R25" s="42">
        <f t="shared" ref="R25" si="44">L25*Q25</f>
        <v>175000</v>
      </c>
    </row>
    <row r="27" spans="1:19">
      <c r="A27" s="374" t="s">
        <v>2347</v>
      </c>
      <c r="B27" s="42" t="s">
        <v>391</v>
      </c>
      <c r="C27" s="42" t="s">
        <v>2350</v>
      </c>
      <c r="D27" s="42" t="s">
        <v>16</v>
      </c>
      <c r="E27" s="42" t="s">
        <v>2196</v>
      </c>
      <c r="F27" s="42">
        <v>4160</v>
      </c>
      <c r="G27" s="42"/>
      <c r="H27" s="42">
        <v>500</v>
      </c>
      <c r="I27" s="42">
        <v>20</v>
      </c>
      <c r="J27" s="42"/>
      <c r="K27" s="43">
        <f t="shared" ref="K27:K29" si="45">I27*J27</f>
        <v>0</v>
      </c>
      <c r="L27" s="43">
        <f t="shared" ref="L27:L29" si="46">H27-K27</f>
        <v>500</v>
      </c>
      <c r="M27" s="43"/>
      <c r="N27" s="43">
        <f t="shared" ref="N27:N29" si="47">L27-M27</f>
        <v>500</v>
      </c>
      <c r="O27" s="43">
        <f t="shared" ref="O27:O29" si="48">H27/1000*70</f>
        <v>35</v>
      </c>
      <c r="P27" s="42">
        <v>0</v>
      </c>
      <c r="Q27" s="42">
        <v>950</v>
      </c>
      <c r="R27" s="42">
        <f t="shared" ref="R27:R29" si="49">L27*Q27</f>
        <v>475000</v>
      </c>
    </row>
    <row r="28" spans="1:19">
      <c r="A28" s="374"/>
      <c r="B28" s="42"/>
      <c r="C28" s="42" t="s">
        <v>2351</v>
      </c>
      <c r="D28" s="42" t="s">
        <v>16</v>
      </c>
      <c r="E28" s="42" t="s">
        <v>2196</v>
      </c>
      <c r="F28" s="42">
        <v>4160</v>
      </c>
      <c r="G28" s="42"/>
      <c r="H28" s="42">
        <v>300</v>
      </c>
      <c r="I28" s="42">
        <v>12</v>
      </c>
      <c r="J28" s="42"/>
      <c r="K28" s="43">
        <f t="shared" si="45"/>
        <v>0</v>
      </c>
      <c r="L28" s="43">
        <f t="shared" si="46"/>
        <v>300</v>
      </c>
      <c r="M28" s="43"/>
      <c r="N28" s="43">
        <f t="shared" si="47"/>
        <v>300</v>
      </c>
      <c r="O28" s="43">
        <f t="shared" si="48"/>
        <v>21</v>
      </c>
      <c r="P28" s="42">
        <v>0</v>
      </c>
      <c r="Q28" s="42">
        <v>480</v>
      </c>
      <c r="R28" s="42">
        <f t="shared" si="49"/>
        <v>144000</v>
      </c>
    </row>
    <row r="29" spans="1:19">
      <c r="A29" s="1" t="s">
        <v>2421</v>
      </c>
      <c r="B29" s="42" t="s">
        <v>391</v>
      </c>
      <c r="C29" s="42" t="s">
        <v>1529</v>
      </c>
      <c r="D29" s="42" t="s">
        <v>16</v>
      </c>
      <c r="E29" s="42" t="s">
        <v>2427</v>
      </c>
      <c r="F29" s="42">
        <v>4251</v>
      </c>
      <c r="G29" s="42"/>
      <c r="H29" s="42">
        <v>500</v>
      </c>
      <c r="I29" s="42">
        <v>20</v>
      </c>
      <c r="J29" s="42"/>
      <c r="K29" s="43">
        <f t="shared" si="45"/>
        <v>0</v>
      </c>
      <c r="L29" s="43">
        <f t="shared" si="46"/>
        <v>500</v>
      </c>
      <c r="M29" s="43"/>
      <c r="N29" s="43">
        <f t="shared" si="47"/>
        <v>500</v>
      </c>
      <c r="O29" s="43">
        <f t="shared" si="48"/>
        <v>35</v>
      </c>
      <c r="P29" s="42">
        <v>0</v>
      </c>
      <c r="Q29" s="42">
        <v>350</v>
      </c>
      <c r="R29" s="42">
        <f t="shared" si="49"/>
        <v>175000</v>
      </c>
    </row>
    <row r="31" spans="1:19">
      <c r="A31" s="1" t="s">
        <v>2510</v>
      </c>
      <c r="B31" s="42" t="s">
        <v>391</v>
      </c>
      <c r="C31" s="42" t="s">
        <v>1529</v>
      </c>
      <c r="D31" s="42" t="s">
        <v>16</v>
      </c>
      <c r="E31" s="42" t="s">
        <v>372</v>
      </c>
      <c r="F31" s="42">
        <v>4331</v>
      </c>
      <c r="G31" s="42"/>
      <c r="H31" s="42">
        <v>300</v>
      </c>
      <c r="I31" s="42">
        <v>12</v>
      </c>
      <c r="J31" s="42"/>
      <c r="K31" s="43">
        <f t="shared" ref="K31" si="50">I31*J31</f>
        <v>0</v>
      </c>
      <c r="L31" s="43">
        <f t="shared" ref="L31" si="51">H31-K31</f>
        <v>300</v>
      </c>
      <c r="M31" s="43"/>
      <c r="N31" s="43">
        <f t="shared" ref="N31" si="52">L31-M31</f>
        <v>300</v>
      </c>
      <c r="O31" s="43">
        <f t="shared" ref="O31" si="53">H31/1000*70</f>
        <v>21</v>
      </c>
      <c r="P31" s="42">
        <v>0</v>
      </c>
      <c r="Q31" s="42">
        <v>350</v>
      </c>
      <c r="R31" s="42">
        <f t="shared" ref="R31" si="54">L31*Q31</f>
        <v>105000</v>
      </c>
    </row>
    <row r="33" spans="1:18">
      <c r="A33" s="374" t="s">
        <v>2618</v>
      </c>
      <c r="B33" s="42" t="s">
        <v>391</v>
      </c>
      <c r="C33" s="42" t="s">
        <v>1529</v>
      </c>
      <c r="D33" s="42" t="s">
        <v>16</v>
      </c>
      <c r="E33" s="42" t="s">
        <v>372</v>
      </c>
      <c r="F33" s="42">
        <v>4436</v>
      </c>
      <c r="G33" s="42"/>
      <c r="H33" s="42">
        <v>1000</v>
      </c>
      <c r="I33" s="42">
        <v>40</v>
      </c>
      <c r="J33" s="42"/>
      <c r="K33" s="43">
        <f t="shared" ref="K33:K36" si="55">I33*J33</f>
        <v>0</v>
      </c>
      <c r="L33" s="43">
        <f t="shared" ref="L33:L36" si="56">H33-K33</f>
        <v>1000</v>
      </c>
      <c r="M33" s="43"/>
      <c r="N33" s="43">
        <f t="shared" ref="N33:N36" si="57">L33-M33</f>
        <v>1000</v>
      </c>
      <c r="O33" s="43">
        <f t="shared" ref="O33:O36" si="58">H33/1000*70</f>
        <v>70</v>
      </c>
      <c r="P33" s="42">
        <v>0</v>
      </c>
      <c r="Q33" s="42">
        <v>350</v>
      </c>
      <c r="R33" s="42">
        <f t="shared" ref="R33:R36" si="59">L33*Q33</f>
        <v>350000</v>
      </c>
    </row>
    <row r="34" spans="1:18">
      <c r="A34" s="374"/>
      <c r="B34" s="42"/>
      <c r="C34" s="42" t="s">
        <v>2623</v>
      </c>
      <c r="D34" s="42" t="s">
        <v>16</v>
      </c>
      <c r="E34" s="42" t="s">
        <v>372</v>
      </c>
      <c r="F34" s="42">
        <v>4436</v>
      </c>
      <c r="G34" s="42"/>
      <c r="H34" s="42">
        <v>300</v>
      </c>
      <c r="I34" s="42">
        <v>12</v>
      </c>
      <c r="J34" s="42"/>
      <c r="K34" s="43">
        <f t="shared" si="55"/>
        <v>0</v>
      </c>
      <c r="L34" s="43">
        <f t="shared" si="56"/>
        <v>300</v>
      </c>
      <c r="M34" s="43"/>
      <c r="N34" s="43">
        <f t="shared" si="57"/>
        <v>300</v>
      </c>
      <c r="O34" s="43">
        <f t="shared" si="58"/>
        <v>21</v>
      </c>
      <c r="P34" s="42">
        <v>0</v>
      </c>
      <c r="Q34" s="42">
        <v>380</v>
      </c>
      <c r="R34" s="42">
        <f t="shared" si="59"/>
        <v>114000</v>
      </c>
    </row>
    <row r="35" spans="1:18">
      <c r="A35" s="374" t="s">
        <v>2784</v>
      </c>
      <c r="B35" s="42" t="s">
        <v>391</v>
      </c>
      <c r="C35" s="42" t="s">
        <v>1529</v>
      </c>
      <c r="D35" s="42" t="s">
        <v>16</v>
      </c>
      <c r="E35" s="42" t="s">
        <v>372</v>
      </c>
      <c r="F35" s="42">
        <v>4553</v>
      </c>
      <c r="G35" s="42"/>
      <c r="H35" s="42">
        <v>1000</v>
      </c>
      <c r="I35" s="42">
        <v>40</v>
      </c>
      <c r="J35" s="42"/>
      <c r="K35" s="43">
        <f t="shared" si="55"/>
        <v>0</v>
      </c>
      <c r="L35" s="43">
        <f t="shared" si="56"/>
        <v>1000</v>
      </c>
      <c r="M35" s="43"/>
      <c r="N35" s="43">
        <f t="shared" si="57"/>
        <v>1000</v>
      </c>
      <c r="O35" s="43">
        <f t="shared" si="58"/>
        <v>70</v>
      </c>
      <c r="P35" s="42">
        <v>0</v>
      </c>
      <c r="Q35" s="42">
        <v>350</v>
      </c>
      <c r="R35" s="42">
        <f t="shared" si="59"/>
        <v>350000</v>
      </c>
    </row>
    <row r="36" spans="1:18">
      <c r="A36" s="374"/>
      <c r="B36" s="42"/>
      <c r="C36" s="42" t="s">
        <v>2350</v>
      </c>
      <c r="D36" s="42" t="s">
        <v>16</v>
      </c>
      <c r="E36" s="42" t="s">
        <v>372</v>
      </c>
      <c r="F36" s="42">
        <v>4553</v>
      </c>
      <c r="G36" s="42"/>
      <c r="H36" s="42">
        <v>300</v>
      </c>
      <c r="I36" s="42">
        <v>12</v>
      </c>
      <c r="J36" s="42"/>
      <c r="K36" s="43">
        <f t="shared" si="55"/>
        <v>0</v>
      </c>
      <c r="L36" s="43">
        <f t="shared" si="56"/>
        <v>300</v>
      </c>
      <c r="M36" s="43"/>
      <c r="N36" s="43">
        <f t="shared" si="57"/>
        <v>300</v>
      </c>
      <c r="O36" s="43">
        <f t="shared" si="58"/>
        <v>21</v>
      </c>
      <c r="P36" s="42">
        <v>0</v>
      </c>
      <c r="Q36" s="42">
        <v>950</v>
      </c>
      <c r="R36" s="42">
        <f t="shared" si="59"/>
        <v>285000</v>
      </c>
    </row>
    <row r="38" spans="1:18">
      <c r="A38" s="1" t="s">
        <v>2934</v>
      </c>
      <c r="B38" s="42" t="s">
        <v>391</v>
      </c>
      <c r="C38" s="42" t="s">
        <v>1529</v>
      </c>
      <c r="D38" s="42" t="s">
        <v>16</v>
      </c>
      <c r="E38" s="42" t="s">
        <v>372</v>
      </c>
      <c r="F38" s="42">
        <v>4647</v>
      </c>
      <c r="G38" s="42"/>
      <c r="H38" s="42">
        <v>800</v>
      </c>
      <c r="I38" s="42">
        <v>32</v>
      </c>
      <c r="J38" s="42"/>
      <c r="K38" s="43">
        <f t="shared" ref="K38" si="60">I38*J38</f>
        <v>0</v>
      </c>
      <c r="L38" s="43">
        <f t="shared" ref="L38" si="61">H38-K38</f>
        <v>800</v>
      </c>
      <c r="M38" s="43"/>
      <c r="N38" s="43">
        <f t="shared" ref="N38" si="62">L38-M38</f>
        <v>800</v>
      </c>
      <c r="O38" s="43">
        <f t="shared" ref="O38" si="63">H38/1000*70</f>
        <v>56</v>
      </c>
      <c r="P38" s="42">
        <v>0</v>
      </c>
      <c r="Q38" s="42">
        <v>350</v>
      </c>
      <c r="R38" s="42">
        <f t="shared" ref="R38" si="64">L38*Q38</f>
        <v>280000</v>
      </c>
    </row>
    <row r="40" spans="1:18">
      <c r="A40" s="374" t="s">
        <v>3028</v>
      </c>
      <c r="B40" s="42" t="s">
        <v>391</v>
      </c>
      <c r="C40" s="42" t="s">
        <v>2350</v>
      </c>
      <c r="D40" s="42" t="s">
        <v>16</v>
      </c>
      <c r="E40" s="42" t="s">
        <v>372</v>
      </c>
      <c r="F40" s="42">
        <v>4729</v>
      </c>
      <c r="G40" s="42"/>
      <c r="H40" s="42">
        <v>600</v>
      </c>
      <c r="I40" s="42">
        <v>24</v>
      </c>
      <c r="J40" s="42"/>
      <c r="K40" s="43">
        <f t="shared" ref="K40:K41" si="65">I40*J40</f>
        <v>0</v>
      </c>
      <c r="L40" s="43">
        <f t="shared" ref="L40:L41" si="66">H40-K40</f>
        <v>600</v>
      </c>
      <c r="M40" s="43"/>
      <c r="N40" s="43">
        <f t="shared" ref="N40:N41" si="67">L40-M40</f>
        <v>600</v>
      </c>
      <c r="O40" s="43">
        <f t="shared" ref="O40:O41" si="68">H40/1000*70</f>
        <v>42</v>
      </c>
      <c r="P40" s="42">
        <v>0</v>
      </c>
      <c r="Q40" s="42">
        <v>950</v>
      </c>
      <c r="R40" s="42">
        <f t="shared" ref="R40:R41" si="69">L40*Q40</f>
        <v>570000</v>
      </c>
    </row>
    <row r="41" spans="1:18">
      <c r="A41" s="374"/>
      <c r="B41" s="42" t="s">
        <v>3032</v>
      </c>
      <c r="C41" s="42" t="s">
        <v>1529</v>
      </c>
      <c r="D41" s="42" t="s">
        <v>16</v>
      </c>
      <c r="E41" s="42" t="s">
        <v>372</v>
      </c>
      <c r="F41" s="42">
        <v>2035</v>
      </c>
      <c r="G41" s="42"/>
      <c r="H41" s="42">
        <v>1000</v>
      </c>
      <c r="I41" s="42">
        <v>40</v>
      </c>
      <c r="J41" s="42"/>
      <c r="K41" s="43">
        <f t="shared" si="65"/>
        <v>0</v>
      </c>
      <c r="L41" s="43">
        <f t="shared" si="66"/>
        <v>1000</v>
      </c>
      <c r="M41" s="43"/>
      <c r="N41" s="43">
        <f t="shared" si="67"/>
        <v>1000</v>
      </c>
      <c r="O41" s="43">
        <f t="shared" si="68"/>
        <v>70</v>
      </c>
      <c r="P41" s="42">
        <v>0</v>
      </c>
      <c r="Q41" s="42">
        <v>350</v>
      </c>
      <c r="R41" s="42">
        <f t="shared" si="69"/>
        <v>350000</v>
      </c>
    </row>
    <row r="43" spans="1:18">
      <c r="A43" s="374" t="s">
        <v>3217</v>
      </c>
      <c r="B43" s="42" t="s">
        <v>391</v>
      </c>
      <c r="C43" s="42" t="s">
        <v>2062</v>
      </c>
      <c r="D43" s="42" t="s">
        <v>16</v>
      </c>
      <c r="E43" s="42" t="s">
        <v>372</v>
      </c>
      <c r="F43" s="42">
        <v>4918</v>
      </c>
      <c r="G43" s="42"/>
      <c r="H43" s="42">
        <v>500</v>
      </c>
      <c r="I43" s="42">
        <v>20</v>
      </c>
      <c r="J43" s="42"/>
      <c r="K43" s="43">
        <f t="shared" ref="K43:K44" si="70">I43*J43</f>
        <v>0</v>
      </c>
      <c r="L43" s="43">
        <f t="shared" ref="L43:L44" si="71">H43-K43</f>
        <v>500</v>
      </c>
      <c r="M43" s="43"/>
      <c r="N43" s="43">
        <f t="shared" ref="N43:N44" si="72">L43-M43</f>
        <v>500</v>
      </c>
      <c r="O43" s="43">
        <f t="shared" ref="O43:O44" si="73">H43/1000*70</f>
        <v>35</v>
      </c>
      <c r="P43" s="42">
        <v>0</v>
      </c>
      <c r="Q43" s="42">
        <v>350</v>
      </c>
      <c r="R43" s="42">
        <f t="shared" ref="R43:R44" si="74">L43*Q43</f>
        <v>175000</v>
      </c>
    </row>
    <row r="44" spans="1:18">
      <c r="A44" s="374"/>
      <c r="B44" s="42"/>
      <c r="C44" s="42" t="s">
        <v>2350</v>
      </c>
      <c r="D44" s="42" t="s">
        <v>16</v>
      </c>
      <c r="E44" s="42" t="s">
        <v>2427</v>
      </c>
      <c r="F44" s="42">
        <v>4918</v>
      </c>
      <c r="G44" s="42"/>
      <c r="H44" s="42">
        <v>100</v>
      </c>
      <c r="I44" s="42">
        <v>4</v>
      </c>
      <c r="J44" s="42"/>
      <c r="K44" s="43">
        <f t="shared" si="70"/>
        <v>0</v>
      </c>
      <c r="L44" s="43">
        <f t="shared" si="71"/>
        <v>100</v>
      </c>
      <c r="M44" s="43"/>
      <c r="N44" s="43">
        <f t="shared" si="72"/>
        <v>100</v>
      </c>
      <c r="O44" s="43">
        <f t="shared" si="73"/>
        <v>7</v>
      </c>
      <c r="P44" s="42">
        <v>0</v>
      </c>
      <c r="Q44" s="42">
        <v>950</v>
      </c>
      <c r="R44" s="42">
        <f t="shared" si="74"/>
        <v>95000</v>
      </c>
    </row>
    <row r="46" spans="1:18">
      <c r="A46" s="374" t="s">
        <v>3444</v>
      </c>
      <c r="B46" s="42" t="s">
        <v>391</v>
      </c>
      <c r="C46" s="42" t="s">
        <v>1529</v>
      </c>
      <c r="D46" s="42" t="s">
        <v>16</v>
      </c>
      <c r="E46" s="47" t="s">
        <v>372</v>
      </c>
      <c r="F46" s="47">
        <v>5180</v>
      </c>
      <c r="G46" s="47"/>
      <c r="H46" s="47">
        <v>300</v>
      </c>
      <c r="I46" s="47">
        <v>12</v>
      </c>
      <c r="J46" s="47"/>
      <c r="K46" s="43">
        <f t="shared" ref="K46:K47" si="75">I46*J46</f>
        <v>0</v>
      </c>
      <c r="L46" s="43">
        <f t="shared" ref="L46:L47" si="76">H46-K46</f>
        <v>300</v>
      </c>
      <c r="M46" s="43"/>
      <c r="N46" s="43">
        <f t="shared" ref="N46:N47" si="77">L46-M46</f>
        <v>300</v>
      </c>
      <c r="O46" s="43">
        <f t="shared" ref="O46:O47" si="78">H46/1000*70</f>
        <v>21</v>
      </c>
      <c r="P46" s="42">
        <v>0</v>
      </c>
      <c r="Q46" s="42"/>
      <c r="R46" s="42">
        <f t="shared" ref="R46:R47" si="79">L46*Q46</f>
        <v>0</v>
      </c>
    </row>
    <row r="47" spans="1:18">
      <c r="A47" s="374"/>
      <c r="B47" s="42"/>
      <c r="C47" s="42" t="s">
        <v>3447</v>
      </c>
      <c r="D47" s="42" t="s">
        <v>16</v>
      </c>
      <c r="E47" s="47" t="s">
        <v>372</v>
      </c>
      <c r="F47" s="47">
        <v>5180</v>
      </c>
      <c r="G47" s="47"/>
      <c r="H47" s="47">
        <v>300</v>
      </c>
      <c r="I47" s="47">
        <v>12</v>
      </c>
      <c r="J47" s="47"/>
      <c r="K47" s="43">
        <f t="shared" si="75"/>
        <v>0</v>
      </c>
      <c r="L47" s="43">
        <f t="shared" si="76"/>
        <v>300</v>
      </c>
      <c r="M47" s="43"/>
      <c r="N47" s="43">
        <f t="shared" si="77"/>
        <v>300</v>
      </c>
      <c r="O47" s="43">
        <f t="shared" si="78"/>
        <v>21</v>
      </c>
      <c r="P47" s="42">
        <v>0</v>
      </c>
      <c r="Q47" s="42"/>
      <c r="R47" s="42">
        <f t="shared" si="79"/>
        <v>0</v>
      </c>
    </row>
    <row r="49" spans="1:18">
      <c r="A49" s="374" t="s">
        <v>3648</v>
      </c>
      <c r="B49" s="42" t="s">
        <v>391</v>
      </c>
      <c r="C49" s="42" t="s">
        <v>694</v>
      </c>
      <c r="D49" s="42" t="s">
        <v>16</v>
      </c>
      <c r="E49" s="47" t="s">
        <v>3647</v>
      </c>
      <c r="F49" s="47">
        <v>5406</v>
      </c>
      <c r="G49" s="47"/>
      <c r="H49" s="47">
        <v>1000</v>
      </c>
      <c r="I49" s="47">
        <v>50</v>
      </c>
      <c r="J49" s="47"/>
      <c r="K49" s="43">
        <f t="shared" ref="K49:K50" si="80">I49*J49</f>
        <v>0</v>
      </c>
      <c r="L49" s="43">
        <f t="shared" ref="L49:L50" si="81">H49-K49</f>
        <v>1000</v>
      </c>
      <c r="M49" s="43"/>
      <c r="N49" s="43">
        <f t="shared" ref="N49:N50" si="82">L49-M49</f>
        <v>1000</v>
      </c>
      <c r="O49" s="43">
        <f t="shared" ref="O49:O50" si="83">H49/1000*70</f>
        <v>70</v>
      </c>
      <c r="P49" s="42">
        <v>0</v>
      </c>
      <c r="Q49" s="42"/>
      <c r="R49" s="42">
        <f t="shared" ref="R49:R50" si="84">L49*Q49</f>
        <v>0</v>
      </c>
    </row>
    <row r="50" spans="1:18">
      <c r="A50" s="374"/>
      <c r="B50" s="42"/>
      <c r="C50" s="42" t="s">
        <v>2350</v>
      </c>
      <c r="D50" s="42" t="s">
        <v>16</v>
      </c>
      <c r="E50" s="47" t="s">
        <v>3647</v>
      </c>
      <c r="F50" s="47">
        <v>5406</v>
      </c>
      <c r="G50" s="47"/>
      <c r="H50" s="47">
        <v>200</v>
      </c>
      <c r="I50" s="47">
        <v>8</v>
      </c>
      <c r="J50" s="47"/>
      <c r="K50" s="43">
        <f t="shared" si="80"/>
        <v>0</v>
      </c>
      <c r="L50" s="43">
        <f t="shared" si="81"/>
        <v>200</v>
      </c>
      <c r="M50" s="43"/>
      <c r="N50" s="43">
        <f t="shared" si="82"/>
        <v>200</v>
      </c>
      <c r="O50" s="43">
        <f t="shared" si="83"/>
        <v>14</v>
      </c>
      <c r="P50" s="42">
        <v>0</v>
      </c>
      <c r="Q50" s="42"/>
      <c r="R50" s="42">
        <f t="shared" si="84"/>
        <v>0</v>
      </c>
    </row>
    <row r="52" spans="1:18">
      <c r="A52" s="1" t="s">
        <v>3693</v>
      </c>
      <c r="B52" s="42" t="s">
        <v>391</v>
      </c>
      <c r="C52" s="42" t="s">
        <v>2062</v>
      </c>
      <c r="D52" s="42" t="s">
        <v>16</v>
      </c>
      <c r="E52" s="47" t="s">
        <v>3647</v>
      </c>
      <c r="F52" s="47">
        <v>5457</v>
      </c>
      <c r="G52" s="47"/>
      <c r="H52" s="47">
        <v>500</v>
      </c>
      <c r="I52" s="47">
        <v>20</v>
      </c>
      <c r="J52" s="47"/>
      <c r="K52" s="43">
        <f t="shared" ref="K52" si="85">I52*J52</f>
        <v>0</v>
      </c>
      <c r="L52" s="43">
        <f t="shared" ref="L52" si="86">H52-K52</f>
        <v>500</v>
      </c>
      <c r="M52" s="43"/>
      <c r="N52" s="43">
        <f t="shared" ref="N52" si="87">L52-M52</f>
        <v>500</v>
      </c>
      <c r="O52" s="43">
        <f t="shared" ref="O52" si="88">H52/1000*70</f>
        <v>35</v>
      </c>
      <c r="P52" s="42">
        <v>0</v>
      </c>
      <c r="Q52" s="42">
        <v>350</v>
      </c>
      <c r="R52" s="42">
        <f t="shared" ref="R52" si="89">L52*Q52</f>
        <v>175000</v>
      </c>
    </row>
  </sheetData>
  <mergeCells count="7">
    <mergeCell ref="A49:A50"/>
    <mergeCell ref="A46:A47"/>
    <mergeCell ref="A27:A28"/>
    <mergeCell ref="A33:A34"/>
    <mergeCell ref="A35:A36"/>
    <mergeCell ref="A40:A41"/>
    <mergeCell ref="A43:A44"/>
  </mergeCells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5:T14"/>
  <sheetViews>
    <sheetView workbookViewId="0">
      <selection activeCell="B15" sqref="B15"/>
    </sheetView>
  </sheetViews>
  <sheetFormatPr defaultRowHeight="14.4"/>
  <cols>
    <col min="1" max="1" width="8.88671875" style="1"/>
    <col min="2" max="2" width="19" style="1" customWidth="1"/>
    <col min="3" max="3" width="16.6640625" style="1" customWidth="1"/>
    <col min="4" max="4" width="5.5546875" style="1" customWidth="1"/>
    <col min="5" max="5" width="10.664062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0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0">
      <c r="A6" s="7"/>
      <c r="B6" s="2"/>
      <c r="C6" s="2"/>
      <c r="D6" s="2"/>
      <c r="E6" s="2"/>
      <c r="F6" s="2"/>
      <c r="G6" s="2"/>
      <c r="H6" s="2"/>
      <c r="I6" s="2"/>
      <c r="J6" s="2"/>
      <c r="K6" s="2"/>
      <c r="L6" s="5"/>
      <c r="M6" s="5"/>
      <c r="N6" s="2"/>
    </row>
    <row r="7" spans="1:20">
      <c r="A7" s="8" t="s">
        <v>577</v>
      </c>
      <c r="B7" s="42" t="s">
        <v>582</v>
      </c>
      <c r="C7" s="42" t="s">
        <v>583</v>
      </c>
      <c r="D7" s="42" t="s">
        <v>16</v>
      </c>
      <c r="E7" s="42" t="s">
        <v>584</v>
      </c>
      <c r="F7" s="42">
        <v>6182</v>
      </c>
      <c r="G7" s="42"/>
      <c r="H7" s="42">
        <v>600</v>
      </c>
      <c r="I7" s="42">
        <v>30</v>
      </c>
      <c r="J7" s="42"/>
      <c r="K7" s="42">
        <f t="shared" ref="K7:K8" si="0">I7*J7</f>
        <v>0</v>
      </c>
      <c r="L7" s="43">
        <f t="shared" ref="L7:L8" si="1">H7-K7</f>
        <v>600</v>
      </c>
      <c r="M7" s="43">
        <f t="shared" ref="M7:M8" si="2">H7/1000*70</f>
        <v>42</v>
      </c>
      <c r="N7" s="42">
        <v>0</v>
      </c>
      <c r="O7" s="42"/>
      <c r="P7" s="42">
        <f t="shared" ref="P7" si="3">L7*O7</f>
        <v>0</v>
      </c>
      <c r="Q7" s="42"/>
    </row>
    <row r="8" spans="1:20">
      <c r="A8" s="8" t="s">
        <v>617</v>
      </c>
      <c r="B8" s="42" t="s">
        <v>582</v>
      </c>
      <c r="C8" s="42" t="s">
        <v>583</v>
      </c>
      <c r="D8" s="42" t="s">
        <v>16</v>
      </c>
      <c r="E8" s="42" t="s">
        <v>624</v>
      </c>
      <c r="F8" s="42">
        <v>6304</v>
      </c>
      <c r="G8" s="42"/>
      <c r="H8" s="42">
        <v>1400</v>
      </c>
      <c r="I8" s="42"/>
      <c r="J8" s="42"/>
      <c r="K8" s="43">
        <f t="shared" si="0"/>
        <v>0</v>
      </c>
      <c r="L8" s="43">
        <f t="shared" si="1"/>
        <v>1400</v>
      </c>
      <c r="M8" s="43">
        <f t="shared" si="2"/>
        <v>98</v>
      </c>
      <c r="N8" s="42">
        <v>0</v>
      </c>
    </row>
    <row r="9" spans="1:20">
      <c r="A9" s="9"/>
      <c r="B9" s="2"/>
      <c r="C9" s="2"/>
      <c r="D9" s="2"/>
      <c r="E9" s="2"/>
      <c r="F9" s="2"/>
      <c r="G9" s="2"/>
      <c r="H9" s="2"/>
      <c r="I9" s="2"/>
      <c r="J9" s="2"/>
      <c r="K9" s="2"/>
      <c r="L9" s="5"/>
      <c r="M9" s="5"/>
      <c r="N9" s="2"/>
    </row>
    <row r="10" spans="1:20">
      <c r="A10" s="10" t="s">
        <v>728</v>
      </c>
      <c r="B10" s="42" t="s">
        <v>729</v>
      </c>
      <c r="C10" s="42" t="s">
        <v>583</v>
      </c>
      <c r="D10" s="42" t="s">
        <v>16</v>
      </c>
      <c r="E10" s="42" t="s">
        <v>730</v>
      </c>
      <c r="F10" s="42">
        <v>6408</v>
      </c>
      <c r="G10" s="42"/>
      <c r="H10" s="42">
        <v>1000</v>
      </c>
      <c r="I10" s="42">
        <v>50</v>
      </c>
      <c r="J10" s="42"/>
      <c r="K10" s="42">
        <f t="shared" ref="K10" si="4">I10*J10</f>
        <v>0</v>
      </c>
      <c r="L10" s="43">
        <f t="shared" ref="L10" si="5">H10-K10</f>
        <v>1000</v>
      </c>
      <c r="M10" s="43"/>
      <c r="N10" s="43">
        <f t="shared" ref="N10" si="6">L10-M10</f>
        <v>1000</v>
      </c>
      <c r="O10" s="43">
        <f t="shared" ref="O10" si="7">H10/1000*70</f>
        <v>70</v>
      </c>
      <c r="P10" s="42">
        <v>0</v>
      </c>
    </row>
    <row r="11" spans="1:20">
      <c r="A11" s="11"/>
      <c r="B11" s="2"/>
      <c r="C11" s="2"/>
      <c r="D11" s="2"/>
      <c r="E11" s="2"/>
      <c r="F11" s="2"/>
      <c r="G11" s="2"/>
      <c r="H11" s="2"/>
      <c r="I11" s="2"/>
      <c r="J11" s="2"/>
      <c r="K11" s="2"/>
      <c r="L11" s="5"/>
      <c r="M11" s="5"/>
      <c r="N11" s="2"/>
    </row>
    <row r="12" spans="1:20">
      <c r="A12" s="249" t="s">
        <v>2055</v>
      </c>
      <c r="B12" s="42" t="s">
        <v>2056</v>
      </c>
      <c r="C12" s="42" t="s">
        <v>303</v>
      </c>
      <c r="D12" s="42" t="s">
        <v>16</v>
      </c>
      <c r="E12" s="42" t="s">
        <v>2057</v>
      </c>
      <c r="F12" s="42">
        <v>8477</v>
      </c>
      <c r="G12" s="42"/>
      <c r="H12" s="42">
        <v>10000</v>
      </c>
      <c r="I12" s="42">
        <v>400</v>
      </c>
      <c r="J12" s="42"/>
      <c r="K12" s="43">
        <f t="shared" ref="K12" si="8">I12*J12</f>
        <v>0</v>
      </c>
      <c r="L12" s="43">
        <f t="shared" ref="L12" si="9">H12-K12</f>
        <v>10000</v>
      </c>
      <c r="M12" s="43"/>
      <c r="N12" s="43">
        <f t="shared" ref="N12" si="10">L12-M12</f>
        <v>10000</v>
      </c>
      <c r="O12" s="43">
        <f t="shared" ref="O12" si="11">H12/1000*70</f>
        <v>700</v>
      </c>
      <c r="P12" s="42">
        <v>26000</v>
      </c>
      <c r="Q12" s="42">
        <v>57</v>
      </c>
      <c r="R12" s="42">
        <f t="shared" ref="R12" si="12">L12*Q12</f>
        <v>570000</v>
      </c>
    </row>
    <row r="14" spans="1:20">
      <c r="A14" s="1" t="s">
        <v>3068</v>
      </c>
      <c r="B14" s="42" t="s">
        <v>582</v>
      </c>
      <c r="C14" s="42" t="s">
        <v>303</v>
      </c>
      <c r="D14" s="42" t="s">
        <v>16</v>
      </c>
      <c r="E14" s="42" t="s">
        <v>3074</v>
      </c>
      <c r="F14" s="42">
        <v>9326</v>
      </c>
      <c r="G14" s="42"/>
      <c r="H14" s="42">
        <v>12500</v>
      </c>
      <c r="I14" s="42">
        <v>500</v>
      </c>
      <c r="J14" s="42"/>
      <c r="K14" s="43">
        <f t="shared" ref="K14" si="13">I14*J14</f>
        <v>0</v>
      </c>
      <c r="L14" s="43">
        <f t="shared" ref="L14" si="14">H14-K14</f>
        <v>12500</v>
      </c>
      <c r="M14" s="43"/>
      <c r="N14" s="43">
        <f t="shared" ref="N14" si="15">L14-M14</f>
        <v>12500</v>
      </c>
      <c r="O14" s="43">
        <f t="shared" ref="O14" si="16">H14/1000*70</f>
        <v>875</v>
      </c>
      <c r="P14" s="42">
        <v>0</v>
      </c>
      <c r="Q14" s="42">
        <v>55</v>
      </c>
      <c r="R14" s="42">
        <f t="shared" ref="R14" si="17">L14*Q14</f>
        <v>687500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5:U43"/>
  <sheetViews>
    <sheetView topLeftCell="A25" workbookViewId="0">
      <selection activeCell="A44" sqref="A44"/>
    </sheetView>
  </sheetViews>
  <sheetFormatPr defaultRowHeight="14.4"/>
  <cols>
    <col min="1" max="1" width="8.88671875" style="1"/>
    <col min="2" max="2" width="19" style="1" customWidth="1"/>
    <col min="3" max="3" width="16.6640625" style="1" customWidth="1"/>
    <col min="4" max="4" width="5.5546875" style="1" customWidth="1"/>
    <col min="5" max="5" width="10.664062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1">
      <c r="A6" s="7"/>
      <c r="B6" s="2"/>
      <c r="C6" s="2"/>
      <c r="D6" s="2"/>
      <c r="E6" s="2"/>
      <c r="F6" s="2"/>
      <c r="G6" s="2"/>
      <c r="H6" s="2"/>
      <c r="I6" s="2"/>
      <c r="J6" s="2"/>
      <c r="K6" s="2"/>
      <c r="L6" s="5"/>
      <c r="M6" s="5"/>
      <c r="N6" s="2"/>
    </row>
    <row r="7" spans="1:21">
      <c r="A7" s="8" t="s">
        <v>595</v>
      </c>
      <c r="B7" s="42" t="s">
        <v>596</v>
      </c>
      <c r="C7" s="42" t="s">
        <v>597</v>
      </c>
      <c r="D7" s="42" t="s">
        <v>16</v>
      </c>
      <c r="E7" s="42" t="s">
        <v>598</v>
      </c>
      <c r="F7" s="42">
        <v>491</v>
      </c>
      <c r="G7" s="42"/>
      <c r="H7" s="42">
        <v>500</v>
      </c>
      <c r="I7" s="42"/>
      <c r="J7" s="42"/>
      <c r="K7" s="42">
        <f t="shared" ref="K7" si="0">I7*J7</f>
        <v>0</v>
      </c>
      <c r="L7" s="43">
        <f t="shared" ref="L7" si="1">H7-K7</f>
        <v>500</v>
      </c>
      <c r="M7" s="43">
        <f t="shared" ref="M7" si="2">H7/1000*70</f>
        <v>35</v>
      </c>
      <c r="N7" s="42">
        <v>0</v>
      </c>
      <c r="O7" s="42"/>
      <c r="P7" s="42"/>
      <c r="Q7" s="42"/>
    </row>
    <row r="8" spans="1:21">
      <c r="A8" s="8"/>
      <c r="B8" s="2"/>
      <c r="C8" s="2"/>
      <c r="D8" s="2"/>
      <c r="E8" s="2"/>
      <c r="F8" s="2"/>
      <c r="G8" s="2"/>
      <c r="H8" s="2"/>
      <c r="I8" s="2"/>
      <c r="J8" s="2"/>
      <c r="K8" s="2"/>
      <c r="L8" s="5"/>
      <c r="M8" s="5"/>
      <c r="N8" s="2"/>
    </row>
    <row r="9" spans="1:21">
      <c r="A9" s="9" t="s">
        <v>718</v>
      </c>
      <c r="B9" s="42" t="s">
        <v>596</v>
      </c>
      <c r="C9" s="42" t="s">
        <v>597</v>
      </c>
      <c r="D9" s="42" t="s">
        <v>16</v>
      </c>
      <c r="E9" s="42" t="s">
        <v>598</v>
      </c>
      <c r="F9" s="42">
        <v>2030</v>
      </c>
      <c r="G9" s="42"/>
      <c r="H9" s="42">
        <v>500</v>
      </c>
      <c r="I9" s="42"/>
      <c r="J9" s="42"/>
      <c r="K9" s="42">
        <f t="shared" ref="K9" si="3">I9*J9</f>
        <v>0</v>
      </c>
      <c r="L9" s="43">
        <f t="shared" ref="L9" si="4">H9-K9</f>
        <v>500</v>
      </c>
      <c r="M9" s="43"/>
      <c r="N9" s="43">
        <f t="shared" ref="N9" si="5">L9-M9</f>
        <v>500</v>
      </c>
      <c r="O9" s="43">
        <f t="shared" ref="O9" si="6">H9/1000*70</f>
        <v>35</v>
      </c>
      <c r="P9" s="42">
        <v>0</v>
      </c>
      <c r="Q9" s="42"/>
      <c r="R9" s="42">
        <f t="shared" ref="R9" si="7">L9*Q9</f>
        <v>0</v>
      </c>
    </row>
    <row r="10" spans="1:21">
      <c r="A10" s="10"/>
      <c r="B10" s="2"/>
      <c r="C10" s="2"/>
      <c r="D10" s="2"/>
      <c r="E10" s="2"/>
      <c r="F10" s="2"/>
      <c r="G10" s="2"/>
      <c r="H10" s="2"/>
      <c r="I10" s="2"/>
      <c r="J10" s="2"/>
      <c r="K10" s="2"/>
      <c r="L10" s="5"/>
      <c r="M10" s="5"/>
      <c r="N10" s="2"/>
    </row>
    <row r="11" spans="1:21">
      <c r="A11" s="11"/>
      <c r="B11" s="2"/>
      <c r="C11" s="2"/>
      <c r="D11" s="2"/>
      <c r="E11" s="2"/>
      <c r="F11" s="2"/>
      <c r="G11" s="2"/>
      <c r="H11" s="2"/>
      <c r="I11" s="2"/>
      <c r="J11" s="2"/>
      <c r="K11" s="2"/>
      <c r="L11" s="5"/>
      <c r="M11" s="5"/>
      <c r="N11" s="2"/>
      <c r="Q11" s="1" t="s">
        <v>960</v>
      </c>
      <c r="R11" s="1">
        <v>262</v>
      </c>
      <c r="S11" s="1">
        <v>100</v>
      </c>
      <c r="U11" s="1">
        <v>390</v>
      </c>
    </row>
    <row r="12" spans="1:21">
      <c r="A12" s="1" t="s">
        <v>982</v>
      </c>
      <c r="B12" s="42" t="s">
        <v>984</v>
      </c>
      <c r="C12" s="42" t="s">
        <v>985</v>
      </c>
      <c r="D12" s="42" t="s">
        <v>16</v>
      </c>
      <c r="E12" s="42" t="s">
        <v>393</v>
      </c>
      <c r="F12" s="42">
        <v>635</v>
      </c>
      <c r="G12" s="42"/>
      <c r="H12" s="42">
        <v>100</v>
      </c>
      <c r="I12" s="42">
        <v>4</v>
      </c>
      <c r="J12" s="42"/>
      <c r="K12" s="42">
        <f t="shared" ref="K12" si="8">I12*J12</f>
        <v>0</v>
      </c>
      <c r="L12" s="43">
        <f t="shared" ref="L12" si="9">H12-K12</f>
        <v>100</v>
      </c>
      <c r="M12" s="43"/>
      <c r="N12" s="43">
        <f t="shared" ref="N12" si="10">L12-M12</f>
        <v>100</v>
      </c>
      <c r="O12" s="43">
        <f t="shared" ref="O12" si="11">H12/1000*70</f>
        <v>7</v>
      </c>
      <c r="P12" s="42"/>
      <c r="Q12" s="42">
        <v>390</v>
      </c>
      <c r="R12" s="42">
        <f t="shared" ref="R12" si="12">L12*Q12</f>
        <v>39000</v>
      </c>
    </row>
    <row r="14" spans="1:21">
      <c r="A14" s="1" t="s">
        <v>1092</v>
      </c>
      <c r="B14" s="42" t="s">
        <v>1093</v>
      </c>
      <c r="C14" s="42" t="s">
        <v>597</v>
      </c>
      <c r="D14" s="42" t="s">
        <v>16</v>
      </c>
      <c r="E14" s="42" t="s">
        <v>1094</v>
      </c>
      <c r="F14" s="42">
        <v>690</v>
      </c>
      <c r="G14" s="42"/>
      <c r="H14" s="42">
        <v>500</v>
      </c>
      <c r="I14" s="42">
        <v>20</v>
      </c>
      <c r="J14" s="42"/>
      <c r="K14" s="42">
        <f t="shared" ref="K14" si="13">I14*J14</f>
        <v>0</v>
      </c>
      <c r="L14" s="43">
        <f t="shared" ref="L14" si="14">H14-K14</f>
        <v>500</v>
      </c>
      <c r="M14" s="43"/>
      <c r="N14" s="43">
        <f t="shared" ref="N14" si="15">L14-M14</f>
        <v>500</v>
      </c>
      <c r="O14" s="43">
        <f t="shared" ref="O14" si="16">H14/1000*70</f>
        <v>35</v>
      </c>
      <c r="P14" s="42">
        <v>0</v>
      </c>
      <c r="Q14" s="42">
        <v>390</v>
      </c>
      <c r="R14" s="42">
        <f t="shared" ref="R14" si="17">L14*Q14</f>
        <v>195000</v>
      </c>
    </row>
    <row r="16" spans="1:21">
      <c r="A16" s="1" t="s">
        <v>1499</v>
      </c>
      <c r="B16" s="42" t="s">
        <v>596</v>
      </c>
      <c r="C16" s="42" t="s">
        <v>1505</v>
      </c>
      <c r="D16" s="42" t="s">
        <v>16</v>
      </c>
      <c r="E16" s="42" t="s">
        <v>598</v>
      </c>
      <c r="F16" s="42">
        <v>876</v>
      </c>
      <c r="G16" s="42"/>
      <c r="H16" s="42">
        <v>500</v>
      </c>
      <c r="I16" s="42">
        <v>20</v>
      </c>
      <c r="J16" s="42"/>
      <c r="K16" s="42">
        <f t="shared" ref="K16" si="18">I16*J16</f>
        <v>0</v>
      </c>
      <c r="L16" s="43">
        <f t="shared" ref="L16" si="19">H16-K16</f>
        <v>500</v>
      </c>
      <c r="M16" s="43"/>
      <c r="N16" s="43">
        <f t="shared" ref="N16" si="20">L16-M16</f>
        <v>500</v>
      </c>
      <c r="O16" s="43">
        <f t="shared" ref="O16" si="21">H16/1000*70</f>
        <v>35</v>
      </c>
      <c r="P16" s="42">
        <v>0</v>
      </c>
      <c r="Q16" s="42">
        <v>390</v>
      </c>
      <c r="R16" s="42">
        <f t="shared" ref="R16" si="22">L16*Q16</f>
        <v>195000</v>
      </c>
    </row>
    <row r="18" spans="1:19">
      <c r="A18" s="1" t="s">
        <v>1850</v>
      </c>
      <c r="B18" s="42" t="s">
        <v>596</v>
      </c>
      <c r="C18" s="42" t="s">
        <v>1851</v>
      </c>
      <c r="D18" s="42" t="s">
        <v>16</v>
      </c>
      <c r="E18" s="42" t="s">
        <v>1094</v>
      </c>
      <c r="F18" s="42">
        <v>1004</v>
      </c>
      <c r="G18" s="42"/>
      <c r="H18" s="42">
        <v>500</v>
      </c>
      <c r="I18" s="42">
        <v>20</v>
      </c>
      <c r="J18" s="42"/>
      <c r="K18" s="42">
        <f t="shared" ref="K18" si="23">I18*J18</f>
        <v>0</v>
      </c>
      <c r="L18" s="43">
        <f t="shared" ref="L18" si="24">H18-K18</f>
        <v>500</v>
      </c>
      <c r="M18" s="43"/>
      <c r="N18" s="43">
        <f t="shared" ref="N18" si="25">L18-M18</f>
        <v>500</v>
      </c>
      <c r="O18" s="43">
        <f t="shared" ref="O18" si="26">H18/1000*70</f>
        <v>35</v>
      </c>
      <c r="P18" s="228">
        <v>0</v>
      </c>
      <c r="Q18" s="228">
        <v>390</v>
      </c>
      <c r="R18" s="42">
        <f t="shared" ref="R18" si="27">L18*Q18</f>
        <v>195000</v>
      </c>
    </row>
    <row r="20" spans="1:19">
      <c r="A20" s="1" t="s">
        <v>2217</v>
      </c>
      <c r="B20" s="42" t="s">
        <v>596</v>
      </c>
      <c r="C20" s="42" t="s">
        <v>597</v>
      </c>
      <c r="D20" s="42" t="s">
        <v>16</v>
      </c>
      <c r="E20" s="42" t="s">
        <v>2218</v>
      </c>
      <c r="F20" s="42">
        <v>1192</v>
      </c>
      <c r="G20" s="42"/>
      <c r="H20" s="42">
        <v>500</v>
      </c>
      <c r="I20" s="42">
        <v>20</v>
      </c>
      <c r="J20" s="42"/>
      <c r="K20" s="43">
        <f t="shared" ref="K20" si="28">I20*J20</f>
        <v>0</v>
      </c>
      <c r="L20" s="43">
        <f t="shared" ref="L20" si="29">H20-K20</f>
        <v>500</v>
      </c>
      <c r="M20" s="43"/>
      <c r="N20" s="43">
        <f t="shared" ref="N20" si="30">L20-M20</f>
        <v>500</v>
      </c>
      <c r="O20" s="43">
        <f t="shared" ref="O20" si="31">H20/1000*70</f>
        <v>35</v>
      </c>
      <c r="P20" s="42">
        <v>0</v>
      </c>
      <c r="Q20" s="42">
        <v>390</v>
      </c>
      <c r="R20" s="42">
        <f t="shared" ref="R20" si="32">L20*Q20</f>
        <v>195000</v>
      </c>
    </row>
    <row r="22" spans="1:19">
      <c r="A22" s="1" t="s">
        <v>2270</v>
      </c>
      <c r="B22" s="42" t="s">
        <v>596</v>
      </c>
      <c r="C22" s="42" t="s">
        <v>597</v>
      </c>
      <c r="D22" s="42" t="s">
        <v>16</v>
      </c>
      <c r="E22" s="42" t="s">
        <v>598</v>
      </c>
      <c r="F22" s="42">
        <v>2030</v>
      </c>
      <c r="G22" s="42"/>
      <c r="H22" s="42">
        <v>400</v>
      </c>
      <c r="I22" s="42">
        <v>16</v>
      </c>
      <c r="J22" s="42"/>
      <c r="K22" s="43">
        <f t="shared" ref="K22" si="33">I22*J22</f>
        <v>0</v>
      </c>
      <c r="L22" s="43">
        <f t="shared" ref="L22" si="34">H22-K22</f>
        <v>400</v>
      </c>
      <c r="M22" s="43"/>
      <c r="N22" s="43">
        <f t="shared" ref="N22" si="35">L22-M22</f>
        <v>400</v>
      </c>
      <c r="O22" s="43">
        <f t="shared" ref="O22" si="36">H22/1000*70</f>
        <v>28</v>
      </c>
      <c r="P22" s="42">
        <v>0</v>
      </c>
      <c r="Q22" s="42"/>
      <c r="R22" s="42">
        <f t="shared" ref="R22" si="37">L22*Q22</f>
        <v>0</v>
      </c>
    </row>
    <row r="24" spans="1:19">
      <c r="A24" s="1" t="s">
        <v>2403</v>
      </c>
      <c r="B24" s="42" t="s">
        <v>1093</v>
      </c>
      <c r="C24" s="42" t="s">
        <v>2409</v>
      </c>
      <c r="D24" s="42" t="s">
        <v>16</v>
      </c>
      <c r="E24" s="42" t="s">
        <v>598</v>
      </c>
      <c r="F24" s="42">
        <v>1365</v>
      </c>
      <c r="G24" s="42"/>
      <c r="H24" s="42">
        <v>350</v>
      </c>
      <c r="I24" s="42">
        <v>14</v>
      </c>
      <c r="J24" s="42"/>
      <c r="K24" s="43">
        <f t="shared" ref="K24" si="38">I24*J24</f>
        <v>0</v>
      </c>
      <c r="L24" s="43">
        <f t="shared" ref="L24" si="39">H24-K24</f>
        <v>350</v>
      </c>
      <c r="M24" s="43"/>
      <c r="N24" s="43">
        <f t="shared" ref="N24" si="40">L24-M24</f>
        <v>350</v>
      </c>
      <c r="O24" s="43">
        <f t="shared" ref="O24" si="41">H24/1000*70</f>
        <v>24.5</v>
      </c>
      <c r="P24" s="42">
        <v>0</v>
      </c>
      <c r="Q24" s="42"/>
      <c r="R24" s="42">
        <f t="shared" ref="R24" si="42">L24*Q24</f>
        <v>0</v>
      </c>
    </row>
    <row r="26" spans="1:19">
      <c r="A26" s="1" t="s">
        <v>2510</v>
      </c>
      <c r="B26" s="42" t="s">
        <v>2513</v>
      </c>
      <c r="C26" s="42" t="s">
        <v>597</v>
      </c>
      <c r="D26" s="42" t="s">
        <v>16</v>
      </c>
      <c r="E26" s="42" t="s">
        <v>598</v>
      </c>
      <c r="F26" s="42">
        <v>1440</v>
      </c>
      <c r="G26" s="42"/>
      <c r="H26" s="42">
        <v>600</v>
      </c>
      <c r="I26" s="42">
        <v>24</v>
      </c>
      <c r="J26" s="42"/>
      <c r="K26" s="43">
        <f t="shared" ref="K26" si="43">I26*J26</f>
        <v>0</v>
      </c>
      <c r="L26" s="43">
        <f t="shared" ref="L26" si="44">H26-K26</f>
        <v>600</v>
      </c>
      <c r="M26" s="43"/>
      <c r="N26" s="43">
        <f t="shared" ref="N26" si="45">L26-M26</f>
        <v>600</v>
      </c>
      <c r="O26" s="43">
        <f t="shared" ref="O26" si="46">H26/1000*70</f>
        <v>42</v>
      </c>
      <c r="P26" s="42">
        <v>0</v>
      </c>
      <c r="Q26" s="42">
        <v>390</v>
      </c>
      <c r="R26" s="42">
        <f t="shared" ref="R26" si="47">L26*Q26</f>
        <v>234000</v>
      </c>
    </row>
    <row r="28" spans="1:19">
      <c r="A28" s="1" t="s">
        <v>2618</v>
      </c>
      <c r="B28" s="42" t="s">
        <v>2513</v>
      </c>
      <c r="C28" s="42" t="s">
        <v>2409</v>
      </c>
      <c r="D28" s="42" t="s">
        <v>16</v>
      </c>
      <c r="E28" s="42" t="s">
        <v>598</v>
      </c>
      <c r="F28" s="42">
        <v>27</v>
      </c>
      <c r="G28" s="42"/>
      <c r="H28" s="42">
        <v>600</v>
      </c>
      <c r="I28" s="42">
        <v>24</v>
      </c>
      <c r="J28" s="42"/>
      <c r="K28" s="43">
        <f t="shared" ref="K28" si="48">I28*J28</f>
        <v>0</v>
      </c>
      <c r="L28" s="43">
        <f t="shared" ref="L28" si="49">H28-K28</f>
        <v>600</v>
      </c>
      <c r="M28" s="43"/>
      <c r="N28" s="43">
        <f t="shared" ref="N28" si="50">L28-M28</f>
        <v>600</v>
      </c>
      <c r="O28" s="43">
        <f t="shared" ref="O28" si="51">H28/1000*70</f>
        <v>42</v>
      </c>
      <c r="P28" s="42">
        <v>0</v>
      </c>
      <c r="Q28" s="42">
        <v>390</v>
      </c>
      <c r="R28" s="42">
        <f t="shared" ref="R28" si="52">L28*Q28</f>
        <v>234000</v>
      </c>
    </row>
    <row r="30" spans="1:19">
      <c r="A30" s="1" t="s">
        <v>2721</v>
      </c>
      <c r="B30" s="284" t="s">
        <v>2513</v>
      </c>
      <c r="C30" s="284" t="s">
        <v>2409</v>
      </c>
      <c r="D30" s="42" t="s">
        <v>16</v>
      </c>
      <c r="E30" s="284" t="s">
        <v>598</v>
      </c>
      <c r="F30" s="284">
        <v>90</v>
      </c>
      <c r="G30" s="284"/>
      <c r="H30" s="284">
        <v>500</v>
      </c>
      <c r="I30" s="284">
        <v>20</v>
      </c>
      <c r="J30" s="284"/>
      <c r="K30" s="43">
        <f t="shared" ref="K30" si="53">I30*J30</f>
        <v>0</v>
      </c>
      <c r="L30" s="43">
        <f t="shared" ref="L30" si="54">H30-K30</f>
        <v>500</v>
      </c>
      <c r="M30" s="43"/>
      <c r="N30" s="43">
        <f t="shared" ref="N30" si="55">L30-M30</f>
        <v>500</v>
      </c>
      <c r="O30" s="43">
        <f t="shared" ref="O30" si="56">H30/1000*70</f>
        <v>35</v>
      </c>
      <c r="P30" s="42">
        <v>0</v>
      </c>
      <c r="Q30" s="42">
        <v>390</v>
      </c>
      <c r="R30" s="42">
        <f t="shared" ref="R30" si="57">L30*Q30</f>
        <v>195000</v>
      </c>
    </row>
    <row r="32" spans="1:19">
      <c r="A32" s="1" t="s">
        <v>2848</v>
      </c>
      <c r="B32" s="42" t="s">
        <v>2851</v>
      </c>
      <c r="C32" s="42" t="s">
        <v>597</v>
      </c>
      <c r="D32" s="42" t="s">
        <v>16</v>
      </c>
      <c r="E32" s="42" t="s">
        <v>598</v>
      </c>
      <c r="F32" s="42">
        <v>134</v>
      </c>
      <c r="G32" s="42"/>
      <c r="H32" s="42">
        <v>1000</v>
      </c>
      <c r="I32" s="42">
        <v>40</v>
      </c>
      <c r="J32" s="42"/>
      <c r="K32" s="43">
        <f t="shared" ref="K32" si="58">I32*J32</f>
        <v>0</v>
      </c>
      <c r="L32" s="43">
        <f t="shared" ref="L32" si="59">H32-K32</f>
        <v>1000</v>
      </c>
      <c r="M32" s="43"/>
      <c r="N32" s="43">
        <f t="shared" ref="N32" si="60">L32-M32</f>
        <v>1000</v>
      </c>
      <c r="O32" s="43">
        <f t="shared" ref="O32" si="61">H32/1000*70</f>
        <v>70</v>
      </c>
      <c r="P32" s="42">
        <v>0</v>
      </c>
      <c r="Q32" s="42">
        <v>390</v>
      </c>
      <c r="R32" s="42">
        <f t="shared" ref="R32" si="62">L32*Q32</f>
        <v>390000</v>
      </c>
      <c r="S32" s="42"/>
    </row>
    <row r="34" spans="1:18">
      <c r="A34" s="1" t="s">
        <v>2915</v>
      </c>
      <c r="B34" s="42" t="s">
        <v>596</v>
      </c>
      <c r="C34" s="42" t="s">
        <v>597</v>
      </c>
      <c r="D34" s="42" t="s">
        <v>16</v>
      </c>
      <c r="E34" s="42" t="s">
        <v>598</v>
      </c>
      <c r="F34" s="42">
        <v>191</v>
      </c>
      <c r="G34" s="42"/>
      <c r="H34" s="42">
        <v>1000</v>
      </c>
      <c r="I34" s="42">
        <v>40</v>
      </c>
      <c r="J34" s="42"/>
      <c r="K34" s="43">
        <f t="shared" ref="K34" si="63">I34*J34</f>
        <v>0</v>
      </c>
      <c r="L34" s="43">
        <f t="shared" ref="L34" si="64">H34-K34</f>
        <v>1000</v>
      </c>
      <c r="M34" s="43"/>
      <c r="N34" s="43">
        <f t="shared" ref="N34" si="65">L34-M34</f>
        <v>1000</v>
      </c>
      <c r="O34" s="43">
        <f t="shared" ref="O34" si="66">H34/1000*70</f>
        <v>70</v>
      </c>
      <c r="P34" s="42">
        <v>0</v>
      </c>
      <c r="Q34" s="42">
        <v>390</v>
      </c>
      <c r="R34" s="42">
        <f t="shared" ref="R34" si="67">L34*Q34</f>
        <v>390000</v>
      </c>
    </row>
    <row r="36" spans="1:18">
      <c r="A36" s="1" t="s">
        <v>2968</v>
      </c>
      <c r="B36" s="42" t="s">
        <v>596</v>
      </c>
      <c r="C36" s="42" t="s">
        <v>597</v>
      </c>
      <c r="D36" s="42" t="s">
        <v>16</v>
      </c>
      <c r="E36" s="42" t="s">
        <v>598</v>
      </c>
      <c r="F36" s="42">
        <v>214</v>
      </c>
      <c r="G36" s="42"/>
      <c r="H36" s="42">
        <v>1000</v>
      </c>
      <c r="I36" s="42">
        <v>40</v>
      </c>
      <c r="J36" s="42"/>
      <c r="K36" s="43">
        <f t="shared" ref="K36" si="68">I36*J36</f>
        <v>0</v>
      </c>
      <c r="L36" s="43">
        <f t="shared" ref="L36" si="69">H36-K36</f>
        <v>1000</v>
      </c>
      <c r="M36" s="43"/>
      <c r="N36" s="43">
        <f t="shared" ref="N36" si="70">L36-M36</f>
        <v>1000</v>
      </c>
      <c r="O36" s="43">
        <f t="shared" ref="O36" si="71">H36/1000*70</f>
        <v>70</v>
      </c>
      <c r="P36" s="42">
        <v>0</v>
      </c>
      <c r="Q36" s="42">
        <v>390</v>
      </c>
      <c r="R36" s="42">
        <f t="shared" ref="R36" si="72">L36*Q36</f>
        <v>390000</v>
      </c>
    </row>
    <row r="38" spans="1:18">
      <c r="A38" s="1" t="s">
        <v>3485</v>
      </c>
      <c r="B38" s="42" t="s">
        <v>3488</v>
      </c>
      <c r="C38" s="42" t="s">
        <v>597</v>
      </c>
      <c r="D38" s="42" t="s">
        <v>16</v>
      </c>
      <c r="E38" s="47" t="s">
        <v>598</v>
      </c>
      <c r="F38" s="47">
        <v>671</v>
      </c>
      <c r="G38" s="47"/>
      <c r="H38" s="47">
        <v>200</v>
      </c>
      <c r="I38" s="47">
        <v>8</v>
      </c>
      <c r="J38" s="47"/>
      <c r="K38" s="43">
        <f t="shared" ref="K38" si="73">I38*J38</f>
        <v>0</v>
      </c>
      <c r="L38" s="43">
        <f t="shared" ref="L38" si="74">H38-K38</f>
        <v>200</v>
      </c>
      <c r="M38" s="43"/>
      <c r="N38" s="43">
        <f t="shared" ref="N38" si="75">L38-M38</f>
        <v>200</v>
      </c>
      <c r="O38" s="43">
        <f t="shared" ref="O38" si="76">H38/1000*70</f>
        <v>14</v>
      </c>
      <c r="P38" s="42">
        <v>0</v>
      </c>
      <c r="Q38" s="42">
        <v>390</v>
      </c>
      <c r="R38" s="42">
        <f t="shared" ref="R38" si="77">L38*Q38</f>
        <v>78000</v>
      </c>
    </row>
    <row r="40" spans="1:18">
      <c r="A40" s="1" t="s">
        <v>3663</v>
      </c>
      <c r="B40" s="42" t="s">
        <v>596</v>
      </c>
      <c r="C40" s="42" t="s">
        <v>597</v>
      </c>
      <c r="D40" s="42" t="s">
        <v>16</v>
      </c>
      <c r="E40" s="47" t="s">
        <v>598</v>
      </c>
      <c r="F40" s="47">
        <v>822</v>
      </c>
      <c r="G40" s="47"/>
      <c r="H40" s="47">
        <v>150</v>
      </c>
      <c r="I40" s="47">
        <v>6</v>
      </c>
      <c r="J40" s="47"/>
      <c r="K40" s="43">
        <f t="shared" ref="K40:K43" si="78">I40*J40</f>
        <v>0</v>
      </c>
      <c r="L40" s="43">
        <f t="shared" ref="L40:L43" si="79">H40-K40</f>
        <v>150</v>
      </c>
      <c r="M40" s="43"/>
      <c r="N40" s="43">
        <f t="shared" ref="N40:N43" si="80">L40-M40</f>
        <v>150</v>
      </c>
      <c r="O40" s="43">
        <f t="shared" ref="O40:O43" si="81">H40/1000*70</f>
        <v>10.5</v>
      </c>
      <c r="P40" s="42">
        <v>0</v>
      </c>
      <c r="Q40" s="42"/>
      <c r="R40" s="42">
        <f t="shared" ref="R40:R42" si="82">L40*Q40</f>
        <v>0</v>
      </c>
    </row>
    <row r="41" spans="1:18">
      <c r="A41" s="21" t="s">
        <v>3775</v>
      </c>
      <c r="B41" s="42" t="s">
        <v>596</v>
      </c>
      <c r="C41" s="42" t="s">
        <v>597</v>
      </c>
      <c r="D41" s="42" t="s">
        <v>16</v>
      </c>
      <c r="E41" s="47" t="s">
        <v>598</v>
      </c>
      <c r="F41" s="47">
        <v>903</v>
      </c>
      <c r="G41" s="47"/>
      <c r="H41" s="47">
        <v>200</v>
      </c>
      <c r="I41" s="47">
        <v>8</v>
      </c>
      <c r="J41" s="47"/>
      <c r="K41" s="43">
        <f t="shared" si="78"/>
        <v>0</v>
      </c>
      <c r="L41" s="43">
        <f t="shared" si="79"/>
        <v>200</v>
      </c>
      <c r="M41" s="43"/>
      <c r="N41" s="43">
        <f t="shared" si="80"/>
        <v>200</v>
      </c>
      <c r="O41" s="43">
        <f t="shared" si="81"/>
        <v>14</v>
      </c>
      <c r="P41" s="42">
        <v>0</v>
      </c>
      <c r="Q41" s="42">
        <v>390</v>
      </c>
      <c r="R41" s="42">
        <f t="shared" si="82"/>
        <v>78000</v>
      </c>
    </row>
    <row r="42" spans="1:18">
      <c r="A42" s="21" t="s">
        <v>3822</v>
      </c>
      <c r="B42" s="42" t="s">
        <v>596</v>
      </c>
      <c r="C42" s="42" t="s">
        <v>597</v>
      </c>
      <c r="D42" s="42" t="s">
        <v>16</v>
      </c>
      <c r="E42" s="47" t="s">
        <v>3823</v>
      </c>
      <c r="F42" s="47">
        <v>930</v>
      </c>
      <c r="G42" s="47"/>
      <c r="H42" s="47">
        <v>200</v>
      </c>
      <c r="I42" s="47">
        <v>8</v>
      </c>
      <c r="J42" s="47"/>
      <c r="K42" s="43">
        <f t="shared" si="78"/>
        <v>0</v>
      </c>
      <c r="L42" s="43">
        <f t="shared" si="79"/>
        <v>200</v>
      </c>
      <c r="M42" s="43"/>
      <c r="N42" s="43">
        <f t="shared" si="80"/>
        <v>200</v>
      </c>
      <c r="O42" s="43">
        <f t="shared" si="81"/>
        <v>14</v>
      </c>
      <c r="P42" s="42">
        <v>0</v>
      </c>
      <c r="Q42" s="42">
        <v>390</v>
      </c>
      <c r="R42" s="42">
        <f t="shared" si="82"/>
        <v>78000</v>
      </c>
    </row>
    <row r="43" spans="1:18">
      <c r="A43" s="21" t="s">
        <v>3995</v>
      </c>
      <c r="B43" s="348" t="s">
        <v>4014</v>
      </c>
      <c r="C43" s="348" t="s">
        <v>1505</v>
      </c>
      <c r="D43" s="42" t="s">
        <v>16</v>
      </c>
      <c r="E43" s="348" t="s">
        <v>598</v>
      </c>
      <c r="F43" s="348">
        <v>1004</v>
      </c>
      <c r="G43" s="348"/>
      <c r="H43" s="348">
        <v>500</v>
      </c>
      <c r="I43" s="348">
        <v>20</v>
      </c>
      <c r="J43" s="348"/>
      <c r="K43" s="43">
        <f t="shared" si="78"/>
        <v>0</v>
      </c>
      <c r="L43" s="43">
        <f t="shared" si="79"/>
        <v>500</v>
      </c>
      <c r="M43" s="43"/>
      <c r="N43" s="43">
        <f t="shared" si="80"/>
        <v>500</v>
      </c>
      <c r="O43" s="43">
        <f t="shared" si="81"/>
        <v>35</v>
      </c>
      <c r="P43" s="42">
        <v>0</v>
      </c>
      <c r="Q43" s="42"/>
      <c r="R43" s="42"/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A5:T35"/>
  <sheetViews>
    <sheetView topLeftCell="A19" workbookViewId="0">
      <selection activeCell="A36" sqref="A36"/>
    </sheetView>
  </sheetViews>
  <sheetFormatPr defaultRowHeight="14.4"/>
  <cols>
    <col min="1" max="1" width="8.88671875" style="1"/>
    <col min="2" max="2" width="19" style="1" customWidth="1"/>
    <col min="3" max="3" width="16.6640625" style="1" customWidth="1"/>
    <col min="4" max="4" width="5.5546875" style="1" customWidth="1"/>
    <col min="5" max="5" width="10.664062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0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0">
      <c r="A6" s="7"/>
      <c r="B6" s="2"/>
      <c r="C6" s="2"/>
      <c r="D6" s="2"/>
      <c r="E6" s="2"/>
      <c r="F6" s="2"/>
      <c r="G6" s="2"/>
      <c r="H6" s="2"/>
      <c r="I6" s="2"/>
      <c r="J6" s="2"/>
      <c r="K6" s="2"/>
      <c r="L6" s="5"/>
      <c r="M6" s="5"/>
      <c r="N6" s="2"/>
    </row>
    <row r="7" spans="1:20" ht="15.6">
      <c r="A7" s="8" t="s">
        <v>389</v>
      </c>
      <c r="B7" s="47" t="s">
        <v>549</v>
      </c>
      <c r="C7" s="85" t="s">
        <v>550</v>
      </c>
      <c r="D7" s="42" t="s">
        <v>16</v>
      </c>
      <c r="E7" s="42" t="s">
        <v>551</v>
      </c>
      <c r="F7" s="47">
        <v>2483</v>
      </c>
      <c r="G7" s="47"/>
      <c r="H7" s="47">
        <v>1500</v>
      </c>
      <c r="I7" s="46"/>
      <c r="J7" s="46"/>
      <c r="K7" s="43">
        <f t="shared" ref="K7" si="0">I7*J7</f>
        <v>0</v>
      </c>
      <c r="L7" s="43">
        <f t="shared" ref="L7" si="1">H7-K7</f>
        <v>1500</v>
      </c>
      <c r="M7" s="43">
        <f t="shared" ref="M7" si="2">H7/1000*70</f>
        <v>105</v>
      </c>
      <c r="N7" s="46">
        <v>0</v>
      </c>
      <c r="O7" s="46"/>
      <c r="P7" s="42">
        <f t="shared" ref="P7" si="3">L7*O7</f>
        <v>0</v>
      </c>
      <c r="Q7" s="46" t="s">
        <v>552</v>
      </c>
    </row>
    <row r="8" spans="1:20">
      <c r="A8" s="8"/>
      <c r="B8" s="2"/>
      <c r="C8" s="2"/>
      <c r="D8" s="2"/>
      <c r="E8" s="2"/>
      <c r="F8" s="2"/>
      <c r="G8" s="2"/>
      <c r="H8" s="2"/>
      <c r="I8" s="2"/>
      <c r="J8" s="2"/>
      <c r="K8" s="2"/>
      <c r="L8" s="5"/>
      <c r="M8" s="5"/>
      <c r="N8" s="2"/>
    </row>
    <row r="9" spans="1:20">
      <c r="A9" s="9" t="s">
        <v>947</v>
      </c>
      <c r="B9" s="42" t="s">
        <v>948</v>
      </c>
      <c r="C9" s="42" t="s">
        <v>639</v>
      </c>
      <c r="D9" s="42" t="s">
        <v>16</v>
      </c>
      <c r="E9" s="42" t="s">
        <v>949</v>
      </c>
      <c r="F9" s="42">
        <v>2594</v>
      </c>
      <c r="G9" s="42"/>
      <c r="H9" s="42">
        <v>3000</v>
      </c>
      <c r="I9" s="42">
        <v>120</v>
      </c>
      <c r="J9" s="42"/>
      <c r="K9" s="42">
        <f t="shared" ref="K9" si="4">I9*J9</f>
        <v>0</v>
      </c>
      <c r="L9" s="43">
        <f t="shared" ref="L9" si="5">H9-K9</f>
        <v>3000</v>
      </c>
      <c r="M9" s="43"/>
      <c r="N9" s="43">
        <f t="shared" ref="N9" si="6">L9-M9</f>
        <v>3000</v>
      </c>
      <c r="O9" s="43">
        <f t="shared" ref="O9" si="7">H9/1000*70</f>
        <v>210</v>
      </c>
      <c r="P9" s="42">
        <v>0</v>
      </c>
      <c r="Q9" s="42">
        <v>120</v>
      </c>
      <c r="R9" s="42">
        <f t="shared" ref="R9" si="8">L9*Q9</f>
        <v>360000</v>
      </c>
    </row>
    <row r="10" spans="1:20">
      <c r="A10" s="10"/>
      <c r="B10" s="2"/>
      <c r="C10" s="2"/>
      <c r="D10" s="2"/>
      <c r="E10" s="2"/>
      <c r="F10" s="2"/>
      <c r="G10" s="2"/>
      <c r="H10" s="2"/>
      <c r="I10" s="2"/>
      <c r="J10" s="2"/>
      <c r="K10" s="2"/>
      <c r="L10" s="5"/>
      <c r="M10" s="5"/>
      <c r="N10" s="2"/>
    </row>
    <row r="11" spans="1:20">
      <c r="A11" s="11" t="s">
        <v>1059</v>
      </c>
      <c r="B11" s="92" t="s">
        <v>948</v>
      </c>
      <c r="C11" s="115" t="s">
        <v>1060</v>
      </c>
      <c r="D11" s="42" t="s">
        <v>16</v>
      </c>
      <c r="E11" s="42" t="s">
        <v>1061</v>
      </c>
      <c r="F11" s="42">
        <v>2668</v>
      </c>
      <c r="G11" s="42"/>
      <c r="H11" s="42">
        <v>1000</v>
      </c>
      <c r="I11" s="42">
        <v>40</v>
      </c>
      <c r="J11" s="42"/>
      <c r="K11" s="42">
        <f t="shared" ref="K11" si="9">I11*J11</f>
        <v>0</v>
      </c>
      <c r="L11" s="43">
        <f t="shared" ref="L11" si="10">H11-K11</f>
        <v>1000</v>
      </c>
      <c r="M11" s="43"/>
      <c r="N11" s="43">
        <f t="shared" ref="N11" si="11">L11-M11</f>
        <v>1000</v>
      </c>
      <c r="O11" s="43">
        <f t="shared" ref="O11" si="12">H11/1000*70</f>
        <v>70</v>
      </c>
      <c r="P11" s="42">
        <v>0</v>
      </c>
      <c r="Q11" s="42"/>
      <c r="R11" s="42">
        <f t="shared" ref="R11" si="13">L11*Q11</f>
        <v>0</v>
      </c>
      <c r="S11" s="115" t="s">
        <v>1062</v>
      </c>
    </row>
    <row r="13" spans="1:20">
      <c r="A13" s="1" t="s">
        <v>1194</v>
      </c>
      <c r="B13" s="42" t="s">
        <v>1197</v>
      </c>
      <c r="C13" s="42" t="s">
        <v>1198</v>
      </c>
      <c r="D13" s="42" t="s">
        <v>16</v>
      </c>
      <c r="E13" s="42" t="s">
        <v>1199</v>
      </c>
      <c r="F13" s="42">
        <v>2724</v>
      </c>
      <c r="G13" s="42"/>
      <c r="H13" s="42">
        <v>500</v>
      </c>
      <c r="I13" s="42">
        <v>20</v>
      </c>
      <c r="J13" s="42"/>
      <c r="K13" s="42">
        <f t="shared" ref="K13" si="14">I13*J13</f>
        <v>0</v>
      </c>
      <c r="L13" s="43">
        <f t="shared" ref="L13" si="15">H13-K13</f>
        <v>500</v>
      </c>
      <c r="M13" s="43"/>
      <c r="N13" s="43">
        <f t="shared" ref="N13" si="16">L13-M13</f>
        <v>500</v>
      </c>
      <c r="O13" s="43">
        <f t="shared" ref="O13" si="17">H13/1000*70</f>
        <v>35</v>
      </c>
      <c r="P13" s="42">
        <v>0</v>
      </c>
      <c r="Q13" s="42"/>
      <c r="R13" s="42">
        <f t="shared" ref="R13" si="18">L13*Q13</f>
        <v>0</v>
      </c>
    </row>
    <row r="15" spans="1:20">
      <c r="A15" s="1" t="s">
        <v>1587</v>
      </c>
      <c r="B15" s="42" t="s">
        <v>1593</v>
      </c>
      <c r="C15" s="42" t="s">
        <v>1594</v>
      </c>
      <c r="D15" s="42" t="s">
        <v>16</v>
      </c>
      <c r="E15" s="42" t="s">
        <v>1199</v>
      </c>
      <c r="F15" s="42">
        <v>2805</v>
      </c>
      <c r="G15" s="42"/>
      <c r="H15" s="42">
        <v>1000</v>
      </c>
      <c r="I15" s="42">
        <v>40</v>
      </c>
      <c r="J15" s="42"/>
      <c r="K15" s="42">
        <f t="shared" ref="K15" si="19">I15*J15</f>
        <v>0</v>
      </c>
      <c r="L15" s="43">
        <f t="shared" ref="L15" si="20">H15-K15</f>
        <v>1000</v>
      </c>
      <c r="M15" s="43"/>
      <c r="N15" s="43">
        <f t="shared" ref="N15" si="21">L15-M15</f>
        <v>1000</v>
      </c>
      <c r="O15" s="43">
        <f t="shared" ref="O15" si="22">H15/1000*70</f>
        <v>70</v>
      </c>
      <c r="P15" s="42">
        <v>0</v>
      </c>
      <c r="Q15" s="42"/>
      <c r="R15" s="42">
        <f t="shared" ref="R15" si="23">L15*Q15</f>
        <v>0</v>
      </c>
    </row>
    <row r="17" spans="1:18">
      <c r="A17" s="374" t="s">
        <v>1691</v>
      </c>
      <c r="B17" s="42" t="s">
        <v>1693</v>
      </c>
      <c r="C17" s="42" t="s">
        <v>639</v>
      </c>
      <c r="D17" s="42" t="s">
        <v>16</v>
      </c>
      <c r="E17" s="42" t="s">
        <v>1694</v>
      </c>
      <c r="F17" s="42">
        <v>2820</v>
      </c>
      <c r="G17" s="42"/>
      <c r="H17" s="42">
        <v>1000</v>
      </c>
      <c r="I17" s="42">
        <v>40</v>
      </c>
      <c r="J17" s="42"/>
      <c r="K17" s="42">
        <f t="shared" ref="K17:K18" si="24">I17*J17</f>
        <v>0</v>
      </c>
      <c r="L17" s="43">
        <f t="shared" ref="L17:L18" si="25">H17-K17</f>
        <v>1000</v>
      </c>
      <c r="M17" s="43"/>
      <c r="N17" s="43">
        <f t="shared" ref="N17:N18" si="26">L17-M17</f>
        <v>1000</v>
      </c>
      <c r="O17" s="43">
        <f t="shared" ref="O17:O18" si="27">H17/1000*70</f>
        <v>70</v>
      </c>
      <c r="P17" s="201">
        <v>0</v>
      </c>
      <c r="Q17" s="201">
        <v>150</v>
      </c>
      <c r="R17" s="42">
        <f t="shared" ref="R17:R18" si="28">L17*Q17</f>
        <v>150000</v>
      </c>
    </row>
    <row r="18" spans="1:18">
      <c r="A18" s="374"/>
      <c r="B18" s="42"/>
      <c r="C18" s="42" t="s">
        <v>1695</v>
      </c>
      <c r="D18" s="42" t="s">
        <v>16</v>
      </c>
      <c r="E18" s="42"/>
      <c r="F18" s="42"/>
      <c r="G18" s="42"/>
      <c r="H18" s="42">
        <v>100</v>
      </c>
      <c r="I18" s="42">
        <v>4</v>
      </c>
      <c r="J18" s="42"/>
      <c r="K18" s="42">
        <f t="shared" si="24"/>
        <v>0</v>
      </c>
      <c r="L18" s="43">
        <f t="shared" si="25"/>
        <v>100</v>
      </c>
      <c r="M18" s="43"/>
      <c r="N18" s="43">
        <f t="shared" si="26"/>
        <v>100</v>
      </c>
      <c r="O18" s="43">
        <f t="shared" si="27"/>
        <v>7</v>
      </c>
      <c r="P18" s="201">
        <v>0</v>
      </c>
      <c r="Q18" s="201">
        <v>295</v>
      </c>
      <c r="R18" s="42">
        <f t="shared" si="28"/>
        <v>29500</v>
      </c>
    </row>
    <row r="20" spans="1:18">
      <c r="A20" s="1" t="s">
        <v>1810</v>
      </c>
      <c r="B20" s="42" t="s">
        <v>1693</v>
      </c>
      <c r="C20" s="42" t="s">
        <v>303</v>
      </c>
      <c r="D20" s="42" t="s">
        <v>16</v>
      </c>
      <c r="E20" s="42" t="s">
        <v>876</v>
      </c>
      <c r="F20" s="42">
        <v>2841</v>
      </c>
      <c r="G20" s="42"/>
      <c r="H20" s="42">
        <v>10000</v>
      </c>
      <c r="I20" s="42">
        <v>400</v>
      </c>
      <c r="J20" s="42"/>
      <c r="K20" s="42">
        <f t="shared" ref="K20" si="29">I20*J20</f>
        <v>0</v>
      </c>
      <c r="L20" s="43">
        <f t="shared" ref="L20" si="30">H20-K20</f>
        <v>10000</v>
      </c>
      <c r="M20" s="43"/>
      <c r="N20" s="43">
        <f t="shared" ref="N20" si="31">L20-M20</f>
        <v>10000</v>
      </c>
      <c r="O20" s="43">
        <f t="shared" ref="O20" si="32">H20/1000*70</f>
        <v>700</v>
      </c>
      <c r="P20" s="221">
        <v>7500</v>
      </c>
      <c r="Q20" s="221"/>
      <c r="R20" s="42">
        <f t="shared" ref="R20" si="33">L20*Q20</f>
        <v>0</v>
      </c>
    </row>
    <row r="22" spans="1:18">
      <c r="A22" s="1" t="s">
        <v>2198</v>
      </c>
      <c r="B22" s="42" t="s">
        <v>948</v>
      </c>
      <c r="C22" s="42" t="s">
        <v>639</v>
      </c>
      <c r="D22" s="42" t="s">
        <v>16</v>
      </c>
      <c r="E22" s="42" t="s">
        <v>1694</v>
      </c>
      <c r="F22" s="42">
        <v>2909</v>
      </c>
      <c r="G22" s="42"/>
      <c r="H22" s="42">
        <v>1000</v>
      </c>
      <c r="I22" s="42">
        <v>40</v>
      </c>
      <c r="J22" s="42"/>
      <c r="K22" s="43">
        <f t="shared" ref="K22" si="34">I22*J22</f>
        <v>0</v>
      </c>
      <c r="L22" s="43">
        <f t="shared" ref="L22" si="35">H22-K22</f>
        <v>1000</v>
      </c>
      <c r="M22" s="43"/>
      <c r="N22" s="43">
        <f t="shared" ref="N22" si="36">L22-M22</f>
        <v>1000</v>
      </c>
      <c r="O22" s="43">
        <f t="shared" ref="O22" si="37">H22/1000*70</f>
        <v>70</v>
      </c>
      <c r="P22" s="42">
        <v>5000</v>
      </c>
      <c r="Q22" s="42">
        <v>125</v>
      </c>
      <c r="R22" s="42">
        <f t="shared" ref="R22" si="38">L22*Q22</f>
        <v>125000</v>
      </c>
    </row>
    <row r="24" spans="1:18">
      <c r="A24" s="1" t="s">
        <v>2271</v>
      </c>
      <c r="B24" s="42" t="s">
        <v>1693</v>
      </c>
      <c r="C24" s="42" t="s">
        <v>2273</v>
      </c>
      <c r="D24" s="42" t="s">
        <v>16</v>
      </c>
      <c r="E24" s="42" t="s">
        <v>2274</v>
      </c>
      <c r="F24" s="42">
        <v>2934</v>
      </c>
      <c r="G24" s="42"/>
      <c r="H24" s="42">
        <v>1000</v>
      </c>
      <c r="I24" s="42">
        <v>40</v>
      </c>
      <c r="J24" s="42"/>
      <c r="K24" s="43">
        <f t="shared" ref="K24" si="39">I24*J24</f>
        <v>0</v>
      </c>
      <c r="L24" s="43">
        <f t="shared" ref="L24" si="40">H24-K24</f>
        <v>1000</v>
      </c>
      <c r="M24" s="43"/>
      <c r="N24" s="43">
        <f t="shared" ref="N24" si="41">L24-M24</f>
        <v>1000</v>
      </c>
      <c r="O24" s="43">
        <f t="shared" ref="O24" si="42">H24/1000*70</f>
        <v>70</v>
      </c>
      <c r="P24" s="42"/>
      <c r="Q24" s="42">
        <v>125</v>
      </c>
      <c r="R24" s="42">
        <f t="shared" ref="R24" si="43">L24*Q24</f>
        <v>125000</v>
      </c>
    </row>
    <row r="26" spans="1:18">
      <c r="A26" s="1" t="s">
        <v>2519</v>
      </c>
      <c r="B26" s="42" t="s">
        <v>2521</v>
      </c>
      <c r="C26" s="42" t="s">
        <v>639</v>
      </c>
      <c r="D26" s="42" t="s">
        <v>16</v>
      </c>
      <c r="E26" s="42" t="s">
        <v>1199</v>
      </c>
      <c r="F26" s="42">
        <v>3004</v>
      </c>
      <c r="G26" s="42"/>
      <c r="H26" s="42">
        <v>1500</v>
      </c>
      <c r="I26" s="42">
        <v>60</v>
      </c>
      <c r="J26" s="42"/>
      <c r="K26" s="43">
        <f t="shared" ref="K26" si="44">I26*J26</f>
        <v>0</v>
      </c>
      <c r="L26" s="43">
        <f t="shared" ref="L26" si="45">H26-K26</f>
        <v>1500</v>
      </c>
      <c r="M26" s="43"/>
      <c r="N26" s="43">
        <f t="shared" ref="N26" si="46">L26-M26</f>
        <v>1500</v>
      </c>
      <c r="O26" s="43">
        <f t="shared" ref="O26" si="47">H26/1000*70</f>
        <v>105</v>
      </c>
      <c r="P26" s="42">
        <v>2700</v>
      </c>
      <c r="Q26" s="42"/>
      <c r="R26" s="42">
        <f t="shared" ref="R26" si="48">L26*Q26</f>
        <v>0</v>
      </c>
    </row>
    <row r="28" spans="1:18">
      <c r="A28" s="1" t="s">
        <v>3350</v>
      </c>
      <c r="B28" s="42" t="s">
        <v>948</v>
      </c>
      <c r="C28" s="42" t="s">
        <v>2107</v>
      </c>
      <c r="D28" s="42" t="s">
        <v>16</v>
      </c>
      <c r="E28" s="47" t="s">
        <v>3352</v>
      </c>
      <c r="F28" s="47">
        <v>3228</v>
      </c>
      <c r="G28" s="47"/>
      <c r="H28" s="47">
        <v>500</v>
      </c>
      <c r="I28" s="47">
        <v>20</v>
      </c>
      <c r="J28" s="47"/>
      <c r="K28" s="43">
        <f t="shared" ref="K28" si="49">I28*J28</f>
        <v>0</v>
      </c>
      <c r="L28" s="43">
        <f t="shared" ref="L28" si="50">H28-K28</f>
        <v>500</v>
      </c>
      <c r="M28" s="43"/>
      <c r="N28" s="43">
        <f t="shared" ref="N28" si="51">L28-M28</f>
        <v>500</v>
      </c>
      <c r="O28" s="43">
        <f t="shared" ref="O28" si="52">H28/1000*70</f>
        <v>35</v>
      </c>
      <c r="P28" s="42">
        <v>0</v>
      </c>
      <c r="Q28" s="42"/>
      <c r="R28" s="42">
        <f t="shared" ref="R28" si="53">L28*Q28</f>
        <v>0</v>
      </c>
    </row>
    <row r="30" spans="1:18">
      <c r="A30" s="1" t="s">
        <v>3400</v>
      </c>
      <c r="B30" s="42" t="s">
        <v>948</v>
      </c>
      <c r="C30" s="42" t="s">
        <v>639</v>
      </c>
      <c r="D30" s="42" t="s">
        <v>16</v>
      </c>
      <c r="E30" s="47" t="s">
        <v>3401</v>
      </c>
      <c r="F30" s="47">
        <v>3246</v>
      </c>
      <c r="G30" s="47"/>
      <c r="H30" s="47">
        <v>1000</v>
      </c>
      <c r="I30" s="47">
        <v>40</v>
      </c>
      <c r="J30" s="47"/>
      <c r="K30" s="43">
        <f t="shared" ref="K30" si="54">I30*J30</f>
        <v>0</v>
      </c>
      <c r="L30" s="43">
        <f t="shared" ref="L30" si="55">H30-K30</f>
        <v>1000</v>
      </c>
      <c r="M30" s="43"/>
      <c r="N30" s="43">
        <f t="shared" ref="N30" si="56">L30-M30</f>
        <v>1000</v>
      </c>
      <c r="O30" s="43">
        <f t="shared" ref="O30" si="57">H30/1000*70</f>
        <v>70</v>
      </c>
      <c r="P30" s="42">
        <v>2600</v>
      </c>
      <c r="Q30" s="42">
        <v>0</v>
      </c>
      <c r="R30" s="42">
        <f t="shared" ref="R30" si="58">L30*Q30</f>
        <v>0</v>
      </c>
    </row>
    <row r="32" spans="1:18">
      <c r="A32" s="374" t="s">
        <v>3650</v>
      </c>
      <c r="B32" s="42" t="s">
        <v>948</v>
      </c>
      <c r="C32" s="42" t="s">
        <v>639</v>
      </c>
      <c r="D32" s="42" t="s">
        <v>16</v>
      </c>
      <c r="E32" s="47" t="s">
        <v>3651</v>
      </c>
      <c r="F32" s="47">
        <v>3300</v>
      </c>
      <c r="G32" s="47"/>
      <c r="H32" s="47">
        <v>500</v>
      </c>
      <c r="I32" s="47">
        <v>20</v>
      </c>
      <c r="J32" s="47"/>
      <c r="K32" s="43">
        <f t="shared" ref="K32:K33" si="59">I32*J32</f>
        <v>0</v>
      </c>
      <c r="L32" s="43">
        <f t="shared" ref="L32:L33" si="60">H32-K32</f>
        <v>500</v>
      </c>
      <c r="M32" s="43"/>
      <c r="N32" s="43">
        <f t="shared" ref="N32:N33" si="61">L32-M32</f>
        <v>500</v>
      </c>
      <c r="O32" s="43">
        <f t="shared" ref="O32:O33" si="62">H32/1000*70</f>
        <v>35</v>
      </c>
      <c r="P32" s="42">
        <v>0</v>
      </c>
      <c r="Q32" s="42"/>
      <c r="R32" s="42">
        <f t="shared" ref="R32:R33" si="63">L32*Q32</f>
        <v>0</v>
      </c>
    </row>
    <row r="33" spans="1:19">
      <c r="A33" s="374"/>
      <c r="B33" s="42"/>
      <c r="C33" s="42" t="s">
        <v>2107</v>
      </c>
      <c r="D33" s="42" t="s">
        <v>16</v>
      </c>
      <c r="E33" s="47" t="s">
        <v>3651</v>
      </c>
      <c r="F33" s="47">
        <v>3300</v>
      </c>
      <c r="G33" s="47"/>
      <c r="H33" s="47">
        <v>200</v>
      </c>
      <c r="I33" s="47">
        <v>8</v>
      </c>
      <c r="J33" s="47"/>
      <c r="K33" s="43">
        <f t="shared" si="59"/>
        <v>0</v>
      </c>
      <c r="L33" s="43">
        <f t="shared" si="60"/>
        <v>200</v>
      </c>
      <c r="M33" s="43"/>
      <c r="N33" s="43">
        <f t="shared" si="61"/>
        <v>200</v>
      </c>
      <c r="O33" s="43">
        <f t="shared" si="62"/>
        <v>14</v>
      </c>
      <c r="P33" s="42">
        <v>0</v>
      </c>
      <c r="Q33" s="42"/>
      <c r="R33" s="42">
        <f t="shared" si="63"/>
        <v>0</v>
      </c>
    </row>
    <row r="35" spans="1:19">
      <c r="A35" s="1" t="s">
        <v>3795</v>
      </c>
      <c r="B35" s="42" t="s">
        <v>948</v>
      </c>
      <c r="C35" s="42" t="s">
        <v>639</v>
      </c>
      <c r="D35" s="42" t="s">
        <v>16</v>
      </c>
      <c r="E35" s="47" t="s">
        <v>2256</v>
      </c>
      <c r="F35" s="47">
        <v>3336</v>
      </c>
      <c r="G35" s="47"/>
      <c r="H35" s="47">
        <v>500</v>
      </c>
      <c r="I35" s="47">
        <v>20</v>
      </c>
      <c r="J35" s="47"/>
      <c r="K35" s="43">
        <f t="shared" ref="K35" si="64">I35*J35</f>
        <v>0</v>
      </c>
      <c r="L35" s="43">
        <f t="shared" ref="L35" si="65">H35-K35</f>
        <v>500</v>
      </c>
      <c r="M35" s="43"/>
      <c r="N35" s="43">
        <f t="shared" ref="N35" si="66">L35-M35</f>
        <v>500</v>
      </c>
      <c r="O35" s="43">
        <f t="shared" ref="O35" si="67">H35/1000*70</f>
        <v>35</v>
      </c>
      <c r="P35" s="42">
        <v>0</v>
      </c>
      <c r="Q35" s="42">
        <v>105</v>
      </c>
      <c r="R35" s="42">
        <f t="shared" ref="R35" si="68">L35*Q35</f>
        <v>52500</v>
      </c>
      <c r="S35" s="85"/>
    </row>
  </sheetData>
  <mergeCells count="2">
    <mergeCell ref="A17:A18"/>
    <mergeCell ref="A32:A33"/>
  </mergeCells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>
  <dimension ref="A5:T11"/>
  <sheetViews>
    <sheetView workbookViewId="0">
      <selection activeCell="B9" sqref="B9"/>
    </sheetView>
  </sheetViews>
  <sheetFormatPr defaultRowHeight="14.4"/>
  <cols>
    <col min="1" max="1" width="8.88671875" style="1"/>
    <col min="2" max="2" width="19" style="1" customWidth="1"/>
    <col min="3" max="3" width="16.6640625" style="1" customWidth="1"/>
    <col min="4" max="4" width="5.5546875" style="1" customWidth="1"/>
    <col min="5" max="5" width="10.664062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0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0">
      <c r="A6" s="7"/>
      <c r="B6" s="2"/>
      <c r="C6" s="2"/>
      <c r="D6" s="2"/>
      <c r="E6" s="2"/>
      <c r="F6" s="2"/>
      <c r="G6" s="2"/>
      <c r="H6" s="2"/>
      <c r="I6" s="2"/>
      <c r="J6" s="2"/>
      <c r="K6" s="2"/>
      <c r="L6" s="5"/>
      <c r="M6" s="5"/>
      <c r="N6" s="2"/>
    </row>
    <row r="7" spans="1:20">
      <c r="A7" s="8" t="s">
        <v>625</v>
      </c>
      <c r="B7" s="42" t="s">
        <v>638</v>
      </c>
      <c r="C7" s="42" t="s">
        <v>639</v>
      </c>
      <c r="D7" s="42" t="s">
        <v>16</v>
      </c>
      <c r="E7" s="42" t="s">
        <v>640</v>
      </c>
      <c r="F7" s="42">
        <v>802</v>
      </c>
      <c r="G7" s="42"/>
      <c r="H7" s="42">
        <v>975</v>
      </c>
      <c r="I7" s="42">
        <v>39</v>
      </c>
      <c r="J7" s="42"/>
      <c r="K7" s="43">
        <f t="shared" ref="K7" si="0">I7*J7</f>
        <v>0</v>
      </c>
      <c r="L7" s="43">
        <f t="shared" ref="L7" si="1">H7-K7</f>
        <v>975</v>
      </c>
      <c r="M7" s="43">
        <f t="shared" ref="M7" si="2">H7/1000*70</f>
        <v>68.25</v>
      </c>
      <c r="N7" s="42">
        <v>0</v>
      </c>
      <c r="O7" s="42"/>
      <c r="P7" s="42"/>
      <c r="Q7" s="46"/>
    </row>
    <row r="8" spans="1:20">
      <c r="A8" s="8"/>
      <c r="B8" s="2"/>
      <c r="C8" s="2"/>
      <c r="D8" s="2"/>
      <c r="E8" s="2"/>
      <c r="F8" s="2"/>
      <c r="G8" s="2"/>
      <c r="H8" s="2"/>
      <c r="I8" s="2"/>
      <c r="J8" s="2"/>
      <c r="K8" s="2"/>
      <c r="L8" s="5"/>
      <c r="M8" s="5"/>
      <c r="N8" s="2"/>
    </row>
    <row r="9" spans="1:20">
      <c r="A9" s="9"/>
      <c r="B9" s="2"/>
      <c r="C9" s="2"/>
      <c r="D9" s="2"/>
      <c r="E9" s="2"/>
      <c r="F9" s="2"/>
      <c r="G9" s="2"/>
      <c r="H9" s="2"/>
      <c r="I9" s="2"/>
      <c r="J9" s="2"/>
      <c r="K9" s="2"/>
      <c r="L9" s="5"/>
      <c r="M9" s="5"/>
      <c r="N9" s="2"/>
    </row>
    <row r="10" spans="1:20">
      <c r="A10" s="10"/>
      <c r="B10" s="2"/>
      <c r="C10" s="2"/>
      <c r="D10" s="2"/>
      <c r="E10" s="2"/>
      <c r="F10" s="2"/>
      <c r="G10" s="2"/>
      <c r="H10" s="2"/>
      <c r="I10" s="2"/>
      <c r="J10" s="2"/>
      <c r="K10" s="2"/>
      <c r="L10" s="5"/>
      <c r="M10" s="5"/>
      <c r="N10" s="2"/>
    </row>
    <row r="11" spans="1:20">
      <c r="A11" s="11"/>
      <c r="B11" s="2"/>
      <c r="C11" s="2"/>
      <c r="D11" s="2"/>
      <c r="E11" s="2"/>
      <c r="F11" s="2"/>
      <c r="G11" s="2"/>
      <c r="H11" s="2"/>
      <c r="I11" s="2"/>
      <c r="J11" s="2"/>
      <c r="K11" s="2"/>
      <c r="L11" s="5"/>
      <c r="M11" s="5"/>
      <c r="N11" s="2"/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>
  <dimension ref="A5:T10"/>
  <sheetViews>
    <sheetView workbookViewId="0">
      <selection activeCell="B12" sqref="B12"/>
    </sheetView>
  </sheetViews>
  <sheetFormatPr defaultRowHeight="14.4"/>
  <cols>
    <col min="1" max="1" width="8.88671875" style="1"/>
    <col min="2" max="2" width="19" style="1" customWidth="1"/>
    <col min="3" max="3" width="16.6640625" style="1" customWidth="1"/>
    <col min="4" max="4" width="5.5546875" style="1" customWidth="1"/>
    <col min="5" max="5" width="10.664062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0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0">
      <c r="A6" s="7"/>
      <c r="B6" s="2"/>
      <c r="C6" s="2"/>
      <c r="D6" s="2"/>
      <c r="E6" s="2"/>
      <c r="F6" s="2"/>
      <c r="G6" s="2"/>
      <c r="H6" s="2"/>
      <c r="I6" s="2"/>
      <c r="J6" s="2"/>
      <c r="K6" s="2"/>
      <c r="L6" s="5"/>
      <c r="M6" s="5"/>
      <c r="N6" s="2"/>
    </row>
    <row r="7" spans="1:20">
      <c r="A7" s="8" t="s">
        <v>1330</v>
      </c>
      <c r="B7" s="92" t="s">
        <v>1334</v>
      </c>
      <c r="C7" s="42" t="s">
        <v>639</v>
      </c>
      <c r="D7" s="42" t="s">
        <v>16</v>
      </c>
      <c r="E7" s="42" t="s">
        <v>1335</v>
      </c>
      <c r="F7" s="42">
        <v>653</v>
      </c>
      <c r="G7" s="42"/>
      <c r="H7" s="42">
        <v>1000</v>
      </c>
      <c r="I7" s="42">
        <v>40</v>
      </c>
      <c r="J7" s="42"/>
      <c r="K7" s="42">
        <f t="shared" ref="K7" si="0">I7*J7</f>
        <v>0</v>
      </c>
      <c r="L7" s="43">
        <f t="shared" ref="L7" si="1">H7-K7</f>
        <v>1000</v>
      </c>
      <c r="M7" s="43"/>
      <c r="N7" s="43">
        <f t="shared" ref="N7" si="2">L7-M7</f>
        <v>1000</v>
      </c>
      <c r="O7" s="43">
        <f t="shared" ref="O7" si="3">H7/1000*70</f>
        <v>70</v>
      </c>
      <c r="P7" s="42">
        <v>0</v>
      </c>
      <c r="Q7" s="42"/>
      <c r="R7" s="42">
        <f t="shared" ref="R7" si="4">L7*Q7</f>
        <v>0</v>
      </c>
    </row>
    <row r="8" spans="1:20">
      <c r="A8" s="9"/>
      <c r="B8" s="2"/>
      <c r="C8" s="2"/>
      <c r="D8" s="2"/>
      <c r="E8" s="2"/>
      <c r="F8" s="2"/>
      <c r="G8" s="2"/>
      <c r="H8" s="2"/>
      <c r="I8" s="2"/>
      <c r="J8" s="2"/>
      <c r="K8" s="2"/>
      <c r="L8" s="5"/>
      <c r="M8" s="5"/>
      <c r="N8" s="2"/>
    </row>
    <row r="9" spans="1:20">
      <c r="A9" s="10"/>
      <c r="B9" s="2"/>
      <c r="C9" s="2"/>
      <c r="D9" s="2"/>
      <c r="E9" s="2"/>
      <c r="F9" s="2"/>
      <c r="G9" s="2"/>
      <c r="H9" s="2"/>
      <c r="I9" s="2"/>
      <c r="J9" s="2"/>
      <c r="K9" s="2"/>
      <c r="L9" s="5"/>
      <c r="M9" s="5"/>
      <c r="N9" s="2"/>
    </row>
    <row r="10" spans="1:20">
      <c r="A10" s="11"/>
      <c r="B10" s="2"/>
      <c r="C10" s="2"/>
      <c r="D10" s="2"/>
      <c r="E10" s="2"/>
      <c r="F10" s="2"/>
      <c r="G10" s="2"/>
      <c r="H10" s="2"/>
      <c r="I10" s="2"/>
      <c r="J10" s="2"/>
      <c r="K10" s="2"/>
      <c r="L10" s="5"/>
      <c r="M10" s="5"/>
      <c r="N10" s="2"/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>
  <dimension ref="A5:T11"/>
  <sheetViews>
    <sheetView workbookViewId="0">
      <selection activeCell="B23" sqref="B23"/>
    </sheetView>
  </sheetViews>
  <sheetFormatPr defaultRowHeight="14.4"/>
  <cols>
    <col min="1" max="1" width="8.88671875" style="1"/>
    <col min="2" max="2" width="19" style="1" customWidth="1"/>
    <col min="3" max="3" width="16.6640625" style="1" customWidth="1"/>
    <col min="4" max="4" width="5.5546875" style="1" customWidth="1"/>
    <col min="5" max="5" width="10.664062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0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0">
      <c r="A6" s="7"/>
      <c r="B6" s="2"/>
      <c r="C6" s="2"/>
      <c r="D6" s="2"/>
      <c r="E6" s="2"/>
      <c r="F6" s="2"/>
      <c r="G6" s="2"/>
      <c r="H6" s="2"/>
      <c r="I6" s="2"/>
      <c r="J6" s="2"/>
      <c r="K6" s="2"/>
      <c r="L6" s="5"/>
      <c r="M6" s="5"/>
      <c r="N6" s="2"/>
    </row>
    <row r="7" spans="1:20">
      <c r="A7" s="8" t="s">
        <v>609</v>
      </c>
      <c r="B7" s="42" t="s">
        <v>612</v>
      </c>
      <c r="C7" s="42" t="s">
        <v>613</v>
      </c>
      <c r="D7" s="42" t="s">
        <v>16</v>
      </c>
      <c r="E7" s="42" t="s">
        <v>614</v>
      </c>
      <c r="F7" s="42" t="s">
        <v>615</v>
      </c>
      <c r="G7" s="42"/>
      <c r="H7" s="42">
        <v>1000</v>
      </c>
      <c r="I7" s="42">
        <v>40</v>
      </c>
      <c r="J7" s="42"/>
      <c r="K7" s="42">
        <f t="shared" ref="K7" si="0">I7*J7</f>
        <v>0</v>
      </c>
      <c r="L7" s="43">
        <f t="shared" ref="L7" si="1">H7-K7</f>
        <v>1000</v>
      </c>
      <c r="M7" s="43">
        <f t="shared" ref="M7" si="2">H7/1000*70</f>
        <v>70</v>
      </c>
      <c r="N7" s="42">
        <v>0</v>
      </c>
      <c r="O7" s="42"/>
      <c r="P7" s="42"/>
      <c r="Q7" s="46"/>
    </row>
    <row r="8" spans="1:20">
      <c r="A8" s="8"/>
      <c r="B8" s="2"/>
      <c r="C8" s="2"/>
      <c r="D8" s="2"/>
      <c r="E8" s="2"/>
      <c r="F8" s="2"/>
      <c r="G8" s="2"/>
      <c r="H8" s="2"/>
      <c r="I8" s="2"/>
      <c r="J8" s="2"/>
      <c r="K8" s="2"/>
      <c r="L8" s="5"/>
      <c r="M8" s="5"/>
      <c r="N8" s="2"/>
    </row>
    <row r="9" spans="1:20">
      <c r="A9" s="9"/>
      <c r="B9" s="2"/>
      <c r="C9" s="2"/>
      <c r="D9" s="2"/>
      <c r="E9" s="2"/>
      <c r="F9" s="2"/>
      <c r="G9" s="2"/>
      <c r="H9" s="2"/>
      <c r="I9" s="2"/>
      <c r="J9" s="2"/>
      <c r="K9" s="2"/>
      <c r="L9" s="5"/>
      <c r="M9" s="5"/>
      <c r="N9" s="2"/>
    </row>
    <row r="10" spans="1:20">
      <c r="A10" s="10"/>
      <c r="B10" s="2"/>
      <c r="C10" s="2"/>
      <c r="D10" s="2"/>
      <c r="E10" s="2"/>
      <c r="F10" s="2"/>
      <c r="G10" s="2"/>
      <c r="H10" s="2"/>
      <c r="I10" s="2"/>
      <c r="J10" s="2"/>
      <c r="K10" s="2"/>
      <c r="L10" s="5"/>
      <c r="M10" s="5"/>
      <c r="N10" s="2"/>
    </row>
    <row r="11" spans="1:20">
      <c r="A11" s="11"/>
      <c r="B11" s="2"/>
      <c r="C11" s="2"/>
      <c r="D11" s="2"/>
      <c r="E11" s="2"/>
      <c r="F11" s="2"/>
      <c r="G11" s="2"/>
      <c r="H11" s="2"/>
      <c r="I11" s="2"/>
      <c r="J11" s="2"/>
      <c r="K11" s="2"/>
      <c r="L11" s="5"/>
      <c r="M11" s="5"/>
      <c r="N11" s="2"/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>
  <dimension ref="A5:T20"/>
  <sheetViews>
    <sheetView workbookViewId="0">
      <selection activeCell="I21" sqref="I21"/>
    </sheetView>
  </sheetViews>
  <sheetFormatPr defaultRowHeight="14.4"/>
  <cols>
    <col min="1" max="1" width="8.88671875" style="1"/>
    <col min="2" max="2" width="19" style="1" customWidth="1"/>
    <col min="3" max="3" width="16.6640625" style="1" customWidth="1"/>
    <col min="4" max="4" width="5.5546875" style="1" customWidth="1"/>
    <col min="5" max="5" width="10.664062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0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0">
      <c r="A6" s="7"/>
      <c r="B6" s="2"/>
      <c r="C6" s="2"/>
      <c r="D6" s="2"/>
      <c r="E6" s="2"/>
      <c r="F6" s="2"/>
      <c r="G6" s="2"/>
      <c r="H6" s="2"/>
      <c r="I6" s="2"/>
      <c r="J6" s="2"/>
      <c r="K6" s="2"/>
      <c r="L6" s="5"/>
      <c r="M6" s="5"/>
      <c r="N6" s="2"/>
    </row>
    <row r="7" spans="1:20">
      <c r="A7" s="384" t="s">
        <v>739</v>
      </c>
      <c r="B7" s="42" t="s">
        <v>19</v>
      </c>
      <c r="C7" s="42" t="s">
        <v>742</v>
      </c>
      <c r="D7" s="42" t="s">
        <v>16</v>
      </c>
      <c r="E7" s="42" t="s">
        <v>743</v>
      </c>
      <c r="F7" s="42">
        <v>892</v>
      </c>
      <c r="G7" s="42">
        <v>560</v>
      </c>
      <c r="H7" s="42">
        <v>20000</v>
      </c>
      <c r="I7" s="42">
        <v>800</v>
      </c>
      <c r="J7" s="42"/>
      <c r="K7" s="42">
        <f t="shared" ref="K7:K11" si="0">I7*J7</f>
        <v>0</v>
      </c>
      <c r="L7" s="43">
        <f t="shared" ref="L7:L11" si="1">H7-K7</f>
        <v>20000</v>
      </c>
      <c r="M7" s="43"/>
      <c r="N7" s="43">
        <f t="shared" ref="N7:N11" si="2">L7-M7</f>
        <v>20000</v>
      </c>
      <c r="O7" s="43">
        <f t="shared" ref="O7:O11" si="3">H7/1000*70</f>
        <v>1400</v>
      </c>
      <c r="P7" s="42">
        <v>33800</v>
      </c>
      <c r="Q7" s="42"/>
      <c r="R7" s="42">
        <f t="shared" ref="R7" si="4">L7*Q7</f>
        <v>0</v>
      </c>
    </row>
    <row r="8" spans="1:20">
      <c r="A8" s="384"/>
      <c r="B8" s="42" t="s">
        <v>19</v>
      </c>
      <c r="C8" s="42" t="s">
        <v>742</v>
      </c>
      <c r="D8" s="42" t="s">
        <v>16</v>
      </c>
      <c r="E8" s="42" t="s">
        <v>744</v>
      </c>
      <c r="F8" s="42">
        <v>890</v>
      </c>
      <c r="G8" s="42">
        <v>560</v>
      </c>
      <c r="H8" s="42">
        <v>20000</v>
      </c>
      <c r="I8" s="42">
        <v>800</v>
      </c>
      <c r="J8" s="42"/>
      <c r="K8" s="42">
        <f t="shared" si="0"/>
        <v>0</v>
      </c>
      <c r="L8" s="43">
        <f t="shared" si="1"/>
        <v>20000</v>
      </c>
      <c r="M8" s="43"/>
      <c r="N8" s="43">
        <f t="shared" si="2"/>
        <v>20000</v>
      </c>
      <c r="O8" s="43">
        <f t="shared" si="3"/>
        <v>1400</v>
      </c>
      <c r="P8" s="42">
        <v>33800</v>
      </c>
      <c r="Q8" s="42"/>
      <c r="R8" s="42"/>
    </row>
    <row r="9" spans="1:20">
      <c r="A9" s="385"/>
      <c r="B9" s="42" t="s">
        <v>19</v>
      </c>
      <c r="C9" s="42" t="s">
        <v>742</v>
      </c>
      <c r="D9" s="42" t="s">
        <v>16</v>
      </c>
      <c r="E9" s="42" t="s">
        <v>745</v>
      </c>
      <c r="F9" s="42">
        <v>895</v>
      </c>
      <c r="G9" s="42">
        <v>560</v>
      </c>
      <c r="H9" s="42">
        <v>20000</v>
      </c>
      <c r="I9" s="42">
        <v>800</v>
      </c>
      <c r="J9" s="42"/>
      <c r="K9" s="42">
        <f t="shared" si="0"/>
        <v>0</v>
      </c>
      <c r="L9" s="43">
        <f t="shared" si="1"/>
        <v>20000</v>
      </c>
      <c r="M9" s="43"/>
      <c r="N9" s="43">
        <f t="shared" si="2"/>
        <v>20000</v>
      </c>
      <c r="O9" s="43">
        <f t="shared" si="3"/>
        <v>1400</v>
      </c>
      <c r="P9" s="42">
        <v>33800</v>
      </c>
      <c r="Q9" s="42"/>
      <c r="R9" s="42">
        <f t="shared" ref="R9" si="5">L9*Q9</f>
        <v>0</v>
      </c>
    </row>
    <row r="10" spans="1:20">
      <c r="A10" s="381" t="s">
        <v>746</v>
      </c>
      <c r="B10" s="42" t="s">
        <v>19</v>
      </c>
      <c r="C10" s="42" t="s">
        <v>742</v>
      </c>
      <c r="D10" s="42" t="s">
        <v>16</v>
      </c>
      <c r="E10" s="42" t="s">
        <v>747</v>
      </c>
      <c r="F10" s="42">
        <v>893</v>
      </c>
      <c r="G10" s="42">
        <v>560</v>
      </c>
      <c r="H10" s="42">
        <v>20000</v>
      </c>
      <c r="I10" s="42">
        <v>800</v>
      </c>
      <c r="J10" s="42"/>
      <c r="K10" s="42">
        <f t="shared" si="0"/>
        <v>0</v>
      </c>
      <c r="L10" s="43">
        <f t="shared" si="1"/>
        <v>20000</v>
      </c>
      <c r="M10" s="43"/>
      <c r="N10" s="43">
        <f t="shared" si="2"/>
        <v>20000</v>
      </c>
      <c r="O10" s="43">
        <f t="shared" si="3"/>
        <v>1400</v>
      </c>
      <c r="P10" s="42">
        <v>33800</v>
      </c>
    </row>
    <row r="11" spans="1:20">
      <c r="A11" s="379"/>
      <c r="B11" s="42" t="s">
        <v>19</v>
      </c>
      <c r="C11" s="42" t="s">
        <v>742</v>
      </c>
      <c r="D11" s="42" t="s">
        <v>16</v>
      </c>
      <c r="E11" s="42" t="s">
        <v>295</v>
      </c>
      <c r="F11" s="42">
        <v>894</v>
      </c>
      <c r="G11" s="42">
        <v>560</v>
      </c>
      <c r="H11" s="42">
        <v>20000</v>
      </c>
      <c r="I11" s="42">
        <v>800</v>
      </c>
      <c r="J11" s="42"/>
      <c r="K11" s="42">
        <f t="shared" si="0"/>
        <v>0</v>
      </c>
      <c r="L11" s="43">
        <f t="shared" si="1"/>
        <v>20000</v>
      </c>
      <c r="M11" s="43"/>
      <c r="N11" s="43">
        <f t="shared" si="2"/>
        <v>20000</v>
      </c>
      <c r="O11" s="43">
        <f t="shared" si="3"/>
        <v>1400</v>
      </c>
      <c r="P11" s="42">
        <v>33800</v>
      </c>
    </row>
    <row r="18" spans="9:9">
      <c r="I18" s="1">
        <v>376025</v>
      </c>
    </row>
    <row r="19" spans="9:9">
      <c r="I19" s="1">
        <v>375880</v>
      </c>
    </row>
    <row r="20" spans="9:9">
      <c r="I20" s="1">
        <f>I18-I19</f>
        <v>145</v>
      </c>
    </row>
  </sheetData>
  <mergeCells count="2">
    <mergeCell ref="A7:A9"/>
    <mergeCell ref="A10:A11"/>
  </mergeCells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>
  <dimension ref="A5:T11"/>
  <sheetViews>
    <sheetView workbookViewId="0">
      <selection activeCell="B11" sqref="B11"/>
    </sheetView>
  </sheetViews>
  <sheetFormatPr defaultRowHeight="14.4"/>
  <cols>
    <col min="1" max="1" width="8.88671875" style="1"/>
    <col min="2" max="2" width="19" style="1" customWidth="1"/>
    <col min="3" max="3" width="16.6640625" style="1" customWidth="1"/>
    <col min="4" max="4" width="5.5546875" style="1" customWidth="1"/>
    <col min="5" max="5" width="10.664062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0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0">
      <c r="A6" s="7"/>
      <c r="B6" s="2"/>
      <c r="C6" s="2"/>
      <c r="D6" s="2"/>
      <c r="E6" s="2"/>
      <c r="F6" s="2"/>
      <c r="G6" s="2"/>
      <c r="H6" s="2"/>
      <c r="I6" s="2"/>
      <c r="J6" s="2"/>
      <c r="K6" s="2"/>
      <c r="L6" s="5"/>
      <c r="M6" s="5"/>
      <c r="N6" s="2"/>
    </row>
    <row r="7" spans="1:20">
      <c r="A7" s="8" t="s">
        <v>722</v>
      </c>
      <c r="B7" s="42" t="s">
        <v>723</v>
      </c>
      <c r="C7" s="42" t="s">
        <v>724</v>
      </c>
      <c r="D7" s="42" t="s">
        <v>16</v>
      </c>
      <c r="E7" s="42" t="s">
        <v>725</v>
      </c>
      <c r="F7" s="42">
        <v>997</v>
      </c>
      <c r="G7" s="42"/>
      <c r="H7" s="42">
        <v>250</v>
      </c>
      <c r="I7" s="42"/>
      <c r="J7" s="42"/>
      <c r="K7" s="42">
        <f t="shared" ref="K7" si="0">I7*J7</f>
        <v>0</v>
      </c>
      <c r="L7" s="43">
        <f t="shared" ref="L7" si="1">H7-K7</f>
        <v>250</v>
      </c>
      <c r="M7" s="43"/>
      <c r="N7" s="43">
        <f t="shared" ref="N7" si="2">L7-M7</f>
        <v>250</v>
      </c>
      <c r="O7" s="43">
        <f t="shared" ref="O7" si="3">H7/1000*70</f>
        <v>17.5</v>
      </c>
      <c r="P7" s="42">
        <v>0</v>
      </c>
      <c r="Q7" s="46"/>
    </row>
    <row r="8" spans="1:20">
      <c r="A8" s="8"/>
      <c r="B8" s="2"/>
      <c r="C8" s="2"/>
      <c r="D8" s="2"/>
      <c r="E8" s="2"/>
      <c r="F8" s="2"/>
      <c r="G8" s="2"/>
      <c r="H8" s="2"/>
      <c r="I8" s="2"/>
      <c r="J8" s="2"/>
      <c r="K8" s="2"/>
      <c r="L8" s="5"/>
      <c r="M8" s="5"/>
      <c r="N8" s="2"/>
    </row>
    <row r="9" spans="1:20">
      <c r="A9" s="9" t="s">
        <v>2403</v>
      </c>
      <c r="B9" s="42" t="s">
        <v>2410</v>
      </c>
      <c r="C9" s="42" t="s">
        <v>303</v>
      </c>
      <c r="D9" s="42" t="s">
        <v>16</v>
      </c>
      <c r="E9" s="42" t="s">
        <v>2411</v>
      </c>
      <c r="F9" s="42">
        <v>580</v>
      </c>
      <c r="G9" s="42"/>
      <c r="H9" s="42">
        <v>50</v>
      </c>
      <c r="I9" s="42">
        <v>2</v>
      </c>
      <c r="J9" s="42"/>
      <c r="K9" s="43">
        <f t="shared" ref="K9" si="4">I9*J9</f>
        <v>0</v>
      </c>
      <c r="L9" s="43">
        <f t="shared" ref="L9" si="5">H9-K9</f>
        <v>50</v>
      </c>
      <c r="M9" s="43"/>
      <c r="N9" s="43">
        <f t="shared" ref="N9" si="6">L9-M9</f>
        <v>50</v>
      </c>
      <c r="O9" s="43">
        <f t="shared" ref="O9" si="7">H9/1000*70</f>
        <v>3.5</v>
      </c>
      <c r="P9" s="42">
        <v>0</v>
      </c>
      <c r="Q9" s="42">
        <v>50</v>
      </c>
      <c r="R9" s="42">
        <f t="shared" ref="R9" si="8">L9*Q9</f>
        <v>2500</v>
      </c>
    </row>
    <row r="10" spans="1:20">
      <c r="A10" s="10"/>
      <c r="B10" s="2"/>
      <c r="C10" s="2"/>
      <c r="D10" s="2"/>
      <c r="E10" s="2"/>
      <c r="F10" s="2"/>
      <c r="G10" s="2"/>
      <c r="H10" s="2"/>
      <c r="I10" s="2"/>
      <c r="J10" s="2"/>
      <c r="K10" s="2"/>
      <c r="L10" s="5"/>
      <c r="M10" s="5"/>
      <c r="N10" s="2"/>
    </row>
    <row r="11" spans="1:20">
      <c r="A11" s="11"/>
      <c r="B11" s="2"/>
      <c r="C11" s="2"/>
      <c r="D11" s="2"/>
      <c r="E11" s="2"/>
      <c r="F11" s="2"/>
      <c r="G11" s="2"/>
      <c r="H11" s="2"/>
      <c r="I11" s="2"/>
      <c r="J11" s="2"/>
      <c r="K11" s="2"/>
      <c r="L11" s="5"/>
      <c r="M11" s="5"/>
      <c r="N11" s="2"/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>
  <dimension ref="A5:T11"/>
  <sheetViews>
    <sheetView workbookViewId="0">
      <selection activeCell="B8" sqref="B8"/>
    </sheetView>
  </sheetViews>
  <sheetFormatPr defaultRowHeight="14.4"/>
  <cols>
    <col min="1" max="1" width="8.88671875" style="1"/>
    <col min="2" max="2" width="19" style="1" customWidth="1"/>
    <col min="3" max="3" width="16.6640625" style="1" customWidth="1"/>
    <col min="4" max="4" width="5.5546875" style="1" customWidth="1"/>
    <col min="5" max="5" width="10.664062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0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0">
      <c r="A6" s="7"/>
      <c r="B6" s="2"/>
      <c r="C6" s="2"/>
      <c r="D6" s="2"/>
      <c r="E6" s="2"/>
      <c r="F6" s="2"/>
      <c r="G6" s="2"/>
      <c r="H6" s="2"/>
      <c r="I6" s="2"/>
      <c r="J6" s="2"/>
      <c r="K6" s="2"/>
      <c r="L6" s="5"/>
      <c r="M6" s="5"/>
      <c r="N6" s="2"/>
    </row>
    <row r="7" spans="1:20">
      <c r="A7" s="8" t="s">
        <v>728</v>
      </c>
      <c r="B7" s="42" t="s">
        <v>731</v>
      </c>
      <c r="C7" s="42" t="s">
        <v>732</v>
      </c>
      <c r="D7" s="42" t="s">
        <v>16</v>
      </c>
      <c r="E7" s="42" t="s">
        <v>733</v>
      </c>
      <c r="F7" s="42">
        <v>1392</v>
      </c>
      <c r="G7" s="42"/>
      <c r="H7" s="42">
        <v>200</v>
      </c>
      <c r="I7" s="42">
        <v>10</v>
      </c>
      <c r="J7" s="42"/>
      <c r="K7" s="42">
        <f t="shared" ref="K7" si="0">I7*J7</f>
        <v>0</v>
      </c>
      <c r="L7" s="43">
        <f t="shared" ref="L7" si="1">H7-K7</f>
        <v>200</v>
      </c>
      <c r="M7" s="43"/>
      <c r="N7" s="43">
        <f t="shared" ref="N7" si="2">L7-M7</f>
        <v>200</v>
      </c>
      <c r="O7" s="43">
        <f t="shared" ref="O7" si="3">H7/1000*70</f>
        <v>14</v>
      </c>
      <c r="P7" s="42">
        <v>0</v>
      </c>
      <c r="Q7" s="42"/>
      <c r="R7" s="42">
        <f t="shared" ref="R7" si="4">L7*Q7</f>
        <v>0</v>
      </c>
    </row>
    <row r="8" spans="1:20">
      <c r="A8" s="8"/>
      <c r="B8" s="2"/>
      <c r="C8" s="2"/>
      <c r="D8" s="2"/>
      <c r="E8" s="2"/>
      <c r="F8" s="2"/>
      <c r="G8" s="2"/>
      <c r="H8" s="2"/>
      <c r="I8" s="2"/>
      <c r="J8" s="2"/>
      <c r="K8" s="2"/>
      <c r="L8" s="5"/>
      <c r="M8" s="5"/>
      <c r="N8" s="2"/>
    </row>
    <row r="9" spans="1:20">
      <c r="A9" s="9"/>
      <c r="B9" s="2"/>
      <c r="C9" s="2"/>
      <c r="D9" s="2"/>
      <c r="E9" s="2"/>
      <c r="F9" s="2"/>
      <c r="G9" s="2"/>
      <c r="H9" s="2"/>
      <c r="I9" s="2"/>
      <c r="J9" s="2"/>
      <c r="K9" s="2"/>
      <c r="L9" s="5"/>
      <c r="M9" s="5"/>
      <c r="N9" s="2"/>
    </row>
    <row r="10" spans="1:20">
      <c r="A10" s="10"/>
      <c r="B10" s="2"/>
      <c r="C10" s="2"/>
      <c r="D10" s="2"/>
      <c r="E10" s="2"/>
      <c r="F10" s="2"/>
      <c r="G10" s="2"/>
      <c r="H10" s="2"/>
      <c r="I10" s="2"/>
      <c r="J10" s="2"/>
      <c r="K10" s="2"/>
      <c r="L10" s="5"/>
      <c r="M10" s="5"/>
      <c r="N10" s="2"/>
    </row>
    <row r="11" spans="1:20">
      <c r="A11" s="11"/>
      <c r="B11" s="2"/>
      <c r="C11" s="2"/>
      <c r="D11" s="2"/>
      <c r="E11" s="2"/>
      <c r="F11" s="2"/>
      <c r="G11" s="2"/>
      <c r="H11" s="2"/>
      <c r="I11" s="2"/>
      <c r="J11" s="2"/>
      <c r="K11" s="2"/>
      <c r="L11" s="5"/>
      <c r="M11" s="5"/>
      <c r="N11" s="2"/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>
  <dimension ref="A5:T41"/>
  <sheetViews>
    <sheetView topLeftCell="A19" workbookViewId="0">
      <selection activeCell="A42" sqref="A42"/>
    </sheetView>
  </sheetViews>
  <sheetFormatPr defaultRowHeight="14.4"/>
  <cols>
    <col min="1" max="1" width="8.88671875" style="1"/>
    <col min="2" max="2" width="19" style="1" customWidth="1"/>
    <col min="3" max="3" width="16.6640625" style="1" customWidth="1"/>
    <col min="4" max="4" width="5.5546875" style="1" customWidth="1"/>
    <col min="5" max="5" width="10.664062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0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0">
      <c r="A6" s="7"/>
      <c r="B6" s="2"/>
      <c r="C6" s="2"/>
      <c r="D6" s="2"/>
      <c r="E6" s="2"/>
      <c r="F6" s="2"/>
      <c r="G6" s="2"/>
      <c r="H6" s="2"/>
      <c r="I6" s="2"/>
      <c r="J6" s="2"/>
      <c r="K6" s="2"/>
      <c r="L6" s="5"/>
      <c r="M6" s="5"/>
      <c r="N6" s="2"/>
    </row>
    <row r="7" spans="1:20">
      <c r="A7" s="8" t="s">
        <v>831</v>
      </c>
      <c r="B7" s="42" t="s">
        <v>833</v>
      </c>
      <c r="C7" s="42" t="s">
        <v>834</v>
      </c>
      <c r="D7" s="42" t="s">
        <v>16</v>
      </c>
      <c r="E7" s="42" t="s">
        <v>835</v>
      </c>
      <c r="F7" s="42">
        <v>192</v>
      </c>
      <c r="G7" s="42"/>
      <c r="H7" s="42">
        <v>200</v>
      </c>
      <c r="I7" s="42"/>
      <c r="J7" s="42"/>
      <c r="K7" s="43">
        <f t="shared" ref="K7" si="0">I7*J7</f>
        <v>0</v>
      </c>
      <c r="L7" s="43">
        <f t="shared" ref="L7" si="1">H7-K7</f>
        <v>200</v>
      </c>
      <c r="M7" s="43"/>
      <c r="N7" s="43">
        <f t="shared" ref="N7" si="2">L7-M7</f>
        <v>200</v>
      </c>
      <c r="O7" s="43">
        <f t="shared" ref="O7" si="3">H7/1000*70</f>
        <v>14</v>
      </c>
      <c r="P7" s="48">
        <v>0</v>
      </c>
      <c r="Q7" s="48">
        <v>400</v>
      </c>
      <c r="R7" s="42">
        <f t="shared" ref="R7" si="4">L7*Q7</f>
        <v>80000</v>
      </c>
    </row>
    <row r="8" spans="1:20">
      <c r="A8" s="8"/>
      <c r="B8" s="2"/>
      <c r="C8" s="2"/>
      <c r="D8" s="2"/>
      <c r="E8" s="2"/>
      <c r="F8" s="2"/>
      <c r="G8" s="2"/>
      <c r="H8" s="2"/>
      <c r="I8" s="2"/>
      <c r="J8" s="2"/>
      <c r="K8" s="2"/>
      <c r="L8" s="5"/>
      <c r="M8" s="5"/>
      <c r="N8" s="2"/>
    </row>
    <row r="9" spans="1:20">
      <c r="A9" s="9" t="s">
        <v>1128</v>
      </c>
      <c r="B9" s="42" t="s">
        <v>833</v>
      </c>
      <c r="C9" s="42" t="s">
        <v>834</v>
      </c>
      <c r="D9" s="42" t="s">
        <v>16</v>
      </c>
      <c r="E9" s="42" t="s">
        <v>1129</v>
      </c>
      <c r="F9" s="42">
        <v>626</v>
      </c>
      <c r="G9" s="42"/>
      <c r="H9" s="42">
        <v>500</v>
      </c>
      <c r="I9" s="42">
        <v>25</v>
      </c>
      <c r="J9" s="42"/>
      <c r="K9" s="42">
        <f t="shared" ref="K9" si="5">I9*J9</f>
        <v>0</v>
      </c>
      <c r="L9" s="43">
        <f t="shared" ref="L9" si="6">H9-K9</f>
        <v>500</v>
      </c>
      <c r="M9" s="43"/>
      <c r="N9" s="43">
        <f t="shared" ref="N9" si="7">L9-M9</f>
        <v>500</v>
      </c>
      <c r="O9" s="43">
        <f t="shared" ref="O9" si="8">H9/1000*70</f>
        <v>35</v>
      </c>
      <c r="P9" s="42">
        <v>0</v>
      </c>
      <c r="Q9" s="42"/>
      <c r="R9" s="42">
        <f t="shared" ref="R9" si="9">L9*Q9</f>
        <v>0</v>
      </c>
    </row>
    <row r="10" spans="1:20">
      <c r="A10" s="10"/>
      <c r="B10" s="2"/>
      <c r="C10" s="2"/>
      <c r="D10" s="2"/>
      <c r="E10" s="2"/>
      <c r="F10" s="2"/>
      <c r="G10" s="2"/>
      <c r="H10" s="2"/>
      <c r="I10" s="2"/>
      <c r="J10" s="2"/>
      <c r="K10" s="2"/>
      <c r="L10" s="5"/>
      <c r="M10" s="5"/>
      <c r="N10" s="2"/>
    </row>
    <row r="11" spans="1:20">
      <c r="A11" s="11" t="s">
        <v>1358</v>
      </c>
      <c r="B11" s="42" t="s">
        <v>833</v>
      </c>
      <c r="C11" s="42" t="s">
        <v>834</v>
      </c>
      <c r="D11" s="42" t="s">
        <v>16</v>
      </c>
      <c r="E11" s="42" t="s">
        <v>1365</v>
      </c>
      <c r="F11" s="42">
        <v>596</v>
      </c>
      <c r="G11" s="42"/>
      <c r="H11" s="42">
        <v>500</v>
      </c>
      <c r="I11" s="42">
        <v>25</v>
      </c>
      <c r="J11" s="42"/>
      <c r="K11" s="42">
        <f t="shared" ref="K11" si="10">I11*J11</f>
        <v>0</v>
      </c>
      <c r="L11" s="43">
        <f t="shared" ref="L11" si="11">H11-K11</f>
        <v>500</v>
      </c>
      <c r="M11" s="43"/>
      <c r="N11" s="43">
        <f t="shared" ref="N11" si="12">L11-M11</f>
        <v>500</v>
      </c>
      <c r="O11" s="43">
        <f t="shared" ref="O11" si="13">H11/1000*70</f>
        <v>35</v>
      </c>
      <c r="P11" s="42">
        <v>0</v>
      </c>
      <c r="Q11" s="42">
        <v>400</v>
      </c>
      <c r="R11" s="42">
        <f t="shared" ref="R11" si="14">L11*Q11</f>
        <v>200000</v>
      </c>
    </row>
    <row r="13" spans="1:20">
      <c r="A13" s="1" t="s">
        <v>1516</v>
      </c>
      <c r="B13" s="42" t="s">
        <v>1517</v>
      </c>
      <c r="C13" s="42" t="s">
        <v>834</v>
      </c>
      <c r="D13" s="42" t="s">
        <v>16</v>
      </c>
      <c r="E13" s="42" t="s">
        <v>1518</v>
      </c>
      <c r="F13" s="42">
        <v>477</v>
      </c>
      <c r="G13" s="42"/>
      <c r="H13" s="42">
        <v>500</v>
      </c>
      <c r="I13" s="42">
        <v>25</v>
      </c>
      <c r="J13" s="42"/>
      <c r="K13" s="42">
        <f t="shared" ref="K13" si="15">I13*J13</f>
        <v>0</v>
      </c>
      <c r="L13" s="43">
        <f t="shared" ref="L13" si="16">H13-K13</f>
        <v>500</v>
      </c>
      <c r="M13" s="43"/>
      <c r="N13" s="43">
        <f t="shared" ref="N13" si="17">L13-M13</f>
        <v>500</v>
      </c>
      <c r="O13" s="43">
        <f t="shared" ref="O13" si="18">H13/1000*70</f>
        <v>35</v>
      </c>
      <c r="P13" s="42">
        <v>0</v>
      </c>
      <c r="Q13" s="42">
        <v>400</v>
      </c>
      <c r="R13" s="42">
        <f t="shared" ref="R13" si="19">L13*Q13</f>
        <v>200000</v>
      </c>
    </row>
    <row r="15" spans="1:20">
      <c r="A15" s="1" t="s">
        <v>1974</v>
      </c>
      <c r="B15" s="42" t="s">
        <v>833</v>
      </c>
      <c r="C15" s="42" t="s">
        <v>834</v>
      </c>
      <c r="D15" s="42" t="s">
        <v>16</v>
      </c>
      <c r="E15" s="42" t="s">
        <v>1977</v>
      </c>
      <c r="F15" s="42">
        <v>802</v>
      </c>
      <c r="G15" s="42"/>
      <c r="H15" s="42">
        <v>200</v>
      </c>
      <c r="I15" s="42">
        <v>20</v>
      </c>
      <c r="J15" s="42"/>
      <c r="K15" s="43">
        <f t="shared" ref="K15" si="20">I15*J15</f>
        <v>0</v>
      </c>
      <c r="L15" s="43">
        <f t="shared" ref="L15" si="21">H15-K15</f>
        <v>200</v>
      </c>
      <c r="M15" s="43"/>
      <c r="N15" s="43">
        <f t="shared" ref="N15" si="22">L15-M15</f>
        <v>200</v>
      </c>
      <c r="O15" s="43">
        <f t="shared" ref="O15" si="23">H15/1000*70</f>
        <v>14</v>
      </c>
      <c r="P15" s="42">
        <v>0</v>
      </c>
      <c r="Q15" s="42">
        <v>400</v>
      </c>
      <c r="R15" s="42">
        <f t="shared" ref="R15" si="24">L15*Q15</f>
        <v>80000</v>
      </c>
    </row>
    <row r="17" spans="1:18">
      <c r="A17" s="1" t="s">
        <v>2106</v>
      </c>
      <c r="B17" s="42" t="s">
        <v>833</v>
      </c>
      <c r="C17" s="42" t="s">
        <v>834</v>
      </c>
      <c r="D17" s="42" t="s">
        <v>16</v>
      </c>
      <c r="E17" s="42" t="s">
        <v>835</v>
      </c>
      <c r="F17" s="42">
        <v>844</v>
      </c>
      <c r="G17" s="42"/>
      <c r="H17" s="42">
        <v>100</v>
      </c>
      <c r="I17" s="42">
        <v>5</v>
      </c>
      <c r="J17" s="42"/>
      <c r="K17" s="43">
        <f t="shared" ref="K17:K18" si="25">I17*J17</f>
        <v>0</v>
      </c>
      <c r="L17" s="43">
        <f t="shared" ref="L17:L18" si="26">H17-K17</f>
        <v>100</v>
      </c>
      <c r="M17" s="43"/>
      <c r="N17" s="43">
        <f t="shared" ref="N17:N18" si="27">L17-M17</f>
        <v>100</v>
      </c>
      <c r="O17" s="43">
        <f t="shared" ref="O17:O18" si="28">H17/1000*70</f>
        <v>7</v>
      </c>
      <c r="P17" s="42">
        <v>0</v>
      </c>
      <c r="Q17" s="42">
        <v>400</v>
      </c>
      <c r="R17" s="42">
        <f t="shared" ref="R17:R18" si="29">L17*Q17</f>
        <v>40000</v>
      </c>
    </row>
    <row r="18" spans="1:18">
      <c r="A18" s="21" t="s">
        <v>2206</v>
      </c>
      <c r="B18" s="42" t="s">
        <v>833</v>
      </c>
      <c r="C18" s="42" t="s">
        <v>834</v>
      </c>
      <c r="D18" s="42" t="s">
        <v>16</v>
      </c>
      <c r="E18" s="42" t="s">
        <v>2208</v>
      </c>
      <c r="F18" s="42">
        <v>725</v>
      </c>
      <c r="G18" s="42"/>
      <c r="H18" s="42">
        <v>300</v>
      </c>
      <c r="I18" s="42">
        <v>15</v>
      </c>
      <c r="J18" s="42"/>
      <c r="K18" s="43">
        <f t="shared" si="25"/>
        <v>0</v>
      </c>
      <c r="L18" s="43">
        <f t="shared" si="26"/>
        <v>300</v>
      </c>
      <c r="M18" s="43"/>
      <c r="N18" s="43">
        <f t="shared" si="27"/>
        <v>300</v>
      </c>
      <c r="O18" s="43">
        <f t="shared" si="28"/>
        <v>21</v>
      </c>
      <c r="P18" s="42">
        <v>0</v>
      </c>
      <c r="Q18" s="42">
        <v>400</v>
      </c>
      <c r="R18" s="42">
        <f t="shared" si="29"/>
        <v>120000</v>
      </c>
    </row>
    <row r="20" spans="1:18">
      <c r="A20" s="21" t="s">
        <v>2275</v>
      </c>
      <c r="B20" s="42" t="s">
        <v>2278</v>
      </c>
      <c r="C20" s="42" t="s">
        <v>834</v>
      </c>
      <c r="D20" s="42" t="s">
        <v>16</v>
      </c>
      <c r="E20" s="42" t="s">
        <v>2281</v>
      </c>
      <c r="F20" s="42">
        <v>525</v>
      </c>
      <c r="G20" s="42"/>
      <c r="H20" s="42">
        <v>500</v>
      </c>
      <c r="I20" s="42">
        <v>25</v>
      </c>
      <c r="J20" s="42"/>
      <c r="K20" s="43">
        <f t="shared" ref="K20" si="30">I20*J20</f>
        <v>0</v>
      </c>
      <c r="L20" s="43">
        <f t="shared" ref="L20" si="31">H20-K20</f>
        <v>500</v>
      </c>
      <c r="M20" s="43"/>
      <c r="N20" s="43">
        <f t="shared" ref="N20" si="32">L20-M20</f>
        <v>500</v>
      </c>
      <c r="O20" s="43">
        <f t="shared" ref="O20" si="33">H20/1000*70</f>
        <v>35</v>
      </c>
      <c r="P20" s="42">
        <v>0</v>
      </c>
      <c r="Q20" s="42">
        <v>400</v>
      </c>
      <c r="R20" s="42">
        <f t="shared" ref="R20" si="34">L20*Q20</f>
        <v>200000</v>
      </c>
    </row>
    <row r="22" spans="1:18">
      <c r="A22" s="21" t="s">
        <v>2674</v>
      </c>
      <c r="B22" s="42" t="s">
        <v>833</v>
      </c>
      <c r="C22" s="42" t="s">
        <v>2677</v>
      </c>
      <c r="D22" s="42" t="s">
        <v>16</v>
      </c>
      <c r="E22" s="42" t="s">
        <v>2678</v>
      </c>
      <c r="F22" s="42">
        <v>873</v>
      </c>
      <c r="G22" s="42"/>
      <c r="H22" s="42">
        <v>500</v>
      </c>
      <c r="I22" s="42">
        <v>25</v>
      </c>
      <c r="J22" s="42"/>
      <c r="K22" s="43">
        <f t="shared" ref="K22" si="35">I22*J22</f>
        <v>0</v>
      </c>
      <c r="L22" s="43">
        <f t="shared" ref="L22" si="36">H22-K22</f>
        <v>500</v>
      </c>
      <c r="M22" s="43"/>
      <c r="N22" s="43">
        <f t="shared" ref="N22" si="37">L22-M22</f>
        <v>500</v>
      </c>
      <c r="O22" s="43">
        <f t="shared" ref="O22" si="38">H22/1000*70</f>
        <v>35</v>
      </c>
      <c r="P22" s="42">
        <v>0</v>
      </c>
      <c r="Q22" s="42"/>
      <c r="R22" s="42">
        <f t="shared" ref="R22" si="39">L22*Q22</f>
        <v>0</v>
      </c>
    </row>
    <row r="24" spans="1:18">
      <c r="A24" s="1" t="s">
        <v>2695</v>
      </c>
      <c r="B24" s="42" t="s">
        <v>833</v>
      </c>
      <c r="C24" s="42" t="s">
        <v>834</v>
      </c>
      <c r="D24" s="42" t="s">
        <v>16</v>
      </c>
      <c r="E24" s="42" t="s">
        <v>2281</v>
      </c>
      <c r="F24" s="42">
        <v>878</v>
      </c>
      <c r="G24" s="42"/>
      <c r="H24" s="42">
        <v>500</v>
      </c>
      <c r="I24" s="42">
        <v>25</v>
      </c>
      <c r="J24" s="42"/>
      <c r="K24" s="43">
        <f t="shared" ref="K24" si="40">I24*J24</f>
        <v>0</v>
      </c>
      <c r="L24" s="43">
        <f t="shared" ref="L24" si="41">H24-K24</f>
        <v>500</v>
      </c>
      <c r="M24" s="43"/>
      <c r="N24" s="43">
        <f t="shared" ref="N24" si="42">L24-M24</f>
        <v>500</v>
      </c>
      <c r="O24" s="43">
        <f t="shared" ref="O24" si="43">H24/1000*70</f>
        <v>35</v>
      </c>
      <c r="P24" s="42">
        <v>0</v>
      </c>
      <c r="Q24" s="42">
        <v>400</v>
      </c>
      <c r="R24" s="42">
        <f t="shared" ref="R24" si="44">L24*Q24</f>
        <v>200000</v>
      </c>
    </row>
    <row r="26" spans="1:18">
      <c r="A26" s="1" t="s">
        <v>2801</v>
      </c>
      <c r="B26" s="42" t="s">
        <v>833</v>
      </c>
      <c r="C26" s="42" t="s">
        <v>834</v>
      </c>
      <c r="D26" s="42" t="s">
        <v>16</v>
      </c>
      <c r="E26" s="42" t="s">
        <v>2281</v>
      </c>
      <c r="F26" s="42">
        <v>898</v>
      </c>
      <c r="G26" s="42"/>
      <c r="H26" s="42">
        <v>1000</v>
      </c>
      <c r="I26" s="42">
        <v>50</v>
      </c>
      <c r="J26" s="42"/>
      <c r="K26" s="43">
        <f t="shared" ref="K26" si="45">I26*J26</f>
        <v>0</v>
      </c>
      <c r="L26" s="43">
        <f t="shared" ref="L26" si="46">H26-K26</f>
        <v>1000</v>
      </c>
      <c r="M26" s="43"/>
      <c r="N26" s="43">
        <f t="shared" ref="N26" si="47">L26-M26</f>
        <v>1000</v>
      </c>
      <c r="O26" s="43">
        <f t="shared" ref="O26" si="48">H26/1000*70</f>
        <v>70</v>
      </c>
      <c r="P26" s="42">
        <v>0</v>
      </c>
      <c r="Q26" s="42">
        <v>400</v>
      </c>
      <c r="R26" s="42">
        <f t="shared" ref="R26" si="49">L26*Q26</f>
        <v>400000</v>
      </c>
    </row>
    <row r="28" spans="1:18">
      <c r="A28" s="374" t="s">
        <v>2911</v>
      </c>
      <c r="B28" s="42" t="s">
        <v>833</v>
      </c>
      <c r="C28" s="42" t="s">
        <v>834</v>
      </c>
      <c r="D28" s="42" t="s">
        <v>16</v>
      </c>
      <c r="E28" s="42" t="s">
        <v>2914</v>
      </c>
      <c r="F28" s="42">
        <v>15</v>
      </c>
      <c r="G28" s="42"/>
      <c r="H28" s="42">
        <v>500</v>
      </c>
      <c r="I28" s="42">
        <v>25</v>
      </c>
      <c r="J28" s="42"/>
      <c r="K28" s="43">
        <f t="shared" ref="K28:K29" si="50">I28*J28</f>
        <v>0</v>
      </c>
      <c r="L28" s="43">
        <f t="shared" ref="L28:L29" si="51">H28-K28</f>
        <v>500</v>
      </c>
      <c r="M28" s="43"/>
      <c r="N28" s="43">
        <f t="shared" ref="N28:N29" si="52">L28-M28</f>
        <v>500</v>
      </c>
      <c r="O28" s="43">
        <f t="shared" ref="O28:O29" si="53">H28/1000*70</f>
        <v>35</v>
      </c>
      <c r="P28" s="42">
        <v>0</v>
      </c>
      <c r="Q28" s="42">
        <v>400</v>
      </c>
      <c r="R28" s="42">
        <f t="shared" ref="R28:R29" si="54">L28*Q28</f>
        <v>200000</v>
      </c>
    </row>
    <row r="29" spans="1:18">
      <c r="A29" s="374"/>
      <c r="B29" s="42"/>
      <c r="C29" s="42" t="s">
        <v>2677</v>
      </c>
      <c r="D29" s="42" t="s">
        <v>16</v>
      </c>
      <c r="E29" s="42" t="s">
        <v>2914</v>
      </c>
      <c r="F29" s="42">
        <v>15</v>
      </c>
      <c r="G29" s="42"/>
      <c r="H29" s="42">
        <v>100</v>
      </c>
      <c r="I29" s="42">
        <v>5</v>
      </c>
      <c r="J29" s="42"/>
      <c r="K29" s="43">
        <f t="shared" si="50"/>
        <v>0</v>
      </c>
      <c r="L29" s="43">
        <f t="shared" si="51"/>
        <v>100</v>
      </c>
      <c r="M29" s="43"/>
      <c r="N29" s="43">
        <f t="shared" si="52"/>
        <v>100</v>
      </c>
      <c r="O29" s="43">
        <f t="shared" si="53"/>
        <v>7</v>
      </c>
      <c r="P29" s="42">
        <v>0</v>
      </c>
      <c r="Q29" s="42">
        <v>600</v>
      </c>
      <c r="R29" s="42">
        <f t="shared" si="54"/>
        <v>60000</v>
      </c>
    </row>
    <row r="31" spans="1:18">
      <c r="A31" s="1" t="s">
        <v>3076</v>
      </c>
      <c r="B31" s="42" t="s">
        <v>833</v>
      </c>
      <c r="C31" s="42" t="s">
        <v>834</v>
      </c>
      <c r="D31" s="42" t="s">
        <v>16</v>
      </c>
      <c r="E31" s="42" t="s">
        <v>2678</v>
      </c>
      <c r="F31" s="42">
        <v>416</v>
      </c>
      <c r="G31" s="42"/>
      <c r="H31" s="42">
        <v>300</v>
      </c>
      <c r="I31" s="42">
        <v>15</v>
      </c>
      <c r="J31" s="42"/>
      <c r="K31" s="43">
        <f t="shared" ref="K31" si="55">I31*J31</f>
        <v>0</v>
      </c>
      <c r="L31" s="43">
        <f t="shared" ref="L31" si="56">H31-K31</f>
        <v>300</v>
      </c>
      <c r="M31" s="43"/>
      <c r="N31" s="43">
        <f t="shared" ref="N31" si="57">L31-M31</f>
        <v>300</v>
      </c>
      <c r="O31" s="43">
        <f t="shared" ref="O31" si="58">H31/1000*70</f>
        <v>21</v>
      </c>
      <c r="P31" s="42">
        <v>0</v>
      </c>
      <c r="Q31" s="42">
        <v>400</v>
      </c>
      <c r="R31" s="42">
        <f t="shared" ref="R31" si="59">L31*Q31</f>
        <v>120000</v>
      </c>
    </row>
    <row r="33" spans="1:18">
      <c r="A33" s="1" t="s">
        <v>3197</v>
      </c>
      <c r="B33" s="42" t="s">
        <v>3203</v>
      </c>
      <c r="C33" s="42" t="s">
        <v>834</v>
      </c>
      <c r="D33" s="42" t="s">
        <v>16</v>
      </c>
      <c r="E33" s="42" t="s">
        <v>2678</v>
      </c>
      <c r="F33" s="42">
        <v>524</v>
      </c>
      <c r="G33" s="42"/>
      <c r="H33" s="42">
        <v>300</v>
      </c>
      <c r="I33" s="42">
        <v>15</v>
      </c>
      <c r="J33" s="42"/>
      <c r="K33" s="43">
        <f t="shared" ref="K33" si="60">I33*J33</f>
        <v>0</v>
      </c>
      <c r="L33" s="43">
        <f t="shared" ref="L33" si="61">H33-K33</f>
        <v>300</v>
      </c>
      <c r="M33" s="43"/>
      <c r="N33" s="43">
        <f t="shared" ref="N33" si="62">L33-M33</f>
        <v>300</v>
      </c>
      <c r="O33" s="43">
        <f t="shared" ref="O33" si="63">H33/1000*70</f>
        <v>21</v>
      </c>
      <c r="P33" s="42">
        <v>0</v>
      </c>
      <c r="Q33" s="42">
        <v>400</v>
      </c>
      <c r="R33" s="42">
        <f t="shared" ref="R33" si="64">L33*Q33</f>
        <v>120000</v>
      </c>
    </row>
    <row r="35" spans="1:18">
      <c r="A35" s="1" t="s">
        <v>3523</v>
      </c>
      <c r="B35" s="42" t="s">
        <v>3522</v>
      </c>
      <c r="C35" s="42" t="s">
        <v>834</v>
      </c>
      <c r="D35" s="42" t="s">
        <v>16</v>
      </c>
      <c r="E35" s="47" t="s">
        <v>2678</v>
      </c>
      <c r="F35" s="47">
        <v>746</v>
      </c>
      <c r="G35" s="47"/>
      <c r="H35" s="47">
        <v>300</v>
      </c>
      <c r="I35" s="47">
        <v>15</v>
      </c>
      <c r="J35" s="47"/>
      <c r="K35" s="43">
        <f t="shared" ref="K35" si="65">I35*J35</f>
        <v>0</v>
      </c>
      <c r="L35" s="43">
        <f t="shared" ref="L35" si="66">H35-K35</f>
        <v>300</v>
      </c>
      <c r="M35" s="43"/>
      <c r="N35" s="43">
        <f t="shared" ref="N35" si="67">L35-M35</f>
        <v>300</v>
      </c>
      <c r="O35" s="43">
        <f t="shared" ref="O35" si="68">H35/1000*70</f>
        <v>21</v>
      </c>
      <c r="P35" s="42">
        <v>0</v>
      </c>
      <c r="Q35" s="42"/>
      <c r="R35" s="42">
        <f t="shared" ref="R35" si="69">L35*Q35</f>
        <v>0</v>
      </c>
    </row>
    <row r="37" spans="1:18">
      <c r="A37" s="374" t="s">
        <v>3663</v>
      </c>
      <c r="B37" s="42" t="s">
        <v>833</v>
      </c>
      <c r="C37" s="42" t="s">
        <v>834</v>
      </c>
      <c r="D37" s="42" t="s">
        <v>16</v>
      </c>
      <c r="E37" s="47" t="s">
        <v>2281</v>
      </c>
      <c r="F37" s="47">
        <v>34</v>
      </c>
      <c r="G37" s="47"/>
      <c r="H37" s="47">
        <v>300</v>
      </c>
      <c r="I37" s="47">
        <v>15</v>
      </c>
      <c r="J37" s="47"/>
      <c r="K37" s="43">
        <f t="shared" ref="K37:K38" si="70">I37*J37</f>
        <v>0</v>
      </c>
      <c r="L37" s="43">
        <f t="shared" ref="L37:L38" si="71">H37-K37</f>
        <v>300</v>
      </c>
      <c r="M37" s="43"/>
      <c r="N37" s="43">
        <f t="shared" ref="N37:N38" si="72">L37-M37</f>
        <v>300</v>
      </c>
      <c r="O37" s="43">
        <f>H37/1000*70</f>
        <v>21</v>
      </c>
      <c r="P37" s="42">
        <v>0</v>
      </c>
      <c r="Q37" s="42"/>
      <c r="R37" s="42">
        <f t="shared" ref="R37:R38" si="73">L37*Q37</f>
        <v>0</v>
      </c>
    </row>
    <row r="38" spans="1:18">
      <c r="A38" s="374"/>
      <c r="B38" s="42"/>
      <c r="C38" s="42" t="s">
        <v>2677</v>
      </c>
      <c r="D38" s="42" t="s">
        <v>16</v>
      </c>
      <c r="E38" s="47" t="s">
        <v>2281</v>
      </c>
      <c r="F38" s="47">
        <v>34</v>
      </c>
      <c r="G38" s="47"/>
      <c r="H38" s="47">
        <v>100</v>
      </c>
      <c r="I38" s="47">
        <v>5</v>
      </c>
      <c r="J38" s="47"/>
      <c r="K38" s="43">
        <f t="shared" si="70"/>
        <v>0</v>
      </c>
      <c r="L38" s="43">
        <f t="shared" si="71"/>
        <v>100</v>
      </c>
      <c r="M38" s="43"/>
      <c r="N38" s="43">
        <f t="shared" si="72"/>
        <v>100</v>
      </c>
      <c r="O38" s="43">
        <f t="shared" ref="O38" si="74">H38/1000*70</f>
        <v>7</v>
      </c>
      <c r="P38" s="42">
        <v>0</v>
      </c>
      <c r="Q38" s="42"/>
      <c r="R38" s="42">
        <f t="shared" si="73"/>
        <v>0</v>
      </c>
    </row>
    <row r="40" spans="1:18">
      <c r="A40" s="374" t="s">
        <v>3926</v>
      </c>
      <c r="B40" s="329" t="s">
        <v>1517</v>
      </c>
      <c r="C40" s="329" t="s">
        <v>834</v>
      </c>
      <c r="D40" s="42" t="s">
        <v>16</v>
      </c>
      <c r="E40" s="329" t="s">
        <v>2678</v>
      </c>
      <c r="F40" s="329">
        <v>1012</v>
      </c>
      <c r="G40" s="329"/>
      <c r="H40" s="329">
        <v>300</v>
      </c>
      <c r="I40" s="329">
        <v>15</v>
      </c>
      <c r="J40" s="329"/>
      <c r="K40" s="43">
        <f t="shared" ref="K40:K41" si="75">I40*J40</f>
        <v>0</v>
      </c>
      <c r="L40" s="43">
        <f t="shared" ref="L40:L41" si="76">H40-K40</f>
        <v>300</v>
      </c>
      <c r="M40" s="43"/>
      <c r="N40" s="43">
        <f t="shared" ref="N40:N41" si="77">L40-M40</f>
        <v>300</v>
      </c>
      <c r="O40" s="43">
        <f t="shared" ref="O40:O41" si="78">H40/1000*70</f>
        <v>21</v>
      </c>
      <c r="P40" s="42">
        <v>0</v>
      </c>
      <c r="Q40" s="42">
        <v>400</v>
      </c>
      <c r="R40" s="42">
        <f t="shared" ref="R40:R41" si="79">L40*Q40</f>
        <v>120000</v>
      </c>
    </row>
    <row r="41" spans="1:18">
      <c r="A41" s="374"/>
      <c r="B41" s="329"/>
      <c r="C41" s="329" t="s">
        <v>2677</v>
      </c>
      <c r="D41" s="42" t="s">
        <v>16</v>
      </c>
      <c r="E41" s="329" t="s">
        <v>2678</v>
      </c>
      <c r="F41" s="329">
        <v>1012</v>
      </c>
      <c r="G41" s="329"/>
      <c r="H41" s="329">
        <v>100</v>
      </c>
      <c r="I41" s="329">
        <v>5</v>
      </c>
      <c r="J41" s="329"/>
      <c r="K41" s="43">
        <f t="shared" si="75"/>
        <v>0</v>
      </c>
      <c r="L41" s="43">
        <f t="shared" si="76"/>
        <v>100</v>
      </c>
      <c r="M41" s="43"/>
      <c r="N41" s="43">
        <f t="shared" si="77"/>
        <v>100</v>
      </c>
      <c r="O41" s="43">
        <f t="shared" si="78"/>
        <v>7</v>
      </c>
      <c r="P41" s="42">
        <v>0</v>
      </c>
      <c r="Q41" s="42">
        <v>100</v>
      </c>
      <c r="R41" s="42">
        <f t="shared" si="79"/>
        <v>10000</v>
      </c>
    </row>
  </sheetData>
  <mergeCells count="3">
    <mergeCell ref="A28:A29"/>
    <mergeCell ref="A37:A38"/>
    <mergeCell ref="A40:A41"/>
  </mergeCells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>
  <dimension ref="A5:T44"/>
  <sheetViews>
    <sheetView topLeftCell="A22" workbookViewId="0">
      <selection activeCell="A45" sqref="A45"/>
    </sheetView>
  </sheetViews>
  <sheetFormatPr defaultRowHeight="14.4"/>
  <cols>
    <col min="1" max="1" width="8.88671875" style="1"/>
    <col min="2" max="2" width="19" style="1" customWidth="1"/>
    <col min="3" max="3" width="16.6640625" style="1" customWidth="1"/>
    <col min="4" max="4" width="5.5546875" style="1" customWidth="1"/>
    <col min="5" max="5" width="10.664062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0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0">
      <c r="A6" s="7"/>
      <c r="B6" s="2"/>
      <c r="C6" s="2"/>
      <c r="D6" s="2"/>
      <c r="E6" s="2"/>
      <c r="F6" s="2"/>
      <c r="G6" s="2"/>
      <c r="H6" s="2"/>
      <c r="I6" s="2"/>
      <c r="J6" s="2"/>
      <c r="K6" s="2"/>
      <c r="L6" s="5"/>
      <c r="M6" s="5"/>
      <c r="N6" s="2"/>
    </row>
    <row r="7" spans="1:20">
      <c r="A7" s="8" t="s">
        <v>831</v>
      </c>
      <c r="B7" s="42" t="s">
        <v>836</v>
      </c>
      <c r="C7" s="42" t="s">
        <v>837</v>
      </c>
      <c r="D7" s="42" t="s">
        <v>16</v>
      </c>
      <c r="E7" s="42" t="s">
        <v>838</v>
      </c>
      <c r="F7" s="42">
        <v>495</v>
      </c>
      <c r="G7" s="42"/>
      <c r="H7" s="42">
        <v>200</v>
      </c>
      <c r="I7" s="42"/>
      <c r="J7" s="42"/>
      <c r="K7" s="43">
        <f t="shared" ref="K7" si="0">I7*J7</f>
        <v>0</v>
      </c>
      <c r="L7" s="43">
        <f t="shared" ref="L7" si="1">H7-K7</f>
        <v>200</v>
      </c>
      <c r="M7" s="43"/>
      <c r="N7" s="43">
        <f t="shared" ref="N7" si="2">L7-M7</f>
        <v>200</v>
      </c>
      <c r="O7" s="43">
        <f t="shared" ref="O7" si="3">H7/1000*70</f>
        <v>14</v>
      </c>
      <c r="P7" s="48">
        <v>0</v>
      </c>
      <c r="Q7" s="48">
        <v>480</v>
      </c>
      <c r="R7" s="42">
        <f t="shared" ref="R7" si="4">L7*Q7</f>
        <v>96000</v>
      </c>
    </row>
    <row r="8" spans="1:20">
      <c r="A8" s="8"/>
      <c r="B8" s="2"/>
      <c r="C8" s="2"/>
      <c r="D8" s="2"/>
      <c r="E8" s="2"/>
      <c r="F8" s="2"/>
      <c r="G8" s="2"/>
      <c r="H8" s="2"/>
      <c r="I8" s="2"/>
      <c r="J8" s="2"/>
      <c r="K8" s="2"/>
      <c r="L8" s="5"/>
      <c r="M8" s="5"/>
      <c r="N8" s="2"/>
    </row>
    <row r="9" spans="1:20">
      <c r="A9" s="9" t="s">
        <v>1103</v>
      </c>
      <c r="B9" s="42" t="s">
        <v>836</v>
      </c>
      <c r="C9" s="42" t="s">
        <v>837</v>
      </c>
      <c r="D9" s="42" t="s">
        <v>16</v>
      </c>
      <c r="E9" s="42" t="s">
        <v>1106</v>
      </c>
      <c r="F9" s="42">
        <v>590</v>
      </c>
      <c r="G9" s="42"/>
      <c r="H9" s="42">
        <v>200</v>
      </c>
      <c r="I9" s="42">
        <v>8</v>
      </c>
      <c r="J9" s="42"/>
      <c r="K9" s="42">
        <f t="shared" ref="K9" si="5">I9*J9</f>
        <v>0</v>
      </c>
      <c r="L9" s="43">
        <f t="shared" ref="L9" si="6">H9-K9</f>
        <v>200</v>
      </c>
      <c r="M9" s="43"/>
      <c r="N9" s="43">
        <f t="shared" ref="N9" si="7">L9-M9</f>
        <v>200</v>
      </c>
      <c r="O9" s="43">
        <f t="shared" ref="O9" si="8">H9/1000*70</f>
        <v>14</v>
      </c>
      <c r="P9" s="42">
        <v>0</v>
      </c>
      <c r="Q9" s="42">
        <v>480</v>
      </c>
      <c r="R9" s="42">
        <f t="shared" ref="R9" si="9">L9*Q9</f>
        <v>96000</v>
      </c>
    </row>
    <row r="10" spans="1:20">
      <c r="A10" s="10"/>
      <c r="B10" s="2"/>
      <c r="C10" s="2"/>
      <c r="D10" s="2"/>
      <c r="E10" s="2"/>
      <c r="F10" s="2"/>
      <c r="G10" s="2"/>
      <c r="H10" s="2"/>
      <c r="I10" s="2"/>
      <c r="J10" s="2"/>
      <c r="K10" s="2"/>
      <c r="L10" s="5"/>
      <c r="M10" s="5"/>
      <c r="N10" s="2"/>
    </row>
    <row r="11" spans="1:20">
      <c r="A11" s="375" t="s">
        <v>1506</v>
      </c>
      <c r="B11" s="42" t="s">
        <v>1507</v>
      </c>
      <c r="C11" s="178" t="s">
        <v>1508</v>
      </c>
      <c r="D11" s="42" t="s">
        <v>16</v>
      </c>
      <c r="E11" s="42" t="s">
        <v>1509</v>
      </c>
      <c r="F11" s="42">
        <v>680</v>
      </c>
      <c r="G11" s="42"/>
      <c r="H11" s="42">
        <v>3000</v>
      </c>
      <c r="I11" s="42">
        <v>120</v>
      </c>
      <c r="J11" s="42"/>
      <c r="K11" s="42">
        <f t="shared" ref="K11:K12" si="10">I11*J11</f>
        <v>0</v>
      </c>
      <c r="L11" s="43">
        <f t="shared" ref="L11:L12" si="11">H11-K11</f>
        <v>3000</v>
      </c>
      <c r="M11" s="43"/>
      <c r="N11" s="43">
        <f t="shared" ref="N11:N12" si="12">L11-M11</f>
        <v>3000</v>
      </c>
      <c r="O11" s="43">
        <f t="shared" ref="O11:O12" si="13">H11/1000*70</f>
        <v>210</v>
      </c>
      <c r="P11" s="42">
        <v>0</v>
      </c>
      <c r="Q11" s="42">
        <v>250</v>
      </c>
      <c r="R11" s="42">
        <f t="shared" ref="R11:R12" si="14">L11*Q11</f>
        <v>750000</v>
      </c>
    </row>
    <row r="12" spans="1:20">
      <c r="A12" s="375"/>
      <c r="B12" s="42" t="s">
        <v>1507</v>
      </c>
      <c r="C12" s="178" t="s">
        <v>1510</v>
      </c>
      <c r="D12" s="42" t="s">
        <v>16</v>
      </c>
      <c r="E12" s="42" t="s">
        <v>1509</v>
      </c>
      <c r="F12" s="42">
        <v>681</v>
      </c>
      <c r="G12" s="42"/>
      <c r="H12" s="42">
        <v>500</v>
      </c>
      <c r="I12" s="42">
        <v>20</v>
      </c>
      <c r="J12" s="42"/>
      <c r="K12" s="42">
        <f t="shared" si="10"/>
        <v>0</v>
      </c>
      <c r="L12" s="43">
        <f t="shared" si="11"/>
        <v>500</v>
      </c>
      <c r="M12" s="43"/>
      <c r="N12" s="43">
        <f t="shared" si="12"/>
        <v>500</v>
      </c>
      <c r="O12" s="43">
        <f t="shared" si="13"/>
        <v>35</v>
      </c>
      <c r="P12" s="42">
        <v>0</v>
      </c>
      <c r="Q12" s="42">
        <v>420</v>
      </c>
      <c r="R12" s="42">
        <f t="shared" si="14"/>
        <v>210000</v>
      </c>
    </row>
    <row r="14" spans="1:20">
      <c r="A14" s="374" t="s">
        <v>1938</v>
      </c>
      <c r="B14" s="42" t="s">
        <v>1940</v>
      </c>
      <c r="C14" s="42" t="s">
        <v>1941</v>
      </c>
      <c r="D14" s="42" t="s">
        <v>16</v>
      </c>
      <c r="E14" s="42" t="s">
        <v>1942</v>
      </c>
      <c r="F14" s="42">
        <v>760</v>
      </c>
      <c r="G14" s="42"/>
      <c r="H14" s="42">
        <v>500</v>
      </c>
      <c r="I14" s="42">
        <v>20</v>
      </c>
      <c r="J14" s="42"/>
      <c r="K14" s="43">
        <f t="shared" ref="K14:K15" si="15">I14*J14</f>
        <v>0</v>
      </c>
      <c r="L14" s="43">
        <f t="shared" ref="L14:L15" si="16">H14-K14</f>
        <v>500</v>
      </c>
      <c r="M14" s="43"/>
      <c r="N14" s="43">
        <f t="shared" ref="N14:N15" si="17">L14-M14</f>
        <v>500</v>
      </c>
      <c r="O14" s="43">
        <f t="shared" ref="O14:O15" si="18">H14/1000*70</f>
        <v>35</v>
      </c>
      <c r="P14" s="42">
        <v>0</v>
      </c>
      <c r="Q14" s="42">
        <v>250</v>
      </c>
      <c r="R14" s="42">
        <f t="shared" ref="R14:R15" si="19">L14*Q14</f>
        <v>125000</v>
      </c>
    </row>
    <row r="15" spans="1:20">
      <c r="A15" s="374"/>
      <c r="B15" s="42" t="s">
        <v>1940</v>
      </c>
      <c r="C15" s="42" t="s">
        <v>1943</v>
      </c>
      <c r="D15" s="42" t="s">
        <v>16</v>
      </c>
      <c r="E15" s="42" t="s">
        <v>1942</v>
      </c>
      <c r="F15" s="42">
        <v>761</v>
      </c>
      <c r="G15" s="42"/>
      <c r="H15" s="42">
        <v>100</v>
      </c>
      <c r="I15" s="42">
        <v>4</v>
      </c>
      <c r="J15" s="42"/>
      <c r="K15" s="43">
        <f t="shared" si="15"/>
        <v>0</v>
      </c>
      <c r="L15" s="43">
        <f t="shared" si="16"/>
        <v>100</v>
      </c>
      <c r="M15" s="43"/>
      <c r="N15" s="43">
        <f t="shared" si="17"/>
        <v>100</v>
      </c>
      <c r="O15" s="43">
        <f t="shared" si="18"/>
        <v>7</v>
      </c>
      <c r="P15" s="42"/>
      <c r="Q15" s="42">
        <v>420</v>
      </c>
      <c r="R15" s="42">
        <f t="shared" si="19"/>
        <v>42000</v>
      </c>
    </row>
    <row r="17" spans="1:18">
      <c r="A17" s="374" t="s">
        <v>2076</v>
      </c>
      <c r="B17" s="42" t="s">
        <v>2077</v>
      </c>
      <c r="C17" s="42" t="s">
        <v>1943</v>
      </c>
      <c r="D17" s="42" t="s">
        <v>16</v>
      </c>
      <c r="E17" s="42" t="s">
        <v>2078</v>
      </c>
      <c r="F17" s="42">
        <v>796</v>
      </c>
      <c r="G17" s="42"/>
      <c r="H17" s="42">
        <v>200</v>
      </c>
      <c r="I17" s="42">
        <v>8</v>
      </c>
      <c r="J17" s="42"/>
      <c r="K17" s="43">
        <f t="shared" ref="K17:K18" si="20">I17*J17</f>
        <v>0</v>
      </c>
      <c r="L17" s="43">
        <f t="shared" ref="L17:L18" si="21">H17-K17</f>
        <v>200</v>
      </c>
      <c r="M17" s="43"/>
      <c r="N17" s="43">
        <f t="shared" ref="N17:N18" si="22">L17-M17</f>
        <v>200</v>
      </c>
      <c r="O17" s="43">
        <f t="shared" ref="O17:O18" si="23">H17/1000*70</f>
        <v>14</v>
      </c>
      <c r="P17" s="42">
        <v>0</v>
      </c>
      <c r="Q17" s="42">
        <v>420</v>
      </c>
      <c r="R17" s="42">
        <f t="shared" ref="R17:R18" si="24">L17*Q17</f>
        <v>84000</v>
      </c>
    </row>
    <row r="18" spans="1:18">
      <c r="A18" s="374"/>
      <c r="B18" s="42"/>
      <c r="C18" s="42" t="s">
        <v>1941</v>
      </c>
      <c r="D18" s="42" t="s">
        <v>16</v>
      </c>
      <c r="E18" s="42" t="s">
        <v>2078</v>
      </c>
      <c r="F18" s="42">
        <v>796</v>
      </c>
      <c r="G18" s="42"/>
      <c r="H18" s="42">
        <v>1200</v>
      </c>
      <c r="I18" s="42">
        <v>48</v>
      </c>
      <c r="J18" s="42"/>
      <c r="K18" s="43">
        <f t="shared" si="20"/>
        <v>0</v>
      </c>
      <c r="L18" s="43">
        <f t="shared" si="21"/>
        <v>1200</v>
      </c>
      <c r="M18" s="43"/>
      <c r="N18" s="43">
        <f t="shared" si="22"/>
        <v>1200</v>
      </c>
      <c r="O18" s="43">
        <f t="shared" si="23"/>
        <v>84</v>
      </c>
      <c r="P18" s="42">
        <v>0</v>
      </c>
      <c r="Q18" s="42">
        <v>250</v>
      </c>
      <c r="R18" s="42">
        <f t="shared" si="24"/>
        <v>300000</v>
      </c>
    </row>
    <row r="20" spans="1:18">
      <c r="A20" s="374" t="s">
        <v>2188</v>
      </c>
      <c r="B20" s="42" t="s">
        <v>2190</v>
      </c>
      <c r="C20" s="42" t="s">
        <v>1941</v>
      </c>
      <c r="D20" s="42" t="s">
        <v>16</v>
      </c>
      <c r="E20" s="42" t="s">
        <v>2191</v>
      </c>
      <c r="F20" s="42">
        <v>827</v>
      </c>
      <c r="G20" s="42"/>
      <c r="H20" s="42">
        <v>500</v>
      </c>
      <c r="I20" s="42">
        <v>20</v>
      </c>
      <c r="J20" s="42"/>
      <c r="K20" s="43">
        <f t="shared" ref="K20:K21" si="25">I20*J20</f>
        <v>0</v>
      </c>
      <c r="L20" s="43">
        <f t="shared" ref="L20:L21" si="26">H20-K20</f>
        <v>500</v>
      </c>
      <c r="M20" s="43"/>
      <c r="N20" s="43">
        <f t="shared" ref="N20:N21" si="27">L20-M20</f>
        <v>500</v>
      </c>
      <c r="O20" s="43">
        <f t="shared" ref="O20:O21" si="28">H20/1000*70</f>
        <v>35</v>
      </c>
      <c r="P20" s="42">
        <v>0</v>
      </c>
      <c r="Q20" s="42">
        <v>250</v>
      </c>
      <c r="R20" s="42">
        <f t="shared" ref="R20:R21" si="29">L20*Q20</f>
        <v>125000</v>
      </c>
    </row>
    <row r="21" spans="1:18">
      <c r="A21" s="374"/>
      <c r="B21" s="42"/>
      <c r="C21" s="42" t="s">
        <v>1943</v>
      </c>
      <c r="D21" s="42" t="s">
        <v>16</v>
      </c>
      <c r="E21" s="42" t="s">
        <v>2191</v>
      </c>
      <c r="F21" s="42">
        <v>827</v>
      </c>
      <c r="G21" s="42"/>
      <c r="H21" s="42">
        <v>300</v>
      </c>
      <c r="I21" s="42">
        <v>12</v>
      </c>
      <c r="J21" s="42"/>
      <c r="K21" s="43">
        <f t="shared" si="25"/>
        <v>0</v>
      </c>
      <c r="L21" s="43">
        <f t="shared" si="26"/>
        <v>300</v>
      </c>
      <c r="M21" s="43"/>
      <c r="N21" s="43">
        <f t="shared" si="27"/>
        <v>300</v>
      </c>
      <c r="O21" s="43">
        <f t="shared" si="28"/>
        <v>21</v>
      </c>
      <c r="P21" s="42">
        <v>0</v>
      </c>
      <c r="Q21" s="42">
        <v>420</v>
      </c>
      <c r="R21" s="42">
        <f t="shared" si="29"/>
        <v>126000</v>
      </c>
    </row>
    <row r="23" spans="1:18">
      <c r="A23" s="374" t="s">
        <v>2263</v>
      </c>
      <c r="B23" s="42" t="s">
        <v>836</v>
      </c>
      <c r="C23" s="42" t="s">
        <v>2267</v>
      </c>
      <c r="D23" s="42" t="s">
        <v>16</v>
      </c>
      <c r="E23" s="42" t="s">
        <v>2269</v>
      </c>
      <c r="F23" s="42">
        <v>874</v>
      </c>
      <c r="G23" s="42">
        <v>1462</v>
      </c>
      <c r="H23" s="42">
        <v>500</v>
      </c>
      <c r="I23" s="42">
        <v>20</v>
      </c>
      <c r="J23" s="42"/>
      <c r="K23" s="43">
        <f t="shared" ref="K23:K24" si="30">I23*J23</f>
        <v>0</v>
      </c>
      <c r="L23" s="43">
        <f t="shared" ref="L23:L24" si="31">H23-K23</f>
        <v>500</v>
      </c>
      <c r="M23" s="43"/>
      <c r="N23" s="43">
        <f t="shared" ref="N23:N24" si="32">L23-M23</f>
        <v>500</v>
      </c>
      <c r="O23" s="43">
        <f t="shared" ref="O23:O24" si="33">H23/1000*70</f>
        <v>35</v>
      </c>
      <c r="P23" s="42"/>
      <c r="Q23" s="42"/>
      <c r="R23" s="42">
        <f t="shared" ref="R23:R24" si="34">L23*Q23</f>
        <v>0</v>
      </c>
    </row>
    <row r="24" spans="1:18">
      <c r="A24" s="374"/>
      <c r="B24" s="42"/>
      <c r="C24" s="42" t="s">
        <v>2268</v>
      </c>
      <c r="D24" s="42" t="s">
        <v>16</v>
      </c>
      <c r="E24" s="42" t="s">
        <v>2269</v>
      </c>
      <c r="F24" s="42"/>
      <c r="G24" s="42"/>
      <c r="H24" s="42">
        <v>300</v>
      </c>
      <c r="I24" s="42">
        <v>12</v>
      </c>
      <c r="J24" s="42"/>
      <c r="K24" s="43">
        <f t="shared" si="30"/>
        <v>0</v>
      </c>
      <c r="L24" s="43">
        <f t="shared" si="31"/>
        <v>300</v>
      </c>
      <c r="M24" s="43"/>
      <c r="N24" s="43">
        <f t="shared" si="32"/>
        <v>300</v>
      </c>
      <c r="O24" s="43">
        <f t="shared" si="33"/>
        <v>21</v>
      </c>
      <c r="P24" s="42"/>
      <c r="Q24" s="42"/>
      <c r="R24" s="42">
        <f t="shared" si="34"/>
        <v>0</v>
      </c>
    </row>
    <row r="26" spans="1:18">
      <c r="A26" s="1" t="s">
        <v>2397</v>
      </c>
      <c r="B26" s="42" t="s">
        <v>2400</v>
      </c>
      <c r="C26" s="42" t="s">
        <v>1943</v>
      </c>
      <c r="D26" s="42" t="s">
        <v>16</v>
      </c>
      <c r="E26" s="42" t="s">
        <v>2401</v>
      </c>
      <c r="F26" s="42">
        <v>912</v>
      </c>
      <c r="G26" s="42"/>
      <c r="H26" s="42">
        <v>1000</v>
      </c>
      <c r="I26" s="42">
        <v>40</v>
      </c>
      <c r="J26" s="42"/>
      <c r="K26" s="43">
        <f t="shared" ref="K26" si="35">I26*J26</f>
        <v>0</v>
      </c>
      <c r="L26" s="43">
        <f t="shared" ref="L26" si="36">H26-K26</f>
        <v>1000</v>
      </c>
      <c r="M26" s="43"/>
      <c r="N26" s="43">
        <f t="shared" ref="N26" si="37">L26-M26</f>
        <v>1000</v>
      </c>
      <c r="O26" s="43">
        <f t="shared" ref="O26" si="38">H26/1000*70</f>
        <v>70</v>
      </c>
      <c r="P26" s="42">
        <v>0</v>
      </c>
      <c r="Q26" s="42"/>
      <c r="R26" s="42">
        <f t="shared" ref="R26" si="39">L26*Q26</f>
        <v>0</v>
      </c>
    </row>
    <row r="28" spans="1:18">
      <c r="A28" s="1" t="s">
        <v>2645</v>
      </c>
      <c r="B28" s="42" t="s">
        <v>2653</v>
      </c>
      <c r="C28" s="42" t="s">
        <v>1941</v>
      </c>
      <c r="D28" s="42" t="s">
        <v>16</v>
      </c>
      <c r="E28" s="42" t="s">
        <v>2654</v>
      </c>
      <c r="F28" s="42">
        <v>978</v>
      </c>
      <c r="G28" s="42"/>
      <c r="H28" s="42">
        <v>3000</v>
      </c>
      <c r="I28" s="42">
        <v>120</v>
      </c>
      <c r="J28" s="42"/>
      <c r="K28" s="43">
        <f t="shared" ref="K28" si="40">I28*J28</f>
        <v>0</v>
      </c>
      <c r="L28" s="43">
        <f t="shared" ref="L28" si="41">H28-K28</f>
        <v>3000</v>
      </c>
      <c r="M28" s="43"/>
      <c r="N28" s="43">
        <f t="shared" ref="N28" si="42">L28-M28</f>
        <v>3000</v>
      </c>
      <c r="O28" s="43">
        <f t="shared" ref="O28" si="43">H28/1000*70</f>
        <v>210</v>
      </c>
      <c r="P28" s="42">
        <v>0</v>
      </c>
      <c r="Q28" s="42">
        <v>250</v>
      </c>
      <c r="R28" s="42">
        <f t="shared" ref="R28" si="44">L28*Q28</f>
        <v>750000</v>
      </c>
    </row>
    <row r="30" spans="1:18">
      <c r="A30" s="1" t="s">
        <v>2889</v>
      </c>
      <c r="B30" s="42" t="s">
        <v>836</v>
      </c>
      <c r="C30" s="42" t="s">
        <v>1941</v>
      </c>
      <c r="D30" s="42" t="s">
        <v>16</v>
      </c>
      <c r="E30" s="42" t="s">
        <v>2892</v>
      </c>
      <c r="F30" s="42">
        <v>1072</v>
      </c>
      <c r="G30" s="42"/>
      <c r="H30" s="42">
        <v>1500</v>
      </c>
      <c r="I30" s="42">
        <v>60</v>
      </c>
      <c r="J30" s="42"/>
      <c r="K30" s="43">
        <f t="shared" ref="K30" si="45">I30*J30</f>
        <v>0</v>
      </c>
      <c r="L30" s="43">
        <f t="shared" ref="L30" si="46">H30-K30</f>
        <v>1500</v>
      </c>
      <c r="M30" s="43"/>
      <c r="N30" s="43">
        <f t="shared" ref="N30" si="47">L30-M30</f>
        <v>1500</v>
      </c>
      <c r="O30" s="43">
        <f t="shared" ref="O30" si="48">H30/1000*70</f>
        <v>105</v>
      </c>
      <c r="P30" s="42">
        <v>0</v>
      </c>
      <c r="Q30" s="42">
        <v>250</v>
      </c>
      <c r="R30" s="42">
        <f t="shared" ref="R30" si="49">L30*Q30</f>
        <v>375000</v>
      </c>
    </row>
    <row r="32" spans="1:18">
      <c r="A32" s="1" t="s">
        <v>3044</v>
      </c>
      <c r="B32" s="42" t="s">
        <v>2653</v>
      </c>
      <c r="C32" s="42" t="s">
        <v>1941</v>
      </c>
      <c r="D32" s="42" t="s">
        <v>16</v>
      </c>
      <c r="E32" s="42" t="s">
        <v>3048</v>
      </c>
      <c r="F32" s="42">
        <v>1136</v>
      </c>
      <c r="G32" s="42"/>
      <c r="H32" s="42">
        <v>800</v>
      </c>
      <c r="I32" s="42">
        <v>32</v>
      </c>
      <c r="J32" s="42"/>
      <c r="K32" s="43">
        <f t="shared" ref="K32" si="50">I32*J32</f>
        <v>0</v>
      </c>
      <c r="L32" s="43">
        <f t="shared" ref="L32" si="51">H32-K32</f>
        <v>800</v>
      </c>
      <c r="M32" s="43"/>
      <c r="N32" s="43">
        <f t="shared" ref="N32" si="52">L32-M32</f>
        <v>800</v>
      </c>
      <c r="O32" s="43">
        <f t="shared" ref="O32" si="53">H32/1000*70</f>
        <v>56</v>
      </c>
      <c r="P32" s="42">
        <v>0</v>
      </c>
      <c r="Q32" s="42">
        <v>250</v>
      </c>
      <c r="R32" s="42">
        <f t="shared" ref="R32" si="54">L32*Q32</f>
        <v>200000</v>
      </c>
    </row>
    <row r="34" spans="1:19">
      <c r="A34" s="1" t="s">
        <v>3188</v>
      </c>
      <c r="B34" s="42" t="s">
        <v>3193</v>
      </c>
      <c r="C34" s="42" t="s">
        <v>3194</v>
      </c>
      <c r="D34" s="42" t="s">
        <v>16</v>
      </c>
      <c r="E34" s="42" t="s">
        <v>2654</v>
      </c>
      <c r="F34" s="42">
        <v>1205</v>
      </c>
      <c r="G34" s="42"/>
      <c r="H34" s="42">
        <v>1000</v>
      </c>
      <c r="I34" s="42">
        <v>40</v>
      </c>
      <c r="J34" s="42"/>
      <c r="K34" s="43">
        <f t="shared" ref="K34" si="55">I34*J34</f>
        <v>0</v>
      </c>
      <c r="L34" s="43">
        <f t="shared" ref="L34" si="56">H34-K34</f>
        <v>1000</v>
      </c>
      <c r="M34" s="43"/>
      <c r="N34" s="43">
        <f t="shared" ref="N34" si="57">L34-M34</f>
        <v>1000</v>
      </c>
      <c r="O34" s="43">
        <f t="shared" ref="O34" si="58">H34/1000*70</f>
        <v>70</v>
      </c>
      <c r="P34" s="42">
        <v>0</v>
      </c>
      <c r="Q34" s="42">
        <v>250</v>
      </c>
      <c r="R34" s="42">
        <f t="shared" ref="R34" si="59">L34*Q34</f>
        <v>250000</v>
      </c>
    </row>
    <row r="36" spans="1:19">
      <c r="A36" s="1" t="s">
        <v>3297</v>
      </c>
      <c r="B36" s="42" t="s">
        <v>3193</v>
      </c>
      <c r="C36" s="42" t="s">
        <v>3302</v>
      </c>
      <c r="D36" s="42" t="s">
        <v>16</v>
      </c>
      <c r="E36" s="47" t="s">
        <v>3303</v>
      </c>
      <c r="F36" s="47">
        <v>1275</v>
      </c>
      <c r="G36" s="47"/>
      <c r="H36" s="47">
        <v>1000</v>
      </c>
      <c r="I36" s="47">
        <v>40</v>
      </c>
      <c r="J36" s="47"/>
      <c r="K36" s="43">
        <f t="shared" ref="K36" si="60">I36*J36</f>
        <v>0</v>
      </c>
      <c r="L36" s="43">
        <f t="shared" ref="L36" si="61">H36-K36</f>
        <v>1000</v>
      </c>
      <c r="M36" s="43"/>
      <c r="N36" s="43">
        <f t="shared" ref="N36" si="62">L36-M36</f>
        <v>1000</v>
      </c>
      <c r="O36" s="43">
        <f t="shared" ref="O36" si="63">H36/1000*70</f>
        <v>70</v>
      </c>
      <c r="P36" s="42">
        <v>0</v>
      </c>
      <c r="Q36" s="42">
        <v>250</v>
      </c>
      <c r="R36" s="42">
        <f t="shared" ref="R36" si="64">L36*Q36</f>
        <v>250000</v>
      </c>
    </row>
    <row r="38" spans="1:19">
      <c r="A38" s="1" t="s">
        <v>3444</v>
      </c>
      <c r="B38" s="42" t="s">
        <v>836</v>
      </c>
      <c r="C38" s="42" t="s">
        <v>3445</v>
      </c>
      <c r="D38" s="42" t="s">
        <v>16</v>
      </c>
      <c r="E38" s="47" t="s">
        <v>3446</v>
      </c>
      <c r="F38" s="47">
        <v>1388</v>
      </c>
      <c r="G38" s="47"/>
      <c r="H38" s="47">
        <v>1000</v>
      </c>
      <c r="I38" s="47">
        <v>40</v>
      </c>
      <c r="J38" s="47"/>
      <c r="K38" s="43">
        <f t="shared" ref="K38" si="65">I38*J38</f>
        <v>0</v>
      </c>
      <c r="L38" s="43">
        <f t="shared" ref="L38" si="66">H38-K38</f>
        <v>1000</v>
      </c>
      <c r="M38" s="43"/>
      <c r="N38" s="43">
        <f t="shared" ref="N38" si="67">L38-M38</f>
        <v>1000</v>
      </c>
      <c r="O38" s="43">
        <f t="shared" ref="O38" si="68">H38/1000*70</f>
        <v>70</v>
      </c>
      <c r="P38" s="42">
        <v>0</v>
      </c>
      <c r="Q38" s="42">
        <v>250</v>
      </c>
      <c r="R38" s="42">
        <f t="shared" ref="R38" si="69">L38*Q38</f>
        <v>250000</v>
      </c>
    </row>
    <row r="40" spans="1:19">
      <c r="A40" s="1" t="s">
        <v>3807</v>
      </c>
      <c r="B40" s="42" t="s">
        <v>3813</v>
      </c>
      <c r="C40" s="42" t="s">
        <v>1941</v>
      </c>
      <c r="D40" s="42" t="s">
        <v>16</v>
      </c>
      <c r="E40" s="47" t="s">
        <v>3814</v>
      </c>
      <c r="F40" s="47">
        <v>1588</v>
      </c>
      <c r="G40" s="47"/>
      <c r="H40" s="47">
        <v>500</v>
      </c>
      <c r="I40" s="47">
        <v>20</v>
      </c>
      <c r="J40" s="47"/>
      <c r="K40" s="43">
        <f>I40*J40</f>
        <v>0</v>
      </c>
      <c r="L40" s="43">
        <f>H40-K40</f>
        <v>500</v>
      </c>
      <c r="M40" s="43"/>
      <c r="N40" s="43">
        <f>L40-M40</f>
        <v>500</v>
      </c>
      <c r="O40" s="43">
        <f>H40/1000*70</f>
        <v>35</v>
      </c>
      <c r="P40" s="42">
        <v>0</v>
      </c>
      <c r="Q40" s="42"/>
      <c r="R40" s="42">
        <f>L40*Q40</f>
        <v>0</v>
      </c>
    </row>
    <row r="42" spans="1:19">
      <c r="A42" s="1" t="s">
        <v>3822</v>
      </c>
      <c r="B42" s="42" t="s">
        <v>3813</v>
      </c>
      <c r="C42" s="42" t="s">
        <v>1941</v>
      </c>
      <c r="D42" s="42" t="s">
        <v>16</v>
      </c>
      <c r="E42" s="47" t="s">
        <v>3814</v>
      </c>
      <c r="F42" s="47">
        <v>1595</v>
      </c>
      <c r="G42" s="47"/>
      <c r="H42" s="47">
        <v>500</v>
      </c>
      <c r="I42" s="47">
        <v>20</v>
      </c>
      <c r="J42" s="47"/>
      <c r="K42" s="43">
        <f t="shared" ref="K42" si="70">I42*J42</f>
        <v>0</v>
      </c>
      <c r="L42" s="43">
        <f t="shared" ref="L42" si="71">H42-K42</f>
        <v>500</v>
      </c>
      <c r="M42" s="43"/>
      <c r="N42" s="43">
        <f t="shared" ref="N42" si="72">L42-M42</f>
        <v>500</v>
      </c>
      <c r="O42" s="43">
        <f t="shared" ref="O42" si="73">H42/1000*70</f>
        <v>35</v>
      </c>
      <c r="P42" s="42">
        <v>0</v>
      </c>
      <c r="Q42" s="42">
        <v>250</v>
      </c>
      <c r="R42" s="42">
        <f t="shared" ref="R42" si="74">L42*Q42</f>
        <v>125000</v>
      </c>
    </row>
    <row r="44" spans="1:19">
      <c r="A44" s="1" t="s">
        <v>3970</v>
      </c>
      <c r="B44" s="342" t="s">
        <v>836</v>
      </c>
      <c r="C44" s="342" t="s">
        <v>3971</v>
      </c>
      <c r="D44" s="42" t="s">
        <v>16</v>
      </c>
      <c r="E44" s="342" t="s">
        <v>2654</v>
      </c>
      <c r="F44" s="342">
        <v>1646</v>
      </c>
      <c r="G44" s="342"/>
      <c r="H44" s="342">
        <v>500</v>
      </c>
      <c r="I44" s="342">
        <v>20</v>
      </c>
      <c r="J44" s="342"/>
      <c r="K44" s="43">
        <f t="shared" ref="K44" si="75">I44*J44</f>
        <v>0</v>
      </c>
      <c r="L44" s="43">
        <f t="shared" ref="L44" si="76">H44-K44</f>
        <v>500</v>
      </c>
      <c r="M44" s="43"/>
      <c r="N44" s="43">
        <f t="shared" ref="N44" si="77">L44-M44</f>
        <v>500</v>
      </c>
      <c r="O44" s="43">
        <f t="shared" ref="O44" si="78">H44/1000*70</f>
        <v>35</v>
      </c>
      <c r="P44" s="42">
        <v>0</v>
      </c>
      <c r="Q44" s="42"/>
      <c r="R44" s="42">
        <f t="shared" ref="R44" si="79">L44*Q44</f>
        <v>0</v>
      </c>
      <c r="S44" s="85"/>
    </row>
  </sheetData>
  <mergeCells count="5">
    <mergeCell ref="A11:A12"/>
    <mergeCell ref="A14:A15"/>
    <mergeCell ref="A17:A18"/>
    <mergeCell ref="A20:A21"/>
    <mergeCell ref="A23:A24"/>
  </mergeCells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>
  <dimension ref="A5:T44"/>
  <sheetViews>
    <sheetView topLeftCell="A22" workbookViewId="0">
      <selection activeCell="A45" sqref="A45"/>
    </sheetView>
  </sheetViews>
  <sheetFormatPr defaultRowHeight="14.4"/>
  <cols>
    <col min="1" max="1" width="8.88671875" style="1"/>
    <col min="2" max="2" width="19" style="1" customWidth="1"/>
    <col min="3" max="3" width="16.6640625" style="1" customWidth="1"/>
    <col min="4" max="4" width="5.5546875" style="1" customWidth="1"/>
    <col min="5" max="5" width="10.664062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0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0">
      <c r="A6" s="7"/>
      <c r="B6" s="2"/>
      <c r="C6" s="2"/>
      <c r="D6" s="2"/>
      <c r="E6" s="2"/>
      <c r="F6" s="2"/>
      <c r="G6" s="2"/>
      <c r="H6" s="2"/>
      <c r="I6" s="2"/>
      <c r="J6" s="2"/>
      <c r="K6" s="2"/>
      <c r="L6" s="5"/>
      <c r="M6" s="5"/>
      <c r="N6" s="2"/>
    </row>
    <row r="7" spans="1:20">
      <c r="A7" s="8" t="s">
        <v>1202</v>
      </c>
      <c r="B7" s="92" t="s">
        <v>1204</v>
      </c>
      <c r="C7" s="92" t="s">
        <v>1205</v>
      </c>
      <c r="D7" s="42" t="s">
        <v>16</v>
      </c>
      <c r="E7" s="42" t="s">
        <v>1206</v>
      </c>
      <c r="F7" s="42">
        <v>5766</v>
      </c>
      <c r="G7" s="42"/>
      <c r="H7" s="42">
        <v>1000</v>
      </c>
      <c r="I7" s="42">
        <v>40</v>
      </c>
      <c r="J7" s="42"/>
      <c r="K7" s="42">
        <f t="shared" ref="K7" si="0">I7*J7</f>
        <v>0</v>
      </c>
      <c r="L7" s="43">
        <f t="shared" ref="L7" si="1">H7-K7</f>
        <v>1000</v>
      </c>
      <c r="M7" s="43"/>
      <c r="N7" s="43">
        <f t="shared" ref="N7" si="2">L7-M7</f>
        <v>1000</v>
      </c>
      <c r="O7" s="43">
        <f t="shared" ref="O7" si="3">H7/1000*70</f>
        <v>70</v>
      </c>
      <c r="P7" s="42"/>
      <c r="Q7" s="42"/>
      <c r="R7" s="42">
        <f t="shared" ref="R7" si="4">L7*Q7</f>
        <v>0</v>
      </c>
    </row>
    <row r="8" spans="1:20">
      <c r="A8" s="8"/>
      <c r="B8" s="2"/>
      <c r="C8" s="2"/>
      <c r="D8" s="2"/>
      <c r="E8" s="2"/>
      <c r="F8" s="2"/>
      <c r="G8" s="2"/>
      <c r="H8" s="2"/>
      <c r="I8" s="2"/>
      <c r="J8" s="2"/>
      <c r="K8" s="2"/>
      <c r="L8" s="5"/>
      <c r="M8" s="5"/>
      <c r="N8" s="2"/>
    </row>
    <row r="9" spans="1:20">
      <c r="A9" s="9" t="s">
        <v>1358</v>
      </c>
      <c r="B9" s="42" t="s">
        <v>1204</v>
      </c>
      <c r="C9" s="42" t="s">
        <v>1205</v>
      </c>
      <c r="D9" s="42" t="s">
        <v>16</v>
      </c>
      <c r="E9" s="42" t="s">
        <v>1364</v>
      </c>
      <c r="F9" s="42">
        <v>5820</v>
      </c>
      <c r="G9" s="42"/>
      <c r="H9" s="42">
        <v>2000</v>
      </c>
      <c r="I9" s="42">
        <v>80</v>
      </c>
      <c r="J9" s="42">
        <v>0</v>
      </c>
      <c r="K9" s="42">
        <f t="shared" ref="K9" si="5">I9*J9</f>
        <v>0</v>
      </c>
      <c r="L9" s="43">
        <f t="shared" ref="L9" si="6">H9-K9</f>
        <v>2000</v>
      </c>
      <c r="M9" s="43"/>
      <c r="N9" s="43">
        <f t="shared" ref="N9" si="7">L9-M9</f>
        <v>2000</v>
      </c>
      <c r="O9" s="43">
        <f t="shared" ref="O9" si="8">H9/1000*70</f>
        <v>140</v>
      </c>
      <c r="P9" s="42">
        <v>0</v>
      </c>
      <c r="Q9" s="42">
        <v>165</v>
      </c>
      <c r="R9" s="42">
        <f t="shared" ref="R9" si="9">L9*Q9</f>
        <v>330000</v>
      </c>
    </row>
    <row r="10" spans="1:20">
      <c r="A10" s="10"/>
      <c r="B10" s="2"/>
      <c r="C10" s="2"/>
      <c r="D10" s="2"/>
      <c r="E10" s="2"/>
      <c r="F10" s="2"/>
      <c r="G10" s="2"/>
      <c r="H10" s="2"/>
      <c r="I10" s="2"/>
      <c r="J10" s="2"/>
      <c r="K10" s="2"/>
      <c r="L10" s="5"/>
      <c r="M10" s="5"/>
      <c r="N10" s="2"/>
    </row>
    <row r="11" spans="1:20">
      <c r="A11" s="11" t="s">
        <v>1531</v>
      </c>
      <c r="B11" s="42" t="s">
        <v>1204</v>
      </c>
      <c r="C11" s="42" t="s">
        <v>1205</v>
      </c>
      <c r="D11" s="42" t="s">
        <v>16</v>
      </c>
      <c r="E11" s="42" t="s">
        <v>1535</v>
      </c>
      <c r="F11" s="42">
        <v>5890</v>
      </c>
      <c r="G11" s="42"/>
      <c r="H11" s="42">
        <v>2500</v>
      </c>
      <c r="I11" s="42">
        <v>100</v>
      </c>
      <c r="J11" s="42"/>
      <c r="K11" s="42">
        <f t="shared" ref="K11" si="10">I11*J11</f>
        <v>0</v>
      </c>
      <c r="L11" s="43">
        <f t="shared" ref="L11" si="11">H11-K11</f>
        <v>2500</v>
      </c>
      <c r="M11" s="43"/>
      <c r="N11" s="43">
        <f t="shared" ref="N11" si="12">L11-M11</f>
        <v>2500</v>
      </c>
      <c r="O11" s="43">
        <f t="shared" ref="O11" si="13">H11/1000*70</f>
        <v>175</v>
      </c>
      <c r="P11" s="42">
        <v>0</v>
      </c>
      <c r="Q11" s="42">
        <v>165</v>
      </c>
      <c r="R11" s="42">
        <f t="shared" ref="R11" si="14">L11*Q11</f>
        <v>412500</v>
      </c>
    </row>
    <row r="13" spans="1:20">
      <c r="A13" s="1" t="s">
        <v>1689</v>
      </c>
      <c r="B13" s="42" t="s">
        <v>1204</v>
      </c>
      <c r="C13" s="42" t="s">
        <v>1205</v>
      </c>
      <c r="D13" s="42" t="s">
        <v>16</v>
      </c>
      <c r="E13" s="42" t="s">
        <v>1690</v>
      </c>
      <c r="F13" s="42">
        <v>5942</v>
      </c>
      <c r="G13" s="42"/>
      <c r="H13" s="42">
        <v>1000</v>
      </c>
      <c r="I13" s="42">
        <v>40</v>
      </c>
      <c r="J13" s="42"/>
      <c r="K13" s="42">
        <f t="shared" ref="K13" si="15">I13*J13</f>
        <v>0</v>
      </c>
      <c r="L13" s="43">
        <f t="shared" ref="L13" si="16">H13-K13</f>
        <v>1000</v>
      </c>
      <c r="M13" s="43"/>
      <c r="N13" s="43">
        <f t="shared" ref="N13" si="17">L13-M13</f>
        <v>1000</v>
      </c>
      <c r="O13" s="43">
        <f t="shared" ref="O13" si="18">H13/1000*70</f>
        <v>70</v>
      </c>
      <c r="P13" s="200">
        <v>0</v>
      </c>
      <c r="Q13" s="200">
        <v>165</v>
      </c>
      <c r="R13" s="42">
        <f t="shared" ref="R13" si="19">L13*Q13</f>
        <v>165000</v>
      </c>
    </row>
    <row r="15" spans="1:20">
      <c r="A15" s="374" t="s">
        <v>1938</v>
      </c>
      <c r="B15" s="42" t="s">
        <v>1204</v>
      </c>
      <c r="C15" s="42" t="s">
        <v>639</v>
      </c>
      <c r="D15" s="42" t="s">
        <v>16</v>
      </c>
      <c r="E15" s="42" t="s">
        <v>1944</v>
      </c>
      <c r="F15" s="42">
        <v>3454</v>
      </c>
      <c r="G15" s="42"/>
      <c r="H15" s="42">
        <v>500</v>
      </c>
      <c r="I15" s="42">
        <v>20</v>
      </c>
      <c r="J15" s="42"/>
      <c r="K15" s="43">
        <f t="shared" ref="K15:K16" si="20">I15*J15</f>
        <v>0</v>
      </c>
      <c r="L15" s="43">
        <f t="shared" ref="L15:L16" si="21">H15-K15</f>
        <v>500</v>
      </c>
      <c r="M15" s="43"/>
      <c r="N15" s="43">
        <f t="shared" ref="N15:N16" si="22">L15-M15</f>
        <v>500</v>
      </c>
      <c r="O15" s="43">
        <f t="shared" ref="O15:O16" si="23">H15/1000*70</f>
        <v>35</v>
      </c>
      <c r="P15" s="42"/>
      <c r="Q15" s="42">
        <v>140</v>
      </c>
      <c r="R15" s="42">
        <f t="shared" ref="R15:R16" si="24">L15*Q15</f>
        <v>70000</v>
      </c>
    </row>
    <row r="16" spans="1:20">
      <c r="A16" s="374"/>
      <c r="B16" s="42" t="s">
        <v>1204</v>
      </c>
      <c r="C16" s="42" t="s">
        <v>1205</v>
      </c>
      <c r="D16" s="42" t="s">
        <v>16</v>
      </c>
      <c r="E16" s="42" t="s">
        <v>1944</v>
      </c>
      <c r="F16" s="42">
        <v>3455</v>
      </c>
      <c r="G16" s="42"/>
      <c r="H16" s="42">
        <v>2000</v>
      </c>
      <c r="I16" s="42">
        <v>40</v>
      </c>
      <c r="J16" s="42"/>
      <c r="K16" s="43">
        <f t="shared" si="20"/>
        <v>0</v>
      </c>
      <c r="L16" s="43">
        <f t="shared" si="21"/>
        <v>2000</v>
      </c>
      <c r="M16" s="43"/>
      <c r="N16" s="43">
        <f t="shared" si="22"/>
        <v>2000</v>
      </c>
      <c r="O16" s="43">
        <f t="shared" si="23"/>
        <v>140</v>
      </c>
      <c r="P16" s="42"/>
      <c r="Q16" s="42">
        <v>165</v>
      </c>
      <c r="R16" s="42">
        <f t="shared" si="24"/>
        <v>330000</v>
      </c>
    </row>
    <row r="18" spans="1:18">
      <c r="A18" s="374" t="s">
        <v>2083</v>
      </c>
      <c r="B18" s="42" t="s">
        <v>1204</v>
      </c>
      <c r="C18" s="42" t="s">
        <v>639</v>
      </c>
      <c r="D18" s="42" t="s">
        <v>16</v>
      </c>
      <c r="E18" s="42" t="s">
        <v>2086</v>
      </c>
      <c r="F18" s="42">
        <v>3521</v>
      </c>
      <c r="G18" s="42"/>
      <c r="H18" s="42">
        <v>500</v>
      </c>
      <c r="I18" s="42">
        <v>20</v>
      </c>
      <c r="J18" s="42"/>
      <c r="K18" s="43">
        <f t="shared" ref="K18:K19" si="25">I18*J18</f>
        <v>0</v>
      </c>
      <c r="L18" s="43">
        <f t="shared" ref="L18:L19" si="26">H18-K18</f>
        <v>500</v>
      </c>
      <c r="M18" s="43"/>
      <c r="N18" s="43">
        <f t="shared" ref="N18:N19" si="27">L18-M18</f>
        <v>500</v>
      </c>
      <c r="O18" s="43">
        <f t="shared" ref="O18:O19" si="28">H18/1000*70</f>
        <v>35</v>
      </c>
      <c r="P18" s="42">
        <v>0</v>
      </c>
      <c r="Q18" s="42">
        <v>140</v>
      </c>
      <c r="R18" s="42">
        <f t="shared" ref="R18:R19" si="29">L18*Q18</f>
        <v>70000</v>
      </c>
    </row>
    <row r="19" spans="1:18">
      <c r="A19" s="374"/>
      <c r="B19" s="42"/>
      <c r="C19" s="42" t="s">
        <v>1205</v>
      </c>
      <c r="D19" s="42" t="s">
        <v>16</v>
      </c>
      <c r="E19" s="42" t="s">
        <v>2086</v>
      </c>
      <c r="F19" s="42">
        <v>3520</v>
      </c>
      <c r="G19" s="42"/>
      <c r="H19" s="42">
        <v>2000</v>
      </c>
      <c r="I19" s="42">
        <v>80</v>
      </c>
      <c r="J19" s="42"/>
      <c r="K19" s="43">
        <f t="shared" si="25"/>
        <v>0</v>
      </c>
      <c r="L19" s="43">
        <f t="shared" si="26"/>
        <v>2000</v>
      </c>
      <c r="M19" s="43"/>
      <c r="N19" s="43">
        <f t="shared" si="27"/>
        <v>2000</v>
      </c>
      <c r="O19" s="43">
        <f t="shared" si="28"/>
        <v>140</v>
      </c>
      <c r="P19" s="42">
        <v>0</v>
      </c>
      <c r="Q19" s="42">
        <v>165</v>
      </c>
      <c r="R19" s="42">
        <f t="shared" si="29"/>
        <v>330000</v>
      </c>
    </row>
    <row r="21" spans="1:18">
      <c r="A21" s="1" t="s">
        <v>2271</v>
      </c>
      <c r="B21" s="42" t="s">
        <v>1204</v>
      </c>
      <c r="C21" s="42" t="s">
        <v>1205</v>
      </c>
      <c r="D21" s="42" t="s">
        <v>16</v>
      </c>
      <c r="E21" s="42" t="s">
        <v>2272</v>
      </c>
      <c r="F21" s="42">
        <v>3629</v>
      </c>
      <c r="G21" s="42"/>
      <c r="H21" s="42">
        <v>1000</v>
      </c>
      <c r="I21" s="42">
        <v>40</v>
      </c>
      <c r="J21" s="42"/>
      <c r="K21" s="43">
        <f t="shared" ref="K21" si="30">I21*J21</f>
        <v>0</v>
      </c>
      <c r="L21" s="43">
        <f t="shared" ref="L21" si="31">H21-K21</f>
        <v>1000</v>
      </c>
      <c r="M21" s="43"/>
      <c r="N21" s="43">
        <f t="shared" ref="N21" si="32">L21-M21</f>
        <v>1000</v>
      </c>
      <c r="O21" s="43">
        <f t="shared" ref="O21" si="33">H21/1000*70</f>
        <v>70</v>
      </c>
      <c r="P21" s="42"/>
      <c r="Q21" s="42">
        <v>165</v>
      </c>
      <c r="R21" s="42">
        <f t="shared" ref="R21" si="34">L21*Q21</f>
        <v>165000</v>
      </c>
    </row>
    <row r="23" spans="1:18">
      <c r="A23" s="1" t="s">
        <v>2397</v>
      </c>
      <c r="B23" s="42" t="s">
        <v>1204</v>
      </c>
      <c r="C23" s="42" t="s">
        <v>1205</v>
      </c>
      <c r="D23" s="42" t="s">
        <v>16</v>
      </c>
      <c r="E23" s="42" t="s">
        <v>2399</v>
      </c>
      <c r="F23" s="42">
        <v>3731</v>
      </c>
      <c r="G23" s="42"/>
      <c r="H23" s="42">
        <v>1500</v>
      </c>
      <c r="I23" s="42">
        <v>60</v>
      </c>
      <c r="J23" s="42"/>
      <c r="K23" s="43">
        <f t="shared" ref="K23" si="35">I23*J23</f>
        <v>0</v>
      </c>
      <c r="L23" s="43">
        <f t="shared" ref="L23" si="36">H23-K23</f>
        <v>1500</v>
      </c>
      <c r="M23" s="43"/>
      <c r="N23" s="43">
        <f t="shared" ref="N23" si="37">L23-M23</f>
        <v>1500</v>
      </c>
      <c r="O23" s="43">
        <f t="shared" ref="O23" si="38">H23/1000*70</f>
        <v>105</v>
      </c>
      <c r="P23" s="42">
        <v>0</v>
      </c>
      <c r="Q23" s="42"/>
      <c r="R23" s="42">
        <f t="shared" ref="R23" si="39">L23*Q23</f>
        <v>0</v>
      </c>
    </row>
    <row r="25" spans="1:18">
      <c r="A25" s="1" t="s">
        <v>2510</v>
      </c>
      <c r="B25" s="42" t="s">
        <v>1204</v>
      </c>
      <c r="C25" s="42" t="s">
        <v>1205</v>
      </c>
      <c r="D25" s="42" t="s">
        <v>16</v>
      </c>
      <c r="E25" s="42" t="s">
        <v>1535</v>
      </c>
      <c r="F25" s="42">
        <v>3802</v>
      </c>
      <c r="G25" s="42"/>
      <c r="H25" s="42">
        <v>1300</v>
      </c>
      <c r="I25" s="42">
        <v>52</v>
      </c>
      <c r="J25" s="42"/>
      <c r="K25" s="43">
        <f t="shared" ref="K25" si="40">I25*J25</f>
        <v>0</v>
      </c>
      <c r="L25" s="43">
        <f t="shared" ref="L25" si="41">H25-K25</f>
        <v>1300</v>
      </c>
      <c r="M25" s="43"/>
      <c r="N25" s="43">
        <f t="shared" ref="N25" si="42">L25-M25</f>
        <v>1300</v>
      </c>
      <c r="O25" s="43">
        <f t="shared" ref="O25" si="43">H25/1000*70</f>
        <v>91</v>
      </c>
      <c r="P25" s="42">
        <v>0</v>
      </c>
      <c r="Q25" s="42">
        <v>165</v>
      </c>
      <c r="R25" s="42">
        <f t="shared" ref="R25" si="44">L25*Q25</f>
        <v>214500</v>
      </c>
    </row>
    <row r="27" spans="1:18">
      <c r="A27" s="1" t="s">
        <v>2645</v>
      </c>
      <c r="B27" s="42" t="s">
        <v>1204</v>
      </c>
      <c r="C27" s="42" t="s">
        <v>1205</v>
      </c>
      <c r="D27" s="42" t="s">
        <v>16</v>
      </c>
      <c r="E27" s="42" t="s">
        <v>1535</v>
      </c>
      <c r="F27" s="42">
        <v>4038</v>
      </c>
      <c r="G27" s="42"/>
      <c r="H27" s="42">
        <v>2500</v>
      </c>
      <c r="I27" s="42">
        <v>100</v>
      </c>
      <c r="J27" s="42"/>
      <c r="K27" s="43">
        <f t="shared" ref="K27" si="45">I27*J27</f>
        <v>0</v>
      </c>
      <c r="L27" s="43">
        <f t="shared" ref="L27" si="46">H27-K27</f>
        <v>2500</v>
      </c>
      <c r="M27" s="43"/>
      <c r="N27" s="43">
        <f t="shared" ref="N27" si="47">L27-M27</f>
        <v>2500</v>
      </c>
      <c r="O27" s="43">
        <f t="shared" ref="O27" si="48">H27/1000*70</f>
        <v>175</v>
      </c>
      <c r="P27" s="42">
        <v>0</v>
      </c>
      <c r="Q27" s="42">
        <v>165</v>
      </c>
      <c r="R27" s="42">
        <f t="shared" ref="R27" si="49">L27*Q27</f>
        <v>412500</v>
      </c>
    </row>
    <row r="29" spans="1:18">
      <c r="A29" s="1" t="s">
        <v>2813</v>
      </c>
      <c r="B29" s="42" t="s">
        <v>1204</v>
      </c>
      <c r="C29" s="42" t="s">
        <v>1205</v>
      </c>
      <c r="D29" s="42" t="s">
        <v>16</v>
      </c>
      <c r="E29" s="42" t="s">
        <v>1944</v>
      </c>
      <c r="F29" s="42">
        <v>4111</v>
      </c>
      <c r="G29" s="42"/>
      <c r="H29" s="42">
        <v>2500</v>
      </c>
      <c r="I29" s="42">
        <v>100</v>
      </c>
      <c r="J29" s="42"/>
      <c r="K29" s="43">
        <f t="shared" ref="K29" si="50">I29*J29</f>
        <v>0</v>
      </c>
      <c r="L29" s="43">
        <f t="shared" ref="L29" si="51">H29-K29</f>
        <v>2500</v>
      </c>
      <c r="M29" s="43"/>
      <c r="N29" s="43">
        <f t="shared" ref="N29" si="52">L29-M29</f>
        <v>2500</v>
      </c>
      <c r="O29" s="43">
        <f t="shared" ref="O29" si="53">H29/1000*70</f>
        <v>175</v>
      </c>
      <c r="P29" s="42">
        <v>0</v>
      </c>
      <c r="Q29" s="42">
        <v>165</v>
      </c>
      <c r="R29" s="42">
        <f t="shared" ref="R29" si="54">L29*Q29</f>
        <v>412500</v>
      </c>
    </row>
    <row r="31" spans="1:18">
      <c r="A31" s="1" t="s">
        <v>2901</v>
      </c>
      <c r="B31" s="42" t="s">
        <v>1204</v>
      </c>
      <c r="C31" s="42" t="s">
        <v>1205</v>
      </c>
      <c r="D31" s="42" t="s">
        <v>16</v>
      </c>
      <c r="E31" s="42" t="s">
        <v>2900</v>
      </c>
      <c r="F31" s="42">
        <v>4165</v>
      </c>
      <c r="G31" s="42"/>
      <c r="H31" s="42">
        <v>1500</v>
      </c>
      <c r="I31" s="42">
        <v>60</v>
      </c>
      <c r="J31" s="42"/>
      <c r="K31" s="43">
        <f t="shared" ref="K31" si="55">I31*J31</f>
        <v>0</v>
      </c>
      <c r="L31" s="43">
        <f t="shared" ref="L31" si="56">H31-K31</f>
        <v>1500</v>
      </c>
      <c r="M31" s="43"/>
      <c r="N31" s="43">
        <f t="shared" ref="N31" si="57">L31-M31</f>
        <v>1500</v>
      </c>
      <c r="O31" s="43">
        <f t="shared" ref="O31" si="58">H31/1000*70</f>
        <v>105</v>
      </c>
      <c r="P31" s="42">
        <v>0</v>
      </c>
      <c r="Q31" s="42">
        <v>165</v>
      </c>
      <c r="R31" s="42">
        <f t="shared" ref="R31" si="59">L31*Q31</f>
        <v>247500</v>
      </c>
    </row>
    <row r="33" spans="1:19">
      <c r="A33" s="1" t="s">
        <v>3052</v>
      </c>
      <c r="B33" s="42" t="s">
        <v>1204</v>
      </c>
      <c r="C33" s="42" t="s">
        <v>1205</v>
      </c>
      <c r="D33" s="42" t="s">
        <v>16</v>
      </c>
      <c r="E33" s="42" t="s">
        <v>3059</v>
      </c>
      <c r="F33" s="42">
        <v>4291</v>
      </c>
      <c r="G33" s="42">
        <v>2001</v>
      </c>
      <c r="H33" s="42">
        <v>1500</v>
      </c>
      <c r="I33" s="42">
        <v>60</v>
      </c>
      <c r="J33" s="42"/>
      <c r="K33" s="43">
        <f t="shared" ref="K33" si="60">I33*J33</f>
        <v>0</v>
      </c>
      <c r="L33" s="43">
        <f t="shared" ref="L33" si="61">H33-K33</f>
        <v>1500</v>
      </c>
      <c r="M33" s="43"/>
      <c r="N33" s="43">
        <f t="shared" ref="N33" si="62">L33-M33</f>
        <v>1500</v>
      </c>
      <c r="O33" s="43">
        <f t="shared" ref="O33" si="63">H33/1000*70</f>
        <v>105</v>
      </c>
      <c r="P33" s="42">
        <v>0</v>
      </c>
      <c r="Q33" s="42">
        <v>165</v>
      </c>
      <c r="R33" s="42">
        <f t="shared" ref="R33" si="64">L33*Q33</f>
        <v>247500</v>
      </c>
    </row>
    <row r="35" spans="1:19">
      <c r="A35" s="1" t="s">
        <v>3188</v>
      </c>
      <c r="B35" s="42" t="s">
        <v>1204</v>
      </c>
      <c r="C35" s="42" t="s">
        <v>3196</v>
      </c>
      <c r="D35" s="42" t="s">
        <v>16</v>
      </c>
      <c r="E35" s="42" t="s">
        <v>3059</v>
      </c>
      <c r="F35" s="42">
        <v>4406</v>
      </c>
      <c r="G35" s="42"/>
      <c r="H35" s="42">
        <v>1500</v>
      </c>
      <c r="I35" s="42">
        <v>60</v>
      </c>
      <c r="J35" s="42"/>
      <c r="K35" s="43">
        <f t="shared" ref="K35" si="65">I35*J35</f>
        <v>0</v>
      </c>
      <c r="L35" s="43">
        <f t="shared" ref="L35" si="66">H35-K35</f>
        <v>1500</v>
      </c>
      <c r="M35" s="43"/>
      <c r="N35" s="43">
        <f t="shared" ref="N35" si="67">L35-M35</f>
        <v>1500</v>
      </c>
      <c r="O35" s="43">
        <f t="shared" ref="O35" si="68">H35/1000*70</f>
        <v>105</v>
      </c>
      <c r="P35" s="42"/>
      <c r="Q35" s="42">
        <v>165</v>
      </c>
      <c r="R35" s="42">
        <f t="shared" ref="R35" si="69">L35*Q35</f>
        <v>247500</v>
      </c>
    </row>
    <row r="37" spans="1:19">
      <c r="A37" s="1" t="s">
        <v>3407</v>
      </c>
      <c r="B37" s="42" t="s">
        <v>1204</v>
      </c>
      <c r="C37" s="42" t="s">
        <v>1205</v>
      </c>
      <c r="D37" s="42" t="s">
        <v>16</v>
      </c>
      <c r="E37" s="47" t="s">
        <v>2086</v>
      </c>
      <c r="F37" s="47">
        <v>4535</v>
      </c>
      <c r="G37" s="47"/>
      <c r="H37" s="47">
        <v>500</v>
      </c>
      <c r="I37" s="47">
        <v>20</v>
      </c>
      <c r="J37" s="47"/>
      <c r="K37" s="43">
        <f t="shared" ref="K37" si="70">I37*J37</f>
        <v>0</v>
      </c>
      <c r="L37" s="43">
        <f t="shared" ref="L37" si="71">H37-K37</f>
        <v>500</v>
      </c>
      <c r="M37" s="43"/>
      <c r="N37" s="43">
        <f t="shared" ref="N37" si="72">L37-M37</f>
        <v>500</v>
      </c>
      <c r="O37" s="43">
        <f t="shared" ref="O37" si="73">H37/1000*70</f>
        <v>35</v>
      </c>
      <c r="P37" s="42">
        <v>0</v>
      </c>
      <c r="Q37" s="42">
        <v>165</v>
      </c>
      <c r="R37" s="42">
        <f t="shared" ref="R37" si="74">L37*Q37</f>
        <v>82500</v>
      </c>
    </row>
    <row r="39" spans="1:19">
      <c r="A39" s="1" t="s">
        <v>3499</v>
      </c>
      <c r="B39" s="42" t="s">
        <v>1204</v>
      </c>
      <c r="C39" s="42" t="s">
        <v>1205</v>
      </c>
      <c r="D39" s="42" t="s">
        <v>16</v>
      </c>
      <c r="E39" s="47" t="s">
        <v>3502</v>
      </c>
      <c r="F39" s="47">
        <v>4589</v>
      </c>
      <c r="G39" s="47"/>
      <c r="H39" s="47">
        <v>175</v>
      </c>
      <c r="I39" s="47">
        <v>7</v>
      </c>
      <c r="J39" s="47"/>
      <c r="K39" s="43">
        <f t="shared" ref="K39" si="75">I39*J39</f>
        <v>0</v>
      </c>
      <c r="L39" s="43">
        <f t="shared" ref="L39" si="76">H39-K39</f>
        <v>175</v>
      </c>
      <c r="M39" s="43"/>
      <c r="N39" s="43">
        <f t="shared" ref="N39" si="77">L39-M39</f>
        <v>175</v>
      </c>
      <c r="O39" s="43">
        <f t="shared" ref="O39" si="78">H39/1000*70</f>
        <v>12.25</v>
      </c>
      <c r="P39" s="42">
        <v>0</v>
      </c>
      <c r="Q39" s="42">
        <v>165</v>
      </c>
      <c r="R39" s="42">
        <f t="shared" ref="R39" si="79">L39*Q39</f>
        <v>28875</v>
      </c>
    </row>
    <row r="41" spans="1:19">
      <c r="A41" s="1" t="s">
        <v>3533</v>
      </c>
      <c r="B41" s="42" t="s">
        <v>1204</v>
      </c>
      <c r="C41" s="42" t="s">
        <v>1205</v>
      </c>
      <c r="D41" s="42" t="s">
        <v>16</v>
      </c>
      <c r="E41" s="47" t="s">
        <v>3534</v>
      </c>
      <c r="F41" s="47">
        <v>4660</v>
      </c>
      <c r="G41" s="47"/>
      <c r="H41" s="47">
        <v>300</v>
      </c>
      <c r="I41" s="47">
        <v>12</v>
      </c>
      <c r="J41" s="47"/>
      <c r="K41" s="43">
        <f t="shared" ref="K41" si="80">I41*J41</f>
        <v>0</v>
      </c>
      <c r="L41" s="43">
        <f t="shared" ref="L41" si="81">H41-K41</f>
        <v>300</v>
      </c>
      <c r="M41" s="43"/>
      <c r="N41" s="43">
        <f t="shared" ref="N41" si="82">L41-M41</f>
        <v>300</v>
      </c>
      <c r="O41" s="43">
        <f t="shared" ref="O41" si="83">H41/1000*70</f>
        <v>21</v>
      </c>
      <c r="P41" s="42">
        <v>0</v>
      </c>
      <c r="Q41" s="42">
        <v>165</v>
      </c>
      <c r="R41" s="42">
        <f t="shared" ref="R41" si="84">L41*Q41</f>
        <v>49500</v>
      </c>
    </row>
    <row r="43" spans="1:19">
      <c r="A43" s="1" t="s">
        <v>3790</v>
      </c>
      <c r="B43" s="42" t="s">
        <v>1204</v>
      </c>
      <c r="C43" s="42" t="s">
        <v>3196</v>
      </c>
      <c r="D43" s="42" t="s">
        <v>16</v>
      </c>
      <c r="E43" s="47" t="s">
        <v>3059</v>
      </c>
      <c r="F43" s="47">
        <v>4784</v>
      </c>
      <c r="G43" s="47"/>
      <c r="H43" s="47">
        <v>300</v>
      </c>
      <c r="I43" s="47">
        <v>12</v>
      </c>
      <c r="J43" s="47"/>
      <c r="K43" s="43">
        <f t="shared" ref="K43:K44" si="85">I43*J43</f>
        <v>0</v>
      </c>
      <c r="L43" s="43">
        <f t="shared" ref="L43:L44" si="86">H43-K43</f>
        <v>300</v>
      </c>
      <c r="M43" s="43"/>
      <c r="N43" s="43">
        <f t="shared" ref="N43:N44" si="87">L43-M43</f>
        <v>300</v>
      </c>
      <c r="O43" s="43">
        <f t="shared" ref="O43:O44" si="88">H43/1000*70</f>
        <v>21</v>
      </c>
      <c r="P43" s="42">
        <v>0</v>
      </c>
      <c r="Q43" s="42"/>
      <c r="R43" s="42">
        <f t="shared" ref="R43:R44" si="89">L43*Q43</f>
        <v>0</v>
      </c>
    </row>
    <row r="44" spans="1:19">
      <c r="A44" s="21" t="s">
        <v>3975</v>
      </c>
      <c r="B44" s="345" t="s">
        <v>1204</v>
      </c>
      <c r="C44" s="345" t="s">
        <v>1205</v>
      </c>
      <c r="D44" s="42" t="s">
        <v>16</v>
      </c>
      <c r="E44" s="345" t="s">
        <v>3984</v>
      </c>
      <c r="F44" s="345">
        <v>4825</v>
      </c>
      <c r="G44" s="345"/>
      <c r="H44" s="345">
        <v>300</v>
      </c>
      <c r="I44" s="345">
        <v>12</v>
      </c>
      <c r="J44" s="345"/>
      <c r="K44" s="43">
        <f t="shared" si="85"/>
        <v>0</v>
      </c>
      <c r="L44" s="43">
        <f t="shared" si="86"/>
        <v>300</v>
      </c>
      <c r="M44" s="43"/>
      <c r="N44" s="43">
        <f t="shared" si="87"/>
        <v>300</v>
      </c>
      <c r="O44" s="43">
        <f t="shared" si="88"/>
        <v>21</v>
      </c>
      <c r="P44" s="42">
        <v>0</v>
      </c>
      <c r="Q44" s="42">
        <v>165</v>
      </c>
      <c r="R44" s="42">
        <f t="shared" si="89"/>
        <v>49500</v>
      </c>
      <c r="S44" s="85"/>
    </row>
  </sheetData>
  <mergeCells count="2">
    <mergeCell ref="A15:A16"/>
    <mergeCell ref="A18:A19"/>
  </mergeCells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>
  <dimension ref="A5:U36"/>
  <sheetViews>
    <sheetView topLeftCell="A16" zoomScale="85" zoomScaleNormal="85" workbookViewId="0">
      <selection activeCell="A37" sqref="A37"/>
    </sheetView>
  </sheetViews>
  <sheetFormatPr defaultRowHeight="14.4"/>
  <cols>
    <col min="1" max="1" width="8.88671875" style="1"/>
    <col min="2" max="2" width="19" style="1" customWidth="1"/>
    <col min="3" max="3" width="16.6640625" style="1" customWidth="1"/>
    <col min="4" max="4" width="5.5546875" style="1" customWidth="1"/>
    <col min="5" max="5" width="10.664062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1">
      <c r="A6" s="7"/>
      <c r="B6" s="2"/>
      <c r="C6" s="2"/>
      <c r="D6" s="2"/>
      <c r="E6" s="2"/>
      <c r="F6" s="2"/>
      <c r="G6" s="2"/>
      <c r="H6" s="2"/>
      <c r="I6" s="2"/>
      <c r="J6" s="2"/>
      <c r="K6" s="2"/>
      <c r="L6" s="5"/>
      <c r="M6" s="5"/>
      <c r="N6" s="2"/>
      <c r="Q6" s="1" t="s">
        <v>896</v>
      </c>
      <c r="R6" s="1">
        <v>246</v>
      </c>
      <c r="S6" s="1">
        <v>200</v>
      </c>
      <c r="U6" s="1">
        <v>160</v>
      </c>
    </row>
    <row r="7" spans="1:21">
      <c r="A7" s="8"/>
      <c r="B7" s="42"/>
      <c r="C7" s="42"/>
      <c r="D7" s="42"/>
      <c r="E7" s="42"/>
      <c r="F7" s="42"/>
      <c r="G7" s="42"/>
      <c r="H7" s="42"/>
      <c r="I7" s="42"/>
      <c r="J7" s="42"/>
      <c r="K7" s="43"/>
      <c r="L7" s="43"/>
      <c r="M7" s="43"/>
      <c r="N7" s="43"/>
      <c r="O7" s="43"/>
      <c r="P7" s="48"/>
      <c r="Q7" s="48"/>
      <c r="R7" s="42"/>
    </row>
    <row r="8" spans="1:21">
      <c r="A8" s="8" t="s">
        <v>900</v>
      </c>
      <c r="B8" s="42" t="s">
        <v>35</v>
      </c>
      <c r="C8" s="42" t="s">
        <v>905</v>
      </c>
      <c r="D8" s="42" t="s">
        <v>16</v>
      </c>
      <c r="E8" s="42" t="s">
        <v>906</v>
      </c>
      <c r="F8" s="42">
        <v>2134</v>
      </c>
      <c r="G8" s="42"/>
      <c r="H8" s="42">
        <v>200</v>
      </c>
      <c r="I8" s="42">
        <v>8</v>
      </c>
      <c r="J8" s="42"/>
      <c r="K8" s="42">
        <f t="shared" ref="K8" si="0">I8*J8</f>
        <v>0</v>
      </c>
      <c r="L8" s="43">
        <f t="shared" ref="L8" si="1">H8-K8</f>
        <v>200</v>
      </c>
      <c r="M8" s="43"/>
      <c r="N8" s="43">
        <f t="shared" ref="N8" si="2">L8-M8</f>
        <v>200</v>
      </c>
      <c r="O8" s="43">
        <f t="shared" ref="O8" si="3">H8/1000*70</f>
        <v>14</v>
      </c>
      <c r="P8" s="42">
        <v>0</v>
      </c>
      <c r="Q8" s="42">
        <v>160</v>
      </c>
      <c r="R8" s="42">
        <f t="shared" ref="R8" si="4">L8*Q8</f>
        <v>32000</v>
      </c>
    </row>
    <row r="9" spans="1:21">
      <c r="A9" s="9"/>
      <c r="B9" s="2"/>
      <c r="C9" s="2"/>
      <c r="D9" s="2"/>
      <c r="E9" s="2"/>
      <c r="F9" s="2"/>
      <c r="G9" s="2"/>
      <c r="H9" s="2"/>
      <c r="I9" s="2"/>
      <c r="J9" s="2"/>
      <c r="K9" s="2"/>
      <c r="L9" s="5"/>
      <c r="M9" s="5"/>
      <c r="N9" s="2"/>
    </row>
    <row r="10" spans="1:21">
      <c r="A10" s="10"/>
      <c r="B10" s="2"/>
      <c r="C10" s="2"/>
      <c r="D10" s="2"/>
      <c r="E10" s="2"/>
      <c r="F10" s="2"/>
      <c r="G10" s="2"/>
      <c r="H10" s="2"/>
      <c r="I10" s="2"/>
      <c r="J10" s="2"/>
      <c r="K10" s="2"/>
      <c r="L10" s="5"/>
      <c r="M10" s="5"/>
      <c r="N10" s="2"/>
      <c r="Q10" s="1" t="s">
        <v>960</v>
      </c>
      <c r="R10" s="1">
        <v>263</v>
      </c>
      <c r="S10" s="1">
        <v>200</v>
      </c>
      <c r="U10" s="1">
        <v>160</v>
      </c>
    </row>
    <row r="11" spans="1:21">
      <c r="A11" s="11" t="s">
        <v>1103</v>
      </c>
      <c r="B11" s="42" t="s">
        <v>1104</v>
      </c>
      <c r="C11" s="42" t="s">
        <v>1105</v>
      </c>
      <c r="D11" s="42" t="s">
        <v>16</v>
      </c>
      <c r="E11" s="42" t="s">
        <v>835</v>
      </c>
      <c r="F11" s="42">
        <v>333</v>
      </c>
      <c r="G11" s="42"/>
      <c r="H11" s="42">
        <v>100</v>
      </c>
      <c r="I11" s="42">
        <v>4</v>
      </c>
      <c r="J11" s="42"/>
      <c r="K11" s="42">
        <f t="shared" ref="K11" si="5">I11*J11</f>
        <v>0</v>
      </c>
      <c r="L11" s="43">
        <f t="shared" ref="L11" si="6">H11-K11</f>
        <v>100</v>
      </c>
      <c r="M11" s="43"/>
      <c r="N11" s="43">
        <f t="shared" ref="N11" si="7">L11-M11</f>
        <v>100</v>
      </c>
      <c r="O11" s="43">
        <f t="shared" ref="O11" si="8">H11/1000*70</f>
        <v>7</v>
      </c>
      <c r="P11" s="42">
        <v>0</v>
      </c>
      <c r="Q11" s="42">
        <v>160</v>
      </c>
      <c r="R11" s="42">
        <f t="shared" ref="R11" si="9">L11*Q11</f>
        <v>16000</v>
      </c>
    </row>
    <row r="13" spans="1:21">
      <c r="A13" s="1" t="s">
        <v>1207</v>
      </c>
      <c r="B13" s="92" t="s">
        <v>35</v>
      </c>
      <c r="C13" s="92" t="s">
        <v>31</v>
      </c>
      <c r="D13" s="42" t="s">
        <v>16</v>
      </c>
      <c r="E13" s="42" t="s">
        <v>906</v>
      </c>
      <c r="F13" s="42">
        <v>490</v>
      </c>
      <c r="G13" s="42"/>
      <c r="H13" s="42">
        <v>500</v>
      </c>
      <c r="I13" s="42">
        <v>20</v>
      </c>
      <c r="J13" s="42"/>
      <c r="K13" s="42">
        <f t="shared" ref="K13" si="10">I13*J13</f>
        <v>0</v>
      </c>
      <c r="L13" s="43">
        <f t="shared" ref="L13" si="11">H13-K13</f>
        <v>500</v>
      </c>
      <c r="M13" s="43"/>
      <c r="N13" s="43">
        <f t="shared" ref="N13" si="12">L13-M13</f>
        <v>500</v>
      </c>
      <c r="O13" s="43">
        <f t="shared" ref="O13" si="13">H13/1000*70</f>
        <v>35</v>
      </c>
      <c r="P13" s="42">
        <v>0</v>
      </c>
      <c r="Q13" s="42">
        <v>550</v>
      </c>
      <c r="R13" s="42">
        <f t="shared" ref="R13" si="14">L13*Q13</f>
        <v>275000</v>
      </c>
    </row>
    <row r="15" spans="1:21">
      <c r="A15" s="1" t="s">
        <v>1425</v>
      </c>
      <c r="B15" s="42" t="s">
        <v>35</v>
      </c>
      <c r="C15" s="42" t="s">
        <v>1427</v>
      </c>
      <c r="D15" s="42" t="s">
        <v>16</v>
      </c>
      <c r="E15" s="42" t="s">
        <v>906</v>
      </c>
      <c r="F15" s="42">
        <v>728</v>
      </c>
      <c r="G15" s="42"/>
      <c r="H15" s="42">
        <v>1000</v>
      </c>
      <c r="I15" s="42">
        <v>40</v>
      </c>
      <c r="J15" s="42"/>
      <c r="K15" s="42">
        <f t="shared" ref="K15" si="15">I15*J15</f>
        <v>0</v>
      </c>
      <c r="L15" s="43">
        <f t="shared" ref="L15" si="16">H15-K15</f>
        <v>1000</v>
      </c>
      <c r="M15" s="43"/>
      <c r="N15" s="43">
        <f t="shared" ref="N15" si="17">L15-M15</f>
        <v>1000</v>
      </c>
      <c r="O15" s="43">
        <f t="shared" ref="O15" si="18">H15/1000*70</f>
        <v>70</v>
      </c>
      <c r="P15" s="42">
        <v>0</v>
      </c>
      <c r="Q15" s="42"/>
      <c r="R15" s="42">
        <f t="shared" ref="R15" si="19">L15*Q15</f>
        <v>0</v>
      </c>
    </row>
    <row r="17" spans="1:18">
      <c r="A17" s="1" t="s">
        <v>1554</v>
      </c>
      <c r="B17" s="42" t="s">
        <v>35</v>
      </c>
      <c r="C17" s="42" t="s">
        <v>1559</v>
      </c>
      <c r="D17" s="42" t="s">
        <v>16</v>
      </c>
      <c r="E17" s="42" t="s">
        <v>1119</v>
      </c>
      <c r="F17" s="42">
        <v>923</v>
      </c>
      <c r="G17" s="42"/>
      <c r="H17" s="42">
        <v>200</v>
      </c>
      <c r="I17" s="42">
        <v>8</v>
      </c>
      <c r="J17" s="42"/>
      <c r="K17" s="42">
        <f t="shared" ref="K17" si="20">I17*J17</f>
        <v>0</v>
      </c>
      <c r="L17" s="43">
        <f t="shared" ref="L17" si="21">H17-K17</f>
        <v>200</v>
      </c>
      <c r="M17" s="43"/>
      <c r="N17" s="43">
        <f t="shared" ref="N17" si="22">L17-M17</f>
        <v>200</v>
      </c>
      <c r="O17" s="43">
        <f t="shared" ref="O17" si="23">H17/1000*70</f>
        <v>14</v>
      </c>
      <c r="P17" s="42"/>
      <c r="Q17" s="42"/>
      <c r="R17" s="42">
        <f t="shared" ref="R17" si="24">L17*Q17</f>
        <v>0</v>
      </c>
    </row>
    <row r="19" spans="1:18">
      <c r="A19" s="1" t="s">
        <v>1699</v>
      </c>
      <c r="B19" s="42" t="s">
        <v>35</v>
      </c>
      <c r="C19" s="42" t="s">
        <v>1706</v>
      </c>
      <c r="D19" s="42" t="s">
        <v>16</v>
      </c>
      <c r="E19" s="42" t="s">
        <v>1707</v>
      </c>
      <c r="F19" s="42">
        <v>1103</v>
      </c>
      <c r="G19" s="42"/>
      <c r="H19" s="42">
        <v>100</v>
      </c>
      <c r="I19" s="42">
        <v>4</v>
      </c>
      <c r="J19" s="42"/>
      <c r="K19" s="42">
        <f t="shared" ref="K19" si="25">I19*J19</f>
        <v>0</v>
      </c>
      <c r="L19" s="43">
        <f t="shared" ref="L19" si="26">H19-K19</f>
        <v>100</v>
      </c>
      <c r="M19" s="43"/>
      <c r="N19" s="43">
        <f t="shared" ref="N19" si="27">L19-M19</f>
        <v>100</v>
      </c>
      <c r="O19" s="43">
        <f t="shared" ref="O19" si="28">H19/1000*70</f>
        <v>7</v>
      </c>
      <c r="P19" s="203">
        <v>0</v>
      </c>
      <c r="Q19" s="203">
        <v>160</v>
      </c>
      <c r="R19" s="42">
        <f t="shared" ref="R19" si="29">L19*Q19</f>
        <v>16000</v>
      </c>
    </row>
    <row r="21" spans="1:18">
      <c r="A21" s="374" t="s">
        <v>2069</v>
      </c>
      <c r="B21" s="42" t="s">
        <v>35</v>
      </c>
      <c r="C21" s="42" t="s">
        <v>31</v>
      </c>
      <c r="D21" s="42" t="s">
        <v>16</v>
      </c>
      <c r="E21" s="42" t="s">
        <v>1119</v>
      </c>
      <c r="F21" s="42">
        <v>1469</v>
      </c>
      <c r="G21" s="42"/>
      <c r="H21" s="42">
        <v>200</v>
      </c>
      <c r="I21" s="42">
        <v>8</v>
      </c>
      <c r="J21" s="42"/>
      <c r="K21" s="43">
        <f t="shared" ref="K21:K22" si="30">I21*J21</f>
        <v>0</v>
      </c>
      <c r="L21" s="43">
        <f t="shared" ref="L21:L22" si="31">H21-K21</f>
        <v>200</v>
      </c>
      <c r="M21" s="43"/>
      <c r="N21" s="43">
        <f t="shared" ref="N21:N22" si="32">L21-M21</f>
        <v>200</v>
      </c>
      <c r="O21" s="43">
        <f t="shared" ref="O21:O22" si="33">H21/1000*70</f>
        <v>14</v>
      </c>
      <c r="P21" s="42">
        <v>0</v>
      </c>
      <c r="Q21" s="42">
        <v>550</v>
      </c>
      <c r="R21" s="42">
        <f t="shared" ref="R21:R22" si="34">L21*Q21</f>
        <v>110000</v>
      </c>
    </row>
    <row r="22" spans="1:18">
      <c r="A22" s="374"/>
      <c r="B22" s="42" t="s">
        <v>35</v>
      </c>
      <c r="C22" s="42" t="s">
        <v>2075</v>
      </c>
      <c r="D22" s="42" t="s">
        <v>16</v>
      </c>
      <c r="E22" s="42" t="s">
        <v>1119</v>
      </c>
      <c r="F22" s="42">
        <v>1469</v>
      </c>
      <c r="G22" s="42"/>
      <c r="H22" s="42">
        <v>200</v>
      </c>
      <c r="I22" s="42">
        <v>8</v>
      </c>
      <c r="J22" s="42"/>
      <c r="K22" s="43">
        <f t="shared" si="30"/>
        <v>0</v>
      </c>
      <c r="L22" s="43">
        <f t="shared" si="31"/>
        <v>200</v>
      </c>
      <c r="M22" s="43"/>
      <c r="N22" s="43">
        <f t="shared" si="32"/>
        <v>200</v>
      </c>
      <c r="O22" s="43">
        <f t="shared" si="33"/>
        <v>14</v>
      </c>
      <c r="P22" s="42">
        <v>0</v>
      </c>
      <c r="Q22" s="42">
        <v>160</v>
      </c>
      <c r="R22" s="42">
        <f t="shared" si="34"/>
        <v>32000</v>
      </c>
    </row>
    <row r="24" spans="1:18">
      <c r="A24" s="1" t="s">
        <v>2198</v>
      </c>
      <c r="B24" s="42" t="s">
        <v>35</v>
      </c>
      <c r="C24" s="42" t="s">
        <v>31</v>
      </c>
      <c r="D24" s="42" t="s">
        <v>16</v>
      </c>
      <c r="E24" s="42" t="s">
        <v>2045</v>
      </c>
      <c r="F24" s="42">
        <v>1637</v>
      </c>
      <c r="G24" s="42"/>
      <c r="H24" s="42">
        <v>100</v>
      </c>
      <c r="I24" s="42">
        <v>4</v>
      </c>
      <c r="J24" s="42"/>
      <c r="K24" s="43">
        <f t="shared" ref="K24" si="35">I24*J24</f>
        <v>0</v>
      </c>
      <c r="L24" s="43">
        <f t="shared" ref="L24" si="36">H24-K24</f>
        <v>100</v>
      </c>
      <c r="M24" s="43"/>
      <c r="N24" s="43">
        <f t="shared" ref="N24" si="37">L24-M24</f>
        <v>100</v>
      </c>
      <c r="O24" s="43">
        <f t="shared" ref="O24" si="38">H24/1000*70</f>
        <v>7</v>
      </c>
      <c r="P24" s="42">
        <v>0</v>
      </c>
      <c r="Q24" s="42">
        <v>550</v>
      </c>
      <c r="R24" s="42">
        <f t="shared" ref="R24" si="39">L24*Q24</f>
        <v>55000</v>
      </c>
    </row>
    <row r="26" spans="1:18">
      <c r="A26" s="1" t="s">
        <v>2347</v>
      </c>
      <c r="B26" s="42" t="s">
        <v>35</v>
      </c>
      <c r="C26" s="42" t="s">
        <v>2348</v>
      </c>
      <c r="D26" s="42" t="s">
        <v>16</v>
      </c>
      <c r="E26" s="42" t="s">
        <v>2349</v>
      </c>
      <c r="F26" s="42">
        <v>1964</v>
      </c>
      <c r="G26" s="42"/>
      <c r="H26" s="42">
        <v>1500</v>
      </c>
      <c r="I26" s="42">
        <v>60</v>
      </c>
      <c r="J26" s="42"/>
      <c r="K26" s="43">
        <f t="shared" ref="K26" si="40">I26*J26</f>
        <v>0</v>
      </c>
      <c r="L26" s="43">
        <f t="shared" ref="L26" si="41">H26-K26</f>
        <v>1500</v>
      </c>
      <c r="M26" s="43"/>
      <c r="N26" s="43">
        <f t="shared" ref="N26" si="42">L26-M26</f>
        <v>1500</v>
      </c>
      <c r="O26" s="43">
        <f t="shared" ref="O26" si="43">H26/1000*70</f>
        <v>105</v>
      </c>
      <c r="P26" s="42">
        <v>0</v>
      </c>
      <c r="Q26" s="42">
        <v>310</v>
      </c>
      <c r="R26" s="42">
        <f t="shared" ref="R26" si="44">L26*Q26</f>
        <v>465000</v>
      </c>
    </row>
    <row r="28" spans="1:18">
      <c r="A28" s="1" t="s">
        <v>2397</v>
      </c>
      <c r="B28" s="42" t="s">
        <v>35</v>
      </c>
      <c r="C28" s="42" t="s">
        <v>1105</v>
      </c>
      <c r="D28" s="42" t="s">
        <v>16</v>
      </c>
      <c r="E28" s="42" t="s">
        <v>1707</v>
      </c>
      <c r="F28" s="42">
        <v>2115</v>
      </c>
      <c r="G28" s="42"/>
      <c r="H28" s="42">
        <v>200</v>
      </c>
      <c r="I28" s="42">
        <v>8</v>
      </c>
      <c r="J28" s="42"/>
      <c r="K28" s="43">
        <f t="shared" ref="K28" si="45">I28*J28</f>
        <v>0</v>
      </c>
      <c r="L28" s="43">
        <f t="shared" ref="L28" si="46">H28-K28</f>
        <v>200</v>
      </c>
      <c r="M28" s="43"/>
      <c r="N28" s="43">
        <f t="shared" ref="N28" si="47">L28-M28</f>
        <v>200</v>
      </c>
      <c r="O28" s="43">
        <f t="shared" ref="O28" si="48">H28/1000*70</f>
        <v>14</v>
      </c>
      <c r="P28" s="42">
        <v>0</v>
      </c>
      <c r="Q28" s="42"/>
      <c r="R28" s="42">
        <f t="shared" ref="R28" si="49">L28*Q28</f>
        <v>0</v>
      </c>
    </row>
    <row r="30" spans="1:18">
      <c r="A30" s="1" t="s">
        <v>2534</v>
      </c>
      <c r="B30" s="42" t="s">
        <v>35</v>
      </c>
      <c r="C30" s="42" t="s">
        <v>1559</v>
      </c>
      <c r="D30" s="42" t="s">
        <v>16</v>
      </c>
      <c r="E30" s="42" t="s">
        <v>2535</v>
      </c>
      <c r="F30" s="42">
        <v>2289</v>
      </c>
      <c r="G30" s="42"/>
      <c r="H30" s="42">
        <v>100</v>
      </c>
      <c r="I30" s="42">
        <v>4</v>
      </c>
      <c r="J30" s="42"/>
      <c r="K30" s="43">
        <f t="shared" ref="K30" si="50">I30*J30</f>
        <v>0</v>
      </c>
      <c r="L30" s="43">
        <f t="shared" ref="L30" si="51">H30-K30</f>
        <v>100</v>
      </c>
      <c r="M30" s="43"/>
      <c r="N30" s="43">
        <f t="shared" ref="N30" si="52">L30-M30</f>
        <v>100</v>
      </c>
      <c r="O30" s="43">
        <f t="shared" ref="O30" si="53">H30/1000*70</f>
        <v>7</v>
      </c>
      <c r="P30" s="42">
        <v>0</v>
      </c>
      <c r="Q30" s="42">
        <v>160</v>
      </c>
      <c r="R30" s="42">
        <f t="shared" ref="R30" si="54">L30*Q30</f>
        <v>16000</v>
      </c>
    </row>
    <row r="32" spans="1:18">
      <c r="A32" s="1" t="s">
        <v>2610</v>
      </c>
      <c r="B32" s="42" t="s">
        <v>35</v>
      </c>
      <c r="C32" s="42" t="s">
        <v>2615</v>
      </c>
      <c r="D32" s="42" t="s">
        <v>16</v>
      </c>
      <c r="E32" s="42" t="s">
        <v>2616</v>
      </c>
      <c r="F32" s="42">
        <v>105055</v>
      </c>
      <c r="G32" s="42"/>
      <c r="H32" s="42">
        <v>300</v>
      </c>
      <c r="I32" s="42">
        <v>12</v>
      </c>
      <c r="J32" s="42"/>
      <c r="K32" s="43">
        <f t="shared" ref="K32" si="55">I32*J32</f>
        <v>0</v>
      </c>
      <c r="L32" s="43">
        <f t="shared" ref="L32" si="56">H32-K32</f>
        <v>300</v>
      </c>
      <c r="M32" s="43"/>
      <c r="N32" s="43">
        <f t="shared" ref="N32" si="57">L32-M32</f>
        <v>300</v>
      </c>
      <c r="O32" s="43">
        <f t="shared" ref="O32" si="58">H32/1000*70</f>
        <v>21</v>
      </c>
      <c r="P32" s="42">
        <v>0</v>
      </c>
      <c r="Q32" s="42">
        <v>160</v>
      </c>
      <c r="R32" s="42">
        <f t="shared" ref="R32" si="59">L32*Q32</f>
        <v>48000</v>
      </c>
    </row>
    <row r="34" spans="1:18">
      <c r="A34" s="1" t="s">
        <v>2813</v>
      </c>
      <c r="B34" s="42" t="s">
        <v>2822</v>
      </c>
      <c r="C34" s="42" t="s">
        <v>2075</v>
      </c>
      <c r="D34" s="42" t="s">
        <v>16</v>
      </c>
      <c r="E34" s="42" t="s">
        <v>2616</v>
      </c>
      <c r="F34" s="42">
        <v>105055</v>
      </c>
      <c r="G34" s="42"/>
      <c r="H34" s="42">
        <v>100</v>
      </c>
      <c r="I34" s="42">
        <v>4</v>
      </c>
      <c r="J34" s="42"/>
      <c r="K34" s="43">
        <f t="shared" ref="K34:K36" si="60">I34*J34</f>
        <v>0</v>
      </c>
      <c r="L34" s="43">
        <f t="shared" ref="L34:L36" si="61">H34-K34</f>
        <v>100</v>
      </c>
      <c r="M34" s="43"/>
      <c r="N34" s="43">
        <f t="shared" ref="N34:N36" si="62">L34-M34</f>
        <v>100</v>
      </c>
      <c r="O34" s="43">
        <f t="shared" ref="O34:O36" si="63">H34/1000*70</f>
        <v>7</v>
      </c>
      <c r="P34" s="42">
        <v>0</v>
      </c>
      <c r="Q34" s="42"/>
      <c r="R34" s="42">
        <f t="shared" ref="R34:R36" si="64">L34*Q34</f>
        <v>0</v>
      </c>
    </row>
    <row r="35" spans="1:18">
      <c r="C35" s="42" t="s">
        <v>31</v>
      </c>
      <c r="D35" s="42" t="s">
        <v>16</v>
      </c>
      <c r="E35" s="42" t="s">
        <v>2616</v>
      </c>
      <c r="F35" s="42">
        <v>105055</v>
      </c>
      <c r="G35" s="42"/>
      <c r="H35" s="42">
        <v>100</v>
      </c>
      <c r="I35" s="42">
        <v>4</v>
      </c>
      <c r="J35" s="42"/>
      <c r="K35" s="43">
        <f t="shared" si="60"/>
        <v>0</v>
      </c>
      <c r="L35" s="43">
        <f t="shared" si="61"/>
        <v>100</v>
      </c>
      <c r="M35" s="43"/>
      <c r="N35" s="43">
        <f t="shared" si="62"/>
        <v>100</v>
      </c>
      <c r="O35" s="43">
        <f t="shared" si="63"/>
        <v>7</v>
      </c>
      <c r="P35" s="42">
        <v>0</v>
      </c>
      <c r="Q35" s="42"/>
      <c r="R35" s="42">
        <f t="shared" si="64"/>
        <v>0</v>
      </c>
    </row>
    <row r="36" spans="1:18">
      <c r="A36" s="1" t="s">
        <v>3217</v>
      </c>
      <c r="B36" s="42" t="s">
        <v>35</v>
      </c>
      <c r="C36" s="42" t="s">
        <v>2075</v>
      </c>
      <c r="D36" s="42" t="s">
        <v>16</v>
      </c>
      <c r="E36" s="42" t="s">
        <v>2616</v>
      </c>
      <c r="F36" s="42">
        <v>1042</v>
      </c>
      <c r="G36" s="42"/>
      <c r="H36" s="42">
        <v>300</v>
      </c>
      <c r="I36" s="42">
        <v>12</v>
      </c>
      <c r="J36" s="42"/>
      <c r="K36" s="43">
        <f t="shared" si="60"/>
        <v>0</v>
      </c>
      <c r="L36" s="43">
        <f t="shared" si="61"/>
        <v>300</v>
      </c>
      <c r="M36" s="43"/>
      <c r="N36" s="43">
        <f t="shared" si="62"/>
        <v>300</v>
      </c>
      <c r="O36" s="43">
        <f t="shared" si="63"/>
        <v>21</v>
      </c>
      <c r="P36" s="42">
        <v>0</v>
      </c>
      <c r="Q36" s="42">
        <v>160</v>
      </c>
      <c r="R36" s="42">
        <f t="shared" si="64"/>
        <v>48000</v>
      </c>
    </row>
  </sheetData>
  <mergeCells count="1">
    <mergeCell ref="A21:A22"/>
  </mergeCells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>
  <dimension ref="A5:T47"/>
  <sheetViews>
    <sheetView topLeftCell="A22" zoomScale="85" zoomScaleNormal="85" workbookViewId="0">
      <selection activeCell="A48" sqref="A48"/>
    </sheetView>
  </sheetViews>
  <sheetFormatPr defaultRowHeight="14.4"/>
  <cols>
    <col min="1" max="1" width="8.88671875" style="1"/>
    <col min="2" max="2" width="19" style="1" customWidth="1"/>
    <col min="3" max="3" width="16.6640625" style="1" customWidth="1"/>
    <col min="4" max="4" width="5.5546875" style="1" customWidth="1"/>
    <col min="5" max="5" width="10.664062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0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0">
      <c r="A6" s="7"/>
      <c r="B6" s="2"/>
      <c r="C6" s="2"/>
      <c r="D6" s="2"/>
      <c r="E6" s="2"/>
      <c r="F6" s="2"/>
      <c r="G6" s="2"/>
      <c r="H6" s="2"/>
      <c r="I6" s="2"/>
      <c r="J6" s="2"/>
      <c r="K6" s="2"/>
      <c r="L6" s="5"/>
      <c r="M6" s="5"/>
      <c r="N6" s="2"/>
    </row>
    <row r="7" spans="1:20">
      <c r="A7" s="8" t="s">
        <v>1207</v>
      </c>
      <c r="B7" s="42" t="s">
        <v>1210</v>
      </c>
      <c r="C7" s="42" t="s">
        <v>1211</v>
      </c>
      <c r="D7" s="42" t="s">
        <v>16</v>
      </c>
      <c r="E7" s="42" t="s">
        <v>1212</v>
      </c>
      <c r="F7" s="42">
        <v>518</v>
      </c>
      <c r="G7" s="42"/>
      <c r="H7" s="42">
        <v>500</v>
      </c>
      <c r="I7" s="42">
        <v>20</v>
      </c>
      <c r="J7" s="42"/>
      <c r="K7" s="42">
        <f t="shared" ref="K7" si="0">I7*J7</f>
        <v>0</v>
      </c>
      <c r="L7" s="43">
        <f t="shared" ref="L7" si="1">H7-K7</f>
        <v>500</v>
      </c>
      <c r="M7" s="43"/>
      <c r="N7" s="43">
        <f t="shared" ref="N7" si="2">L7-M7</f>
        <v>500</v>
      </c>
      <c r="O7" s="43">
        <f t="shared" ref="O7" si="3">H7/1000*70</f>
        <v>35</v>
      </c>
      <c r="P7" s="42">
        <v>0</v>
      </c>
      <c r="Q7" s="42">
        <v>900</v>
      </c>
      <c r="R7" s="42">
        <f t="shared" ref="R7" si="4">L7*Q7</f>
        <v>450000</v>
      </c>
    </row>
    <row r="8" spans="1:20">
      <c r="A8" s="8"/>
      <c r="B8" s="42"/>
      <c r="C8" s="42"/>
      <c r="D8" s="42"/>
      <c r="E8" s="42"/>
      <c r="F8" s="42"/>
      <c r="G8" s="42"/>
      <c r="H8" s="42"/>
      <c r="I8" s="42"/>
      <c r="J8" s="42"/>
      <c r="K8" s="42"/>
      <c r="L8" s="43"/>
      <c r="M8" s="43"/>
      <c r="N8" s="43"/>
      <c r="O8" s="43"/>
      <c r="P8" s="42"/>
      <c r="Q8" s="42"/>
      <c r="R8" s="42"/>
    </row>
    <row r="9" spans="1:20">
      <c r="A9" s="9" t="s">
        <v>1778</v>
      </c>
      <c r="B9" s="42" t="s">
        <v>1210</v>
      </c>
      <c r="C9" s="42" t="s">
        <v>1787</v>
      </c>
      <c r="D9" s="42" t="s">
        <v>16</v>
      </c>
      <c r="E9" s="42" t="s">
        <v>1212</v>
      </c>
      <c r="F9" s="42">
        <v>684</v>
      </c>
      <c r="G9" s="42"/>
      <c r="H9" s="42">
        <v>500</v>
      </c>
      <c r="I9" s="42">
        <v>20</v>
      </c>
      <c r="J9" s="42"/>
      <c r="K9" s="42">
        <f t="shared" ref="K9" si="5">I9*J9</f>
        <v>0</v>
      </c>
      <c r="L9" s="43">
        <f t="shared" ref="L9" si="6">H9-K9</f>
        <v>500</v>
      </c>
      <c r="M9" s="43"/>
      <c r="N9" s="43">
        <f t="shared" ref="N9" si="7">L9-M9</f>
        <v>500</v>
      </c>
      <c r="O9" s="43">
        <f t="shared" ref="O9" si="8">H9/1000*70</f>
        <v>35</v>
      </c>
      <c r="P9" s="216">
        <v>0</v>
      </c>
      <c r="Q9" s="216">
        <v>900</v>
      </c>
      <c r="R9" s="42">
        <f t="shared" ref="R9" si="9">L9*Q9</f>
        <v>450000</v>
      </c>
    </row>
    <row r="10" spans="1:20">
      <c r="A10" s="10"/>
      <c r="B10" s="2"/>
      <c r="C10" s="2"/>
      <c r="D10" s="2"/>
      <c r="E10" s="2"/>
      <c r="F10" s="2"/>
      <c r="G10" s="2"/>
      <c r="H10" s="2"/>
      <c r="I10" s="2"/>
      <c r="J10" s="2"/>
      <c r="K10" s="2"/>
      <c r="L10" s="5"/>
      <c r="M10" s="5"/>
      <c r="N10" s="2"/>
    </row>
    <row r="11" spans="1:20">
      <c r="A11" s="11" t="s">
        <v>2193</v>
      </c>
      <c r="B11" s="42" t="s">
        <v>1210</v>
      </c>
      <c r="C11" s="42" t="s">
        <v>2194</v>
      </c>
      <c r="D11" s="42" t="s">
        <v>16</v>
      </c>
      <c r="E11" s="42" t="s">
        <v>2195</v>
      </c>
      <c r="F11" s="42">
        <v>840</v>
      </c>
      <c r="G11" s="42"/>
      <c r="H11" s="42">
        <v>500</v>
      </c>
      <c r="I11" s="42">
        <v>20</v>
      </c>
      <c r="J11" s="42"/>
      <c r="K11" s="43">
        <f t="shared" ref="K11" si="10">I11*J11</f>
        <v>0</v>
      </c>
      <c r="L11" s="43">
        <f t="shared" ref="L11" si="11">H11-K11</f>
        <v>500</v>
      </c>
      <c r="M11" s="43"/>
      <c r="N11" s="43">
        <f t="shared" ref="N11" si="12">L11-M11</f>
        <v>500</v>
      </c>
      <c r="O11" s="43">
        <f t="shared" ref="O11" si="13">H11/1000*70</f>
        <v>35</v>
      </c>
      <c r="P11" s="42">
        <v>0</v>
      </c>
      <c r="Q11" s="42">
        <v>900</v>
      </c>
      <c r="R11" s="42">
        <f t="shared" ref="R11" si="14">L11*Q11</f>
        <v>450000</v>
      </c>
    </row>
    <row r="13" spans="1:20">
      <c r="A13" s="1" t="s">
        <v>2397</v>
      </c>
      <c r="B13" s="42" t="s">
        <v>1210</v>
      </c>
      <c r="C13" s="42" t="s">
        <v>2402</v>
      </c>
      <c r="D13" s="42" t="s">
        <v>16</v>
      </c>
      <c r="E13" s="42" t="s">
        <v>1212</v>
      </c>
      <c r="F13" s="42">
        <v>969</v>
      </c>
      <c r="G13" s="42"/>
      <c r="H13" s="42">
        <v>200</v>
      </c>
      <c r="I13" s="42">
        <v>8</v>
      </c>
      <c r="J13" s="42"/>
      <c r="K13" s="43">
        <f t="shared" ref="K13" si="15">I13*J13</f>
        <v>0</v>
      </c>
      <c r="L13" s="43">
        <f t="shared" ref="L13" si="16">H13-K13</f>
        <v>200</v>
      </c>
      <c r="M13" s="43"/>
      <c r="N13" s="43">
        <f t="shared" ref="N13" si="17">L13-M13</f>
        <v>200</v>
      </c>
      <c r="O13" s="43">
        <f t="shared" ref="O13" si="18">H13/1000*70</f>
        <v>14</v>
      </c>
      <c r="P13" s="42">
        <v>0</v>
      </c>
      <c r="Q13" s="42"/>
      <c r="R13" s="42">
        <f t="shared" ref="R13" si="19">L13*Q13</f>
        <v>0</v>
      </c>
    </row>
    <row r="15" spans="1:20">
      <c r="A15" s="1" t="s">
        <v>2510</v>
      </c>
      <c r="B15" s="42" t="s">
        <v>1210</v>
      </c>
      <c r="C15" s="42" t="s">
        <v>2512</v>
      </c>
      <c r="D15" s="42" t="s">
        <v>16</v>
      </c>
      <c r="E15" s="42" t="s">
        <v>1212</v>
      </c>
      <c r="F15" s="42">
        <v>1020</v>
      </c>
      <c r="G15" s="42"/>
      <c r="H15" s="42">
        <v>300</v>
      </c>
      <c r="I15" s="42">
        <v>12</v>
      </c>
      <c r="J15" s="42"/>
      <c r="K15" s="43">
        <f t="shared" ref="K15" si="20">I15*J15</f>
        <v>0</v>
      </c>
      <c r="L15" s="43">
        <f t="shared" ref="L15" si="21">H15-K15</f>
        <v>300</v>
      </c>
      <c r="M15" s="43"/>
      <c r="N15" s="43">
        <f t="shared" ref="N15" si="22">L15-M15</f>
        <v>300</v>
      </c>
      <c r="O15" s="43">
        <f t="shared" ref="O15" si="23">H15/1000*70</f>
        <v>21</v>
      </c>
      <c r="P15" s="42">
        <v>0</v>
      </c>
      <c r="Q15" s="42">
        <v>900</v>
      </c>
      <c r="R15" s="42">
        <f t="shared" ref="R15" si="24">L15*Q15</f>
        <v>270000</v>
      </c>
    </row>
    <row r="17" spans="1:18">
      <c r="A17" s="1" t="s">
        <v>2645</v>
      </c>
      <c r="B17" s="42" t="s">
        <v>2655</v>
      </c>
      <c r="C17" s="55" t="s">
        <v>2656</v>
      </c>
      <c r="D17" s="42" t="s">
        <v>16</v>
      </c>
      <c r="E17" s="42" t="s">
        <v>2657</v>
      </c>
      <c r="F17" s="42">
        <v>1085</v>
      </c>
      <c r="G17" s="42"/>
      <c r="H17" s="42">
        <v>100</v>
      </c>
      <c r="I17" s="42">
        <v>4</v>
      </c>
      <c r="J17" s="42"/>
      <c r="K17" s="43">
        <f t="shared" ref="K17" si="25">I17*J17</f>
        <v>0</v>
      </c>
      <c r="L17" s="43">
        <f t="shared" ref="L17" si="26">H17-K17</f>
        <v>100</v>
      </c>
      <c r="M17" s="43"/>
      <c r="N17" s="43">
        <f t="shared" ref="N17" si="27">L17-M17</f>
        <v>100</v>
      </c>
      <c r="O17" s="43">
        <f t="shared" ref="O17" si="28">H17/1000*70</f>
        <v>7</v>
      </c>
      <c r="P17" s="42">
        <v>0</v>
      </c>
      <c r="Q17" s="42">
        <v>900</v>
      </c>
      <c r="R17" s="42">
        <f t="shared" ref="R17" si="29">L17*Q17</f>
        <v>90000</v>
      </c>
    </row>
    <row r="19" spans="1:18">
      <c r="A19" s="1" t="s">
        <v>2692</v>
      </c>
      <c r="B19" s="42" t="s">
        <v>2655</v>
      </c>
      <c r="C19" s="42" t="s">
        <v>2656</v>
      </c>
      <c r="D19" s="42" t="s">
        <v>16</v>
      </c>
      <c r="E19" s="42" t="s">
        <v>1212</v>
      </c>
      <c r="F19" s="42">
        <v>1111</v>
      </c>
      <c r="G19" s="42"/>
      <c r="H19" s="42">
        <v>100</v>
      </c>
      <c r="I19" s="42">
        <v>4</v>
      </c>
      <c r="J19" s="42"/>
      <c r="K19" s="43">
        <f t="shared" ref="K19" si="30">I19*J19</f>
        <v>0</v>
      </c>
      <c r="L19" s="43">
        <f t="shared" ref="L19" si="31">H19-K19</f>
        <v>100</v>
      </c>
      <c r="M19" s="43"/>
      <c r="N19" s="43">
        <f t="shared" ref="N19" si="32">L19-M19</f>
        <v>100</v>
      </c>
      <c r="O19" s="43">
        <f t="shared" ref="O19" si="33">H19/1000*70</f>
        <v>7</v>
      </c>
      <c r="P19" s="42">
        <v>0</v>
      </c>
      <c r="Q19" s="42">
        <v>900</v>
      </c>
      <c r="R19" s="42">
        <f t="shared" ref="R19" si="34">L19*Q19</f>
        <v>90000</v>
      </c>
    </row>
    <row r="21" spans="1:18">
      <c r="A21" s="1" t="s">
        <v>2755</v>
      </c>
      <c r="B21" s="42" t="s">
        <v>1210</v>
      </c>
      <c r="C21" s="42" t="s">
        <v>2770</v>
      </c>
      <c r="D21" s="42" t="s">
        <v>16</v>
      </c>
      <c r="E21" s="42" t="s">
        <v>2771</v>
      </c>
      <c r="F21" s="42">
        <v>1150</v>
      </c>
      <c r="G21" s="42"/>
      <c r="H21" s="42">
        <v>200</v>
      </c>
      <c r="I21" s="42">
        <v>8</v>
      </c>
      <c r="J21" s="42"/>
      <c r="K21" s="43">
        <f t="shared" ref="K21" si="35">I21*J21</f>
        <v>0</v>
      </c>
      <c r="L21" s="43">
        <f t="shared" ref="L21" si="36">H21-K21</f>
        <v>200</v>
      </c>
      <c r="M21" s="43"/>
      <c r="N21" s="43">
        <f t="shared" ref="N21" si="37">L21-M21</f>
        <v>200</v>
      </c>
      <c r="O21" s="43">
        <f t="shared" ref="O21" si="38">H21/1000*70</f>
        <v>14</v>
      </c>
      <c r="P21" s="42">
        <v>0</v>
      </c>
      <c r="Q21" s="42">
        <v>900</v>
      </c>
      <c r="R21" s="42">
        <f t="shared" ref="R21" si="39">L21*Q21</f>
        <v>180000</v>
      </c>
    </row>
    <row r="23" spans="1:18">
      <c r="A23" s="1" t="s">
        <v>2889</v>
      </c>
      <c r="B23" s="42" t="s">
        <v>1210</v>
      </c>
      <c r="C23" s="42" t="s">
        <v>2893</v>
      </c>
      <c r="D23" s="42" t="s">
        <v>16</v>
      </c>
      <c r="E23" s="42" t="s">
        <v>2657</v>
      </c>
      <c r="F23" s="42">
        <v>1201</v>
      </c>
      <c r="G23" s="42"/>
      <c r="H23" s="42">
        <v>200</v>
      </c>
      <c r="I23" s="42">
        <v>8</v>
      </c>
      <c r="J23" s="42"/>
      <c r="K23" s="43">
        <f t="shared" ref="K23" si="40">I23*J23</f>
        <v>0</v>
      </c>
      <c r="L23" s="43">
        <f t="shared" ref="L23" si="41">H23-K23</f>
        <v>200</v>
      </c>
      <c r="M23" s="43"/>
      <c r="N23" s="43">
        <f t="shared" ref="N23" si="42">L23-M23</f>
        <v>200</v>
      </c>
      <c r="O23" s="43">
        <f t="shared" ref="O23" si="43">H23/1000*70</f>
        <v>14</v>
      </c>
      <c r="P23" s="42">
        <v>0</v>
      </c>
      <c r="Q23" s="42">
        <v>900</v>
      </c>
      <c r="R23" s="42">
        <f t="shared" ref="R23" si="44">L23*Q23</f>
        <v>180000</v>
      </c>
    </row>
    <row r="25" spans="1:18">
      <c r="A25" s="1" t="s">
        <v>2998</v>
      </c>
      <c r="B25" s="42" t="s">
        <v>1210</v>
      </c>
      <c r="C25" s="42" t="s">
        <v>2893</v>
      </c>
      <c r="D25" s="42" t="s">
        <v>16</v>
      </c>
      <c r="E25" s="42" t="s">
        <v>1212</v>
      </c>
      <c r="F25" s="42">
        <v>1245</v>
      </c>
      <c r="G25" s="42"/>
      <c r="H25" s="42">
        <v>50</v>
      </c>
      <c r="I25" s="42">
        <v>2</v>
      </c>
      <c r="J25" s="42"/>
      <c r="K25" s="43">
        <f t="shared" ref="K25" si="45">I25*J25</f>
        <v>0</v>
      </c>
      <c r="L25" s="43">
        <f t="shared" ref="L25" si="46">H25-K25</f>
        <v>50</v>
      </c>
      <c r="M25" s="43"/>
      <c r="N25" s="43">
        <f t="shared" ref="N25" si="47">L25-M25</f>
        <v>50</v>
      </c>
      <c r="O25" s="43">
        <f t="shared" ref="O25" si="48">H25/1000*70</f>
        <v>3.5</v>
      </c>
      <c r="P25" s="42">
        <v>0</v>
      </c>
      <c r="Q25" s="42">
        <v>900</v>
      </c>
      <c r="R25" s="42">
        <f t="shared" ref="R25" si="49">L25*Q25</f>
        <v>45000</v>
      </c>
    </row>
    <row r="27" spans="1:18">
      <c r="A27" s="1" t="s">
        <v>3020</v>
      </c>
      <c r="B27" s="42" t="s">
        <v>1210</v>
      </c>
      <c r="C27" s="42" t="s">
        <v>3022</v>
      </c>
      <c r="D27" s="42" t="s">
        <v>16</v>
      </c>
      <c r="E27" s="42" t="s">
        <v>1212</v>
      </c>
      <c r="F27" s="42">
        <v>1256</v>
      </c>
      <c r="G27" s="42"/>
      <c r="H27" s="42">
        <v>25</v>
      </c>
      <c r="I27" s="42">
        <v>1</v>
      </c>
      <c r="J27" s="42"/>
      <c r="K27" s="43">
        <f t="shared" ref="K27" si="50">I27*J27</f>
        <v>0</v>
      </c>
      <c r="L27" s="43">
        <f t="shared" ref="L27" si="51">H27-K27</f>
        <v>25</v>
      </c>
      <c r="M27" s="43"/>
      <c r="N27" s="43">
        <f t="shared" ref="N27" si="52">L27-M27</f>
        <v>25</v>
      </c>
      <c r="O27" s="43">
        <f t="shared" ref="O27" si="53">H27/1000*70</f>
        <v>1.75</v>
      </c>
      <c r="P27" s="42">
        <v>0</v>
      </c>
      <c r="Q27" s="42">
        <v>900</v>
      </c>
      <c r="R27" s="42">
        <f t="shared" ref="R27" si="54">L27*Q27</f>
        <v>22500</v>
      </c>
    </row>
    <row r="29" spans="1:18">
      <c r="A29" s="1" t="s">
        <v>3036</v>
      </c>
      <c r="B29" s="42" t="s">
        <v>1210</v>
      </c>
      <c r="C29" s="42" t="s">
        <v>3022</v>
      </c>
      <c r="D29" s="42" t="s">
        <v>16</v>
      </c>
      <c r="E29" s="42" t="s">
        <v>1127</v>
      </c>
      <c r="F29" s="42">
        <v>1271</v>
      </c>
      <c r="G29" s="42"/>
      <c r="H29" s="42">
        <v>50</v>
      </c>
      <c r="I29" s="42">
        <v>2</v>
      </c>
      <c r="J29" s="42"/>
      <c r="K29" s="43">
        <f t="shared" ref="K29" si="55">I29*J29</f>
        <v>0</v>
      </c>
      <c r="L29" s="43">
        <f t="shared" ref="L29" si="56">H29-K29</f>
        <v>50</v>
      </c>
      <c r="M29" s="43"/>
      <c r="N29" s="43">
        <f t="shared" ref="N29" si="57">L29-M29</f>
        <v>50</v>
      </c>
      <c r="O29" s="43">
        <f t="shared" ref="O29" si="58">H29/1000*70</f>
        <v>3.5</v>
      </c>
      <c r="P29" s="42">
        <v>0</v>
      </c>
      <c r="Q29" s="42">
        <v>900</v>
      </c>
      <c r="R29" s="42">
        <f t="shared" ref="R29" si="59">L29*Q29</f>
        <v>45000</v>
      </c>
    </row>
    <row r="31" spans="1:18">
      <c r="A31" s="1" t="s">
        <v>3060</v>
      </c>
      <c r="B31" s="42" t="s">
        <v>1210</v>
      </c>
      <c r="C31" s="42" t="s">
        <v>3022</v>
      </c>
      <c r="D31" s="42" t="s">
        <v>16</v>
      </c>
      <c r="E31" s="42" t="s">
        <v>1212</v>
      </c>
      <c r="F31" s="42">
        <v>1291</v>
      </c>
      <c r="G31" s="42">
        <v>2008</v>
      </c>
      <c r="H31" s="42">
        <v>200</v>
      </c>
      <c r="I31" s="42">
        <v>8</v>
      </c>
      <c r="J31" s="42"/>
      <c r="K31" s="43">
        <f t="shared" ref="K31" si="60">I31*J31</f>
        <v>0</v>
      </c>
      <c r="L31" s="43">
        <f t="shared" ref="L31" si="61">H31-K31</f>
        <v>200</v>
      </c>
      <c r="M31" s="43"/>
      <c r="N31" s="43">
        <f t="shared" ref="N31" si="62">L31-M31</f>
        <v>200</v>
      </c>
      <c r="O31" s="43">
        <f t="shared" ref="O31" si="63">H31/1000*70</f>
        <v>14</v>
      </c>
      <c r="P31" s="42">
        <v>0</v>
      </c>
      <c r="Q31" s="42">
        <v>900</v>
      </c>
      <c r="R31" s="42">
        <f t="shared" ref="R31" si="64">L31*Q31</f>
        <v>180000</v>
      </c>
    </row>
    <row r="33" spans="1:19">
      <c r="A33" s="1" t="s">
        <v>3229</v>
      </c>
      <c r="B33" s="42" t="s">
        <v>1210</v>
      </c>
      <c r="C33" s="42" t="s">
        <v>1787</v>
      </c>
      <c r="D33" s="42" t="s">
        <v>16</v>
      </c>
      <c r="E33" s="42" t="s">
        <v>1212</v>
      </c>
      <c r="F33" s="42">
        <v>1396</v>
      </c>
      <c r="G33" s="42"/>
      <c r="H33" s="42">
        <v>50</v>
      </c>
      <c r="I33" s="42">
        <v>2</v>
      </c>
      <c r="J33" s="42"/>
      <c r="K33" s="43">
        <f t="shared" ref="K33" si="65">I33*J33</f>
        <v>0</v>
      </c>
      <c r="L33" s="43">
        <f t="shared" ref="L33" si="66">H33-K33</f>
        <v>50</v>
      </c>
      <c r="M33" s="43"/>
      <c r="N33" s="43">
        <f t="shared" ref="N33" si="67">L33-M33</f>
        <v>50</v>
      </c>
      <c r="O33" s="43">
        <f t="shared" ref="O33" si="68">H33/1000*70</f>
        <v>3.5</v>
      </c>
      <c r="P33" s="42">
        <v>0</v>
      </c>
      <c r="Q33" s="42">
        <v>900</v>
      </c>
      <c r="R33" s="42">
        <f t="shared" ref="R33" si="69">L33*Q33</f>
        <v>45000</v>
      </c>
    </row>
    <row r="35" spans="1:19">
      <c r="A35" s="1" t="s">
        <v>3239</v>
      </c>
      <c r="B35" s="42" t="s">
        <v>1210</v>
      </c>
      <c r="C35" s="42" t="s">
        <v>1787</v>
      </c>
      <c r="D35" s="42" t="s">
        <v>16</v>
      </c>
      <c r="E35" s="42" t="s">
        <v>1127</v>
      </c>
      <c r="F35" s="42">
        <v>1403</v>
      </c>
      <c r="G35" s="42"/>
      <c r="H35" s="42">
        <v>50</v>
      </c>
      <c r="I35" s="42">
        <v>2</v>
      </c>
      <c r="J35" s="42"/>
      <c r="K35" s="43">
        <f t="shared" ref="K35" si="70">I35*J35</f>
        <v>0</v>
      </c>
      <c r="L35" s="43">
        <f t="shared" ref="L35" si="71">H35-K35</f>
        <v>50</v>
      </c>
      <c r="M35" s="43"/>
      <c r="N35" s="43">
        <f t="shared" ref="N35" si="72">L35-M35</f>
        <v>50</v>
      </c>
      <c r="O35" s="43">
        <f t="shared" ref="O35" si="73">H35/1000*70</f>
        <v>3.5</v>
      </c>
      <c r="P35" s="42">
        <v>0</v>
      </c>
      <c r="Q35" s="42">
        <v>900</v>
      </c>
      <c r="R35" s="42">
        <f t="shared" ref="R35" si="74">L35*Q35</f>
        <v>45000</v>
      </c>
    </row>
    <row r="37" spans="1:19">
      <c r="A37" s="1" t="s">
        <v>3287</v>
      </c>
      <c r="B37" s="42" t="s">
        <v>1210</v>
      </c>
      <c r="C37" s="42" t="s">
        <v>3290</v>
      </c>
      <c r="D37" s="42" t="s">
        <v>16</v>
      </c>
      <c r="E37" s="47" t="s">
        <v>1212</v>
      </c>
      <c r="F37" s="47">
        <v>1437</v>
      </c>
      <c r="G37" s="47"/>
      <c r="H37" s="47">
        <v>100</v>
      </c>
      <c r="I37" s="47">
        <v>0</v>
      </c>
      <c r="J37" s="47"/>
      <c r="K37" s="43">
        <f t="shared" ref="K37" si="75">I37*J37</f>
        <v>0</v>
      </c>
      <c r="L37" s="43">
        <f t="shared" ref="L37" si="76">H37-K37</f>
        <v>100</v>
      </c>
      <c r="M37" s="43"/>
      <c r="N37" s="43">
        <f t="shared" ref="N37" si="77">L37-M37</f>
        <v>100</v>
      </c>
      <c r="O37" s="43">
        <f t="shared" ref="O37" si="78">H37/1000*70</f>
        <v>7</v>
      </c>
      <c r="P37" s="42">
        <v>0</v>
      </c>
      <c r="Q37" s="42"/>
      <c r="R37" s="42">
        <f t="shared" ref="R37" si="79">L37*Q37</f>
        <v>0</v>
      </c>
    </row>
    <row r="39" spans="1:19">
      <c r="A39" s="1" t="s">
        <v>3320</v>
      </c>
      <c r="B39" s="42" t="s">
        <v>1210</v>
      </c>
      <c r="C39" s="42" t="s">
        <v>3290</v>
      </c>
      <c r="D39" s="42" t="s">
        <v>16</v>
      </c>
      <c r="E39" s="47" t="s">
        <v>1212</v>
      </c>
      <c r="F39" s="47">
        <v>1460</v>
      </c>
      <c r="G39" s="47"/>
      <c r="H39" s="47">
        <v>100</v>
      </c>
      <c r="I39" s="47">
        <v>4</v>
      </c>
      <c r="J39" s="47"/>
      <c r="K39" s="43">
        <f t="shared" ref="K39" si="80">I39*J39</f>
        <v>0</v>
      </c>
      <c r="L39" s="43">
        <f t="shared" ref="L39" si="81">H39-K39</f>
        <v>100</v>
      </c>
      <c r="M39" s="43"/>
      <c r="N39" s="43">
        <f t="shared" ref="N39" si="82">L39-M39</f>
        <v>100</v>
      </c>
      <c r="O39" s="43">
        <f t="shared" ref="O39" si="83">H39/1000*70</f>
        <v>7</v>
      </c>
      <c r="P39" s="42">
        <v>0</v>
      </c>
      <c r="Q39" s="42">
        <v>900</v>
      </c>
      <c r="R39" s="42">
        <f t="shared" ref="R39" si="84">L39*Q39</f>
        <v>90000</v>
      </c>
    </row>
    <row r="41" spans="1:19">
      <c r="A41" s="1" t="s">
        <v>3404</v>
      </c>
      <c r="B41" s="42" t="s">
        <v>1210</v>
      </c>
      <c r="C41" s="42" t="s">
        <v>1787</v>
      </c>
      <c r="D41" s="42" t="s">
        <v>16</v>
      </c>
      <c r="E41" s="47" t="s">
        <v>1212</v>
      </c>
      <c r="F41" s="47">
        <v>1509</v>
      </c>
      <c r="G41" s="47"/>
      <c r="H41" s="47">
        <v>200</v>
      </c>
      <c r="I41" s="47">
        <v>8</v>
      </c>
      <c r="J41" s="47"/>
      <c r="K41" s="43">
        <f t="shared" ref="K41" si="85">I41*J41</f>
        <v>0</v>
      </c>
      <c r="L41" s="43">
        <f t="shared" ref="L41" si="86">H41-K41</f>
        <v>200</v>
      </c>
      <c r="M41" s="43"/>
      <c r="N41" s="43">
        <f t="shared" ref="N41" si="87">L41-M41</f>
        <v>200</v>
      </c>
      <c r="O41" s="43">
        <f t="shared" ref="O41" si="88">H41/1000*70</f>
        <v>14</v>
      </c>
      <c r="P41" s="42">
        <v>0</v>
      </c>
      <c r="Q41" s="42">
        <v>900</v>
      </c>
      <c r="R41" s="42">
        <f t="shared" ref="R41" si="89">L41*Q41</f>
        <v>180000</v>
      </c>
    </row>
    <row r="43" spans="1:19">
      <c r="A43" s="1" t="s">
        <v>3485</v>
      </c>
      <c r="B43" s="42" t="s">
        <v>1210</v>
      </c>
      <c r="C43" s="42" t="s">
        <v>1787</v>
      </c>
      <c r="D43" s="42" t="s">
        <v>16</v>
      </c>
      <c r="E43" s="47" t="s">
        <v>1212</v>
      </c>
      <c r="F43" s="47">
        <v>1608</v>
      </c>
      <c r="G43" s="47"/>
      <c r="H43" s="47">
        <v>150</v>
      </c>
      <c r="I43" s="47">
        <v>6</v>
      </c>
      <c r="J43" s="47"/>
      <c r="K43" s="43">
        <f t="shared" ref="K43" si="90">I43*J43</f>
        <v>0</v>
      </c>
      <c r="L43" s="43">
        <f t="shared" ref="L43" si="91">H43-K43</f>
        <v>150</v>
      </c>
      <c r="M43" s="43"/>
      <c r="N43" s="43">
        <f t="shared" ref="N43" si="92">L43-M43</f>
        <v>150</v>
      </c>
      <c r="O43" s="43">
        <f t="shared" ref="O43" si="93">H43/1000*70</f>
        <v>10.5</v>
      </c>
      <c r="P43" s="42">
        <v>0</v>
      </c>
      <c r="Q43" s="42">
        <v>900</v>
      </c>
      <c r="R43" s="42">
        <f t="shared" ref="R43" si="94">L43*Q43</f>
        <v>135000</v>
      </c>
    </row>
    <row r="45" spans="1:19">
      <c r="A45" s="1" t="s">
        <v>3643</v>
      </c>
      <c r="B45" s="42" t="s">
        <v>1210</v>
      </c>
      <c r="C45" s="42" t="s">
        <v>1787</v>
      </c>
      <c r="D45" s="42" t="s">
        <v>16</v>
      </c>
      <c r="E45" s="47" t="s">
        <v>1212</v>
      </c>
      <c r="F45" s="47">
        <v>1703</v>
      </c>
      <c r="G45" s="47"/>
      <c r="H45" s="47">
        <v>300</v>
      </c>
      <c r="I45" s="47">
        <v>12</v>
      </c>
      <c r="J45" s="47"/>
      <c r="K45" s="43">
        <f t="shared" ref="K45" si="95">I45*J45</f>
        <v>0</v>
      </c>
      <c r="L45" s="43">
        <f t="shared" ref="L45" si="96">H45-K45</f>
        <v>300</v>
      </c>
      <c r="M45" s="43"/>
      <c r="N45" s="43">
        <f t="shared" ref="N45" si="97">L45-M45</f>
        <v>300</v>
      </c>
      <c r="O45" s="43">
        <f t="shared" ref="O45" si="98">H45/1000*70</f>
        <v>21</v>
      </c>
      <c r="P45" s="42">
        <v>0</v>
      </c>
      <c r="Q45" s="42">
        <v>900</v>
      </c>
      <c r="R45" s="42">
        <f t="shared" ref="R45" si="99">L45*Q45</f>
        <v>270000</v>
      </c>
    </row>
    <row r="47" spans="1:19">
      <c r="A47" s="1" t="s">
        <v>3779</v>
      </c>
      <c r="B47" s="42" t="s">
        <v>1210</v>
      </c>
      <c r="C47" s="42" t="s">
        <v>1787</v>
      </c>
      <c r="D47" s="42" t="s">
        <v>16</v>
      </c>
      <c r="E47" s="47" t="s">
        <v>3784</v>
      </c>
      <c r="F47" s="47">
        <v>1759</v>
      </c>
      <c r="G47" s="47"/>
      <c r="H47" s="47">
        <v>200</v>
      </c>
      <c r="I47" s="47">
        <v>8</v>
      </c>
      <c r="J47" s="47"/>
      <c r="K47" s="43">
        <f t="shared" ref="K47" si="100">I47*J47</f>
        <v>0</v>
      </c>
      <c r="L47" s="43">
        <f t="shared" ref="L47" si="101">H47-K47</f>
        <v>200</v>
      </c>
      <c r="M47" s="43"/>
      <c r="N47" s="43">
        <f t="shared" ref="N47" si="102">L47-M47</f>
        <v>200</v>
      </c>
      <c r="O47" s="43">
        <f t="shared" ref="O47" si="103">H47/1000*70</f>
        <v>14</v>
      </c>
      <c r="P47" s="42">
        <v>0</v>
      </c>
      <c r="Q47" s="42">
        <v>900</v>
      </c>
      <c r="R47" s="42">
        <f t="shared" ref="R47" si="104">L47*Q47</f>
        <v>180000</v>
      </c>
      <c r="S47" s="85"/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>
  <dimension ref="A5:T14"/>
  <sheetViews>
    <sheetView zoomScale="85" zoomScaleNormal="85" workbookViewId="0">
      <selection activeCell="A15" sqref="A15"/>
    </sheetView>
  </sheetViews>
  <sheetFormatPr defaultRowHeight="14.4"/>
  <cols>
    <col min="1" max="1" width="8.88671875" style="1"/>
    <col min="2" max="2" width="19" style="1" customWidth="1"/>
    <col min="3" max="3" width="16.6640625" style="1" customWidth="1"/>
    <col min="4" max="4" width="5.5546875" style="1" customWidth="1"/>
    <col min="5" max="5" width="10.664062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0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0">
      <c r="A6" s="7"/>
      <c r="B6" s="2"/>
      <c r="C6" s="2"/>
      <c r="D6" s="2"/>
      <c r="E6" s="2"/>
      <c r="F6" s="2"/>
      <c r="G6" s="2"/>
      <c r="H6" s="2"/>
      <c r="I6" s="2"/>
      <c r="J6" s="2"/>
      <c r="K6" s="2"/>
      <c r="L6" s="5"/>
      <c r="M6" s="5"/>
      <c r="N6" s="2"/>
    </row>
    <row r="7" spans="1:20">
      <c r="A7" s="8" t="s">
        <v>1207</v>
      </c>
      <c r="B7" s="42" t="s">
        <v>1213</v>
      </c>
      <c r="C7" s="42" t="s">
        <v>1214</v>
      </c>
      <c r="D7" s="42" t="s">
        <v>16</v>
      </c>
      <c r="E7" s="42" t="s">
        <v>1215</v>
      </c>
      <c r="F7" s="42" t="s">
        <v>1216</v>
      </c>
      <c r="G7" s="42"/>
      <c r="H7" s="42">
        <v>500</v>
      </c>
      <c r="I7" s="42">
        <v>20</v>
      </c>
      <c r="J7" s="42"/>
      <c r="K7" s="42">
        <f t="shared" ref="K7" si="0">I7*J7</f>
        <v>0</v>
      </c>
      <c r="L7" s="43">
        <f t="shared" ref="L7" si="1">H7-K7</f>
        <v>500</v>
      </c>
      <c r="M7" s="43"/>
      <c r="N7" s="43">
        <f t="shared" ref="N7" si="2">L7-M7</f>
        <v>500</v>
      </c>
      <c r="O7" s="43">
        <f t="shared" ref="O7" si="3">H7/1000*70</f>
        <v>35</v>
      </c>
      <c r="P7" s="42">
        <v>0</v>
      </c>
      <c r="Q7" s="42">
        <v>290</v>
      </c>
      <c r="R7" s="42">
        <f t="shared" ref="R7" si="4">L7*Q7</f>
        <v>145000</v>
      </c>
    </row>
    <row r="8" spans="1:20">
      <c r="A8" s="8"/>
      <c r="B8" s="42"/>
      <c r="C8" s="42"/>
      <c r="D8" s="42"/>
      <c r="E8" s="42"/>
      <c r="F8" s="42"/>
      <c r="G8" s="42"/>
      <c r="H8" s="42"/>
      <c r="I8" s="42"/>
      <c r="J8" s="42"/>
      <c r="K8" s="42"/>
      <c r="L8" s="43"/>
      <c r="M8" s="43"/>
      <c r="N8" s="43"/>
      <c r="O8" s="43"/>
      <c r="P8" s="42"/>
      <c r="Q8" s="42"/>
      <c r="R8" s="42"/>
    </row>
    <row r="9" spans="1:20">
      <c r="A9" s="9" t="s">
        <v>1224</v>
      </c>
      <c r="B9" s="42" t="s">
        <v>1213</v>
      </c>
      <c r="C9" s="42" t="s">
        <v>1232</v>
      </c>
      <c r="D9" s="42" t="s">
        <v>16</v>
      </c>
      <c r="E9" s="42" t="s">
        <v>1215</v>
      </c>
      <c r="F9" s="42">
        <v>81</v>
      </c>
      <c r="G9" s="42"/>
      <c r="H9" s="42">
        <v>1000</v>
      </c>
      <c r="I9" s="42">
        <v>50</v>
      </c>
      <c r="J9" s="42"/>
      <c r="K9" s="42">
        <f t="shared" ref="K9" si="5">I9*J9</f>
        <v>0</v>
      </c>
      <c r="L9" s="43">
        <f t="shared" ref="L9" si="6">H9-K9</f>
        <v>1000</v>
      </c>
      <c r="M9" s="43"/>
      <c r="N9" s="43">
        <f t="shared" ref="N9" si="7">L9-M9</f>
        <v>1000</v>
      </c>
      <c r="O9" s="43">
        <f t="shared" ref="O9" si="8">H9/1000*70</f>
        <v>70</v>
      </c>
      <c r="P9" s="42">
        <v>0</v>
      </c>
      <c r="Q9" s="42">
        <v>630</v>
      </c>
      <c r="R9" s="42">
        <f t="shared" ref="R9" si="9">L9*Q9</f>
        <v>630000</v>
      </c>
    </row>
    <row r="10" spans="1:20">
      <c r="A10" s="10"/>
      <c r="B10" s="2"/>
      <c r="C10" s="2"/>
      <c r="D10" s="2"/>
      <c r="E10" s="2"/>
      <c r="F10" s="2"/>
      <c r="G10" s="2"/>
      <c r="H10" s="2"/>
      <c r="I10" s="2"/>
      <c r="J10" s="2"/>
      <c r="K10" s="2"/>
      <c r="L10" s="5"/>
      <c r="M10" s="5"/>
      <c r="N10" s="2"/>
    </row>
    <row r="11" spans="1:20">
      <c r="A11" s="11"/>
      <c r="B11" s="42"/>
      <c r="C11" s="42"/>
      <c r="D11" s="42"/>
      <c r="E11" s="42"/>
      <c r="F11" s="42"/>
      <c r="G11" s="42"/>
      <c r="H11" s="42"/>
      <c r="I11" s="42"/>
      <c r="J11" s="42"/>
      <c r="K11" s="42"/>
      <c r="L11" s="43"/>
      <c r="M11" s="43"/>
      <c r="N11" s="43"/>
      <c r="O11" s="43"/>
      <c r="P11" s="42"/>
      <c r="Q11" s="42"/>
      <c r="R11" s="42"/>
    </row>
    <row r="12" spans="1:20">
      <c r="A12" s="1" t="s">
        <v>3387</v>
      </c>
      <c r="B12" s="42" t="s">
        <v>3392</v>
      </c>
      <c r="C12" s="42" t="s">
        <v>3393</v>
      </c>
      <c r="D12" s="42" t="s">
        <v>16</v>
      </c>
      <c r="E12" s="47" t="s">
        <v>3394</v>
      </c>
      <c r="F12" s="47">
        <v>186</v>
      </c>
      <c r="G12" s="47"/>
      <c r="H12" s="47">
        <v>300</v>
      </c>
      <c r="I12" s="47">
        <v>15</v>
      </c>
      <c r="J12" s="47"/>
      <c r="K12" s="43">
        <f t="shared" ref="K12" si="10">I12*J12</f>
        <v>0</v>
      </c>
      <c r="L12" s="43">
        <f t="shared" ref="L12" si="11">H12-K12</f>
        <v>300</v>
      </c>
      <c r="M12" s="43"/>
      <c r="N12" s="43">
        <f t="shared" ref="N12" si="12">L12-M12</f>
        <v>300</v>
      </c>
      <c r="O12" s="43">
        <f t="shared" ref="O12" si="13">H12/1000*70</f>
        <v>21</v>
      </c>
      <c r="P12" s="42">
        <v>0</v>
      </c>
      <c r="Q12" s="42">
        <v>640</v>
      </c>
      <c r="R12" s="42">
        <f t="shared" ref="R12" si="14">L12*Q12</f>
        <v>192000</v>
      </c>
    </row>
    <row r="14" spans="1:20">
      <c r="A14" s="1" t="s">
        <v>3510</v>
      </c>
      <c r="B14" s="42" t="s">
        <v>1213</v>
      </c>
      <c r="C14" s="42" t="s">
        <v>3512</v>
      </c>
      <c r="D14" s="42" t="s">
        <v>16</v>
      </c>
      <c r="E14" s="47" t="s">
        <v>3513</v>
      </c>
      <c r="F14" s="47">
        <v>752</v>
      </c>
      <c r="G14" s="47"/>
      <c r="H14" s="47">
        <v>300</v>
      </c>
      <c r="I14" s="47">
        <v>15</v>
      </c>
      <c r="J14" s="47"/>
      <c r="K14" s="43">
        <f t="shared" ref="K14" si="15">I14*J14</f>
        <v>0</v>
      </c>
      <c r="L14" s="43">
        <f t="shared" ref="L14" si="16">H14-K14</f>
        <v>300</v>
      </c>
      <c r="M14" s="43"/>
      <c r="N14" s="43">
        <f t="shared" ref="N14" si="17">L14-M14</f>
        <v>300</v>
      </c>
      <c r="O14" s="43">
        <f t="shared" ref="O14" si="18">H14/1000*70</f>
        <v>21</v>
      </c>
      <c r="P14" s="42">
        <v>0</v>
      </c>
      <c r="Q14" s="42">
        <v>640</v>
      </c>
      <c r="R14" s="42">
        <f t="shared" ref="R14" si="19">L14*Q14</f>
        <v>192000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>
  <dimension ref="A5:T11"/>
  <sheetViews>
    <sheetView zoomScale="85" zoomScaleNormal="85" workbookViewId="0">
      <selection activeCell="A11" sqref="A11"/>
    </sheetView>
  </sheetViews>
  <sheetFormatPr defaultRowHeight="14.4"/>
  <cols>
    <col min="1" max="1" width="8.88671875" style="1"/>
    <col min="2" max="2" width="25.6640625" style="1" customWidth="1"/>
    <col min="3" max="3" width="16.6640625" style="1" customWidth="1"/>
    <col min="4" max="4" width="5.5546875" style="1" customWidth="1"/>
    <col min="5" max="5" width="10.664062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0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0">
      <c r="A6" s="7"/>
      <c r="B6" s="2"/>
      <c r="C6" s="2"/>
      <c r="D6" s="2"/>
      <c r="E6" s="2"/>
      <c r="F6" s="2"/>
      <c r="G6" s="2"/>
      <c r="H6" s="2"/>
      <c r="I6" s="2"/>
      <c r="J6" s="2"/>
      <c r="K6" s="2"/>
      <c r="L6" s="5"/>
      <c r="M6" s="5"/>
      <c r="N6" s="2"/>
    </row>
    <row r="7" spans="1:20">
      <c r="A7" s="8" t="s">
        <v>1249</v>
      </c>
      <c r="B7" s="42" t="s">
        <v>1203</v>
      </c>
      <c r="C7" s="42" t="s">
        <v>1252</v>
      </c>
      <c r="D7" s="42" t="s">
        <v>16</v>
      </c>
      <c r="E7" s="42" t="s">
        <v>1253</v>
      </c>
      <c r="F7" s="42">
        <v>12</v>
      </c>
      <c r="G7" s="42"/>
      <c r="H7" s="42">
        <v>1000</v>
      </c>
      <c r="I7" s="42">
        <v>40</v>
      </c>
      <c r="J7" s="42"/>
      <c r="K7" s="42">
        <f t="shared" ref="K7:K8" si="0">I7*J7</f>
        <v>0</v>
      </c>
      <c r="L7" s="43">
        <f t="shared" ref="L7:L8" si="1">H7-K7</f>
        <v>1000</v>
      </c>
      <c r="M7" s="43"/>
      <c r="N7" s="43">
        <f t="shared" ref="N7:N8" si="2">L7-M7</f>
        <v>1000</v>
      </c>
      <c r="O7" s="43">
        <f t="shared" ref="O7:O8" si="3">H7/1000*70</f>
        <v>70</v>
      </c>
      <c r="P7" s="42">
        <v>0</v>
      </c>
      <c r="Q7" s="42">
        <v>290</v>
      </c>
      <c r="R7" s="42">
        <f t="shared" ref="R7:R8" si="4">L7*Q7</f>
        <v>290000</v>
      </c>
    </row>
    <row r="8" spans="1:20">
      <c r="A8" s="8" t="s">
        <v>1330</v>
      </c>
      <c r="B8" s="42" t="s">
        <v>1337</v>
      </c>
      <c r="C8" s="42" t="s">
        <v>1252</v>
      </c>
      <c r="D8" s="42" t="s">
        <v>16</v>
      </c>
      <c r="E8" s="42" t="s">
        <v>1336</v>
      </c>
      <c r="F8" s="42">
        <v>205</v>
      </c>
      <c r="G8" s="42"/>
      <c r="H8" s="42">
        <v>825</v>
      </c>
      <c r="I8" s="42">
        <v>33</v>
      </c>
      <c r="J8" s="42"/>
      <c r="K8" s="42">
        <f t="shared" si="0"/>
        <v>0</v>
      </c>
      <c r="L8" s="43">
        <f t="shared" si="1"/>
        <v>825</v>
      </c>
      <c r="M8" s="43"/>
      <c r="N8" s="43">
        <f t="shared" si="2"/>
        <v>825</v>
      </c>
      <c r="O8" s="43">
        <f t="shared" si="3"/>
        <v>57.75</v>
      </c>
      <c r="P8" s="42">
        <v>0</v>
      </c>
      <c r="Q8" s="42">
        <v>295</v>
      </c>
      <c r="R8" s="42">
        <f t="shared" si="4"/>
        <v>243375</v>
      </c>
    </row>
    <row r="9" spans="1:20">
      <c r="A9" s="9"/>
      <c r="B9" s="42"/>
      <c r="C9" s="42"/>
      <c r="D9" s="42"/>
      <c r="E9" s="42"/>
      <c r="F9" s="42"/>
      <c r="G9" s="42"/>
      <c r="H9" s="42"/>
      <c r="I9" s="42"/>
      <c r="J9" s="42"/>
      <c r="K9" s="42"/>
      <c r="L9" s="43"/>
      <c r="M9" s="43"/>
      <c r="N9" s="43"/>
      <c r="O9" s="43"/>
      <c r="P9" s="42"/>
      <c r="Q9" s="42"/>
      <c r="R9" s="42"/>
    </row>
    <row r="10" spans="1:20">
      <c r="A10" s="10" t="s">
        <v>2857</v>
      </c>
      <c r="B10" s="42" t="s">
        <v>1203</v>
      </c>
      <c r="C10" s="42" t="s">
        <v>1252</v>
      </c>
      <c r="D10" s="42" t="s">
        <v>16</v>
      </c>
      <c r="E10" s="42" t="s">
        <v>1530</v>
      </c>
      <c r="F10" s="42">
        <v>249</v>
      </c>
      <c r="G10" s="42"/>
      <c r="H10" s="42">
        <v>200</v>
      </c>
      <c r="I10" s="42">
        <v>8</v>
      </c>
      <c r="J10" s="42"/>
      <c r="K10" s="43">
        <f t="shared" ref="K10" si="5">I10*J10</f>
        <v>0</v>
      </c>
      <c r="L10" s="43">
        <f t="shared" ref="L10" si="6">H10-K10</f>
        <v>200</v>
      </c>
      <c r="M10" s="43"/>
      <c r="N10" s="43">
        <f t="shared" ref="N10" si="7">L10-M10</f>
        <v>200</v>
      </c>
      <c r="O10" s="43">
        <f t="shared" ref="O10" si="8">H10/1000*70</f>
        <v>14</v>
      </c>
      <c r="P10" s="42">
        <v>0</v>
      </c>
      <c r="Q10" s="42">
        <f>58400/200</f>
        <v>292</v>
      </c>
      <c r="R10" s="42">
        <f t="shared" ref="R10" si="9">L10*Q10</f>
        <v>58400</v>
      </c>
      <c r="S10" s="42"/>
    </row>
    <row r="11" spans="1:20">
      <c r="A11" s="11"/>
      <c r="B11" s="42"/>
      <c r="C11" s="42"/>
      <c r="D11" s="42"/>
      <c r="E11" s="42"/>
      <c r="F11" s="42"/>
      <c r="G11" s="42"/>
      <c r="H11" s="42"/>
      <c r="I11" s="42"/>
      <c r="J11" s="42"/>
      <c r="K11" s="42"/>
      <c r="L11" s="43"/>
      <c r="M11" s="43"/>
      <c r="N11" s="43"/>
      <c r="O11" s="43"/>
      <c r="P11" s="42"/>
      <c r="Q11" s="42"/>
      <c r="R11" s="42"/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>
  <dimension ref="A5:T20"/>
  <sheetViews>
    <sheetView zoomScale="85" zoomScaleNormal="85" workbookViewId="0">
      <selection activeCell="A21" sqref="A21"/>
    </sheetView>
  </sheetViews>
  <sheetFormatPr defaultRowHeight="14.4"/>
  <cols>
    <col min="1" max="1" width="8.88671875" style="1"/>
    <col min="2" max="2" width="19" style="1" customWidth="1"/>
    <col min="3" max="3" width="16.6640625" style="1" customWidth="1"/>
    <col min="4" max="4" width="5.5546875" style="1" customWidth="1"/>
    <col min="5" max="5" width="10.664062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0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0">
      <c r="A6" s="7"/>
      <c r="B6" s="2"/>
      <c r="C6" s="2"/>
      <c r="D6" s="2"/>
      <c r="E6" s="2"/>
      <c r="F6" s="2"/>
      <c r="G6" s="2"/>
      <c r="H6" s="2"/>
      <c r="I6" s="2"/>
      <c r="J6" s="2"/>
      <c r="K6" s="2"/>
      <c r="L6" s="5"/>
      <c r="M6" s="5"/>
      <c r="N6" s="2"/>
    </row>
    <row r="7" spans="1:20">
      <c r="A7" s="8" t="s">
        <v>1267</v>
      </c>
      <c r="B7" s="42" t="s">
        <v>1269</v>
      </c>
      <c r="C7" s="42" t="s">
        <v>1252</v>
      </c>
      <c r="D7" s="42" t="s">
        <v>16</v>
      </c>
      <c r="E7" s="42" t="s">
        <v>1270</v>
      </c>
      <c r="F7" s="42">
        <v>197</v>
      </c>
      <c r="G7" s="42"/>
      <c r="H7" s="42">
        <v>375</v>
      </c>
      <c r="I7" s="42">
        <v>15</v>
      </c>
      <c r="J7" s="42"/>
      <c r="K7" s="42">
        <f t="shared" ref="K7" si="0">I7*J7</f>
        <v>0</v>
      </c>
      <c r="L7" s="43">
        <f t="shared" ref="L7" si="1">H7-K7</f>
        <v>375</v>
      </c>
      <c r="M7" s="43"/>
      <c r="N7" s="43">
        <f t="shared" ref="N7" si="2">L7-M7</f>
        <v>375</v>
      </c>
      <c r="O7" s="43">
        <f t="shared" ref="O7" si="3">H7/1000*70</f>
        <v>26.25</v>
      </c>
      <c r="P7" s="42">
        <v>0</v>
      </c>
      <c r="Q7" s="42">
        <v>275</v>
      </c>
      <c r="R7" s="42">
        <f t="shared" ref="R7" si="4">L7*Q7</f>
        <v>103125</v>
      </c>
    </row>
    <row r="8" spans="1:20">
      <c r="A8" s="8"/>
      <c r="B8" s="42"/>
      <c r="C8" s="42"/>
      <c r="D8" s="42"/>
      <c r="E8" s="42"/>
      <c r="F8" s="42"/>
      <c r="G8" s="42"/>
      <c r="H8" s="42"/>
      <c r="I8" s="42"/>
      <c r="J8" s="42"/>
      <c r="K8" s="42"/>
      <c r="L8" s="43"/>
      <c r="M8" s="43"/>
      <c r="N8" s="43"/>
      <c r="O8" s="43"/>
      <c r="P8" s="42"/>
      <c r="Q8" s="42"/>
      <c r="R8" s="42"/>
    </row>
    <row r="9" spans="1:20">
      <c r="A9" s="9" t="s">
        <v>1311</v>
      </c>
      <c r="B9" s="42" t="s">
        <v>1269</v>
      </c>
      <c r="C9" s="42" t="s">
        <v>1252</v>
      </c>
      <c r="D9" s="42" t="s">
        <v>16</v>
      </c>
      <c r="E9" s="42" t="s">
        <v>835</v>
      </c>
      <c r="F9" s="42">
        <v>311</v>
      </c>
      <c r="G9" s="42">
        <v>919</v>
      </c>
      <c r="H9" s="42">
        <v>300</v>
      </c>
      <c r="I9" s="42">
        <v>12</v>
      </c>
      <c r="J9" s="42"/>
      <c r="K9" s="42">
        <f t="shared" ref="K9" si="5">I9*J9</f>
        <v>0</v>
      </c>
      <c r="L9" s="43">
        <f t="shared" ref="L9" si="6">H9-K9</f>
        <v>300</v>
      </c>
      <c r="M9" s="43"/>
      <c r="N9" s="43">
        <f t="shared" ref="N9" si="7">L9-M9</f>
        <v>300</v>
      </c>
      <c r="O9" s="43">
        <f t="shared" ref="O9" si="8">H9/1000*70</f>
        <v>21</v>
      </c>
      <c r="P9" s="42">
        <v>0</v>
      </c>
      <c r="Q9" s="42">
        <v>275</v>
      </c>
      <c r="R9" s="42">
        <f t="shared" ref="R9" si="9">L9*Q9</f>
        <v>82500</v>
      </c>
    </row>
    <row r="10" spans="1:20">
      <c r="A10" s="10"/>
      <c r="B10" s="2"/>
      <c r="C10" s="2"/>
      <c r="D10" s="2"/>
      <c r="E10" s="2"/>
      <c r="F10" s="2"/>
      <c r="G10" s="2"/>
      <c r="H10" s="2"/>
      <c r="I10" s="2"/>
      <c r="J10" s="2"/>
      <c r="K10" s="2"/>
      <c r="L10" s="5"/>
      <c r="M10" s="5"/>
      <c r="N10" s="2"/>
    </row>
    <row r="11" spans="1:20">
      <c r="A11" s="11" t="s">
        <v>1735</v>
      </c>
      <c r="B11" s="42" t="s">
        <v>1747</v>
      </c>
      <c r="C11" s="42" t="s">
        <v>1748</v>
      </c>
      <c r="D11" s="42" t="s">
        <v>16</v>
      </c>
      <c r="E11" s="42" t="s">
        <v>1196</v>
      </c>
      <c r="F11" s="42">
        <v>12601</v>
      </c>
      <c r="G11" s="42"/>
      <c r="H11" s="42">
        <v>200</v>
      </c>
      <c r="I11" s="42">
        <v>10</v>
      </c>
      <c r="J11" s="42"/>
      <c r="K11" s="42">
        <f t="shared" ref="K11" si="10">I11*J11</f>
        <v>0</v>
      </c>
      <c r="L11" s="43">
        <f t="shared" ref="L11" si="11">H11-K11</f>
        <v>200</v>
      </c>
      <c r="M11" s="43"/>
      <c r="N11" s="43">
        <f t="shared" ref="N11" si="12">L11-M11</f>
        <v>200</v>
      </c>
      <c r="O11" s="43">
        <f t="shared" ref="O11" si="13">H11/1000*70</f>
        <v>14</v>
      </c>
      <c r="P11" s="210">
        <v>0</v>
      </c>
      <c r="Q11" s="210">
        <v>275</v>
      </c>
      <c r="R11" s="42">
        <f t="shared" ref="R11" si="14">L11*Q11</f>
        <v>55000</v>
      </c>
    </row>
    <row r="13" spans="1:20">
      <c r="A13" s="1" t="s">
        <v>1954</v>
      </c>
      <c r="B13" s="42" t="s">
        <v>1269</v>
      </c>
      <c r="C13" s="42" t="s">
        <v>1957</v>
      </c>
      <c r="D13" s="42" t="s">
        <v>16</v>
      </c>
      <c r="E13" s="42" t="s">
        <v>1958</v>
      </c>
      <c r="F13" s="42">
        <v>15297</v>
      </c>
      <c r="G13" s="42"/>
      <c r="H13" s="42">
        <v>100</v>
      </c>
      <c r="I13" s="42"/>
      <c r="J13" s="42"/>
      <c r="K13" s="43">
        <f t="shared" ref="K13" si="15">I13*J13</f>
        <v>0</v>
      </c>
      <c r="L13" s="43">
        <f t="shared" ref="L13" si="16">H13-K13</f>
        <v>100</v>
      </c>
      <c r="M13" s="43"/>
      <c r="N13" s="43">
        <f t="shared" ref="N13" si="17">L13-M13</f>
        <v>100</v>
      </c>
      <c r="O13" s="43">
        <f t="shared" ref="O13" si="18">H13/1000*70</f>
        <v>7</v>
      </c>
      <c r="P13" s="42">
        <v>0</v>
      </c>
      <c r="Q13" s="42">
        <v>275</v>
      </c>
      <c r="R13" s="42">
        <f t="shared" ref="R13" si="19">L13*Q13</f>
        <v>27500</v>
      </c>
    </row>
    <row r="15" spans="1:20">
      <c r="A15" s="374" t="s">
        <v>3548</v>
      </c>
      <c r="B15" s="42" t="s">
        <v>1747</v>
      </c>
      <c r="C15" s="42" t="s">
        <v>27</v>
      </c>
      <c r="D15" s="42" t="s">
        <v>16</v>
      </c>
      <c r="E15" s="47" t="s">
        <v>3561</v>
      </c>
      <c r="F15" s="47">
        <v>19025973</v>
      </c>
      <c r="G15" s="47"/>
      <c r="H15" s="47">
        <v>1000</v>
      </c>
      <c r="I15" s="47">
        <v>40</v>
      </c>
      <c r="J15" s="47"/>
      <c r="K15" s="43">
        <f t="shared" ref="K15:K16" si="20">I15*J15</f>
        <v>0</v>
      </c>
      <c r="L15" s="43">
        <f t="shared" ref="L15:L16" si="21">H15-K15</f>
        <v>1000</v>
      </c>
      <c r="M15" s="43"/>
      <c r="N15" s="43">
        <f t="shared" ref="N15:N16" si="22">L15-M15</f>
        <v>1000</v>
      </c>
      <c r="O15" s="43">
        <f t="shared" ref="O15:O16" si="23">H15/1000*70</f>
        <v>70</v>
      </c>
      <c r="P15" s="42">
        <v>0</v>
      </c>
      <c r="Q15" s="42"/>
      <c r="R15" s="42">
        <f t="shared" ref="R15:R16" si="24">L15*Q15</f>
        <v>0</v>
      </c>
      <c r="S15" s="42"/>
    </row>
    <row r="16" spans="1:20">
      <c r="A16" s="374"/>
      <c r="B16" s="42"/>
      <c r="C16" s="42" t="s">
        <v>1640</v>
      </c>
      <c r="D16" s="42" t="s">
        <v>16</v>
      </c>
      <c r="E16" s="47" t="s">
        <v>3561</v>
      </c>
      <c r="F16" s="47">
        <v>19025973</v>
      </c>
      <c r="G16" s="47"/>
      <c r="H16" s="47">
        <v>500</v>
      </c>
      <c r="I16" s="47">
        <v>20</v>
      </c>
      <c r="J16" s="47"/>
      <c r="K16" s="43">
        <f t="shared" si="20"/>
        <v>0</v>
      </c>
      <c r="L16" s="43">
        <f t="shared" si="21"/>
        <v>500</v>
      </c>
      <c r="M16" s="43"/>
      <c r="N16" s="43">
        <f t="shared" si="22"/>
        <v>500</v>
      </c>
      <c r="O16" s="43">
        <f t="shared" si="23"/>
        <v>35</v>
      </c>
      <c r="P16" s="42">
        <v>0</v>
      </c>
      <c r="Q16" s="42"/>
      <c r="R16" s="42">
        <f t="shared" si="24"/>
        <v>0</v>
      </c>
      <c r="S16" s="42"/>
    </row>
    <row r="18" spans="1:18">
      <c r="A18" s="1" t="s">
        <v>3889</v>
      </c>
      <c r="B18" s="47" t="s">
        <v>1747</v>
      </c>
      <c r="C18" s="47" t="s">
        <v>1640</v>
      </c>
      <c r="D18" s="42" t="s">
        <v>16</v>
      </c>
      <c r="E18" s="47" t="s">
        <v>3891</v>
      </c>
      <c r="F18" s="47">
        <v>1903391</v>
      </c>
      <c r="G18" s="47"/>
      <c r="H18" s="47">
        <v>650</v>
      </c>
      <c r="I18" s="47">
        <v>26</v>
      </c>
      <c r="J18" s="47"/>
      <c r="K18" s="43">
        <f t="shared" ref="K18" si="25">I18*J18</f>
        <v>0</v>
      </c>
      <c r="L18" s="43">
        <f t="shared" ref="L18" si="26">H18-K18</f>
        <v>650</v>
      </c>
      <c r="M18" s="43"/>
      <c r="N18" s="43">
        <f t="shared" ref="N18" si="27">L18-M18</f>
        <v>650</v>
      </c>
      <c r="O18" s="43">
        <f t="shared" ref="O18" si="28">H18/1000*70</f>
        <v>45.5</v>
      </c>
      <c r="P18" s="42">
        <v>0</v>
      </c>
      <c r="Q18" s="42"/>
      <c r="R18" s="42">
        <f t="shared" ref="R18" si="29">L18*Q18</f>
        <v>0</v>
      </c>
    </row>
    <row r="20" spans="1:18">
      <c r="A20" s="1" t="s">
        <v>3926</v>
      </c>
      <c r="B20" s="329" t="s">
        <v>3930</v>
      </c>
      <c r="C20" s="329" t="s">
        <v>1640</v>
      </c>
      <c r="D20" s="42" t="s">
        <v>16</v>
      </c>
      <c r="E20" s="329" t="s">
        <v>3931</v>
      </c>
      <c r="F20" s="329">
        <v>19033391</v>
      </c>
      <c r="G20" s="329"/>
      <c r="H20" s="329">
        <v>350</v>
      </c>
      <c r="I20" s="329">
        <v>14</v>
      </c>
      <c r="J20" s="329"/>
      <c r="K20" s="43">
        <f t="shared" ref="K20" si="30">I20*J20</f>
        <v>0</v>
      </c>
      <c r="L20" s="43">
        <f t="shared" ref="L20" si="31">H20-K20</f>
        <v>350</v>
      </c>
      <c r="M20" s="43"/>
      <c r="N20" s="43">
        <f t="shared" ref="N20" si="32">L20-M20</f>
        <v>350</v>
      </c>
      <c r="O20" s="43">
        <f t="shared" ref="O20" si="33">H20/1000*70</f>
        <v>24.5</v>
      </c>
      <c r="P20" s="42">
        <v>0</v>
      </c>
      <c r="Q20" s="42">
        <v>165</v>
      </c>
      <c r="R20" s="42">
        <f t="shared" ref="R20" si="34">L20*Q20</f>
        <v>57750</v>
      </c>
    </row>
  </sheetData>
  <mergeCells count="1">
    <mergeCell ref="A15:A16"/>
  </mergeCells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>
  <dimension ref="A5:T23"/>
  <sheetViews>
    <sheetView zoomScale="85" zoomScaleNormal="85" workbookViewId="0">
      <selection activeCell="A14" sqref="A14:R18"/>
    </sheetView>
  </sheetViews>
  <sheetFormatPr defaultRowHeight="14.4"/>
  <cols>
    <col min="1" max="1" width="8.88671875" style="1"/>
    <col min="2" max="2" width="19" style="1" customWidth="1"/>
    <col min="3" max="3" width="16.6640625" style="1" customWidth="1"/>
    <col min="4" max="4" width="5.5546875" style="1" customWidth="1"/>
    <col min="5" max="5" width="10.664062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0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0">
      <c r="A6" s="7"/>
      <c r="B6" s="163"/>
      <c r="C6" s="163"/>
      <c r="D6" s="163"/>
      <c r="E6" s="163"/>
      <c r="F6" s="163"/>
      <c r="G6" s="163"/>
      <c r="H6" s="163"/>
      <c r="I6" s="163"/>
      <c r="J6" s="163"/>
      <c r="K6" s="163"/>
      <c r="L6" s="5"/>
      <c r="M6" s="5"/>
      <c r="N6" s="163"/>
    </row>
    <row r="7" spans="1:20">
      <c r="A7" s="8" t="s">
        <v>1379</v>
      </c>
      <c r="B7" s="42" t="s">
        <v>19</v>
      </c>
      <c r="C7" s="42" t="s">
        <v>1252</v>
      </c>
      <c r="D7" s="42" t="s">
        <v>16</v>
      </c>
      <c r="E7" s="42" t="s">
        <v>1381</v>
      </c>
      <c r="F7" s="42">
        <v>1688</v>
      </c>
      <c r="G7" s="42"/>
      <c r="H7" s="42">
        <v>10000</v>
      </c>
      <c r="I7" s="42">
        <v>400</v>
      </c>
      <c r="J7" s="42"/>
      <c r="K7" s="42">
        <f t="shared" ref="K7:K8" si="0">I7*J7</f>
        <v>0</v>
      </c>
      <c r="L7" s="43">
        <f t="shared" ref="L7:L8" si="1">H7-K7</f>
        <v>10000</v>
      </c>
      <c r="M7" s="43"/>
      <c r="N7" s="43">
        <f t="shared" ref="N7:N8" si="2">L7-M7</f>
        <v>10000</v>
      </c>
      <c r="O7" s="43">
        <f t="shared" ref="O7:O8" si="3">H7/1000*70</f>
        <v>700</v>
      </c>
      <c r="P7" s="42">
        <v>28000</v>
      </c>
      <c r="Q7" s="42"/>
      <c r="R7" s="42">
        <f t="shared" ref="R7:R8" si="4">L7*Q7</f>
        <v>0</v>
      </c>
    </row>
    <row r="8" spans="1:20">
      <c r="A8" s="8" t="s">
        <v>1384</v>
      </c>
      <c r="B8" s="42" t="s">
        <v>19</v>
      </c>
      <c r="C8" s="42" t="s">
        <v>1252</v>
      </c>
      <c r="D8" s="42" t="s">
        <v>16</v>
      </c>
      <c r="E8" s="42" t="s">
        <v>1389</v>
      </c>
      <c r="F8" s="42">
        <v>1689</v>
      </c>
      <c r="G8" s="42"/>
      <c r="H8" s="42">
        <v>10000</v>
      </c>
      <c r="I8" s="42">
        <v>400</v>
      </c>
      <c r="J8" s="42"/>
      <c r="K8" s="42">
        <f t="shared" si="0"/>
        <v>0</v>
      </c>
      <c r="L8" s="43">
        <f t="shared" si="1"/>
        <v>10000</v>
      </c>
      <c r="M8" s="43"/>
      <c r="N8" s="43">
        <f t="shared" si="2"/>
        <v>10000</v>
      </c>
      <c r="O8" s="43">
        <f t="shared" si="3"/>
        <v>700</v>
      </c>
      <c r="P8" s="42">
        <v>28000</v>
      </c>
      <c r="Q8" s="42"/>
      <c r="R8" s="42">
        <f t="shared" si="4"/>
        <v>0</v>
      </c>
    </row>
    <row r="9" spans="1:20">
      <c r="A9" s="9"/>
      <c r="B9" s="42"/>
      <c r="C9" s="42"/>
      <c r="D9" s="42"/>
      <c r="E9" s="42"/>
      <c r="F9" s="42"/>
      <c r="G9" s="42"/>
      <c r="H9" s="42"/>
      <c r="I9" s="42"/>
      <c r="J9" s="42"/>
      <c r="K9" s="42"/>
      <c r="L9" s="43"/>
      <c r="M9" s="43"/>
      <c r="N9" s="43"/>
      <c r="O9" s="43"/>
      <c r="P9" s="42"/>
      <c r="Q9" s="42"/>
      <c r="R9" s="42"/>
    </row>
    <row r="10" spans="1:20">
      <c r="A10" s="10" t="s">
        <v>2867</v>
      </c>
      <c r="B10" s="42" t="s">
        <v>2872</v>
      </c>
      <c r="C10" s="42" t="s">
        <v>1252</v>
      </c>
      <c r="D10" s="42" t="s">
        <v>16</v>
      </c>
      <c r="E10" s="42" t="s">
        <v>2873</v>
      </c>
      <c r="F10" s="42">
        <v>763</v>
      </c>
      <c r="G10" s="42"/>
      <c r="H10" s="42">
        <v>6000</v>
      </c>
      <c r="I10" s="42">
        <v>240</v>
      </c>
      <c r="J10" s="42"/>
      <c r="K10" s="43">
        <f t="shared" ref="K10" si="5">I10*J10</f>
        <v>0</v>
      </c>
      <c r="L10" s="43">
        <f t="shared" ref="L10" si="6">H10-K10</f>
        <v>6000</v>
      </c>
      <c r="M10" s="43"/>
      <c r="N10" s="43">
        <f t="shared" ref="N10" si="7">L10-M10</f>
        <v>6000</v>
      </c>
      <c r="O10" s="43">
        <f t="shared" ref="O10" si="8">H10/1000*70</f>
        <v>420</v>
      </c>
      <c r="P10" s="42">
        <v>16500</v>
      </c>
      <c r="Q10" s="42"/>
      <c r="R10" s="42">
        <f t="shared" ref="R10" si="9">L10*Q10</f>
        <v>0</v>
      </c>
    </row>
    <row r="11" spans="1:20">
      <c r="A11" s="11"/>
      <c r="B11" s="42"/>
      <c r="C11" s="42"/>
      <c r="D11" s="42"/>
      <c r="E11" s="42"/>
      <c r="F11" s="42"/>
      <c r="G11" s="42"/>
      <c r="H11" s="42"/>
      <c r="I11" s="42"/>
      <c r="J11" s="42"/>
      <c r="K11" s="42"/>
      <c r="L11" s="43"/>
      <c r="M11" s="43"/>
      <c r="N11" s="43"/>
      <c r="O11" s="43"/>
      <c r="P11" s="42"/>
      <c r="Q11" s="42"/>
      <c r="R11" s="42"/>
    </row>
    <row r="12" spans="1:20">
      <c r="A12" s="249" t="s">
        <v>2733</v>
      </c>
      <c r="B12" s="42" t="s">
        <v>2872</v>
      </c>
      <c r="C12" s="42" t="s">
        <v>1252</v>
      </c>
      <c r="D12" s="42" t="s">
        <v>16</v>
      </c>
      <c r="E12" s="42" t="s">
        <v>2878</v>
      </c>
      <c r="F12" s="42">
        <v>762</v>
      </c>
      <c r="G12" s="42"/>
      <c r="H12" s="42">
        <v>10000</v>
      </c>
      <c r="I12" s="42">
        <v>400</v>
      </c>
      <c r="J12" s="42"/>
      <c r="K12" s="43">
        <f t="shared" ref="K12" si="10">I12*J12</f>
        <v>0</v>
      </c>
      <c r="L12" s="43">
        <f t="shared" ref="L12" si="11">H12-K12</f>
        <v>10000</v>
      </c>
      <c r="M12" s="43"/>
      <c r="N12" s="43">
        <f t="shared" ref="N12" si="12">L12-M12</f>
        <v>10000</v>
      </c>
      <c r="O12" s="43">
        <f t="shared" ref="O12" si="13">H12/1000*70</f>
        <v>700</v>
      </c>
      <c r="P12" s="42">
        <v>16000</v>
      </c>
      <c r="Q12" s="42"/>
      <c r="R12" s="42">
        <f t="shared" ref="R12" si="14">L12*Q12</f>
        <v>0</v>
      </c>
    </row>
    <row r="14" spans="1:20">
      <c r="A14" s="1" t="s">
        <v>3213</v>
      </c>
      <c r="B14" s="42" t="s">
        <v>2872</v>
      </c>
      <c r="C14" s="42" t="s">
        <v>1252</v>
      </c>
      <c r="D14" s="42" t="s">
        <v>16</v>
      </c>
      <c r="E14" s="42" t="s">
        <v>3216</v>
      </c>
      <c r="F14" s="42">
        <v>26430</v>
      </c>
      <c r="G14" s="42"/>
      <c r="H14" s="42">
        <v>12500</v>
      </c>
      <c r="I14" s="42">
        <v>500</v>
      </c>
      <c r="J14" s="42"/>
      <c r="K14" s="43">
        <f t="shared" ref="K14:K17" si="15">I14*J14</f>
        <v>0</v>
      </c>
      <c r="L14" s="43">
        <f t="shared" ref="L14:L17" si="16">H14-K14</f>
        <v>12500</v>
      </c>
      <c r="M14" s="43"/>
      <c r="N14" s="43">
        <f t="shared" ref="N14:N17" si="17">L14-M14</f>
        <v>12500</v>
      </c>
      <c r="O14" s="43">
        <f t="shared" ref="O14:O17" si="18">H14/1000*70</f>
        <v>875</v>
      </c>
      <c r="P14" s="42">
        <v>16000</v>
      </c>
      <c r="Q14" s="42"/>
      <c r="R14" s="42">
        <f t="shared" ref="R14:R17" si="19">L14*Q14</f>
        <v>0</v>
      </c>
    </row>
    <row r="15" spans="1:20">
      <c r="A15" s="374" t="s">
        <v>3217</v>
      </c>
      <c r="B15" s="42" t="s">
        <v>2872</v>
      </c>
      <c r="C15" s="42" t="s">
        <v>1252</v>
      </c>
      <c r="D15" s="42" t="s">
        <v>16</v>
      </c>
      <c r="E15" s="42" t="s">
        <v>3218</v>
      </c>
      <c r="F15" s="42">
        <v>26431</v>
      </c>
      <c r="G15" s="42"/>
      <c r="H15" s="42">
        <v>12500</v>
      </c>
      <c r="I15" s="42">
        <v>500</v>
      </c>
      <c r="J15" s="42"/>
      <c r="K15" s="43">
        <f t="shared" si="15"/>
        <v>0</v>
      </c>
      <c r="L15" s="43">
        <f t="shared" si="16"/>
        <v>12500</v>
      </c>
      <c r="M15" s="43"/>
      <c r="N15" s="43">
        <f t="shared" si="17"/>
        <v>12500</v>
      </c>
      <c r="O15" s="43">
        <f t="shared" si="18"/>
        <v>875</v>
      </c>
      <c r="P15" s="42">
        <v>16500</v>
      </c>
      <c r="Q15" s="42"/>
      <c r="R15" s="42">
        <f t="shared" si="19"/>
        <v>0</v>
      </c>
    </row>
    <row r="16" spans="1:20">
      <c r="A16" s="374"/>
      <c r="B16" s="42" t="s">
        <v>2872</v>
      </c>
      <c r="C16" s="42" t="s">
        <v>1252</v>
      </c>
      <c r="D16" s="42" t="s">
        <v>16</v>
      </c>
      <c r="E16" s="42" t="s">
        <v>3219</v>
      </c>
      <c r="F16" s="42">
        <v>26432</v>
      </c>
      <c r="G16" s="42"/>
      <c r="H16" s="42">
        <v>12500</v>
      </c>
      <c r="I16" s="42">
        <v>500</v>
      </c>
      <c r="J16" s="42"/>
      <c r="K16" s="43">
        <f t="shared" si="15"/>
        <v>0</v>
      </c>
      <c r="L16" s="43">
        <f t="shared" si="16"/>
        <v>12500</v>
      </c>
      <c r="M16" s="43"/>
      <c r="N16" s="43">
        <f t="shared" si="17"/>
        <v>12500</v>
      </c>
      <c r="O16" s="43">
        <f t="shared" si="18"/>
        <v>875</v>
      </c>
      <c r="P16" s="42">
        <v>16500</v>
      </c>
      <c r="Q16" s="42"/>
      <c r="R16" s="42">
        <f t="shared" si="19"/>
        <v>0</v>
      </c>
    </row>
    <row r="17" spans="1:18">
      <c r="A17" s="374"/>
      <c r="B17" s="42" t="s">
        <v>2872</v>
      </c>
      <c r="C17" s="42" t="s">
        <v>1252</v>
      </c>
      <c r="D17" s="42" t="s">
        <v>16</v>
      </c>
      <c r="E17" s="42" t="s">
        <v>3220</v>
      </c>
      <c r="F17" s="42">
        <v>26433</v>
      </c>
      <c r="G17" s="42"/>
      <c r="H17" s="42">
        <v>10500</v>
      </c>
      <c r="I17" s="42">
        <f>H17/25</f>
        <v>420</v>
      </c>
      <c r="J17" s="42"/>
      <c r="K17" s="43">
        <f t="shared" si="15"/>
        <v>0</v>
      </c>
      <c r="L17" s="43">
        <f t="shared" si="16"/>
        <v>10500</v>
      </c>
      <c r="M17" s="43"/>
      <c r="N17" s="43">
        <f t="shared" si="17"/>
        <v>10500</v>
      </c>
      <c r="O17" s="43">
        <f t="shared" si="18"/>
        <v>735</v>
      </c>
      <c r="P17" s="42">
        <v>16500</v>
      </c>
      <c r="Q17" s="42"/>
      <c r="R17" s="42">
        <f t="shared" si="19"/>
        <v>0</v>
      </c>
    </row>
    <row r="18" spans="1:18">
      <c r="H18" s="1">
        <f>84*25</f>
        <v>2100</v>
      </c>
      <c r="I18" s="67">
        <v>84</v>
      </c>
      <c r="L18" s="1">
        <v>2100</v>
      </c>
      <c r="N18" s="1">
        <v>2100</v>
      </c>
      <c r="O18" s="1">
        <v>147</v>
      </c>
      <c r="P18" s="67">
        <v>3500</v>
      </c>
    </row>
    <row r="23" spans="1:18">
      <c r="N23" s="16">
        <f>SUM(N14:N22)</f>
        <v>50100</v>
      </c>
      <c r="O23" s="16">
        <f t="shared" ref="O23:P23" si="20">SUM(O14:O22)</f>
        <v>3507</v>
      </c>
      <c r="P23" s="16">
        <f t="shared" si="20"/>
        <v>69000</v>
      </c>
    </row>
  </sheetData>
  <mergeCells count="1">
    <mergeCell ref="A15:A17"/>
  </mergeCells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>
  <dimension ref="A5:T53"/>
  <sheetViews>
    <sheetView topLeftCell="A32" zoomScale="85" zoomScaleNormal="85" workbookViewId="0">
      <selection activeCell="A54" sqref="A54"/>
    </sheetView>
  </sheetViews>
  <sheetFormatPr defaultRowHeight="14.4"/>
  <cols>
    <col min="1" max="1" width="8.88671875" style="1"/>
    <col min="2" max="2" width="23.44140625" style="1" customWidth="1"/>
    <col min="3" max="3" width="16.6640625" style="1" customWidth="1"/>
    <col min="4" max="4" width="5.5546875" style="1" customWidth="1"/>
    <col min="5" max="5" width="10.664062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0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0">
      <c r="A6" s="7"/>
      <c r="B6" s="174"/>
      <c r="C6" s="174"/>
      <c r="D6" s="174"/>
      <c r="E6" s="174"/>
      <c r="F6" s="174"/>
      <c r="G6" s="174"/>
      <c r="H6" s="174"/>
      <c r="I6" s="174"/>
      <c r="J6" s="174"/>
      <c r="K6" s="174"/>
      <c r="L6" s="5"/>
      <c r="M6" s="5"/>
      <c r="N6" s="174"/>
    </row>
    <row r="7" spans="1:20">
      <c r="A7" s="9"/>
      <c r="B7" s="42"/>
      <c r="C7" s="42"/>
      <c r="D7" s="42"/>
      <c r="E7" s="42"/>
      <c r="F7" s="42"/>
      <c r="G7" s="42"/>
      <c r="H7" s="42"/>
      <c r="I7" s="42"/>
      <c r="J7" s="42"/>
      <c r="K7" s="42"/>
      <c r="L7" s="43"/>
      <c r="M7" s="43"/>
      <c r="N7" s="43"/>
      <c r="O7" s="43"/>
      <c r="P7" s="42"/>
      <c r="Q7" s="42"/>
      <c r="R7" s="42"/>
    </row>
    <row r="8" spans="1:20">
      <c r="A8" s="381" t="s">
        <v>1516</v>
      </c>
      <c r="B8" s="42" t="s">
        <v>1519</v>
      </c>
      <c r="C8" s="42" t="s">
        <v>1520</v>
      </c>
      <c r="D8" s="42" t="s">
        <v>16</v>
      </c>
      <c r="E8" s="42" t="s">
        <v>1521</v>
      </c>
      <c r="F8" s="42">
        <v>167</v>
      </c>
      <c r="G8" s="42"/>
      <c r="H8" s="42">
        <v>300</v>
      </c>
      <c r="I8" s="42">
        <v>12</v>
      </c>
      <c r="J8" s="42"/>
      <c r="K8" s="42">
        <f t="shared" ref="K8:K9" si="0">I8*J8</f>
        <v>0</v>
      </c>
      <c r="L8" s="43">
        <f t="shared" ref="L8:L9" si="1">H8-K8</f>
        <v>300</v>
      </c>
      <c r="M8" s="43"/>
      <c r="N8" s="43">
        <f t="shared" ref="N8:N9" si="2">L8-M8</f>
        <v>300</v>
      </c>
      <c r="O8" s="43">
        <f t="shared" ref="O8:O9" si="3">H8/1000*70</f>
        <v>21</v>
      </c>
      <c r="P8" s="42">
        <v>0</v>
      </c>
      <c r="Q8" s="42"/>
      <c r="R8" s="42">
        <f t="shared" ref="R8:R9" si="4">L8*Q8</f>
        <v>0</v>
      </c>
    </row>
    <row r="9" spans="1:20">
      <c r="A9" s="379"/>
      <c r="B9" s="42" t="s">
        <v>1519</v>
      </c>
      <c r="C9" s="42" t="s">
        <v>1522</v>
      </c>
      <c r="D9" s="42" t="s">
        <v>16</v>
      </c>
      <c r="E9" s="42" t="s">
        <v>1521</v>
      </c>
      <c r="F9" s="42">
        <v>167</v>
      </c>
      <c r="G9" s="42"/>
      <c r="H9" s="42">
        <v>500</v>
      </c>
      <c r="I9" s="42">
        <v>20</v>
      </c>
      <c r="J9" s="42"/>
      <c r="K9" s="42">
        <f t="shared" si="0"/>
        <v>0</v>
      </c>
      <c r="L9" s="43">
        <f t="shared" si="1"/>
        <v>500</v>
      </c>
      <c r="M9" s="43"/>
      <c r="N9" s="43">
        <f t="shared" si="2"/>
        <v>500</v>
      </c>
      <c r="O9" s="43">
        <f t="shared" si="3"/>
        <v>35</v>
      </c>
      <c r="P9" s="42">
        <v>0</v>
      </c>
      <c r="Q9" s="42"/>
      <c r="R9" s="42">
        <f t="shared" si="4"/>
        <v>0</v>
      </c>
    </row>
    <row r="11" spans="1:20">
      <c r="A11" s="1" t="s">
        <v>1587</v>
      </c>
      <c r="B11" s="42" t="s">
        <v>1519</v>
      </c>
      <c r="C11" s="42" t="s">
        <v>1595</v>
      </c>
      <c r="D11" s="42" t="s">
        <v>16</v>
      </c>
      <c r="E11" s="42" t="s">
        <v>1596</v>
      </c>
      <c r="F11" s="42">
        <v>200</v>
      </c>
      <c r="G11" s="42"/>
      <c r="H11" s="42">
        <v>500</v>
      </c>
      <c r="I11" s="42">
        <v>20</v>
      </c>
      <c r="J11" s="42"/>
      <c r="K11" s="42">
        <f t="shared" ref="K11" si="5">I11*J11</f>
        <v>0</v>
      </c>
      <c r="L11" s="43">
        <f t="shared" ref="L11" si="6">H11-K11</f>
        <v>500</v>
      </c>
      <c r="M11" s="43"/>
      <c r="N11" s="43">
        <f t="shared" ref="N11" si="7">L11-M11</f>
        <v>500</v>
      </c>
      <c r="O11" s="43">
        <f t="shared" ref="O11" si="8">H11/1000*70</f>
        <v>35</v>
      </c>
      <c r="P11" s="42">
        <v>0</v>
      </c>
      <c r="Q11" s="42"/>
      <c r="R11" s="42">
        <f t="shared" ref="R11" si="9">L11*Q11</f>
        <v>0</v>
      </c>
    </row>
    <row r="13" spans="1:20">
      <c r="A13" s="1" t="s">
        <v>1691</v>
      </c>
      <c r="B13" s="42" t="s">
        <v>1696</v>
      </c>
      <c r="C13" s="42" t="s">
        <v>1522</v>
      </c>
      <c r="D13" s="42" t="s">
        <v>16</v>
      </c>
      <c r="E13" s="42" t="s">
        <v>1697</v>
      </c>
      <c r="F13" s="42">
        <v>264</v>
      </c>
      <c r="G13" s="42"/>
      <c r="H13" s="42">
        <v>300</v>
      </c>
      <c r="I13" s="42">
        <v>12</v>
      </c>
      <c r="J13" s="42"/>
      <c r="K13" s="42">
        <f t="shared" ref="K13" si="10">I13*J13</f>
        <v>0</v>
      </c>
      <c r="L13" s="43">
        <f t="shared" ref="L13" si="11">H13-K13</f>
        <v>300</v>
      </c>
      <c r="M13" s="43"/>
      <c r="N13" s="43">
        <f t="shared" ref="N13" si="12">L13-M13</f>
        <v>300</v>
      </c>
      <c r="O13" s="43">
        <f t="shared" ref="O13" si="13">H13/1000*70</f>
        <v>21</v>
      </c>
      <c r="P13" s="201">
        <v>0</v>
      </c>
      <c r="Q13" s="201">
        <v>250</v>
      </c>
      <c r="R13" s="42">
        <f t="shared" ref="R13" si="14">L13*Q13</f>
        <v>75000</v>
      </c>
    </row>
    <row r="15" spans="1:20">
      <c r="A15" s="1" t="s">
        <v>1904</v>
      </c>
      <c r="B15" s="42" t="s">
        <v>1905</v>
      </c>
      <c r="C15" s="42" t="s">
        <v>1522</v>
      </c>
      <c r="D15" s="42" t="s">
        <v>16</v>
      </c>
      <c r="E15" s="42" t="s">
        <v>1906</v>
      </c>
      <c r="F15" s="42">
        <v>0</v>
      </c>
      <c r="G15" s="42"/>
      <c r="H15" s="42">
        <v>100</v>
      </c>
      <c r="I15" s="42">
        <v>4</v>
      </c>
      <c r="J15" s="42"/>
      <c r="K15" s="42">
        <f t="shared" ref="K15" si="15">I15*J15</f>
        <v>0</v>
      </c>
      <c r="L15" s="43">
        <f t="shared" ref="L15" si="16">H15-K15</f>
        <v>100</v>
      </c>
      <c r="M15" s="43"/>
      <c r="N15" s="43">
        <f t="shared" ref="N15" si="17">L15-M15</f>
        <v>100</v>
      </c>
      <c r="O15" s="43">
        <f t="shared" ref="O15" si="18">H15/1000*70</f>
        <v>7</v>
      </c>
      <c r="P15" s="42">
        <v>0</v>
      </c>
      <c r="Q15" s="42">
        <v>250</v>
      </c>
      <c r="R15" s="42">
        <f t="shared" ref="R15" si="19">L15*Q15</f>
        <v>25000</v>
      </c>
    </row>
    <row r="17" spans="1:18">
      <c r="A17" s="374" t="s">
        <v>2063</v>
      </c>
      <c r="B17" s="42" t="s">
        <v>2065</v>
      </c>
      <c r="C17" s="42" t="s">
        <v>1522</v>
      </c>
      <c r="D17" s="42" t="s">
        <v>16</v>
      </c>
      <c r="E17" s="42" t="s">
        <v>2066</v>
      </c>
      <c r="F17" s="42" t="s">
        <v>2067</v>
      </c>
      <c r="G17" s="42"/>
      <c r="H17" s="42">
        <v>100</v>
      </c>
      <c r="I17" s="42">
        <v>4</v>
      </c>
      <c r="J17" s="42"/>
      <c r="K17" s="43">
        <f t="shared" ref="K17:K18" si="20">I17*J17</f>
        <v>0</v>
      </c>
      <c r="L17" s="43">
        <f t="shared" ref="L17:L18" si="21">H17-K17</f>
        <v>100</v>
      </c>
      <c r="M17" s="43"/>
      <c r="N17" s="43">
        <f t="shared" ref="N17:N18" si="22">L17-M17</f>
        <v>100</v>
      </c>
      <c r="O17" s="43">
        <f t="shared" ref="O17:O18" si="23">H17/1000*70</f>
        <v>7</v>
      </c>
      <c r="P17" s="42">
        <v>0</v>
      </c>
      <c r="Q17" s="42">
        <v>250</v>
      </c>
      <c r="R17" s="42">
        <f t="shared" ref="R17:R18" si="24">L17*Q17</f>
        <v>25000</v>
      </c>
    </row>
    <row r="18" spans="1:18">
      <c r="A18" s="374"/>
      <c r="B18" s="42"/>
      <c r="C18" s="42" t="s">
        <v>2068</v>
      </c>
      <c r="D18" s="42" t="s">
        <v>16</v>
      </c>
      <c r="E18" s="42" t="s">
        <v>1906</v>
      </c>
      <c r="F18" s="42" t="s">
        <v>2067</v>
      </c>
      <c r="G18" s="42"/>
      <c r="H18" s="42">
        <v>100</v>
      </c>
      <c r="I18" s="42">
        <v>4</v>
      </c>
      <c r="J18" s="42"/>
      <c r="K18" s="43">
        <f t="shared" si="20"/>
        <v>0</v>
      </c>
      <c r="L18" s="43">
        <f t="shared" si="21"/>
        <v>100</v>
      </c>
      <c r="M18" s="43"/>
      <c r="N18" s="43">
        <f t="shared" si="22"/>
        <v>100</v>
      </c>
      <c r="O18" s="43">
        <f t="shared" si="23"/>
        <v>7</v>
      </c>
      <c r="P18" s="42">
        <v>0</v>
      </c>
      <c r="Q18" s="42">
        <v>730</v>
      </c>
      <c r="R18" s="42">
        <f t="shared" si="24"/>
        <v>73000</v>
      </c>
    </row>
    <row r="20" spans="1:18">
      <c r="A20" s="1" t="s">
        <v>2459</v>
      </c>
      <c r="B20" s="42" t="s">
        <v>2460</v>
      </c>
      <c r="C20" s="42" t="s">
        <v>1595</v>
      </c>
      <c r="D20" s="42" t="s">
        <v>16</v>
      </c>
      <c r="E20" s="42" t="s">
        <v>2461</v>
      </c>
      <c r="F20" s="42">
        <v>755</v>
      </c>
      <c r="G20" s="42"/>
      <c r="H20" s="42">
        <v>100</v>
      </c>
      <c r="I20" s="42"/>
      <c r="J20" s="42"/>
      <c r="K20" s="43">
        <f t="shared" ref="K20" si="25">I20*J20</f>
        <v>0</v>
      </c>
      <c r="L20" s="43">
        <f t="shared" ref="L20" si="26">H20-K20</f>
        <v>100</v>
      </c>
      <c r="M20" s="43"/>
      <c r="N20" s="43">
        <f t="shared" ref="N20" si="27">L20-M20</f>
        <v>100</v>
      </c>
      <c r="O20" s="43">
        <f t="shared" ref="O20" si="28">H20/1000*70</f>
        <v>7</v>
      </c>
      <c r="P20" s="42">
        <v>0</v>
      </c>
      <c r="Q20" s="42"/>
      <c r="R20" s="42">
        <f t="shared" ref="R20" si="29">L20*Q20</f>
        <v>0</v>
      </c>
    </row>
    <row r="22" spans="1:18">
      <c r="A22" s="1" t="s">
        <v>2515</v>
      </c>
      <c r="B22" s="42" t="s">
        <v>2516</v>
      </c>
      <c r="C22" s="42" t="s">
        <v>2517</v>
      </c>
      <c r="D22" s="42" t="s">
        <v>16</v>
      </c>
      <c r="E22" s="42" t="s">
        <v>1596</v>
      </c>
      <c r="F22" s="271" t="s">
        <v>2518</v>
      </c>
      <c r="G22" s="42"/>
      <c r="H22" s="42">
        <v>300</v>
      </c>
      <c r="I22" s="42">
        <v>12</v>
      </c>
      <c r="J22" s="42"/>
      <c r="K22" s="43">
        <f t="shared" ref="K22" si="30">I22*J22</f>
        <v>0</v>
      </c>
      <c r="L22" s="43">
        <f t="shared" ref="L22" si="31">H22-K22</f>
        <v>300</v>
      </c>
      <c r="M22" s="43"/>
      <c r="N22" s="43">
        <f t="shared" ref="N22" si="32">L22-M22</f>
        <v>300</v>
      </c>
      <c r="O22" s="43">
        <f t="shared" ref="O22" si="33">H22/1000*70</f>
        <v>21</v>
      </c>
      <c r="P22" s="42">
        <v>0</v>
      </c>
      <c r="Q22" s="42">
        <v>730</v>
      </c>
      <c r="R22" s="42">
        <f t="shared" ref="R22" si="34">L22*Q22</f>
        <v>219000</v>
      </c>
    </row>
    <row r="24" spans="1:18">
      <c r="A24" s="1" t="s">
        <v>2627</v>
      </c>
      <c r="B24" s="42" t="s">
        <v>2065</v>
      </c>
      <c r="C24" s="42" t="s">
        <v>1595</v>
      </c>
      <c r="D24" s="42" t="s">
        <v>16</v>
      </c>
      <c r="E24" s="42" t="s">
        <v>2461</v>
      </c>
      <c r="F24" s="271" t="s">
        <v>2633</v>
      </c>
      <c r="G24" s="42"/>
      <c r="H24" s="42">
        <v>100</v>
      </c>
      <c r="I24" s="42">
        <v>4</v>
      </c>
      <c r="J24" s="42"/>
      <c r="K24" s="43">
        <f t="shared" ref="K24" si="35">I24*J24</f>
        <v>0</v>
      </c>
      <c r="L24" s="43">
        <f t="shared" ref="L24" si="36">H24-K24</f>
        <v>100</v>
      </c>
      <c r="M24" s="43"/>
      <c r="N24" s="43">
        <f t="shared" ref="N24" si="37">L24-M24</f>
        <v>100</v>
      </c>
      <c r="O24" s="43">
        <f t="shared" ref="O24" si="38">H24/1000*70</f>
        <v>7</v>
      </c>
      <c r="P24" s="42">
        <v>0</v>
      </c>
      <c r="Q24" s="42">
        <v>730</v>
      </c>
      <c r="R24" s="42">
        <f t="shared" ref="R24" si="39">L24*Q24</f>
        <v>73000</v>
      </c>
    </row>
    <row r="26" spans="1:18">
      <c r="A26" s="1" t="s">
        <v>2715</v>
      </c>
      <c r="B26" s="283" t="s">
        <v>2065</v>
      </c>
      <c r="C26" s="283" t="s">
        <v>2718</v>
      </c>
      <c r="D26" s="42" t="s">
        <v>16</v>
      </c>
      <c r="E26" s="283" t="s">
        <v>2719</v>
      </c>
      <c r="F26" s="283" t="s">
        <v>2720</v>
      </c>
      <c r="G26" s="283"/>
      <c r="H26" s="283">
        <v>100</v>
      </c>
      <c r="I26" s="283">
        <v>4</v>
      </c>
      <c r="J26" s="283"/>
      <c r="K26" s="43">
        <f t="shared" ref="K26" si="40">I26*J26</f>
        <v>0</v>
      </c>
      <c r="L26" s="43">
        <f t="shared" ref="L26" si="41">H26-K26</f>
        <v>100</v>
      </c>
      <c r="M26" s="43"/>
      <c r="N26" s="43">
        <f t="shared" ref="N26" si="42">L26-M26</f>
        <v>100</v>
      </c>
      <c r="O26" s="43">
        <f t="shared" ref="O26" si="43">H26/1000*70</f>
        <v>7</v>
      </c>
      <c r="P26" s="42">
        <v>0</v>
      </c>
      <c r="Q26" s="42">
        <v>800</v>
      </c>
      <c r="R26" s="42">
        <f t="shared" ref="R26" si="44">L26*Q26</f>
        <v>80000</v>
      </c>
    </row>
    <row r="28" spans="1:18">
      <c r="A28" s="1" t="s">
        <v>2813</v>
      </c>
      <c r="B28" s="42" t="s">
        <v>2820</v>
      </c>
      <c r="C28" s="42" t="s">
        <v>1595</v>
      </c>
      <c r="D28" s="42" t="s">
        <v>16</v>
      </c>
      <c r="E28" s="42" t="s">
        <v>2719</v>
      </c>
      <c r="F28" s="42" t="s">
        <v>2821</v>
      </c>
      <c r="G28" s="42"/>
      <c r="H28" s="42">
        <v>100</v>
      </c>
      <c r="I28" s="42">
        <v>4</v>
      </c>
      <c r="J28" s="42"/>
      <c r="K28" s="43">
        <f t="shared" ref="K28" si="45">I28*J28</f>
        <v>0</v>
      </c>
      <c r="L28" s="43">
        <f t="shared" ref="L28" si="46">H28-K28</f>
        <v>100</v>
      </c>
      <c r="M28" s="43"/>
      <c r="N28" s="43">
        <f t="shared" ref="N28" si="47">L28-M28</f>
        <v>100</v>
      </c>
      <c r="O28" s="43">
        <f t="shared" ref="O28" si="48">H28/1000*70</f>
        <v>7</v>
      </c>
      <c r="P28" s="42">
        <v>0</v>
      </c>
      <c r="Q28" s="42">
        <v>730</v>
      </c>
      <c r="R28" s="42">
        <f t="shared" ref="R28" si="49">L28*Q28</f>
        <v>73000</v>
      </c>
    </row>
    <row r="30" spans="1:18">
      <c r="A30" s="374" t="s">
        <v>2915</v>
      </c>
      <c r="B30" s="42" t="s">
        <v>2916</v>
      </c>
      <c r="C30" s="42" t="s">
        <v>2718</v>
      </c>
      <c r="D30" s="42" t="s">
        <v>16</v>
      </c>
      <c r="E30" s="42" t="s">
        <v>1596</v>
      </c>
      <c r="F30" s="42" t="s">
        <v>2917</v>
      </c>
      <c r="G30" s="42"/>
      <c r="H30" s="42">
        <v>100</v>
      </c>
      <c r="I30" s="42">
        <v>4</v>
      </c>
      <c r="J30" s="42"/>
      <c r="K30" s="43">
        <f t="shared" ref="K30:K31" si="50">I30*J30</f>
        <v>0</v>
      </c>
      <c r="L30" s="43">
        <f t="shared" ref="L30:L31" si="51">H30-K30</f>
        <v>100</v>
      </c>
      <c r="M30" s="43"/>
      <c r="N30" s="43">
        <f t="shared" ref="N30:N31" si="52">L30-M30</f>
        <v>100</v>
      </c>
      <c r="O30" s="43">
        <f t="shared" ref="O30:O31" si="53">H30/1000*70</f>
        <v>7</v>
      </c>
      <c r="P30" s="42"/>
      <c r="Q30" s="42">
        <v>800</v>
      </c>
      <c r="R30" s="42">
        <f t="shared" ref="R30:R31" si="54">L30*Q30</f>
        <v>80000</v>
      </c>
    </row>
    <row r="31" spans="1:18">
      <c r="A31" s="374"/>
      <c r="B31" s="42"/>
      <c r="C31" s="42" t="s">
        <v>1595</v>
      </c>
      <c r="D31" s="42" t="s">
        <v>16</v>
      </c>
      <c r="E31" s="42" t="s">
        <v>1596</v>
      </c>
      <c r="F31" s="42" t="s">
        <v>2917</v>
      </c>
      <c r="G31" s="42"/>
      <c r="H31" s="42">
        <v>100</v>
      </c>
      <c r="I31" s="42">
        <v>4</v>
      </c>
      <c r="J31" s="42"/>
      <c r="K31" s="43">
        <f t="shared" si="50"/>
        <v>0</v>
      </c>
      <c r="L31" s="43">
        <f t="shared" si="51"/>
        <v>100</v>
      </c>
      <c r="M31" s="43"/>
      <c r="N31" s="43">
        <f t="shared" si="52"/>
        <v>100</v>
      </c>
      <c r="O31" s="43">
        <f t="shared" si="53"/>
        <v>7</v>
      </c>
      <c r="P31" s="42"/>
      <c r="Q31" s="42">
        <v>730</v>
      </c>
      <c r="R31" s="42">
        <f t="shared" si="54"/>
        <v>73000</v>
      </c>
    </row>
    <row r="33" spans="1:18">
      <c r="A33" s="1" t="s">
        <v>2968</v>
      </c>
      <c r="B33" s="42" t="s">
        <v>2916</v>
      </c>
      <c r="C33" s="42" t="s">
        <v>2718</v>
      </c>
      <c r="D33" s="42" t="s">
        <v>16</v>
      </c>
      <c r="E33" s="42"/>
      <c r="F33" s="42" t="s">
        <v>2971</v>
      </c>
      <c r="G33" s="42"/>
      <c r="H33" s="42">
        <v>50</v>
      </c>
      <c r="I33" s="42">
        <v>2</v>
      </c>
      <c r="J33" s="42"/>
      <c r="K33" s="43">
        <f t="shared" ref="K33" si="55">I33*J33</f>
        <v>0</v>
      </c>
      <c r="L33" s="43">
        <f t="shared" ref="L33" si="56">H33-K33</f>
        <v>50</v>
      </c>
      <c r="M33" s="43"/>
      <c r="N33" s="43">
        <f t="shared" ref="N33" si="57">L33-M33</f>
        <v>50</v>
      </c>
      <c r="O33" s="43">
        <f t="shared" ref="O33" si="58">H33/1000*70</f>
        <v>3.5</v>
      </c>
      <c r="P33" s="42">
        <v>0</v>
      </c>
      <c r="Q33" s="42">
        <v>800</v>
      </c>
      <c r="R33" s="42">
        <f t="shared" ref="R33" si="59">L33*Q33</f>
        <v>40000</v>
      </c>
    </row>
    <row r="35" spans="1:18">
      <c r="A35" s="1" t="s">
        <v>2995</v>
      </c>
      <c r="B35" s="42" t="s">
        <v>2916</v>
      </c>
      <c r="C35" s="42" t="s">
        <v>2718</v>
      </c>
      <c r="D35" s="42" t="s">
        <v>16</v>
      </c>
      <c r="E35" s="42" t="s">
        <v>1596</v>
      </c>
      <c r="F35" s="42" t="s">
        <v>2997</v>
      </c>
      <c r="G35" s="42"/>
      <c r="H35" s="42">
        <v>50</v>
      </c>
      <c r="I35" s="42">
        <v>2</v>
      </c>
      <c r="J35" s="42"/>
      <c r="K35" s="43">
        <f t="shared" ref="K35" si="60">I35*J35</f>
        <v>0</v>
      </c>
      <c r="L35" s="43">
        <f t="shared" ref="L35" si="61">H35-K35</f>
        <v>50</v>
      </c>
      <c r="M35" s="43"/>
      <c r="N35" s="43">
        <f t="shared" ref="N35" si="62">L35-M35</f>
        <v>50</v>
      </c>
      <c r="O35" s="43">
        <f t="shared" ref="O35" si="63">H35/1000*70</f>
        <v>3.5</v>
      </c>
      <c r="P35" s="42">
        <v>0</v>
      </c>
      <c r="Q35" s="42">
        <v>800</v>
      </c>
      <c r="R35" s="42">
        <f t="shared" ref="R35" si="64">L35*Q35</f>
        <v>40000</v>
      </c>
    </row>
    <row r="37" spans="1:18">
      <c r="A37" s="1" t="s">
        <v>3020</v>
      </c>
      <c r="B37" s="42" t="s">
        <v>2065</v>
      </c>
      <c r="C37" s="42" t="s">
        <v>1595</v>
      </c>
      <c r="D37" s="42" t="s">
        <v>16</v>
      </c>
      <c r="E37" s="42" t="s">
        <v>2719</v>
      </c>
      <c r="F37" s="42">
        <v>1287</v>
      </c>
      <c r="G37" s="42"/>
      <c r="H37" s="42">
        <v>200</v>
      </c>
      <c r="I37" s="42">
        <v>8</v>
      </c>
      <c r="J37" s="42"/>
      <c r="K37" s="43">
        <f t="shared" ref="K37" si="65">I37*J37</f>
        <v>0</v>
      </c>
      <c r="L37" s="43">
        <f t="shared" ref="L37" si="66">H37-K37</f>
        <v>200</v>
      </c>
      <c r="M37" s="43"/>
      <c r="N37" s="43">
        <f t="shared" ref="N37" si="67">L37-M37</f>
        <v>200</v>
      </c>
      <c r="O37" s="43">
        <f t="shared" ref="O37" si="68">H37/1000*70</f>
        <v>14</v>
      </c>
      <c r="P37" s="42">
        <v>0</v>
      </c>
      <c r="Q37" s="42">
        <v>730</v>
      </c>
      <c r="R37" s="42">
        <f t="shared" ref="R37" si="69">L37*Q37</f>
        <v>146000</v>
      </c>
    </row>
    <row r="39" spans="1:18">
      <c r="A39" s="1" t="s">
        <v>3226</v>
      </c>
      <c r="B39" s="42" t="s">
        <v>3227</v>
      </c>
      <c r="C39" s="42" t="s">
        <v>2517</v>
      </c>
      <c r="D39" s="42" t="s">
        <v>16</v>
      </c>
      <c r="E39" s="42" t="s">
        <v>3228</v>
      </c>
      <c r="F39" s="42">
        <v>1525</v>
      </c>
      <c r="G39" s="42"/>
      <c r="H39" s="42">
        <v>100</v>
      </c>
      <c r="I39" s="42">
        <v>4</v>
      </c>
      <c r="J39" s="42"/>
      <c r="K39" s="43">
        <f t="shared" ref="K39" si="70">I39*J39</f>
        <v>0</v>
      </c>
      <c r="L39" s="43">
        <f t="shared" ref="L39" si="71">H39-K39</f>
        <v>100</v>
      </c>
      <c r="M39" s="43"/>
      <c r="N39" s="43">
        <f t="shared" ref="N39" si="72">L39-M39</f>
        <v>100</v>
      </c>
      <c r="O39" s="43">
        <f t="shared" ref="O39" si="73">H39/1000*70</f>
        <v>7</v>
      </c>
      <c r="P39" s="42">
        <v>0</v>
      </c>
      <c r="Q39" s="42"/>
      <c r="R39" s="42">
        <f t="shared" ref="R39" si="74">L39*Q39</f>
        <v>0</v>
      </c>
    </row>
    <row r="41" spans="1:18">
      <c r="A41" s="1" t="s">
        <v>3387</v>
      </c>
      <c r="B41" s="42" t="s">
        <v>2065</v>
      </c>
      <c r="C41" s="42" t="s">
        <v>1595</v>
      </c>
      <c r="D41" s="42" t="s">
        <v>16</v>
      </c>
      <c r="E41" s="47" t="s">
        <v>3390</v>
      </c>
      <c r="F41" s="47" t="s">
        <v>3391</v>
      </c>
      <c r="G41" s="47"/>
      <c r="H41" s="47">
        <v>400</v>
      </c>
      <c r="I41" s="47">
        <v>16</v>
      </c>
      <c r="J41" s="47"/>
      <c r="K41" s="43">
        <f t="shared" ref="K41" si="75">I41*J41</f>
        <v>0</v>
      </c>
      <c r="L41" s="43">
        <f t="shared" ref="L41" si="76">H41-K41</f>
        <v>400</v>
      </c>
      <c r="M41" s="43"/>
      <c r="N41" s="43">
        <f t="shared" ref="N41" si="77">L41-M41</f>
        <v>400</v>
      </c>
      <c r="O41" s="43">
        <f t="shared" ref="O41" si="78">H41/1000*70</f>
        <v>28</v>
      </c>
      <c r="P41" s="42">
        <v>0</v>
      </c>
      <c r="Q41" s="42">
        <v>730</v>
      </c>
      <c r="R41" s="42">
        <f t="shared" ref="R41" si="79">L41*Q41</f>
        <v>292000</v>
      </c>
    </row>
    <row r="43" spans="1:18">
      <c r="A43" s="1" t="s">
        <v>3523</v>
      </c>
      <c r="B43" s="42" t="s">
        <v>3525</v>
      </c>
      <c r="C43" s="42" t="s">
        <v>3526</v>
      </c>
      <c r="D43" s="42" t="s">
        <v>16</v>
      </c>
      <c r="E43" s="47" t="s">
        <v>1596</v>
      </c>
      <c r="F43" s="47" t="s">
        <v>3527</v>
      </c>
      <c r="G43" s="47"/>
      <c r="H43" s="47">
        <v>200</v>
      </c>
      <c r="I43" s="47">
        <v>8</v>
      </c>
      <c r="J43" s="47"/>
      <c r="K43" s="43">
        <f t="shared" ref="K43" si="80">I43*J43</f>
        <v>0</v>
      </c>
      <c r="L43" s="43">
        <f t="shared" ref="L43" si="81">H43-K43</f>
        <v>200</v>
      </c>
      <c r="M43" s="43"/>
      <c r="N43" s="43">
        <f t="shared" ref="N43" si="82">L43-M43</f>
        <v>200</v>
      </c>
      <c r="O43" s="43">
        <f t="shared" ref="O43" si="83">H43/1000*70</f>
        <v>14</v>
      </c>
      <c r="P43" s="42">
        <v>0</v>
      </c>
      <c r="Q43" s="42">
        <v>730</v>
      </c>
      <c r="R43" s="42">
        <f t="shared" ref="R43" si="84">L43*Q43</f>
        <v>146000</v>
      </c>
    </row>
    <row r="45" spans="1:18">
      <c r="A45" s="1" t="s">
        <v>3657</v>
      </c>
      <c r="B45" s="42" t="s">
        <v>3658</v>
      </c>
      <c r="C45" s="42" t="s">
        <v>3659</v>
      </c>
      <c r="D45" s="42" t="s">
        <v>16</v>
      </c>
      <c r="E45" s="47" t="s">
        <v>835</v>
      </c>
      <c r="F45" s="47">
        <v>2332</v>
      </c>
      <c r="G45" s="47"/>
      <c r="H45" s="47">
        <v>25</v>
      </c>
      <c r="I45" s="47">
        <v>1</v>
      </c>
      <c r="J45" s="47"/>
      <c r="K45" s="43">
        <f t="shared" ref="K45" si="85">I45*J45</f>
        <v>0</v>
      </c>
      <c r="L45" s="43">
        <f t="shared" ref="L45" si="86">H45-K45</f>
        <v>25</v>
      </c>
      <c r="M45" s="43"/>
      <c r="N45" s="43">
        <f t="shared" ref="N45" si="87">L45-M45</f>
        <v>25</v>
      </c>
      <c r="O45" s="43">
        <f t="shared" ref="O45" si="88">H45/1000*70</f>
        <v>1.75</v>
      </c>
      <c r="P45" s="42">
        <v>0</v>
      </c>
      <c r="Q45" s="42"/>
      <c r="R45" s="42">
        <f t="shared" ref="R45" si="89">L45*Q45</f>
        <v>0</v>
      </c>
    </row>
    <row r="47" spans="1:18">
      <c r="A47" s="1" t="s">
        <v>3744</v>
      </c>
      <c r="B47" s="42" t="s">
        <v>2065</v>
      </c>
      <c r="C47" s="42" t="s">
        <v>3748</v>
      </c>
      <c r="D47" s="42" t="s">
        <v>16</v>
      </c>
      <c r="E47" s="47" t="s">
        <v>2719</v>
      </c>
      <c r="F47" s="47" t="s">
        <v>3749</v>
      </c>
      <c r="G47" s="47"/>
      <c r="H47" s="47">
        <v>200</v>
      </c>
      <c r="I47" s="47">
        <v>8</v>
      </c>
      <c r="J47" s="47"/>
      <c r="K47" s="43">
        <f t="shared" ref="K47" si="90">I47*J47</f>
        <v>0</v>
      </c>
      <c r="L47" s="43">
        <f t="shared" ref="L47" si="91">H47-K47</f>
        <v>200</v>
      </c>
      <c r="M47" s="43"/>
      <c r="N47" s="43">
        <f t="shared" ref="N47" si="92">L47-M47</f>
        <v>200</v>
      </c>
      <c r="O47" s="43">
        <f t="shared" ref="O47" si="93">H47/1000*70</f>
        <v>14</v>
      </c>
      <c r="P47" s="42">
        <v>0</v>
      </c>
      <c r="Q47" s="42"/>
      <c r="R47" s="42">
        <f t="shared" ref="R47" si="94">L47*Q47</f>
        <v>0</v>
      </c>
    </row>
    <row r="49" spans="1:18">
      <c r="A49" s="1" t="s">
        <v>3807</v>
      </c>
      <c r="B49" s="42" t="s">
        <v>2065</v>
      </c>
      <c r="C49" s="42" t="s">
        <v>3810</v>
      </c>
      <c r="D49" s="42" t="s">
        <v>16</v>
      </c>
      <c r="E49" s="47" t="s">
        <v>2066</v>
      </c>
      <c r="F49" s="47" t="s">
        <v>3811</v>
      </c>
      <c r="G49" s="47"/>
      <c r="H49" s="47">
        <v>500</v>
      </c>
      <c r="I49" s="47">
        <v>20</v>
      </c>
      <c r="J49" s="47"/>
      <c r="K49" s="43">
        <f>I49*J49</f>
        <v>0</v>
      </c>
      <c r="L49" s="43">
        <f>H49-K49</f>
        <v>500</v>
      </c>
      <c r="M49" s="43"/>
      <c r="N49" s="43">
        <f>L49-M49</f>
        <v>500</v>
      </c>
      <c r="O49" s="43">
        <f>H49/1000*70</f>
        <v>35</v>
      </c>
      <c r="P49" s="42">
        <v>0</v>
      </c>
      <c r="Q49" s="42"/>
      <c r="R49" s="42">
        <f>L49*Q49</f>
        <v>0</v>
      </c>
    </row>
    <row r="50" spans="1:18">
      <c r="B50" s="42"/>
      <c r="C50" s="42" t="s">
        <v>3812</v>
      </c>
      <c r="D50" s="42" t="s">
        <v>16</v>
      </c>
      <c r="E50" s="47" t="s">
        <v>2066</v>
      </c>
      <c r="F50" s="47" t="s">
        <v>3811</v>
      </c>
      <c r="G50" s="47"/>
      <c r="H50" s="47">
        <v>500</v>
      </c>
      <c r="I50" s="47">
        <v>20</v>
      </c>
      <c r="J50" s="47"/>
      <c r="K50" s="43">
        <f>I50*J50</f>
        <v>0</v>
      </c>
      <c r="L50" s="43">
        <f>H50-K50</f>
        <v>500</v>
      </c>
      <c r="M50" s="43"/>
      <c r="N50" s="43">
        <f>L50-M50</f>
        <v>500</v>
      </c>
      <c r="O50" s="43">
        <f>H50/1000*70</f>
        <v>35</v>
      </c>
      <c r="P50" s="42">
        <v>0</v>
      </c>
      <c r="Q50" s="42"/>
      <c r="R50" s="42">
        <f>L50*Q50</f>
        <v>0</v>
      </c>
    </row>
    <row r="52" spans="1:18">
      <c r="A52" s="374" t="s">
        <v>4026</v>
      </c>
      <c r="B52" s="352" t="s">
        <v>4030</v>
      </c>
      <c r="C52" s="352" t="s">
        <v>3812</v>
      </c>
      <c r="D52" s="42" t="s">
        <v>16</v>
      </c>
      <c r="E52" s="352" t="s">
        <v>4031</v>
      </c>
      <c r="F52" s="352">
        <v>2398</v>
      </c>
      <c r="G52" s="352"/>
      <c r="H52" s="352">
        <v>300</v>
      </c>
      <c r="I52" s="352">
        <v>12</v>
      </c>
      <c r="J52" s="352"/>
      <c r="K52" s="43">
        <f t="shared" ref="K52:K53" si="95">I52*J52</f>
        <v>0</v>
      </c>
      <c r="L52" s="43">
        <f t="shared" ref="L52:L53" si="96">H52-K52</f>
        <v>300</v>
      </c>
      <c r="M52" s="43"/>
      <c r="N52" s="43">
        <f t="shared" ref="N52:N53" si="97">L52-M52</f>
        <v>300</v>
      </c>
      <c r="O52" s="43">
        <f t="shared" ref="O52:O53" si="98">H52/1000*70</f>
        <v>21</v>
      </c>
      <c r="P52" s="42">
        <v>0</v>
      </c>
      <c r="Q52" s="42"/>
      <c r="R52" s="42">
        <f t="shared" ref="R52:R53" si="99">L52*Q52</f>
        <v>0</v>
      </c>
    </row>
    <row r="53" spans="1:18">
      <c r="A53" s="374"/>
      <c r="B53" s="352"/>
      <c r="C53" s="352" t="s">
        <v>3748</v>
      </c>
      <c r="D53" s="42" t="s">
        <v>16</v>
      </c>
      <c r="E53" s="352" t="s">
        <v>4031</v>
      </c>
      <c r="F53" s="352">
        <v>2397</v>
      </c>
      <c r="G53" s="352"/>
      <c r="H53" s="352">
        <v>500</v>
      </c>
      <c r="I53" s="352">
        <v>20</v>
      </c>
      <c r="J53" s="352"/>
      <c r="K53" s="43">
        <f t="shared" si="95"/>
        <v>0</v>
      </c>
      <c r="L53" s="43">
        <f t="shared" si="96"/>
        <v>500</v>
      </c>
      <c r="M53" s="43"/>
      <c r="N53" s="43">
        <f t="shared" si="97"/>
        <v>500</v>
      </c>
      <c r="O53" s="43">
        <f t="shared" si="98"/>
        <v>35</v>
      </c>
      <c r="P53" s="42">
        <v>0</v>
      </c>
      <c r="Q53" s="42"/>
      <c r="R53" s="42">
        <f t="shared" si="99"/>
        <v>0</v>
      </c>
    </row>
  </sheetData>
  <mergeCells count="4">
    <mergeCell ref="A8:A9"/>
    <mergeCell ref="A17:A18"/>
    <mergeCell ref="A30:A31"/>
    <mergeCell ref="A52:A53"/>
  </mergeCells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>
  <dimension ref="A5:T18"/>
  <sheetViews>
    <sheetView zoomScale="85" zoomScaleNormal="85" workbookViewId="0">
      <selection activeCell="A19" sqref="A19"/>
    </sheetView>
  </sheetViews>
  <sheetFormatPr defaultRowHeight="14.4"/>
  <cols>
    <col min="1" max="1" width="8.88671875" style="1"/>
    <col min="2" max="2" width="23.44140625" style="1" customWidth="1"/>
    <col min="3" max="3" width="16.6640625" style="1" customWidth="1"/>
    <col min="4" max="4" width="5.5546875" style="1" customWidth="1"/>
    <col min="5" max="5" width="10.664062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0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0">
      <c r="A6" s="7"/>
      <c r="B6" s="177"/>
      <c r="C6" s="177"/>
      <c r="D6" s="177"/>
      <c r="E6" s="177"/>
      <c r="F6" s="177"/>
      <c r="G6" s="177"/>
      <c r="H6" s="177"/>
      <c r="I6" s="177"/>
      <c r="J6" s="177"/>
      <c r="K6" s="177"/>
      <c r="L6" s="5"/>
      <c r="M6" s="5"/>
      <c r="N6" s="177"/>
    </row>
    <row r="7" spans="1:20">
      <c r="A7" s="9"/>
      <c r="B7" s="42"/>
      <c r="C7" s="42"/>
      <c r="D7" s="42"/>
      <c r="E7" s="42"/>
      <c r="F7" s="42"/>
      <c r="G7" s="42"/>
      <c r="H7" s="42"/>
      <c r="I7" s="42"/>
      <c r="J7" s="42"/>
      <c r="K7" s="42"/>
      <c r="L7" s="43"/>
      <c r="M7" s="43"/>
      <c r="N7" s="43"/>
      <c r="O7" s="43"/>
      <c r="P7" s="42"/>
      <c r="Q7" s="42"/>
      <c r="R7" s="42"/>
    </row>
    <row r="8" spans="1:20">
      <c r="A8" s="10" t="s">
        <v>1523</v>
      </c>
      <c r="B8" s="42" t="s">
        <v>1526</v>
      </c>
      <c r="C8" s="42" t="s">
        <v>1527</v>
      </c>
      <c r="D8" s="42" t="s">
        <v>16</v>
      </c>
      <c r="E8" s="42" t="s">
        <v>1528</v>
      </c>
      <c r="F8" s="42">
        <v>18254</v>
      </c>
      <c r="G8" s="42"/>
      <c r="H8" s="42">
        <v>1000</v>
      </c>
      <c r="I8" s="42">
        <v>40</v>
      </c>
      <c r="J8" s="42"/>
      <c r="K8" s="42">
        <f t="shared" ref="K8" si="0">I8*J8</f>
        <v>0</v>
      </c>
      <c r="L8" s="43">
        <f t="shared" ref="L8" si="1">H8-K8</f>
        <v>1000</v>
      </c>
      <c r="M8" s="43"/>
      <c r="N8" s="43">
        <f t="shared" ref="N8" si="2">L8-M8</f>
        <v>1000</v>
      </c>
      <c r="O8" s="43">
        <f t="shared" ref="O8" si="3">H8/1000*70</f>
        <v>70</v>
      </c>
      <c r="P8" s="42">
        <v>0</v>
      </c>
      <c r="Q8" s="42"/>
      <c r="R8" s="42">
        <f t="shared" ref="R8" si="4">L8*Q8</f>
        <v>0</v>
      </c>
    </row>
    <row r="9" spans="1:20">
      <c r="A9" s="11"/>
      <c r="B9" s="42"/>
      <c r="C9" s="42"/>
      <c r="D9" s="42"/>
      <c r="E9" s="42"/>
      <c r="F9" s="42"/>
      <c r="G9" s="42"/>
      <c r="H9" s="42"/>
      <c r="I9" s="42"/>
      <c r="J9" s="42"/>
      <c r="K9" s="42"/>
      <c r="L9" s="43"/>
      <c r="M9" s="43"/>
      <c r="N9" s="43"/>
      <c r="O9" s="43"/>
      <c r="P9" s="42"/>
      <c r="Q9" s="42"/>
      <c r="R9" s="42"/>
    </row>
    <row r="11" spans="1:20">
      <c r="A11" s="1" t="s">
        <v>2069</v>
      </c>
      <c r="B11" s="42" t="s">
        <v>2072</v>
      </c>
      <c r="C11" s="42" t="s">
        <v>2073</v>
      </c>
      <c r="D11" s="42" t="s">
        <v>16</v>
      </c>
      <c r="E11" s="42" t="s">
        <v>2074</v>
      </c>
      <c r="F11" s="42">
        <v>19489</v>
      </c>
      <c r="G11" s="42"/>
      <c r="H11" s="42">
        <v>1000</v>
      </c>
      <c r="I11" s="42">
        <v>20</v>
      </c>
      <c r="J11" s="42">
        <v>0</v>
      </c>
      <c r="K11" s="43">
        <f t="shared" ref="K11" si="5">I11*J11</f>
        <v>0</v>
      </c>
      <c r="L11" s="43">
        <f t="shared" ref="L11" si="6">H11-K11</f>
        <v>1000</v>
      </c>
      <c r="M11" s="43"/>
      <c r="N11" s="43">
        <f t="shared" ref="N11" si="7">L11-M11</f>
        <v>1000</v>
      </c>
      <c r="O11" s="43">
        <f t="shared" ref="O11" si="8">H11/1000*70</f>
        <v>70</v>
      </c>
      <c r="P11" s="42">
        <v>0</v>
      </c>
      <c r="Q11" s="42">
        <v>113</v>
      </c>
      <c r="R11" s="42">
        <f t="shared" ref="R11" si="9">L11*Q11</f>
        <v>113000</v>
      </c>
    </row>
    <row r="13" spans="1:20">
      <c r="A13" s="374" t="s">
        <v>2618</v>
      </c>
      <c r="B13" s="42" t="s">
        <v>2072</v>
      </c>
      <c r="C13" s="42" t="s">
        <v>2624</v>
      </c>
      <c r="D13" s="42" t="s">
        <v>16</v>
      </c>
      <c r="E13" s="42" t="s">
        <v>2074</v>
      </c>
      <c r="F13" s="42">
        <v>23642</v>
      </c>
      <c r="G13" s="42"/>
      <c r="H13" s="42">
        <v>200</v>
      </c>
      <c r="I13" s="42">
        <v>8</v>
      </c>
      <c r="J13" s="42"/>
      <c r="K13" s="43">
        <f t="shared" ref="K13:K14" si="10">I13*J13</f>
        <v>0</v>
      </c>
      <c r="L13" s="43">
        <f t="shared" ref="L13:L14" si="11">H13-K13</f>
        <v>200</v>
      </c>
      <c r="M13" s="43"/>
      <c r="N13" s="43">
        <f t="shared" ref="N13:N14" si="12">L13-M13</f>
        <v>200</v>
      </c>
      <c r="O13" s="43">
        <f t="shared" ref="O13:O14" si="13">H13/1000*70</f>
        <v>14</v>
      </c>
      <c r="P13" s="42">
        <v>0</v>
      </c>
      <c r="Q13" s="42">
        <v>950</v>
      </c>
      <c r="R13" s="42">
        <f t="shared" ref="R13:R14" si="14">L13*Q13</f>
        <v>190000</v>
      </c>
    </row>
    <row r="14" spans="1:20">
      <c r="A14" s="374"/>
      <c r="B14" s="42"/>
      <c r="C14" s="42" t="s">
        <v>2625</v>
      </c>
      <c r="D14" s="42" t="s">
        <v>16</v>
      </c>
      <c r="E14" s="42" t="s">
        <v>2074</v>
      </c>
      <c r="F14" s="42">
        <v>23642</v>
      </c>
      <c r="G14" s="42"/>
      <c r="H14" s="42">
        <f>20*20</f>
        <v>400</v>
      </c>
      <c r="I14" s="42">
        <v>20</v>
      </c>
      <c r="J14" s="42"/>
      <c r="K14" s="43">
        <f t="shared" si="10"/>
        <v>0</v>
      </c>
      <c r="L14" s="43">
        <f t="shared" si="11"/>
        <v>400</v>
      </c>
      <c r="M14" s="43"/>
      <c r="N14" s="43">
        <f t="shared" si="12"/>
        <v>400</v>
      </c>
      <c r="O14" s="43">
        <f t="shared" si="13"/>
        <v>28</v>
      </c>
      <c r="P14" s="42">
        <v>0</v>
      </c>
      <c r="Q14" s="42">
        <v>705</v>
      </c>
      <c r="R14" s="42">
        <f t="shared" si="14"/>
        <v>282000</v>
      </c>
    </row>
    <row r="16" spans="1:20">
      <c r="A16" s="1" t="s">
        <v>2883</v>
      </c>
      <c r="B16" s="42" t="s">
        <v>2072</v>
      </c>
      <c r="C16" s="42" t="s">
        <v>2886</v>
      </c>
      <c r="D16" s="42" t="s">
        <v>16</v>
      </c>
      <c r="E16" s="42" t="s">
        <v>1528</v>
      </c>
      <c r="F16" s="42">
        <v>24708</v>
      </c>
      <c r="G16" s="42"/>
      <c r="H16" s="42">
        <v>400</v>
      </c>
      <c r="I16" s="42">
        <v>20</v>
      </c>
      <c r="J16" s="42"/>
      <c r="K16" s="43">
        <f t="shared" ref="K16" si="15">I16*J16</f>
        <v>0</v>
      </c>
      <c r="L16" s="43">
        <f t="shared" ref="L16" si="16">H16-K16</f>
        <v>400</v>
      </c>
      <c r="M16" s="43"/>
      <c r="N16" s="43">
        <f t="shared" ref="N16" si="17">L16-M16</f>
        <v>400</v>
      </c>
      <c r="O16" s="43">
        <f t="shared" ref="O16" si="18">H16/1000*70</f>
        <v>28</v>
      </c>
      <c r="P16" s="42">
        <v>0</v>
      </c>
      <c r="Q16" s="42"/>
      <c r="R16" s="42">
        <f t="shared" ref="R16" si="19">L16*Q16</f>
        <v>0</v>
      </c>
    </row>
    <row r="18" spans="1:18">
      <c r="A18" s="1" t="s">
        <v>3091</v>
      </c>
      <c r="B18" s="42" t="s">
        <v>2072</v>
      </c>
      <c r="C18" s="42" t="s">
        <v>2625</v>
      </c>
      <c r="D18" s="42" t="s">
        <v>16</v>
      </c>
      <c r="E18" s="42" t="s">
        <v>3096</v>
      </c>
      <c r="F18" s="42">
        <v>26001</v>
      </c>
      <c r="G18" s="42"/>
      <c r="H18" s="42">
        <v>300</v>
      </c>
      <c r="I18" s="42">
        <v>15</v>
      </c>
      <c r="J18" s="42"/>
      <c r="K18" s="43">
        <f t="shared" ref="K18" si="20">I18*J18</f>
        <v>0</v>
      </c>
      <c r="L18" s="43">
        <f t="shared" ref="L18" si="21">H18-K18</f>
        <v>300</v>
      </c>
      <c r="M18" s="43"/>
      <c r="N18" s="43">
        <f t="shared" ref="N18" si="22">L18-M18</f>
        <v>300</v>
      </c>
      <c r="O18" s="43">
        <f t="shared" ref="O18" si="23">H18/1000*70</f>
        <v>21</v>
      </c>
      <c r="P18" s="42">
        <v>0</v>
      </c>
      <c r="Q18" s="42">
        <v>705</v>
      </c>
      <c r="R18" s="42">
        <f t="shared" ref="R18" si="24">L18*Q18</f>
        <v>211500</v>
      </c>
    </row>
  </sheetData>
  <mergeCells count="1">
    <mergeCell ref="A13:A14"/>
  </mergeCells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>
  <dimension ref="A5:T9"/>
  <sheetViews>
    <sheetView zoomScale="85" zoomScaleNormal="85" workbookViewId="0">
      <selection activeCell="B11" sqref="B11"/>
    </sheetView>
  </sheetViews>
  <sheetFormatPr defaultRowHeight="14.4"/>
  <cols>
    <col min="1" max="1" width="8.88671875" style="1"/>
    <col min="2" max="2" width="23.44140625" style="1" customWidth="1"/>
    <col min="3" max="3" width="16.6640625" style="1" customWidth="1"/>
    <col min="4" max="4" width="5.5546875" style="1" customWidth="1"/>
    <col min="5" max="5" width="10.664062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0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0">
      <c r="A6" s="7"/>
      <c r="B6" s="182"/>
      <c r="C6" s="182"/>
      <c r="D6" s="182"/>
      <c r="E6" s="182"/>
      <c r="F6" s="182"/>
      <c r="G6" s="182"/>
      <c r="H6" s="182"/>
      <c r="I6" s="182"/>
      <c r="J6" s="182"/>
      <c r="K6" s="182"/>
      <c r="L6" s="5"/>
      <c r="M6" s="5"/>
      <c r="N6" s="182"/>
    </row>
    <row r="7" spans="1:20">
      <c r="A7" s="9"/>
      <c r="B7" s="42"/>
      <c r="C7" s="42"/>
      <c r="D7" s="42"/>
      <c r="E7" s="42"/>
      <c r="F7" s="42"/>
      <c r="G7" s="42"/>
      <c r="H7" s="42"/>
      <c r="I7" s="42"/>
      <c r="J7" s="42"/>
      <c r="K7" s="42"/>
      <c r="L7" s="43"/>
      <c r="M7" s="43"/>
      <c r="N7" s="43"/>
      <c r="O7" s="43"/>
      <c r="P7" s="42"/>
      <c r="Q7" s="42"/>
      <c r="R7" s="42"/>
    </row>
    <row r="8" spans="1:20">
      <c r="A8" s="10" t="s">
        <v>1554</v>
      </c>
      <c r="B8" s="42" t="s">
        <v>1555</v>
      </c>
      <c r="C8" s="42" t="s">
        <v>1556</v>
      </c>
      <c r="D8" s="42" t="s">
        <v>16</v>
      </c>
      <c r="E8" s="42" t="s">
        <v>1557</v>
      </c>
      <c r="F8" s="42">
        <v>42</v>
      </c>
      <c r="G8" s="42"/>
      <c r="H8" s="42">
        <v>14440</v>
      </c>
      <c r="I8" s="42">
        <v>722</v>
      </c>
      <c r="J8" s="42"/>
      <c r="K8" s="42">
        <f t="shared" ref="K8" si="0">I8*J8</f>
        <v>0</v>
      </c>
      <c r="L8" s="43">
        <f t="shared" ref="L8" si="1">H8-K8</f>
        <v>14440</v>
      </c>
      <c r="M8" s="43"/>
      <c r="N8" s="43">
        <f t="shared" ref="N8" si="2">L8-M8</f>
        <v>14440</v>
      </c>
      <c r="O8" s="43">
        <f t="shared" ref="O8" si="3">H8/1000*70</f>
        <v>1010.8</v>
      </c>
      <c r="P8" s="42">
        <v>0</v>
      </c>
      <c r="Q8" s="42"/>
      <c r="R8" s="42">
        <f t="shared" ref="R8" si="4">L8*Q8</f>
        <v>0</v>
      </c>
    </row>
    <row r="9" spans="1:20">
      <c r="A9" s="11"/>
      <c r="B9" s="42"/>
      <c r="C9" s="42"/>
      <c r="D9" s="42"/>
      <c r="E9" s="42"/>
      <c r="F9" s="42"/>
      <c r="G9" s="42"/>
      <c r="H9" s="42"/>
      <c r="I9" s="42"/>
      <c r="J9" s="42"/>
      <c r="K9" s="42"/>
      <c r="L9" s="43"/>
      <c r="M9" s="43"/>
      <c r="N9" s="43"/>
      <c r="O9" s="43"/>
      <c r="P9" s="42"/>
      <c r="Q9" s="42"/>
      <c r="R9" s="42"/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>
  <dimension ref="A5:T34"/>
  <sheetViews>
    <sheetView topLeftCell="A13" zoomScale="85" zoomScaleNormal="85" workbookViewId="0">
      <selection activeCell="A35" sqref="A35"/>
    </sheetView>
  </sheetViews>
  <sheetFormatPr defaultRowHeight="14.4"/>
  <cols>
    <col min="1" max="1" width="8.88671875" style="1"/>
    <col min="2" max="2" width="23.44140625" style="1" customWidth="1"/>
    <col min="3" max="3" width="16.6640625" style="1" customWidth="1"/>
    <col min="4" max="4" width="5.5546875" style="1" customWidth="1"/>
    <col min="5" max="5" width="10.664062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0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0">
      <c r="A6" s="7"/>
      <c r="B6" s="226"/>
      <c r="C6" s="226"/>
      <c r="D6" s="226"/>
      <c r="E6" s="226"/>
      <c r="F6" s="226"/>
      <c r="G6" s="226"/>
      <c r="H6" s="226"/>
      <c r="I6" s="226"/>
      <c r="J6" s="226"/>
      <c r="K6" s="226"/>
      <c r="L6" s="5"/>
      <c r="M6" s="5"/>
      <c r="N6" s="226"/>
    </row>
    <row r="7" spans="1:20">
      <c r="A7" s="9"/>
      <c r="B7" s="42"/>
      <c r="C7" s="42"/>
      <c r="D7" s="42"/>
      <c r="E7" s="42"/>
      <c r="F7" s="42"/>
      <c r="G7" s="42"/>
      <c r="H7" s="42"/>
      <c r="I7" s="42"/>
      <c r="J7" s="42"/>
      <c r="K7" s="42"/>
      <c r="L7" s="43"/>
      <c r="M7" s="43"/>
      <c r="N7" s="43"/>
      <c r="O7" s="43"/>
      <c r="P7" s="42"/>
      <c r="Q7" s="42"/>
      <c r="R7" s="42"/>
    </row>
    <row r="8" spans="1:20">
      <c r="A8" s="10" t="s">
        <v>1831</v>
      </c>
      <c r="B8" s="42" t="s">
        <v>1832</v>
      </c>
      <c r="C8" s="42" t="s">
        <v>1833</v>
      </c>
      <c r="D8" s="42" t="s">
        <v>16</v>
      </c>
      <c r="E8" s="42" t="s">
        <v>1834</v>
      </c>
      <c r="F8" s="42">
        <v>450</v>
      </c>
      <c r="G8" s="42"/>
      <c r="H8" s="42">
        <v>1000</v>
      </c>
      <c r="I8" s="42">
        <v>40</v>
      </c>
      <c r="J8" s="42"/>
      <c r="K8" s="42">
        <f t="shared" ref="K8" si="0">I8*J8</f>
        <v>0</v>
      </c>
      <c r="L8" s="43">
        <f t="shared" ref="L8" si="1">H8-K8</f>
        <v>1000</v>
      </c>
      <c r="M8" s="43"/>
      <c r="N8" s="43">
        <f t="shared" ref="N8" si="2">L8-M8</f>
        <v>1000</v>
      </c>
      <c r="O8" s="43">
        <f t="shared" ref="O8" si="3">H8/1000*70</f>
        <v>70</v>
      </c>
      <c r="P8" s="226">
        <v>0</v>
      </c>
      <c r="Q8" s="226">
        <v>70</v>
      </c>
      <c r="R8" s="42">
        <f t="shared" ref="R8" si="4">L8*Q8</f>
        <v>70000</v>
      </c>
    </row>
    <row r="9" spans="1:20">
      <c r="A9" s="11"/>
      <c r="B9" s="42"/>
      <c r="C9" s="42"/>
      <c r="D9" s="42"/>
      <c r="E9" s="42"/>
      <c r="F9" s="42"/>
      <c r="G9" s="42"/>
      <c r="H9" s="42"/>
      <c r="I9" s="42"/>
      <c r="J9" s="42"/>
      <c r="K9" s="42"/>
      <c r="L9" s="43"/>
      <c r="M9" s="43"/>
      <c r="N9" s="43"/>
      <c r="O9" s="43"/>
      <c r="P9" s="42"/>
      <c r="Q9" s="42"/>
      <c r="R9" s="42"/>
    </row>
    <row r="10" spans="1:20">
      <c r="A10" s="1" t="s">
        <v>2519</v>
      </c>
      <c r="B10" s="42" t="s">
        <v>2525</v>
      </c>
      <c r="C10" s="42" t="s">
        <v>2526</v>
      </c>
      <c r="D10" s="42" t="s">
        <v>16</v>
      </c>
      <c r="E10" s="42" t="s">
        <v>2527</v>
      </c>
      <c r="F10" s="42">
        <v>1706</v>
      </c>
      <c r="G10" s="42"/>
      <c r="H10" s="42">
        <v>800</v>
      </c>
      <c r="I10" s="42">
        <v>32</v>
      </c>
      <c r="J10" s="42"/>
      <c r="K10" s="43">
        <f t="shared" ref="K10" si="5">I10*J10</f>
        <v>0</v>
      </c>
      <c r="L10" s="43">
        <f t="shared" ref="L10" si="6">H10-K10</f>
        <v>800</v>
      </c>
      <c r="M10" s="43"/>
      <c r="N10" s="43">
        <f t="shared" ref="N10" si="7">L10-M10</f>
        <v>800</v>
      </c>
      <c r="O10" s="43">
        <f t="shared" ref="O10" si="8">H10/1000*70</f>
        <v>56</v>
      </c>
      <c r="P10" s="42">
        <v>0</v>
      </c>
      <c r="Q10" s="42">
        <v>65</v>
      </c>
      <c r="R10" s="42">
        <f t="shared" ref="R10" si="9">L10*Q10</f>
        <v>52000</v>
      </c>
      <c r="S10" s="48"/>
    </row>
    <row r="12" spans="1:20">
      <c r="A12" s="1" t="s">
        <v>2680</v>
      </c>
      <c r="B12" s="42" t="s">
        <v>1832</v>
      </c>
      <c r="C12" s="42" t="s">
        <v>2682</v>
      </c>
      <c r="D12" s="42" t="s">
        <v>16</v>
      </c>
      <c r="E12" s="42" t="s">
        <v>835</v>
      </c>
      <c r="F12" s="42">
        <v>1847</v>
      </c>
      <c r="G12" s="42"/>
      <c r="H12" s="42">
        <v>300</v>
      </c>
      <c r="I12" s="42">
        <v>12</v>
      </c>
      <c r="J12" s="42"/>
      <c r="K12" s="43">
        <f t="shared" ref="K12" si="10">I12*J12</f>
        <v>0</v>
      </c>
      <c r="L12" s="43">
        <f t="shared" ref="L12" si="11">H12-K12</f>
        <v>300</v>
      </c>
      <c r="M12" s="43"/>
      <c r="N12" s="43">
        <f t="shared" ref="N12" si="12">L12-M12</f>
        <v>300</v>
      </c>
      <c r="O12" s="43">
        <v>0</v>
      </c>
      <c r="P12" s="42">
        <v>0</v>
      </c>
      <c r="Q12" s="42">
        <v>65</v>
      </c>
      <c r="R12" s="42">
        <f t="shared" ref="R12" si="13">L12*Q12</f>
        <v>19500</v>
      </c>
    </row>
    <row r="14" spans="1:20">
      <c r="A14" s="1" t="s">
        <v>2848</v>
      </c>
      <c r="B14" s="42" t="s">
        <v>1832</v>
      </c>
      <c r="C14" s="42" t="s">
        <v>2682</v>
      </c>
      <c r="D14" s="42" t="s">
        <v>16</v>
      </c>
      <c r="E14" s="42" t="s">
        <v>2850</v>
      </c>
      <c r="F14" s="42">
        <v>61</v>
      </c>
      <c r="G14" s="42"/>
      <c r="H14" s="42">
        <v>1000</v>
      </c>
      <c r="I14" s="42">
        <v>40</v>
      </c>
      <c r="J14" s="42"/>
      <c r="K14" s="43">
        <f t="shared" ref="K14" si="14">I14*J14</f>
        <v>0</v>
      </c>
      <c r="L14" s="43">
        <f t="shared" ref="L14" si="15">H14-K14</f>
        <v>1000</v>
      </c>
      <c r="M14" s="43"/>
      <c r="N14" s="43">
        <f t="shared" ref="N14" si="16">L14-M14</f>
        <v>1000</v>
      </c>
      <c r="O14" s="43">
        <v>0</v>
      </c>
      <c r="P14" s="42">
        <v>0</v>
      </c>
      <c r="Q14" s="42">
        <v>65</v>
      </c>
      <c r="R14" s="42">
        <f t="shared" ref="R14" si="17">L14*Q14</f>
        <v>65000</v>
      </c>
    </row>
    <row r="16" spans="1:20">
      <c r="A16" s="1" t="s">
        <v>2995</v>
      </c>
      <c r="B16" s="42" t="s">
        <v>2996</v>
      </c>
      <c r="C16" s="42" t="s">
        <v>1833</v>
      </c>
      <c r="D16" s="42" t="s">
        <v>16</v>
      </c>
      <c r="E16" s="42" t="s">
        <v>2449</v>
      </c>
      <c r="F16" s="42">
        <v>352</v>
      </c>
      <c r="G16" s="42"/>
      <c r="H16" s="42">
        <v>600</v>
      </c>
      <c r="I16" s="42">
        <v>24</v>
      </c>
      <c r="J16" s="42"/>
      <c r="K16" s="43">
        <f t="shared" ref="K16" si="18">I16*J16</f>
        <v>0</v>
      </c>
      <c r="L16" s="43">
        <f t="shared" ref="L16" si="19">H16-K16</f>
        <v>600</v>
      </c>
      <c r="M16" s="43"/>
      <c r="N16" s="43">
        <f t="shared" ref="N16" si="20">L16-M16</f>
        <v>600</v>
      </c>
      <c r="O16" s="43">
        <v>0</v>
      </c>
      <c r="P16" s="42">
        <v>0</v>
      </c>
      <c r="Q16" s="42">
        <v>65</v>
      </c>
      <c r="R16" s="42">
        <f t="shared" ref="R16" si="21">L16*Q16</f>
        <v>39000</v>
      </c>
    </row>
    <row r="18" spans="1:19">
      <c r="A18" s="1" t="s">
        <v>3091</v>
      </c>
      <c r="B18" s="42" t="s">
        <v>1832</v>
      </c>
      <c r="C18" s="42" t="s">
        <v>1833</v>
      </c>
      <c r="D18" s="42" t="s">
        <v>16</v>
      </c>
      <c r="E18" s="42" t="s">
        <v>3095</v>
      </c>
      <c r="F18" s="42">
        <v>487</v>
      </c>
      <c r="G18" s="42"/>
      <c r="H18" s="42">
        <v>1000</v>
      </c>
      <c r="I18" s="42">
        <v>40</v>
      </c>
      <c r="J18" s="42"/>
      <c r="K18" s="43">
        <f t="shared" ref="K18" si="22">I18*J18</f>
        <v>0</v>
      </c>
      <c r="L18" s="43">
        <f t="shared" ref="L18" si="23">H18-K18</f>
        <v>1000</v>
      </c>
      <c r="M18" s="43"/>
      <c r="N18" s="43">
        <f t="shared" ref="N18" si="24">L18-M18</f>
        <v>1000</v>
      </c>
      <c r="O18" s="43">
        <v>0</v>
      </c>
      <c r="P18" s="42">
        <v>0</v>
      </c>
      <c r="Q18" s="42">
        <v>65</v>
      </c>
      <c r="R18" s="42">
        <f t="shared" ref="R18" si="25">L18*Q18</f>
        <v>65000</v>
      </c>
      <c r="S18" s="42"/>
    </row>
    <row r="20" spans="1:19">
      <c r="A20" s="1" t="s">
        <v>3223</v>
      </c>
      <c r="B20" s="42" t="s">
        <v>2525</v>
      </c>
      <c r="C20" s="42" t="s">
        <v>3225</v>
      </c>
      <c r="D20" s="42" t="s">
        <v>16</v>
      </c>
      <c r="E20" s="42" t="s">
        <v>835</v>
      </c>
      <c r="F20" s="42">
        <v>651</v>
      </c>
      <c r="G20" s="42"/>
      <c r="H20" s="42">
        <v>800</v>
      </c>
      <c r="I20" s="42">
        <v>32</v>
      </c>
      <c r="J20" s="42"/>
      <c r="K20" s="43">
        <f t="shared" ref="K20" si="26">I20*J20</f>
        <v>0</v>
      </c>
      <c r="L20" s="43">
        <f t="shared" ref="L20" si="27">H20-K20</f>
        <v>800</v>
      </c>
      <c r="M20" s="43"/>
      <c r="N20" s="43">
        <f t="shared" ref="N20" si="28">L20-M20</f>
        <v>800</v>
      </c>
      <c r="O20" s="43">
        <f t="shared" ref="O20" si="29">H20/1000*70</f>
        <v>56</v>
      </c>
      <c r="P20" s="42">
        <v>0</v>
      </c>
      <c r="Q20" s="42">
        <v>65</v>
      </c>
      <c r="R20" s="42">
        <f t="shared" ref="R20" si="30">L20*Q20</f>
        <v>52000</v>
      </c>
    </row>
    <row r="22" spans="1:19">
      <c r="A22" s="1" t="s">
        <v>3329</v>
      </c>
      <c r="B22" s="42" t="s">
        <v>1832</v>
      </c>
      <c r="C22" s="42" t="s">
        <v>3342</v>
      </c>
      <c r="D22" s="42" t="s">
        <v>16</v>
      </c>
      <c r="E22" s="47" t="s">
        <v>835</v>
      </c>
      <c r="F22" s="47">
        <v>859</v>
      </c>
      <c r="G22" s="47"/>
      <c r="H22" s="47">
        <v>400</v>
      </c>
      <c r="I22" s="47">
        <v>16</v>
      </c>
      <c r="J22" s="47"/>
      <c r="K22" s="43">
        <f t="shared" ref="K22" si="31">I22*J22</f>
        <v>0</v>
      </c>
      <c r="L22" s="43">
        <f t="shared" ref="L22" si="32">H22-K22</f>
        <v>400</v>
      </c>
      <c r="M22" s="43"/>
      <c r="N22" s="43">
        <f t="shared" ref="N22" si="33">L22-M22</f>
        <v>400</v>
      </c>
      <c r="O22" s="43">
        <f t="shared" ref="O22" si="34">H22/1000*70</f>
        <v>28</v>
      </c>
      <c r="P22" s="42">
        <v>0</v>
      </c>
      <c r="Q22" s="42">
        <v>65</v>
      </c>
      <c r="R22" s="42">
        <f t="shared" ref="R22" si="35">L22*Q22</f>
        <v>26000</v>
      </c>
    </row>
    <row r="24" spans="1:19">
      <c r="A24" s="1" t="s">
        <v>3407</v>
      </c>
      <c r="B24" s="42" t="s">
        <v>3410</v>
      </c>
      <c r="C24" s="42">
        <v>1000</v>
      </c>
      <c r="D24" s="42" t="s">
        <v>16</v>
      </c>
      <c r="E24" s="47" t="s">
        <v>835</v>
      </c>
      <c r="F24" s="47">
        <v>962</v>
      </c>
      <c r="G24" s="47"/>
      <c r="H24" s="47">
        <v>1000</v>
      </c>
      <c r="I24" s="47">
        <v>40</v>
      </c>
      <c r="J24" s="47"/>
      <c r="K24" s="43">
        <f t="shared" ref="K24" si="36">I24*J24</f>
        <v>0</v>
      </c>
      <c r="L24" s="43">
        <f t="shared" ref="L24" si="37">H24-K24</f>
        <v>1000</v>
      </c>
      <c r="M24" s="43"/>
      <c r="N24" s="43">
        <f t="shared" ref="N24" si="38">L24-M24</f>
        <v>1000</v>
      </c>
      <c r="O24" s="43">
        <f t="shared" ref="O24" si="39">H24/1000*70</f>
        <v>70</v>
      </c>
      <c r="P24" s="42">
        <v>0</v>
      </c>
      <c r="Q24" s="42">
        <v>65</v>
      </c>
      <c r="R24" s="42">
        <f t="shared" ref="R24" si="40">L24*Q24</f>
        <v>65000</v>
      </c>
    </row>
    <row r="26" spans="1:19">
      <c r="A26" s="1" t="s">
        <v>3492</v>
      </c>
      <c r="B26" s="42" t="s">
        <v>3410</v>
      </c>
      <c r="C26" s="42" t="s">
        <v>1833</v>
      </c>
      <c r="D26" s="42" t="s">
        <v>16</v>
      </c>
      <c r="E26" s="47" t="s">
        <v>835</v>
      </c>
      <c r="F26" s="47">
        <v>1120</v>
      </c>
      <c r="G26" s="47"/>
      <c r="H26" s="47">
        <v>600</v>
      </c>
      <c r="I26" s="47">
        <v>24</v>
      </c>
      <c r="J26" s="47"/>
      <c r="K26" s="43">
        <f t="shared" ref="K26" si="41">I26*J26</f>
        <v>0</v>
      </c>
      <c r="L26" s="43">
        <f t="shared" ref="L26" si="42">H26-K26</f>
        <v>600</v>
      </c>
      <c r="M26" s="43"/>
      <c r="N26" s="43">
        <f t="shared" ref="N26" si="43">L26-M26</f>
        <v>600</v>
      </c>
      <c r="O26" s="43">
        <f t="shared" ref="O26" si="44">H26/1000*70</f>
        <v>42</v>
      </c>
      <c r="P26" s="42">
        <v>0</v>
      </c>
      <c r="Q26" s="42"/>
      <c r="R26" s="42">
        <f t="shared" ref="R26" si="45">L26*Q26</f>
        <v>0</v>
      </c>
    </row>
    <row r="28" spans="1:19">
      <c r="A28" s="1" t="s">
        <v>3643</v>
      </c>
      <c r="B28" s="42" t="s">
        <v>2996</v>
      </c>
      <c r="C28" s="42" t="s">
        <v>3642</v>
      </c>
      <c r="D28" s="42" t="s">
        <v>16</v>
      </c>
      <c r="E28" s="47" t="s">
        <v>835</v>
      </c>
      <c r="F28" s="47">
        <v>1372</v>
      </c>
      <c r="G28" s="47"/>
      <c r="H28" s="47">
        <v>500</v>
      </c>
      <c r="I28" s="47">
        <v>20</v>
      </c>
      <c r="J28" s="47"/>
      <c r="K28" s="43">
        <f t="shared" ref="K28" si="46">I28*J28</f>
        <v>0</v>
      </c>
      <c r="L28" s="43">
        <f t="shared" ref="L28" si="47">H28-K28</f>
        <v>500</v>
      </c>
      <c r="M28" s="43"/>
      <c r="N28" s="43">
        <f t="shared" ref="N28" si="48">L28-M28</f>
        <v>500</v>
      </c>
      <c r="O28" s="43">
        <v>0</v>
      </c>
      <c r="P28" s="42">
        <v>0</v>
      </c>
      <c r="Q28" s="42">
        <v>65</v>
      </c>
      <c r="R28" s="42">
        <f t="shared" ref="R28" si="49">L28*Q28</f>
        <v>32500</v>
      </c>
    </row>
    <row r="30" spans="1:19">
      <c r="A30" s="1" t="s">
        <v>3713</v>
      </c>
      <c r="B30" s="42" t="s">
        <v>2996</v>
      </c>
      <c r="C30" s="42" t="s">
        <v>3225</v>
      </c>
      <c r="D30" s="42" t="s">
        <v>16</v>
      </c>
      <c r="E30" s="47" t="s">
        <v>835</v>
      </c>
      <c r="F30" s="47">
        <v>1705</v>
      </c>
      <c r="G30" s="47"/>
      <c r="H30" s="47">
        <v>500</v>
      </c>
      <c r="I30" s="47">
        <v>20</v>
      </c>
      <c r="J30" s="47"/>
      <c r="K30" s="43">
        <f t="shared" ref="K30" si="50">I30*J30</f>
        <v>0</v>
      </c>
      <c r="L30" s="43">
        <f t="shared" ref="L30" si="51">H30-K30</f>
        <v>500</v>
      </c>
      <c r="M30" s="43"/>
      <c r="N30" s="43">
        <f t="shared" ref="N30" si="52">L30-M30</f>
        <v>500</v>
      </c>
      <c r="O30" s="43">
        <f t="shared" ref="O30" si="53">H30/1000*70</f>
        <v>35</v>
      </c>
      <c r="P30" s="42">
        <v>0</v>
      </c>
      <c r="Q30" s="42"/>
      <c r="R30" s="42">
        <f t="shared" ref="R30" si="54">L30*Q30</f>
        <v>0</v>
      </c>
      <c r="S30" s="42"/>
    </row>
    <row r="32" spans="1:19">
      <c r="A32" s="1" t="s">
        <v>3760</v>
      </c>
      <c r="B32" s="42" t="s">
        <v>1832</v>
      </c>
      <c r="C32" s="42" t="s">
        <v>3225</v>
      </c>
      <c r="D32" s="42" t="s">
        <v>16</v>
      </c>
      <c r="E32" s="47" t="s">
        <v>835</v>
      </c>
      <c r="F32" s="47">
        <v>1218</v>
      </c>
      <c r="G32" s="47"/>
      <c r="H32" s="47">
        <v>500</v>
      </c>
      <c r="I32" s="47">
        <v>20</v>
      </c>
      <c r="J32" s="47"/>
      <c r="K32" s="43">
        <f t="shared" ref="K32" si="55">I32*J32</f>
        <v>0</v>
      </c>
      <c r="L32" s="43">
        <f t="shared" ref="L32" si="56">H32-K32</f>
        <v>500</v>
      </c>
      <c r="M32" s="43"/>
      <c r="N32" s="43">
        <f t="shared" ref="N32" si="57">L32-M32</f>
        <v>500</v>
      </c>
      <c r="O32" s="43">
        <f t="shared" ref="O32" si="58">H32/1000*70</f>
        <v>35</v>
      </c>
      <c r="P32" s="42">
        <v>0</v>
      </c>
      <c r="Q32" s="42"/>
      <c r="R32" s="42">
        <f t="shared" ref="R32" si="59">L32*Q32</f>
        <v>0</v>
      </c>
    </row>
    <row r="34" spans="1:18">
      <c r="A34" s="1" t="s">
        <v>3968</v>
      </c>
      <c r="B34" s="341" t="s">
        <v>1832</v>
      </c>
      <c r="C34" s="341" t="s">
        <v>2682</v>
      </c>
      <c r="D34" s="42" t="s">
        <v>16</v>
      </c>
      <c r="E34" s="341" t="s">
        <v>835</v>
      </c>
      <c r="F34" s="341">
        <v>1873</v>
      </c>
      <c r="G34" s="341"/>
      <c r="H34" s="341">
        <v>1000</v>
      </c>
      <c r="I34" s="341">
        <v>40</v>
      </c>
      <c r="J34" s="341"/>
      <c r="K34" s="43">
        <f t="shared" ref="K34" si="60">I34*J34</f>
        <v>0</v>
      </c>
      <c r="L34" s="43">
        <f t="shared" ref="L34" si="61">H34-K34</f>
        <v>1000</v>
      </c>
      <c r="M34" s="43"/>
      <c r="N34" s="43">
        <f t="shared" ref="N34" si="62">L34-M34</f>
        <v>1000</v>
      </c>
      <c r="O34" s="43">
        <v>0</v>
      </c>
      <c r="P34" s="42">
        <v>0</v>
      </c>
      <c r="Q34" s="42">
        <v>65</v>
      </c>
      <c r="R34" s="42">
        <f t="shared" ref="R34" si="63">L34*Q34</f>
        <v>65000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>
  <dimension ref="A5:T10"/>
  <sheetViews>
    <sheetView zoomScale="85" zoomScaleNormal="85" workbookViewId="0">
      <selection activeCell="B15" sqref="B15"/>
    </sheetView>
  </sheetViews>
  <sheetFormatPr defaultRowHeight="14.4"/>
  <cols>
    <col min="1" max="1" width="8.88671875" style="1"/>
    <col min="2" max="2" width="23.44140625" style="1" customWidth="1"/>
    <col min="3" max="3" width="16.6640625" style="1" customWidth="1"/>
    <col min="4" max="4" width="5.5546875" style="1" customWidth="1"/>
    <col min="5" max="5" width="10.664062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0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0">
      <c r="A6" s="7"/>
      <c r="B6" s="244"/>
      <c r="C6" s="244"/>
      <c r="D6" s="244"/>
      <c r="E6" s="244"/>
      <c r="F6" s="244"/>
      <c r="G6" s="244"/>
      <c r="H6" s="244"/>
      <c r="I6" s="244"/>
      <c r="J6" s="244"/>
      <c r="K6" s="244"/>
      <c r="L6" s="5"/>
      <c r="M6" s="5"/>
      <c r="N6" s="244"/>
    </row>
    <row r="7" spans="1:20">
      <c r="A7" s="9"/>
      <c r="B7" s="42"/>
      <c r="C7" s="42"/>
      <c r="D7" s="42"/>
      <c r="E7" s="42"/>
      <c r="F7" s="42"/>
      <c r="G7" s="42"/>
      <c r="H7" s="42"/>
      <c r="I7" s="42"/>
      <c r="J7" s="42"/>
      <c r="K7" s="42"/>
      <c r="L7" s="43"/>
      <c r="M7" s="43"/>
      <c r="N7" s="43"/>
      <c r="O7" s="43"/>
      <c r="P7" s="42"/>
      <c r="Q7" s="42"/>
      <c r="R7" s="42"/>
    </row>
    <row r="8" spans="1:20">
      <c r="A8" s="10"/>
      <c r="B8" s="42"/>
      <c r="C8" s="42"/>
      <c r="D8" s="42"/>
      <c r="E8" s="42"/>
      <c r="F8" s="42"/>
      <c r="G8" s="42"/>
      <c r="H8" s="42"/>
      <c r="I8" s="42"/>
      <c r="J8" s="42"/>
      <c r="K8" s="42"/>
      <c r="L8" s="43"/>
      <c r="M8" s="43"/>
      <c r="N8" s="43"/>
      <c r="O8" s="43"/>
      <c r="P8" s="244"/>
      <c r="Q8" s="244"/>
      <c r="R8" s="42"/>
    </row>
    <row r="9" spans="1:20">
      <c r="A9" s="11"/>
      <c r="B9" s="42"/>
      <c r="C9" s="42"/>
      <c r="D9" s="42"/>
      <c r="E9" s="42"/>
      <c r="F9" s="42"/>
      <c r="G9" s="42"/>
      <c r="H9" s="42"/>
      <c r="I9" s="42"/>
      <c r="J9" s="42"/>
      <c r="K9" s="42"/>
      <c r="L9" s="43"/>
      <c r="M9" s="43"/>
      <c r="N9" s="43"/>
      <c r="O9" s="43"/>
      <c r="P9" s="42"/>
      <c r="Q9" s="42"/>
      <c r="R9" s="42"/>
    </row>
    <row r="10" spans="1:20">
      <c r="A10" s="1" t="s">
        <v>2022</v>
      </c>
      <c r="B10" s="244" t="s">
        <v>2028</v>
      </c>
      <c r="C10" s="244" t="s">
        <v>1833</v>
      </c>
      <c r="D10" s="244" t="s">
        <v>16</v>
      </c>
      <c r="E10" s="244" t="s">
        <v>2029</v>
      </c>
      <c r="F10" s="244">
        <v>2163</v>
      </c>
      <c r="G10" s="244"/>
      <c r="H10" s="244">
        <v>1000</v>
      </c>
      <c r="I10" s="244">
        <v>40</v>
      </c>
      <c r="J10" s="244"/>
      <c r="K10" s="5">
        <f t="shared" ref="K10" si="0">I10*J10</f>
        <v>0</v>
      </c>
      <c r="L10" s="19">
        <f t="shared" ref="L10" si="1">H10-K10</f>
        <v>1000</v>
      </c>
      <c r="M10" s="19"/>
      <c r="N10" s="43">
        <f t="shared" ref="N10" si="2">L10-M10</f>
        <v>1000</v>
      </c>
      <c r="O10" s="5">
        <f t="shared" ref="O10" si="3">H10/1000*70</f>
        <v>70</v>
      </c>
      <c r="P10" s="244">
        <v>4500</v>
      </c>
      <c r="Q10" s="244">
        <v>68</v>
      </c>
      <c r="R10" s="244">
        <f t="shared" ref="R10" si="4">L10*Q10</f>
        <v>68000</v>
      </c>
      <c r="S10" s="48"/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>
  <dimension ref="A5:T18"/>
  <sheetViews>
    <sheetView zoomScale="85" zoomScaleNormal="85" workbookViewId="0">
      <selection activeCell="B21" sqref="B21"/>
    </sheetView>
  </sheetViews>
  <sheetFormatPr defaultRowHeight="14.4"/>
  <cols>
    <col min="1" max="1" width="8.88671875" style="1"/>
    <col min="2" max="2" width="23.44140625" style="1" customWidth="1"/>
    <col min="3" max="3" width="16.6640625" style="1" customWidth="1"/>
    <col min="4" max="4" width="5.5546875" style="1" customWidth="1"/>
    <col min="5" max="5" width="10.664062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0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0">
      <c r="A6" s="7"/>
      <c r="B6" s="229"/>
      <c r="C6" s="229"/>
      <c r="D6" s="229"/>
      <c r="E6" s="229"/>
      <c r="F6" s="229"/>
      <c r="G6" s="229"/>
      <c r="H6" s="229"/>
      <c r="I6" s="229"/>
      <c r="J6" s="229"/>
      <c r="K6" s="229"/>
      <c r="L6" s="5"/>
      <c r="M6" s="5"/>
      <c r="N6" s="229"/>
    </row>
    <row r="7" spans="1:20">
      <c r="A7" s="9"/>
      <c r="B7" s="42"/>
      <c r="C7" s="42"/>
      <c r="D7" s="42"/>
      <c r="E7" s="42"/>
      <c r="F7" s="42"/>
      <c r="G7" s="42"/>
      <c r="H7" s="42"/>
      <c r="I7" s="42"/>
      <c r="J7" s="42"/>
      <c r="K7" s="42"/>
      <c r="L7" s="43"/>
      <c r="M7" s="43"/>
      <c r="N7" s="43"/>
      <c r="O7" s="43"/>
      <c r="P7" s="42"/>
      <c r="Q7" s="42"/>
      <c r="R7" s="42"/>
    </row>
    <row r="8" spans="1:20">
      <c r="A8" s="10"/>
      <c r="B8" s="42"/>
      <c r="C8" s="42"/>
      <c r="D8" s="42"/>
      <c r="E8" s="42"/>
      <c r="F8" s="42"/>
      <c r="G8" s="42"/>
      <c r="H8" s="42"/>
      <c r="I8" s="42"/>
      <c r="J8" s="42"/>
      <c r="K8" s="42"/>
      <c r="L8" s="43"/>
      <c r="M8" s="43"/>
      <c r="N8" s="43"/>
      <c r="O8" s="43"/>
      <c r="P8" s="229"/>
      <c r="Q8" s="229"/>
      <c r="R8" s="42"/>
    </row>
    <row r="9" spans="1:20">
      <c r="A9" s="11"/>
      <c r="B9" s="42"/>
      <c r="C9" s="42"/>
      <c r="D9" s="42"/>
      <c r="E9" s="42"/>
      <c r="F9" s="42"/>
      <c r="G9" s="42"/>
      <c r="H9" s="42"/>
      <c r="I9" s="42"/>
      <c r="J9" s="42"/>
      <c r="K9" s="42"/>
      <c r="L9" s="43"/>
      <c r="M9" s="43"/>
      <c r="N9" s="43"/>
      <c r="O9" s="43"/>
      <c r="P9" s="42"/>
      <c r="Q9" s="42"/>
      <c r="R9" s="42"/>
    </row>
    <row r="10" spans="1:20">
      <c r="A10" s="1" t="s">
        <v>1931</v>
      </c>
      <c r="B10" s="48" t="s">
        <v>1935</v>
      </c>
      <c r="C10" s="48" t="s">
        <v>1936</v>
      </c>
      <c r="D10" s="42" t="s">
        <v>16</v>
      </c>
      <c r="E10" s="42" t="s">
        <v>1937</v>
      </c>
      <c r="F10" s="42">
        <v>72</v>
      </c>
      <c r="G10" s="42"/>
      <c r="H10" s="42">
        <v>300</v>
      </c>
      <c r="I10" s="42">
        <v>12</v>
      </c>
      <c r="J10" s="42"/>
      <c r="K10" s="42">
        <f t="shared" ref="K10" si="0">I10*J10</f>
        <v>0</v>
      </c>
      <c r="L10" s="43">
        <f t="shared" ref="L10" si="1">H10-K10</f>
        <v>300</v>
      </c>
      <c r="M10" s="43"/>
      <c r="N10" s="43">
        <f t="shared" ref="N10" si="2">L10-M10</f>
        <v>300</v>
      </c>
      <c r="O10" s="43">
        <f t="shared" ref="O10" si="3">H10/1000*70</f>
        <v>21</v>
      </c>
      <c r="P10" s="42">
        <v>0</v>
      </c>
      <c r="Q10" s="42">
        <v>290</v>
      </c>
      <c r="R10" s="42">
        <f t="shared" ref="R10" si="4">L10*Q10</f>
        <v>87000</v>
      </c>
      <c r="S10" s="48"/>
    </row>
    <row r="12" spans="1:20">
      <c r="A12" s="1" t="s">
        <v>2106</v>
      </c>
      <c r="B12" s="42" t="s">
        <v>1935</v>
      </c>
      <c r="C12" s="42" t="s">
        <v>2107</v>
      </c>
      <c r="D12" s="42" t="s">
        <v>16</v>
      </c>
      <c r="E12" s="42" t="s">
        <v>835</v>
      </c>
      <c r="F12" s="42" t="s">
        <v>2108</v>
      </c>
      <c r="G12" s="42"/>
      <c r="H12" s="42">
        <v>100</v>
      </c>
      <c r="I12" s="42">
        <v>4</v>
      </c>
      <c r="J12" s="42"/>
      <c r="K12" s="43">
        <f t="shared" ref="K12" si="5">I12*J12</f>
        <v>0</v>
      </c>
      <c r="L12" s="43">
        <f t="shared" ref="L12" si="6">H12-K12</f>
        <v>100</v>
      </c>
      <c r="M12" s="43"/>
      <c r="N12" s="43">
        <f t="shared" ref="N12" si="7">L12-M12</f>
        <v>100</v>
      </c>
      <c r="O12" s="43">
        <f t="shared" ref="O12" si="8">H12/1000*70</f>
        <v>7</v>
      </c>
      <c r="P12" s="42">
        <v>0</v>
      </c>
      <c r="Q12" s="42">
        <v>290</v>
      </c>
      <c r="R12" s="42">
        <f t="shared" ref="R12" si="9">L12*Q12</f>
        <v>29000</v>
      </c>
    </row>
    <row r="14" spans="1:20">
      <c r="A14" s="1" t="s">
        <v>2198</v>
      </c>
      <c r="B14" s="42" t="s">
        <v>1935</v>
      </c>
      <c r="C14" s="42" t="s">
        <v>2204</v>
      </c>
      <c r="D14" s="42" t="s">
        <v>16</v>
      </c>
      <c r="E14" s="42" t="s">
        <v>1937</v>
      </c>
      <c r="F14" s="42">
        <v>96</v>
      </c>
      <c r="G14" s="42"/>
      <c r="H14" s="42">
        <v>300</v>
      </c>
      <c r="I14" s="42">
        <v>12</v>
      </c>
      <c r="J14" s="42"/>
      <c r="K14" s="43">
        <f t="shared" ref="K14" si="10">I14*J14</f>
        <v>0</v>
      </c>
      <c r="L14" s="43">
        <f t="shared" ref="L14" si="11">H14-K14</f>
        <v>300</v>
      </c>
      <c r="M14" s="43"/>
      <c r="N14" s="43">
        <f t="shared" ref="N14" si="12">L14-M14</f>
        <v>300</v>
      </c>
      <c r="O14" s="43">
        <f t="shared" ref="O14" si="13">H14/1000*70</f>
        <v>21</v>
      </c>
      <c r="P14" s="42">
        <v>0</v>
      </c>
      <c r="Q14" s="42">
        <v>290</v>
      </c>
      <c r="R14" s="42">
        <f t="shared" ref="R14" si="14">L14*Q14</f>
        <v>87000</v>
      </c>
    </row>
    <row r="16" spans="1:20">
      <c r="A16" s="1" t="s">
        <v>2263</v>
      </c>
      <c r="B16" s="42" t="s">
        <v>1935</v>
      </c>
      <c r="C16" s="42" t="s">
        <v>2107</v>
      </c>
      <c r="D16" s="42" t="s">
        <v>16</v>
      </c>
      <c r="E16" s="42" t="s">
        <v>1937</v>
      </c>
      <c r="F16" s="42">
        <v>113</v>
      </c>
      <c r="G16" s="42">
        <v>1460</v>
      </c>
      <c r="H16" s="42">
        <v>375</v>
      </c>
      <c r="I16" s="42">
        <v>15</v>
      </c>
      <c r="J16" s="42"/>
      <c r="K16" s="43">
        <f t="shared" ref="K16" si="15">I16*J16</f>
        <v>0</v>
      </c>
      <c r="L16" s="43">
        <f t="shared" ref="L16" si="16">H16-K16</f>
        <v>375</v>
      </c>
      <c r="M16" s="43"/>
      <c r="N16" s="43">
        <f t="shared" ref="N16" si="17">L16-M16</f>
        <v>375</v>
      </c>
      <c r="O16" s="43">
        <f t="shared" ref="O16" si="18">H16/1000*70</f>
        <v>26.25</v>
      </c>
      <c r="P16" s="42">
        <v>0</v>
      </c>
      <c r="Q16" s="42"/>
      <c r="R16" s="42">
        <f t="shared" ref="R16" si="19">L16*Q16</f>
        <v>0</v>
      </c>
    </row>
    <row r="18" spans="1:18">
      <c r="A18" s="1" t="s">
        <v>2393</v>
      </c>
      <c r="B18" s="42" t="s">
        <v>1935</v>
      </c>
      <c r="C18" s="42" t="s">
        <v>1936</v>
      </c>
      <c r="D18" s="42" t="s">
        <v>16</v>
      </c>
      <c r="E18" s="42" t="s">
        <v>1937</v>
      </c>
      <c r="F18" s="42" t="s">
        <v>2395</v>
      </c>
      <c r="G18" s="42"/>
      <c r="H18" s="42">
        <v>500</v>
      </c>
      <c r="I18" s="42">
        <v>20</v>
      </c>
      <c r="J18" s="42"/>
      <c r="K18" s="43">
        <f t="shared" ref="K18" si="20">I18*J18</f>
        <v>0</v>
      </c>
      <c r="L18" s="43">
        <f t="shared" ref="L18" si="21">H18-K18</f>
        <v>500</v>
      </c>
      <c r="M18" s="43"/>
      <c r="N18" s="43">
        <f t="shared" ref="N18" si="22">L18-M18</f>
        <v>500</v>
      </c>
      <c r="O18" s="43">
        <f t="shared" ref="O18" si="23">H18/1000*70</f>
        <v>35</v>
      </c>
      <c r="P18" s="42">
        <v>0</v>
      </c>
      <c r="Q18" s="42">
        <v>290</v>
      </c>
      <c r="R18" s="42">
        <f t="shared" ref="R18" si="24">L18*Q18</f>
        <v>145000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>
  <dimension ref="A5:T13"/>
  <sheetViews>
    <sheetView zoomScale="85" zoomScaleNormal="85" workbookViewId="0">
      <selection activeCell="B10" sqref="B10"/>
    </sheetView>
  </sheetViews>
  <sheetFormatPr defaultRowHeight="14.4"/>
  <cols>
    <col min="1" max="1" width="8.88671875" style="1"/>
    <col min="2" max="2" width="23.44140625" style="1" customWidth="1"/>
    <col min="3" max="3" width="16.6640625" style="1" customWidth="1"/>
    <col min="4" max="4" width="5.5546875" style="1" customWidth="1"/>
    <col min="5" max="5" width="10.664062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0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0">
      <c r="A6" s="7"/>
      <c r="B6" s="245"/>
      <c r="C6" s="245"/>
      <c r="D6" s="245"/>
      <c r="E6" s="245"/>
      <c r="F6" s="245"/>
      <c r="G6" s="245"/>
      <c r="H6" s="245"/>
      <c r="I6" s="245"/>
      <c r="J6" s="245"/>
      <c r="K6" s="245"/>
      <c r="L6" s="5"/>
      <c r="M6" s="5"/>
      <c r="N6" s="245"/>
    </row>
    <row r="7" spans="1:20">
      <c r="A7" s="9"/>
      <c r="B7" s="42"/>
      <c r="C7" s="42"/>
      <c r="D7" s="42"/>
      <c r="E7" s="42"/>
      <c r="F7" s="42"/>
      <c r="G7" s="42"/>
      <c r="H7" s="42"/>
      <c r="I7" s="42"/>
      <c r="J7" s="42"/>
      <c r="K7" s="42"/>
      <c r="L7" s="43"/>
      <c r="M7" s="43"/>
      <c r="N7" s="43"/>
      <c r="O7" s="43"/>
      <c r="P7" s="42"/>
      <c r="Q7" s="42"/>
      <c r="R7" s="42"/>
    </row>
    <row r="8" spans="1:20">
      <c r="A8" s="10"/>
      <c r="B8" s="42"/>
      <c r="C8" s="42"/>
      <c r="D8" s="42"/>
      <c r="E8" s="42"/>
      <c r="F8" s="42"/>
      <c r="G8" s="42"/>
      <c r="H8" s="42"/>
      <c r="I8" s="42"/>
      <c r="J8" s="42"/>
      <c r="K8" s="42"/>
      <c r="L8" s="43"/>
      <c r="M8" s="43"/>
      <c r="N8" s="43"/>
      <c r="O8" s="43"/>
      <c r="P8" s="245"/>
      <c r="Q8" s="245"/>
      <c r="R8" s="42"/>
    </row>
    <row r="9" spans="1:20">
      <c r="A9" s="11"/>
      <c r="B9" s="42"/>
      <c r="C9" s="42"/>
      <c r="D9" s="42"/>
      <c r="E9" s="42"/>
      <c r="F9" s="42"/>
      <c r="G9" s="42"/>
      <c r="H9" s="42"/>
      <c r="I9" s="42"/>
      <c r="J9" s="42"/>
      <c r="K9" s="42"/>
      <c r="L9" s="43"/>
      <c r="M9" s="43"/>
      <c r="N9" s="43"/>
      <c r="O9" s="43"/>
      <c r="P9" s="42"/>
      <c r="Q9" s="42"/>
      <c r="R9" s="42"/>
    </row>
    <row r="12" spans="1:20">
      <c r="A12" s="374" t="s">
        <v>2042</v>
      </c>
      <c r="B12" s="42" t="s">
        <v>2046</v>
      </c>
      <c r="C12" s="169" t="s">
        <v>2047</v>
      </c>
      <c r="D12" s="42" t="s">
        <v>16</v>
      </c>
      <c r="E12" s="42" t="s">
        <v>2048</v>
      </c>
      <c r="F12" s="42">
        <v>3826</v>
      </c>
      <c r="G12" s="42"/>
      <c r="H12" s="42">
        <v>500</v>
      </c>
      <c r="I12" s="42">
        <v>50</v>
      </c>
      <c r="J12" s="42"/>
      <c r="K12" s="43">
        <f t="shared" ref="K12:K13" si="0">I12*J12</f>
        <v>0</v>
      </c>
      <c r="L12" s="43">
        <f t="shared" ref="L12:L13" si="1">H12-K12</f>
        <v>500</v>
      </c>
      <c r="M12" s="43"/>
      <c r="N12" s="43">
        <f t="shared" ref="N12:N13" si="2">L12-M12</f>
        <v>500</v>
      </c>
      <c r="O12" s="43">
        <f t="shared" ref="O12:O13" si="3">H12/1000*70</f>
        <v>35</v>
      </c>
      <c r="P12" s="42">
        <v>0</v>
      </c>
      <c r="Q12" s="42">
        <v>815</v>
      </c>
      <c r="R12" s="42">
        <f t="shared" ref="R12:R13" si="4">L12*Q12</f>
        <v>407500</v>
      </c>
    </row>
    <row r="13" spans="1:20">
      <c r="A13" s="374"/>
      <c r="B13" s="42" t="s">
        <v>2046</v>
      </c>
      <c r="C13" s="42" t="s">
        <v>2049</v>
      </c>
      <c r="D13" s="42" t="s">
        <v>16</v>
      </c>
      <c r="E13" s="42" t="s">
        <v>2048</v>
      </c>
      <c r="F13" s="42">
        <v>3825</v>
      </c>
      <c r="G13" s="42"/>
      <c r="H13" s="42">
        <v>500</v>
      </c>
      <c r="I13" s="42">
        <v>25</v>
      </c>
      <c r="J13" s="42"/>
      <c r="K13" s="43">
        <f t="shared" si="0"/>
        <v>0</v>
      </c>
      <c r="L13" s="43">
        <f t="shared" si="1"/>
        <v>500</v>
      </c>
      <c r="M13" s="43"/>
      <c r="N13" s="43">
        <f t="shared" si="2"/>
        <v>500</v>
      </c>
      <c r="O13" s="43">
        <f t="shared" si="3"/>
        <v>35</v>
      </c>
      <c r="P13" s="42">
        <v>0</v>
      </c>
      <c r="Q13" s="42">
        <v>400</v>
      </c>
      <c r="R13" s="42">
        <f t="shared" si="4"/>
        <v>200000</v>
      </c>
    </row>
  </sheetData>
  <mergeCells count="1">
    <mergeCell ref="A12:A13"/>
  </mergeCells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>
  <dimension ref="A5:T10"/>
  <sheetViews>
    <sheetView zoomScale="85" zoomScaleNormal="85" workbookViewId="0">
      <selection activeCell="N24" sqref="N24"/>
    </sheetView>
  </sheetViews>
  <sheetFormatPr defaultRowHeight="14.4"/>
  <cols>
    <col min="1" max="1" width="8.88671875" style="1"/>
    <col min="2" max="2" width="23.44140625" style="1" customWidth="1"/>
    <col min="3" max="3" width="16.6640625" style="1" customWidth="1"/>
    <col min="4" max="4" width="5.5546875" style="1" customWidth="1"/>
    <col min="5" max="5" width="10.664062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0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0">
      <c r="A6" s="7"/>
      <c r="B6" s="246"/>
      <c r="C6" s="246"/>
      <c r="D6" s="246"/>
      <c r="E6" s="246"/>
      <c r="F6" s="246"/>
      <c r="G6" s="246"/>
      <c r="H6" s="246"/>
      <c r="I6" s="246"/>
      <c r="J6" s="246"/>
      <c r="K6" s="246"/>
      <c r="L6" s="5"/>
      <c r="M6" s="5"/>
      <c r="N6" s="246"/>
    </row>
    <row r="7" spans="1:20">
      <c r="A7" s="9"/>
      <c r="B7" s="42"/>
      <c r="C7" s="42"/>
      <c r="D7" s="42"/>
      <c r="E7" s="42"/>
      <c r="F7" s="42"/>
      <c r="G7" s="42"/>
      <c r="H7" s="42"/>
      <c r="I7" s="42"/>
      <c r="J7" s="42"/>
      <c r="K7" s="42"/>
      <c r="L7" s="43"/>
      <c r="M7" s="43"/>
      <c r="N7" s="43"/>
      <c r="O7" s="43"/>
      <c r="P7" s="42"/>
      <c r="Q7" s="42"/>
      <c r="R7" s="42"/>
    </row>
    <row r="8" spans="1:20">
      <c r="A8" s="10"/>
      <c r="B8" s="42"/>
      <c r="C8" s="42"/>
      <c r="D8" s="42"/>
      <c r="E8" s="42"/>
      <c r="F8" s="42"/>
      <c r="G8" s="42"/>
      <c r="H8" s="42"/>
      <c r="I8" s="42"/>
      <c r="J8" s="42"/>
      <c r="K8" s="42"/>
      <c r="L8" s="43"/>
      <c r="M8" s="43"/>
      <c r="N8" s="43"/>
      <c r="O8" s="43"/>
      <c r="P8" s="246"/>
      <c r="Q8" s="246"/>
      <c r="R8" s="42"/>
    </row>
    <row r="9" spans="1:20">
      <c r="A9" s="11"/>
      <c r="B9" s="42"/>
      <c r="C9" s="42"/>
      <c r="D9" s="42"/>
      <c r="E9" s="42"/>
      <c r="F9" s="42"/>
      <c r="G9" s="42"/>
      <c r="H9" s="42"/>
      <c r="I9" s="42"/>
      <c r="J9" s="42"/>
      <c r="K9" s="42"/>
      <c r="L9" s="43"/>
      <c r="M9" s="43"/>
      <c r="N9" s="43"/>
      <c r="O9" s="43"/>
      <c r="P9" s="42"/>
      <c r="Q9" s="42"/>
      <c r="R9" s="42"/>
    </row>
    <row r="10" spans="1:20">
      <c r="B10" s="42" t="s">
        <v>2052</v>
      </c>
      <c r="C10" s="42" t="s">
        <v>2053</v>
      </c>
      <c r="D10" s="42" t="s">
        <v>16</v>
      </c>
      <c r="E10" s="42" t="s">
        <v>2054</v>
      </c>
      <c r="F10" s="42">
        <v>4001</v>
      </c>
      <c r="G10" s="42"/>
      <c r="H10" s="42">
        <v>500</v>
      </c>
      <c r="I10" s="42"/>
      <c r="J10" s="42"/>
      <c r="K10" s="43">
        <f t="shared" ref="K10" si="0">I10*J10</f>
        <v>0</v>
      </c>
      <c r="L10" s="43">
        <f t="shared" ref="L10" si="1">H10-K10</f>
        <v>500</v>
      </c>
      <c r="M10" s="43"/>
      <c r="N10" s="43">
        <f t="shared" ref="N10" si="2">L10-M10</f>
        <v>500</v>
      </c>
      <c r="O10" s="43">
        <f t="shared" ref="O10" si="3">H10/1000*70</f>
        <v>35</v>
      </c>
      <c r="P10" s="42">
        <v>0</v>
      </c>
      <c r="Q10" s="42">
        <v>520</v>
      </c>
      <c r="R10" s="42">
        <f t="shared" ref="R10" si="4">L10*Q10</f>
        <v>260000</v>
      </c>
      <c r="S10" s="48"/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>
  <dimension ref="A5:T10"/>
  <sheetViews>
    <sheetView zoomScale="85" zoomScaleNormal="85" workbookViewId="0">
      <selection activeCell="A12" sqref="A12"/>
    </sheetView>
  </sheetViews>
  <sheetFormatPr defaultRowHeight="14.4"/>
  <cols>
    <col min="1" max="1" width="8.88671875" style="1"/>
    <col min="2" max="2" width="23.44140625" style="1" customWidth="1"/>
    <col min="3" max="3" width="16.6640625" style="1" customWidth="1"/>
    <col min="4" max="4" width="5.5546875" style="1" customWidth="1"/>
    <col min="5" max="5" width="10.664062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0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0">
      <c r="A6" s="7"/>
      <c r="B6" s="248"/>
      <c r="C6" s="248"/>
      <c r="D6" s="248"/>
      <c r="E6" s="248"/>
      <c r="F6" s="248"/>
      <c r="G6" s="248"/>
      <c r="H6" s="248"/>
      <c r="I6" s="248"/>
      <c r="J6" s="248"/>
      <c r="K6" s="248"/>
      <c r="L6" s="5"/>
      <c r="M6" s="5"/>
      <c r="N6" s="248"/>
    </row>
    <row r="7" spans="1:20">
      <c r="A7" s="9"/>
      <c r="B7" s="42"/>
      <c r="C7" s="42"/>
      <c r="D7" s="42"/>
      <c r="E7" s="42"/>
      <c r="F7" s="42"/>
      <c r="G7" s="42"/>
      <c r="H7" s="42"/>
      <c r="I7" s="42"/>
      <c r="J7" s="42"/>
      <c r="K7" s="42"/>
      <c r="L7" s="43"/>
      <c r="M7" s="43"/>
      <c r="N7" s="43"/>
      <c r="O7" s="43"/>
      <c r="P7" s="42"/>
      <c r="Q7" s="42"/>
      <c r="R7" s="42"/>
    </row>
    <row r="8" spans="1:20">
      <c r="A8" s="10"/>
      <c r="B8" s="42"/>
      <c r="C8" s="42"/>
      <c r="D8" s="42"/>
      <c r="E8" s="42"/>
      <c r="F8" s="42"/>
      <c r="G8" s="42"/>
      <c r="H8" s="42"/>
      <c r="I8" s="42"/>
      <c r="J8" s="42"/>
      <c r="K8" s="42"/>
      <c r="L8" s="43"/>
      <c r="M8" s="43"/>
      <c r="N8" s="43"/>
      <c r="O8" s="43"/>
      <c r="P8" s="248"/>
      <c r="Q8" s="248"/>
      <c r="R8" s="42"/>
    </row>
    <row r="9" spans="1:20">
      <c r="A9" s="11"/>
      <c r="B9" s="42"/>
      <c r="C9" s="42"/>
      <c r="D9" s="42"/>
      <c r="E9" s="42"/>
      <c r="F9" s="42"/>
      <c r="G9" s="42"/>
      <c r="H9" s="42"/>
      <c r="I9" s="42"/>
      <c r="J9" s="42"/>
      <c r="K9" s="42"/>
      <c r="L9" s="43"/>
      <c r="M9" s="43"/>
      <c r="N9" s="43"/>
      <c r="O9" s="43"/>
      <c r="P9" s="42"/>
      <c r="Q9" s="42"/>
      <c r="R9" s="42"/>
    </row>
    <row r="10" spans="1:20">
      <c r="A10" s="1" t="s">
        <v>2055</v>
      </c>
      <c r="B10" s="42" t="s">
        <v>2058</v>
      </c>
      <c r="C10" s="42" t="s">
        <v>2059</v>
      </c>
      <c r="D10" s="42" t="s">
        <v>16</v>
      </c>
      <c r="E10" s="42" t="s">
        <v>1934</v>
      </c>
      <c r="F10" s="42">
        <v>4373</v>
      </c>
      <c r="G10" s="42"/>
      <c r="H10" s="42">
        <v>510</v>
      </c>
      <c r="I10" s="42">
        <v>10</v>
      </c>
      <c r="J10" s="42">
        <v>0.13</v>
      </c>
      <c r="K10" s="43">
        <f t="shared" ref="K10" si="0">I10*J10</f>
        <v>1.3</v>
      </c>
      <c r="L10" s="43">
        <f t="shared" ref="L10" si="1">H10-K10</f>
        <v>508.7</v>
      </c>
      <c r="M10" s="43"/>
      <c r="N10" s="43">
        <f t="shared" ref="N10" si="2">L10-M10</f>
        <v>508.7</v>
      </c>
      <c r="O10" s="43">
        <f t="shared" ref="O10" si="3">H10/1000*70</f>
        <v>35.700000000000003</v>
      </c>
      <c r="P10" s="42">
        <v>0</v>
      </c>
      <c r="Q10" s="42">
        <v>113</v>
      </c>
      <c r="R10" s="42">
        <f t="shared" ref="R10" si="4">L10*Q10</f>
        <v>57483.1</v>
      </c>
      <c r="S10" s="48"/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>
  <dimension ref="A5:T13"/>
  <sheetViews>
    <sheetView zoomScale="85" zoomScaleNormal="85" workbookViewId="0">
      <selection activeCell="B23" sqref="B23"/>
    </sheetView>
  </sheetViews>
  <sheetFormatPr defaultRowHeight="14.4"/>
  <cols>
    <col min="1" max="1" width="8.88671875" style="1"/>
    <col min="2" max="2" width="23.44140625" style="1" customWidth="1"/>
    <col min="3" max="3" width="16.6640625" style="1" customWidth="1"/>
    <col min="4" max="4" width="5.5546875" style="1" customWidth="1"/>
    <col min="5" max="5" width="10.664062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0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0">
      <c r="A6" s="7"/>
      <c r="B6" s="250"/>
      <c r="C6" s="250"/>
      <c r="D6" s="250"/>
      <c r="E6" s="250"/>
      <c r="F6" s="250"/>
      <c r="G6" s="250"/>
      <c r="H6" s="250"/>
      <c r="I6" s="250"/>
      <c r="J6" s="250"/>
      <c r="K6" s="250"/>
      <c r="L6" s="5"/>
      <c r="M6" s="5"/>
      <c r="N6" s="250"/>
    </row>
    <row r="7" spans="1:20">
      <c r="A7" s="9"/>
      <c r="B7" s="42"/>
      <c r="C7" s="42"/>
      <c r="D7" s="42"/>
      <c r="E7" s="42"/>
      <c r="F7" s="42"/>
      <c r="G7" s="42"/>
      <c r="H7" s="42"/>
      <c r="I7" s="42"/>
      <c r="J7" s="42"/>
      <c r="K7" s="42"/>
      <c r="L7" s="43"/>
      <c r="M7" s="43"/>
      <c r="N7" s="43"/>
      <c r="O7" s="43"/>
      <c r="P7" s="42"/>
      <c r="Q7" s="42"/>
      <c r="R7" s="42"/>
    </row>
    <row r="8" spans="1:20">
      <c r="A8" s="10"/>
      <c r="B8" s="42"/>
      <c r="C8" s="42"/>
      <c r="D8" s="42"/>
      <c r="E8" s="42"/>
      <c r="F8" s="42"/>
      <c r="G8" s="42"/>
      <c r="H8" s="42"/>
      <c r="I8" s="42"/>
      <c r="J8" s="42"/>
      <c r="K8" s="42"/>
      <c r="L8" s="43"/>
      <c r="M8" s="43"/>
      <c r="N8" s="43"/>
      <c r="O8" s="43"/>
      <c r="P8" s="250"/>
      <c r="Q8" s="250"/>
      <c r="R8" s="42"/>
    </row>
    <row r="9" spans="1:20">
      <c r="A9" s="11"/>
      <c r="B9" s="42"/>
      <c r="C9" s="42"/>
      <c r="D9" s="42"/>
      <c r="E9" s="42"/>
      <c r="F9" s="42"/>
      <c r="G9" s="42"/>
      <c r="H9" s="42"/>
      <c r="I9" s="42"/>
      <c r="J9" s="42"/>
      <c r="K9" s="42"/>
      <c r="L9" s="43"/>
      <c r="M9" s="43"/>
      <c r="N9" s="43"/>
      <c r="O9" s="43"/>
      <c r="P9" s="42"/>
      <c r="Q9" s="42"/>
      <c r="R9" s="42"/>
    </row>
    <row r="11" spans="1:20">
      <c r="A11" s="1" t="s">
        <v>2076</v>
      </c>
      <c r="B11" s="42" t="s">
        <v>2072</v>
      </c>
      <c r="C11" s="42" t="s">
        <v>2073</v>
      </c>
      <c r="D11" s="42" t="s">
        <v>16</v>
      </c>
      <c r="E11" s="42" t="s">
        <v>2082</v>
      </c>
      <c r="F11" s="42">
        <v>19896</v>
      </c>
      <c r="G11" s="42"/>
      <c r="H11" s="42">
        <v>1000</v>
      </c>
      <c r="I11" s="42">
        <v>20</v>
      </c>
      <c r="J11" s="42"/>
      <c r="K11" s="43">
        <f t="shared" ref="K11" si="0">I11*J11</f>
        <v>0</v>
      </c>
      <c r="L11" s="43">
        <f t="shared" ref="L11" si="1">H11-K11</f>
        <v>1000</v>
      </c>
      <c r="M11" s="43"/>
      <c r="N11" s="43">
        <f t="shared" ref="N11" si="2">L11-M11</f>
        <v>1000</v>
      </c>
      <c r="O11" s="43">
        <f t="shared" ref="O11" si="3">H11/1000*70</f>
        <v>70</v>
      </c>
      <c r="P11" s="42">
        <v>0</v>
      </c>
      <c r="Q11" s="42">
        <v>113</v>
      </c>
      <c r="R11" s="42">
        <f t="shared" ref="R11" si="4">L11*Q11</f>
        <v>113000</v>
      </c>
    </row>
    <row r="13" spans="1:20">
      <c r="A13" s="1" t="s">
        <v>2121</v>
      </c>
      <c r="B13" s="42" t="s">
        <v>2072</v>
      </c>
      <c r="C13" s="42" t="s">
        <v>2059</v>
      </c>
      <c r="D13" s="42" t="s">
        <v>16</v>
      </c>
      <c r="E13" s="42" t="s">
        <v>2126</v>
      </c>
      <c r="F13" s="42">
        <v>20121</v>
      </c>
      <c r="G13" s="42"/>
      <c r="H13" s="42">
        <v>1000</v>
      </c>
      <c r="I13" s="42">
        <v>20</v>
      </c>
      <c r="J13" s="42"/>
      <c r="K13" s="43">
        <f t="shared" ref="K13" si="5">I13*J13</f>
        <v>0</v>
      </c>
      <c r="L13" s="43">
        <f t="shared" ref="L13" si="6">H13-K13</f>
        <v>1000</v>
      </c>
      <c r="M13" s="43"/>
      <c r="N13" s="43">
        <f t="shared" ref="N13" si="7">L13-M13</f>
        <v>1000</v>
      </c>
      <c r="O13" s="43">
        <f t="shared" ref="O13" si="8">H13/1000*70</f>
        <v>70</v>
      </c>
      <c r="P13" s="42">
        <v>0</v>
      </c>
      <c r="Q13" s="42">
        <v>113</v>
      </c>
      <c r="R13" s="42">
        <f t="shared" ref="R13" si="9">L13*Q13</f>
        <v>113000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>
  <dimension ref="A5:T14"/>
  <sheetViews>
    <sheetView zoomScale="85" zoomScaleNormal="85" workbookViewId="0">
      <selection activeCell="I17" sqref="I17"/>
    </sheetView>
  </sheetViews>
  <sheetFormatPr defaultRowHeight="14.4"/>
  <cols>
    <col min="1" max="1" width="8.88671875" style="1"/>
    <col min="2" max="2" width="23.44140625" style="1" customWidth="1"/>
    <col min="3" max="3" width="16.6640625" style="1" customWidth="1"/>
    <col min="4" max="4" width="5.5546875" style="1" customWidth="1"/>
    <col min="5" max="5" width="10.664062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0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0">
      <c r="A6" s="7"/>
      <c r="B6" s="264"/>
      <c r="C6" s="264"/>
      <c r="D6" s="264"/>
      <c r="E6" s="264"/>
      <c r="F6" s="264"/>
      <c r="G6" s="264"/>
      <c r="H6" s="264"/>
      <c r="I6" s="264"/>
      <c r="J6" s="264"/>
      <c r="K6" s="264"/>
      <c r="L6" s="5"/>
      <c r="M6" s="5"/>
      <c r="N6" s="264"/>
    </row>
    <row r="7" spans="1:20">
      <c r="A7" s="9"/>
      <c r="B7" s="42"/>
      <c r="C7" s="42"/>
      <c r="D7" s="42"/>
      <c r="E7" s="42"/>
      <c r="F7" s="42"/>
      <c r="G7" s="42"/>
      <c r="H7" s="42"/>
      <c r="I7" s="42"/>
      <c r="J7" s="42"/>
      <c r="K7" s="42"/>
      <c r="L7" s="43"/>
      <c r="M7" s="43"/>
      <c r="N7" s="43"/>
      <c r="O7" s="43"/>
      <c r="P7" s="42"/>
      <c r="Q7" s="42"/>
      <c r="R7" s="42"/>
    </row>
    <row r="8" spans="1:20">
      <c r="A8" s="10"/>
      <c r="B8" s="42"/>
      <c r="C8" s="42"/>
      <c r="D8" s="42"/>
      <c r="E8" s="42"/>
      <c r="F8" s="42"/>
      <c r="G8" s="42"/>
      <c r="H8" s="42"/>
      <c r="I8" s="42"/>
      <c r="J8" s="42"/>
      <c r="K8" s="42"/>
      <c r="L8" s="43"/>
      <c r="M8" s="43"/>
      <c r="N8" s="43"/>
      <c r="O8" s="43"/>
      <c r="P8" s="264"/>
      <c r="Q8" s="264"/>
      <c r="R8" s="42"/>
    </row>
    <row r="9" spans="1:20">
      <c r="A9" s="11"/>
      <c r="B9" s="42"/>
      <c r="C9" s="42"/>
      <c r="D9" s="42"/>
      <c r="E9" s="42"/>
      <c r="F9" s="42"/>
      <c r="G9" s="42"/>
      <c r="H9" s="42"/>
      <c r="I9" s="42"/>
      <c r="J9" s="42"/>
      <c r="K9" s="42"/>
      <c r="L9" s="43"/>
      <c r="M9" s="43"/>
      <c r="N9" s="43"/>
      <c r="O9" s="43"/>
      <c r="P9" s="42"/>
      <c r="Q9" s="42"/>
      <c r="R9" s="42"/>
    </row>
    <row r="12" spans="1:20">
      <c r="A12" s="1" t="s">
        <v>2450</v>
      </c>
      <c r="B12" s="42" t="s">
        <v>1819</v>
      </c>
      <c r="C12" s="42" t="s">
        <v>2452</v>
      </c>
      <c r="D12" s="42" t="s">
        <v>16</v>
      </c>
      <c r="E12" s="42" t="s">
        <v>2453</v>
      </c>
      <c r="F12" s="42">
        <v>1007</v>
      </c>
      <c r="G12" s="42"/>
      <c r="H12" s="42">
        <v>800</v>
      </c>
      <c r="I12" s="42">
        <v>32</v>
      </c>
      <c r="J12" s="42"/>
      <c r="K12" s="43">
        <f t="shared" ref="K12" si="0">I12*J12</f>
        <v>0</v>
      </c>
      <c r="L12" s="43">
        <f t="shared" ref="L12" si="1">H12-K12</f>
        <v>800</v>
      </c>
      <c r="M12" s="43"/>
      <c r="N12" s="43">
        <f t="shared" ref="N12" si="2">L12-M12</f>
        <v>800</v>
      </c>
      <c r="O12" s="43">
        <f t="shared" ref="O12" si="3">H12/1000*70</f>
        <v>56</v>
      </c>
      <c r="P12" s="42">
        <v>0</v>
      </c>
      <c r="Q12" s="42">
        <v>1750</v>
      </c>
      <c r="R12" s="42">
        <f t="shared" ref="R12" si="4">L12*Q12</f>
        <v>1400000</v>
      </c>
    </row>
    <row r="14" spans="1:20">
      <c r="A14" s="1" t="s">
        <v>2964</v>
      </c>
      <c r="B14" s="42" t="s">
        <v>2967</v>
      </c>
      <c r="C14" s="42" t="s">
        <v>2965</v>
      </c>
      <c r="D14" s="42" t="s">
        <v>16</v>
      </c>
      <c r="E14" s="42" t="s">
        <v>2966</v>
      </c>
      <c r="F14" s="42">
        <v>538</v>
      </c>
      <c r="G14" s="42"/>
      <c r="H14" s="42">
        <v>50</v>
      </c>
      <c r="I14" s="42">
        <v>2</v>
      </c>
      <c r="J14" s="42"/>
      <c r="K14" s="43">
        <f t="shared" ref="K14" si="5">I14*J14</f>
        <v>0</v>
      </c>
      <c r="L14" s="43">
        <f t="shared" ref="L14" si="6">H14-K14</f>
        <v>50</v>
      </c>
      <c r="M14" s="43"/>
      <c r="N14" s="43">
        <f t="shared" ref="N14" si="7">L14-M14</f>
        <v>50</v>
      </c>
      <c r="O14" s="43">
        <f t="shared" ref="O14" si="8">H14/1000*70</f>
        <v>3.5</v>
      </c>
      <c r="P14" s="42">
        <v>0</v>
      </c>
      <c r="Q14" s="42">
        <v>7200</v>
      </c>
      <c r="R14" s="42">
        <f t="shared" ref="R14" si="9">L14*Q14</f>
        <v>360000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>
  <dimension ref="A5:T45"/>
  <sheetViews>
    <sheetView topLeftCell="A19" zoomScale="85" zoomScaleNormal="85" workbookViewId="0">
      <selection activeCell="A46" sqref="A46"/>
    </sheetView>
  </sheetViews>
  <sheetFormatPr defaultRowHeight="14.4"/>
  <cols>
    <col min="1" max="1" width="8.88671875" style="1"/>
    <col min="2" max="2" width="23.44140625" style="1" customWidth="1"/>
    <col min="3" max="3" width="16.6640625" style="1" customWidth="1"/>
    <col min="4" max="4" width="5.5546875" style="1" customWidth="1"/>
    <col min="5" max="5" width="10.664062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0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0">
      <c r="A6" s="7"/>
      <c r="B6" s="308"/>
      <c r="C6" s="308"/>
      <c r="D6" s="308"/>
      <c r="E6" s="308"/>
      <c r="F6" s="308"/>
      <c r="G6" s="308"/>
      <c r="H6" s="308"/>
      <c r="I6" s="308"/>
      <c r="J6" s="308"/>
      <c r="K6" s="308"/>
      <c r="L6" s="5"/>
      <c r="M6" s="5"/>
      <c r="N6" s="308"/>
    </row>
    <row r="7" spans="1:20">
      <c r="A7" s="9"/>
      <c r="B7" s="42"/>
      <c r="C7" s="42"/>
      <c r="D7" s="42"/>
      <c r="E7" s="42"/>
      <c r="F7" s="42"/>
      <c r="G7" s="42"/>
      <c r="H7" s="42"/>
      <c r="I7" s="42"/>
      <c r="J7" s="42"/>
      <c r="K7" s="42"/>
      <c r="L7" s="43"/>
      <c r="M7" s="43"/>
      <c r="N7" s="43"/>
      <c r="O7" s="43"/>
      <c r="P7" s="42"/>
      <c r="Q7" s="42"/>
      <c r="R7" s="42"/>
    </row>
    <row r="8" spans="1:20">
      <c r="A8" s="10"/>
      <c r="B8" s="42"/>
      <c r="C8" s="42"/>
      <c r="D8" s="42"/>
      <c r="E8" s="42"/>
      <c r="F8" s="42"/>
      <c r="G8" s="42"/>
      <c r="H8" s="42"/>
      <c r="I8" s="42"/>
      <c r="J8" s="42"/>
      <c r="K8" s="42"/>
      <c r="L8" s="43"/>
      <c r="M8" s="43"/>
      <c r="N8" s="43"/>
      <c r="O8" s="43"/>
      <c r="P8" s="308"/>
      <c r="Q8" s="308"/>
      <c r="R8" s="42"/>
    </row>
    <row r="9" spans="1:20">
      <c r="A9" s="11"/>
      <c r="B9" s="42"/>
      <c r="C9" s="42"/>
      <c r="D9" s="42"/>
      <c r="E9" s="42"/>
      <c r="F9" s="42"/>
      <c r="G9" s="42"/>
      <c r="H9" s="42"/>
      <c r="I9" s="42"/>
      <c r="J9" s="42"/>
      <c r="K9" s="42"/>
      <c r="L9" s="43"/>
      <c r="M9" s="43"/>
      <c r="N9" s="43"/>
      <c r="O9" s="43"/>
      <c r="P9" s="42"/>
      <c r="Q9" s="42"/>
      <c r="R9" s="42"/>
    </row>
    <row r="14" spans="1:20">
      <c r="A14" s="1" t="s">
        <v>3121</v>
      </c>
      <c r="B14" s="42" t="s">
        <v>3123</v>
      </c>
      <c r="C14" s="42" t="s">
        <v>3124</v>
      </c>
      <c r="D14" s="42" t="s">
        <v>16</v>
      </c>
      <c r="E14" s="42" t="s">
        <v>3125</v>
      </c>
      <c r="F14" s="42">
        <v>878</v>
      </c>
      <c r="G14" s="42"/>
      <c r="H14" s="42">
        <v>500</v>
      </c>
      <c r="I14" s="42">
        <v>20</v>
      </c>
      <c r="J14" s="42"/>
      <c r="K14" s="43">
        <f t="shared" ref="K14" si="0">I14*J14</f>
        <v>0</v>
      </c>
      <c r="L14" s="43">
        <f t="shared" ref="L14" si="1">H14-K14</f>
        <v>500</v>
      </c>
      <c r="M14" s="43"/>
      <c r="N14" s="43">
        <f t="shared" ref="N14" si="2">L14-M14</f>
        <v>500</v>
      </c>
      <c r="O14" s="43">
        <f t="shared" ref="O14" si="3">H14/1000*70</f>
        <v>35</v>
      </c>
      <c r="P14" s="42">
        <v>0</v>
      </c>
      <c r="Q14" s="42">
        <v>130</v>
      </c>
      <c r="R14" s="42">
        <f t="shared" ref="R14" si="4">L14*Q14</f>
        <v>65000</v>
      </c>
    </row>
    <row r="16" spans="1:20">
      <c r="A16" s="1" t="s">
        <v>3197</v>
      </c>
      <c r="B16" s="42" t="s">
        <v>3201</v>
      </c>
      <c r="C16" s="42" t="s">
        <v>3124</v>
      </c>
      <c r="D16" s="42" t="s">
        <v>16</v>
      </c>
      <c r="E16" s="42" t="s">
        <v>3202</v>
      </c>
      <c r="F16" s="42">
        <v>3460</v>
      </c>
      <c r="G16" s="42"/>
      <c r="H16" s="42">
        <v>4000</v>
      </c>
      <c r="I16" s="42">
        <v>160</v>
      </c>
      <c r="J16" s="42"/>
      <c r="K16" s="43">
        <f t="shared" ref="K16" si="5">I16*J16</f>
        <v>0</v>
      </c>
      <c r="L16" s="43">
        <f t="shared" ref="L16" si="6">H16-K16</f>
        <v>4000</v>
      </c>
      <c r="M16" s="43"/>
      <c r="N16" s="43">
        <f t="shared" ref="N16" si="7">L16-M16</f>
        <v>4000</v>
      </c>
      <c r="O16" s="43">
        <f t="shared" ref="O16" si="8">H16/1000*70</f>
        <v>280</v>
      </c>
      <c r="P16" s="42">
        <v>0</v>
      </c>
      <c r="Q16" s="42">
        <v>130</v>
      </c>
      <c r="R16" s="42">
        <f t="shared" ref="R16" si="9">L16*Q16</f>
        <v>520000</v>
      </c>
    </row>
    <row r="18" spans="1:18">
      <c r="A18" s="1" t="s">
        <v>3263</v>
      </c>
      <c r="B18" s="42" t="s">
        <v>3201</v>
      </c>
      <c r="C18" s="42" t="s">
        <v>3124</v>
      </c>
      <c r="D18" s="42" t="s">
        <v>16</v>
      </c>
      <c r="E18" s="42" t="s">
        <v>3269</v>
      </c>
      <c r="F18" s="42">
        <v>3731</v>
      </c>
      <c r="G18" s="42"/>
      <c r="H18" s="42">
        <v>1500</v>
      </c>
      <c r="I18" s="42">
        <v>60</v>
      </c>
      <c r="J18" s="42"/>
      <c r="K18" s="43">
        <f t="shared" ref="K18" si="10">I18*J18</f>
        <v>0</v>
      </c>
      <c r="L18" s="43">
        <f t="shared" ref="L18" si="11">H18-K18</f>
        <v>1500</v>
      </c>
      <c r="M18" s="43"/>
      <c r="N18" s="43">
        <f t="shared" ref="N18" si="12">L18-M18</f>
        <v>1500</v>
      </c>
      <c r="O18" s="43">
        <f t="shared" ref="O18" si="13">H18/1000*70</f>
        <v>105</v>
      </c>
      <c r="P18" s="42">
        <v>0</v>
      </c>
      <c r="Q18" s="42">
        <v>130</v>
      </c>
      <c r="R18" s="42">
        <f t="shared" ref="R18" si="14">L18*Q18</f>
        <v>195000</v>
      </c>
    </row>
    <row r="20" spans="1:18">
      <c r="A20" s="1" t="s">
        <v>3275</v>
      </c>
      <c r="B20" s="42" t="s">
        <v>3279</v>
      </c>
      <c r="C20" s="42" t="s">
        <v>3124</v>
      </c>
      <c r="D20" s="42" t="s">
        <v>16</v>
      </c>
      <c r="E20" s="47" t="s">
        <v>3202</v>
      </c>
      <c r="F20" s="47">
        <v>3787</v>
      </c>
      <c r="G20" s="47"/>
      <c r="H20" s="47">
        <v>5000</v>
      </c>
      <c r="I20" s="47">
        <v>100</v>
      </c>
      <c r="J20" s="47"/>
      <c r="K20" s="43">
        <f t="shared" ref="K20" si="15">I20*J20</f>
        <v>0</v>
      </c>
      <c r="L20" s="43">
        <f t="shared" ref="L20" si="16">H20-K20</f>
        <v>5000</v>
      </c>
      <c r="M20" s="43"/>
      <c r="N20" s="43">
        <f t="shared" ref="N20" si="17">L20-M20</f>
        <v>5000</v>
      </c>
      <c r="O20" s="43">
        <f t="shared" ref="O20" si="18">H20/1000*70</f>
        <v>350</v>
      </c>
      <c r="P20" s="42">
        <v>0</v>
      </c>
      <c r="Q20" s="42">
        <v>130</v>
      </c>
      <c r="R20" s="42">
        <f t="shared" ref="R20" si="19">L20*Q20</f>
        <v>650000</v>
      </c>
    </row>
    <row r="22" spans="1:18">
      <c r="A22" s="1" t="s">
        <v>3297</v>
      </c>
      <c r="B22" s="42" t="s">
        <v>3279</v>
      </c>
      <c r="C22" s="42" t="s">
        <v>3124</v>
      </c>
      <c r="D22" s="42" t="s">
        <v>16</v>
      </c>
      <c r="E22" s="47" t="s">
        <v>3304</v>
      </c>
      <c r="F22" s="47">
        <v>3839</v>
      </c>
      <c r="G22" s="47"/>
      <c r="H22" s="47">
        <v>3000</v>
      </c>
      <c r="I22" s="47">
        <v>120</v>
      </c>
      <c r="J22" s="47"/>
      <c r="K22" s="43">
        <f t="shared" ref="K22" si="20">I22*J22</f>
        <v>0</v>
      </c>
      <c r="L22" s="43">
        <f t="shared" ref="L22" si="21">H22-K22</f>
        <v>3000</v>
      </c>
      <c r="M22" s="43"/>
      <c r="N22" s="43">
        <f t="shared" ref="N22" si="22">L22-M22</f>
        <v>3000</v>
      </c>
      <c r="O22" s="43">
        <f t="shared" ref="O22" si="23">H22/1000*70</f>
        <v>210</v>
      </c>
      <c r="P22" s="42">
        <v>0</v>
      </c>
      <c r="Q22" s="42">
        <v>130</v>
      </c>
      <c r="R22" s="42">
        <f t="shared" ref="R22" si="24">L22*Q22</f>
        <v>390000</v>
      </c>
    </row>
    <row r="24" spans="1:18">
      <c r="A24" s="1" t="s">
        <v>3355</v>
      </c>
      <c r="B24" s="42" t="s">
        <v>3279</v>
      </c>
      <c r="C24" s="42" t="s">
        <v>3124</v>
      </c>
      <c r="D24" s="42" t="s">
        <v>16</v>
      </c>
      <c r="E24" s="47" t="s">
        <v>3356</v>
      </c>
      <c r="F24" s="47">
        <v>4021</v>
      </c>
      <c r="G24" s="47"/>
      <c r="H24" s="47">
        <v>3000</v>
      </c>
      <c r="I24" s="47">
        <v>120</v>
      </c>
      <c r="J24" s="47"/>
      <c r="K24" s="43">
        <f t="shared" ref="K24:K25" si="25">I24*J24</f>
        <v>0</v>
      </c>
      <c r="L24" s="43">
        <f t="shared" ref="L24:L25" si="26">H24-K24</f>
        <v>3000</v>
      </c>
      <c r="M24" s="43"/>
      <c r="N24" s="43">
        <f t="shared" ref="N24:N25" si="27">L24-M24</f>
        <v>3000</v>
      </c>
      <c r="O24" s="43">
        <f t="shared" ref="O24:O25" si="28">H24/1000*70</f>
        <v>210</v>
      </c>
      <c r="P24" s="42">
        <v>0</v>
      </c>
      <c r="Q24" s="42">
        <v>130</v>
      </c>
      <c r="R24" s="42">
        <f t="shared" ref="R24:R25" si="29">L24*Q24</f>
        <v>390000</v>
      </c>
    </row>
    <row r="25" spans="1:18">
      <c r="A25" s="21" t="s">
        <v>3372</v>
      </c>
      <c r="B25" s="42" t="s">
        <v>3279</v>
      </c>
      <c r="C25" s="42" t="s">
        <v>3124</v>
      </c>
      <c r="D25" s="42" t="s">
        <v>16</v>
      </c>
      <c r="E25" s="47" t="s">
        <v>835</v>
      </c>
      <c r="F25" s="47">
        <v>3326</v>
      </c>
      <c r="G25" s="47"/>
      <c r="H25" s="47">
        <v>500</v>
      </c>
      <c r="I25" s="47">
        <v>20</v>
      </c>
      <c r="J25" s="47"/>
      <c r="K25" s="43">
        <f t="shared" si="25"/>
        <v>0</v>
      </c>
      <c r="L25" s="43">
        <f t="shared" si="26"/>
        <v>500</v>
      </c>
      <c r="M25" s="43"/>
      <c r="N25" s="43">
        <f t="shared" si="27"/>
        <v>500</v>
      </c>
      <c r="O25" s="43">
        <f t="shared" si="28"/>
        <v>35</v>
      </c>
      <c r="P25" s="42">
        <v>0</v>
      </c>
      <c r="Q25" s="42">
        <v>130</v>
      </c>
      <c r="R25" s="42">
        <f t="shared" si="29"/>
        <v>65000</v>
      </c>
    </row>
    <row r="27" spans="1:18">
      <c r="A27" s="21" t="s">
        <v>3377</v>
      </c>
      <c r="B27" s="42" t="s">
        <v>3380</v>
      </c>
      <c r="C27" s="42" t="s">
        <v>3124</v>
      </c>
      <c r="D27" s="42" t="s">
        <v>16</v>
      </c>
      <c r="E27" s="47" t="s">
        <v>3356</v>
      </c>
      <c r="F27" s="47">
        <v>4091</v>
      </c>
      <c r="G27" s="47"/>
      <c r="H27" s="47">
        <v>3000</v>
      </c>
      <c r="I27" s="47">
        <v>120</v>
      </c>
      <c r="J27" s="47"/>
      <c r="K27" s="43">
        <f t="shared" ref="K27" si="30">I27*J27</f>
        <v>0</v>
      </c>
      <c r="L27" s="43">
        <f t="shared" ref="L27" si="31">H27-K27</f>
        <v>3000</v>
      </c>
      <c r="M27" s="43"/>
      <c r="N27" s="43">
        <f t="shared" ref="N27" si="32">L27-M27</f>
        <v>3000</v>
      </c>
      <c r="O27" s="43">
        <f t="shared" ref="O27" si="33">H27/1000*70</f>
        <v>210</v>
      </c>
      <c r="P27" s="42"/>
      <c r="Q27" s="42">
        <v>130</v>
      </c>
      <c r="R27" s="42">
        <f t="shared" ref="R27" si="34">L27*Q27</f>
        <v>390000</v>
      </c>
    </row>
    <row r="29" spans="1:18">
      <c r="A29" s="21" t="s">
        <v>3438</v>
      </c>
      <c r="B29" s="42" t="s">
        <v>3380</v>
      </c>
      <c r="C29" s="42" t="s">
        <v>3124</v>
      </c>
      <c r="D29" s="42" t="s">
        <v>16</v>
      </c>
      <c r="E29" s="47" t="s">
        <v>3202</v>
      </c>
      <c r="F29" s="47">
        <v>4360</v>
      </c>
      <c r="G29" s="47"/>
      <c r="H29" s="47">
        <v>3000</v>
      </c>
      <c r="I29" s="47">
        <v>120</v>
      </c>
      <c r="J29" s="47"/>
      <c r="K29" s="43">
        <f t="shared" ref="K29" si="35">I29*J29</f>
        <v>0</v>
      </c>
      <c r="L29" s="43">
        <f t="shared" ref="L29" si="36">H29-K29</f>
        <v>3000</v>
      </c>
      <c r="M29" s="43"/>
      <c r="N29" s="43">
        <f t="shared" ref="N29" si="37">L29-M29</f>
        <v>3000</v>
      </c>
      <c r="O29" s="43">
        <f>H29/1000*70+11700</f>
        <v>11910</v>
      </c>
      <c r="P29" s="42">
        <v>0</v>
      </c>
      <c r="Q29" s="42">
        <v>130</v>
      </c>
      <c r="R29" s="42">
        <f t="shared" ref="R29" si="38">L29*Q29</f>
        <v>390000</v>
      </c>
    </row>
    <row r="31" spans="1:18">
      <c r="A31" s="1" t="s">
        <v>3492</v>
      </c>
      <c r="B31" s="42" t="s">
        <v>3380</v>
      </c>
      <c r="C31" s="42" t="s">
        <v>3124</v>
      </c>
      <c r="D31" s="42" t="s">
        <v>16</v>
      </c>
      <c r="E31" s="47" t="s">
        <v>3498</v>
      </c>
      <c r="F31" s="47">
        <v>4527</v>
      </c>
      <c r="G31" s="47"/>
      <c r="H31" s="47">
        <v>4000</v>
      </c>
      <c r="I31" s="47">
        <v>160</v>
      </c>
      <c r="J31" s="47"/>
      <c r="K31" s="43">
        <f t="shared" ref="K31" si="39">I31*J31</f>
        <v>0</v>
      </c>
      <c r="L31" s="43">
        <f t="shared" ref="L31" si="40">H31-K31</f>
        <v>4000</v>
      </c>
      <c r="M31" s="43"/>
      <c r="N31" s="43">
        <f t="shared" ref="N31" si="41">L31-M31</f>
        <v>4000</v>
      </c>
      <c r="O31" s="43">
        <f t="shared" ref="O31" si="42">H31/1000*70</f>
        <v>280</v>
      </c>
      <c r="P31" s="42">
        <v>0</v>
      </c>
      <c r="Q31" s="42">
        <v>130</v>
      </c>
      <c r="R31" s="42">
        <f t="shared" ref="R31" si="43">L31*Q31</f>
        <v>520000</v>
      </c>
    </row>
    <row r="33" spans="1:19">
      <c r="A33" s="1" t="s">
        <v>3530</v>
      </c>
      <c r="B33" s="42" t="s">
        <v>3531</v>
      </c>
      <c r="C33" s="42" t="s">
        <v>3124</v>
      </c>
      <c r="D33" s="42" t="s">
        <v>16</v>
      </c>
      <c r="E33" s="47" t="s">
        <v>3202</v>
      </c>
      <c r="F33" s="47">
        <v>4674</v>
      </c>
      <c r="G33" s="47"/>
      <c r="H33" s="47">
        <v>3000</v>
      </c>
      <c r="I33" s="47">
        <v>120</v>
      </c>
      <c r="J33" s="47"/>
      <c r="K33" s="43">
        <f t="shared" ref="K33" si="44">I33*J33</f>
        <v>0</v>
      </c>
      <c r="L33" s="43">
        <f t="shared" ref="L33" si="45">H33-K33</f>
        <v>3000</v>
      </c>
      <c r="M33" s="43"/>
      <c r="N33" s="43">
        <f t="shared" ref="N33" si="46">L33-M33</f>
        <v>3000</v>
      </c>
      <c r="O33" s="43">
        <f t="shared" ref="O33" si="47">H33/1000*70</f>
        <v>210</v>
      </c>
      <c r="P33" s="42">
        <v>0</v>
      </c>
      <c r="Q33" s="42">
        <v>130</v>
      </c>
      <c r="R33" s="42">
        <f t="shared" ref="R33" si="48">L33*Q33</f>
        <v>390000</v>
      </c>
      <c r="S33" s="42"/>
    </row>
    <row r="35" spans="1:19">
      <c r="A35" s="1" t="s">
        <v>3590</v>
      </c>
      <c r="B35" s="42" t="s">
        <v>3531</v>
      </c>
      <c r="C35" s="42" t="s">
        <v>3124</v>
      </c>
      <c r="D35" s="42" t="s">
        <v>16</v>
      </c>
      <c r="E35" s="47" t="s">
        <v>3202</v>
      </c>
      <c r="F35" s="47">
        <v>4848</v>
      </c>
      <c r="G35" s="47"/>
      <c r="H35" s="47">
        <v>3000</v>
      </c>
      <c r="I35" s="47">
        <v>120</v>
      </c>
      <c r="J35" s="47"/>
      <c r="K35" s="43">
        <f t="shared" ref="K35" si="49">I35*J35</f>
        <v>0</v>
      </c>
      <c r="L35" s="43">
        <f t="shared" ref="L35" si="50">H35-K35</f>
        <v>3000</v>
      </c>
      <c r="M35" s="43"/>
      <c r="N35" s="43">
        <f t="shared" ref="N35" si="51">L35-M35</f>
        <v>3000</v>
      </c>
      <c r="O35" s="43">
        <f>210+12240</f>
        <v>12450</v>
      </c>
      <c r="P35" s="42">
        <v>0</v>
      </c>
      <c r="Q35" s="42">
        <v>136</v>
      </c>
      <c r="R35" s="42">
        <f t="shared" ref="R35" si="52">L35*Q35</f>
        <v>408000</v>
      </c>
    </row>
    <row r="37" spans="1:19">
      <c r="A37" s="1" t="s">
        <v>3643</v>
      </c>
      <c r="B37" s="42" t="s">
        <v>3641</v>
      </c>
      <c r="C37" s="42" t="s">
        <v>3124</v>
      </c>
      <c r="D37" s="42" t="s">
        <v>16</v>
      </c>
      <c r="E37" s="47" t="s">
        <v>3125</v>
      </c>
      <c r="F37" s="47">
        <v>4993</v>
      </c>
      <c r="G37" s="47"/>
      <c r="H37" s="47">
        <v>2000</v>
      </c>
      <c r="I37" s="47">
        <v>80</v>
      </c>
      <c r="J37" s="47"/>
      <c r="K37" s="43">
        <f t="shared" ref="K37" si="53">I37*J37</f>
        <v>0</v>
      </c>
      <c r="L37" s="43">
        <f t="shared" ref="L37" si="54">H37-K37</f>
        <v>2000</v>
      </c>
      <c r="M37" s="43"/>
      <c r="N37" s="43">
        <f t="shared" ref="N37" si="55">L37-M37</f>
        <v>2000</v>
      </c>
      <c r="O37" s="43">
        <f>140+8160</f>
        <v>8300</v>
      </c>
      <c r="P37" s="42">
        <v>0</v>
      </c>
      <c r="Q37" s="42">
        <v>136</v>
      </c>
      <c r="R37" s="42">
        <f t="shared" ref="R37" si="56">L37*Q37</f>
        <v>272000</v>
      </c>
    </row>
    <row r="39" spans="1:19">
      <c r="A39" s="1" t="s">
        <v>3666</v>
      </c>
      <c r="B39" s="42" t="s">
        <v>3641</v>
      </c>
      <c r="C39" s="42" t="s">
        <v>3124</v>
      </c>
      <c r="D39" s="42" t="s">
        <v>16</v>
      </c>
      <c r="E39" s="47" t="s">
        <v>3125</v>
      </c>
      <c r="F39" s="47">
        <v>5129</v>
      </c>
      <c r="G39" s="47"/>
      <c r="H39" s="47">
        <v>2625</v>
      </c>
      <c r="I39" s="47">
        <v>105</v>
      </c>
      <c r="J39" s="47"/>
      <c r="K39" s="43">
        <f t="shared" ref="K39" si="57">I39*J39</f>
        <v>0</v>
      </c>
      <c r="L39" s="43">
        <f t="shared" ref="L39" si="58">H39-K39</f>
        <v>2625</v>
      </c>
      <c r="M39" s="43"/>
      <c r="N39" s="43">
        <f t="shared" ref="N39" si="59">L39-M39</f>
        <v>2625</v>
      </c>
      <c r="O39" s="43">
        <f t="shared" ref="O39" si="60">H39/1000*70</f>
        <v>183.75</v>
      </c>
      <c r="P39" s="42">
        <v>0</v>
      </c>
      <c r="Q39" s="42"/>
      <c r="R39" s="42">
        <f t="shared" ref="R39" si="61">L39*Q39</f>
        <v>0</v>
      </c>
    </row>
    <row r="41" spans="1:19">
      <c r="A41" s="1" t="s">
        <v>3957</v>
      </c>
      <c r="B41" s="337" t="s">
        <v>3958</v>
      </c>
      <c r="C41" s="337" t="s">
        <v>3124</v>
      </c>
      <c r="D41" s="42" t="s">
        <v>16</v>
      </c>
      <c r="E41" s="337" t="s">
        <v>3959</v>
      </c>
      <c r="F41" s="337">
        <v>5777</v>
      </c>
      <c r="G41" s="337"/>
      <c r="H41" s="337">
        <v>1500</v>
      </c>
      <c r="I41" s="337">
        <v>60</v>
      </c>
      <c r="J41" s="337"/>
      <c r="K41" s="43">
        <f t="shared" ref="K41" si="62">I41*J41</f>
        <v>0</v>
      </c>
      <c r="L41" s="43">
        <f t="shared" ref="L41" si="63">H41-K41</f>
        <v>1500</v>
      </c>
      <c r="M41" s="43"/>
      <c r="N41" s="43">
        <f t="shared" ref="N41" si="64">L41-M41</f>
        <v>1500</v>
      </c>
      <c r="O41" s="43">
        <f>H41/1000*70+6120</f>
        <v>6225</v>
      </c>
      <c r="P41" s="42">
        <v>0</v>
      </c>
      <c r="Q41" s="42">
        <v>136</v>
      </c>
      <c r="R41" s="42">
        <f t="shared" ref="R41" si="65">L41*Q41</f>
        <v>204000</v>
      </c>
    </row>
    <row r="43" spans="1:19">
      <c r="A43" s="1" t="s">
        <v>4009</v>
      </c>
      <c r="B43" s="348" t="s">
        <v>4010</v>
      </c>
      <c r="C43" s="348" t="s">
        <v>3124</v>
      </c>
      <c r="D43" s="42" t="s">
        <v>16</v>
      </c>
      <c r="E43" s="348" t="s">
        <v>2111</v>
      </c>
      <c r="F43" s="348">
        <v>1262</v>
      </c>
      <c r="G43" s="348"/>
      <c r="H43" s="348">
        <v>1000</v>
      </c>
      <c r="I43" s="348">
        <v>40</v>
      </c>
      <c r="J43" s="348"/>
      <c r="K43" s="43">
        <f t="shared" ref="K43" si="66">I43*J43</f>
        <v>0</v>
      </c>
      <c r="L43" s="43">
        <f t="shared" ref="L43" si="67">H43-K43</f>
        <v>1000</v>
      </c>
      <c r="M43" s="43"/>
      <c r="N43" s="43">
        <f t="shared" ref="N43" si="68">L43-M43</f>
        <v>1000</v>
      </c>
      <c r="O43" s="43">
        <f t="shared" ref="O43" si="69">H43/1000*70</f>
        <v>70</v>
      </c>
      <c r="P43" s="42">
        <v>0</v>
      </c>
      <c r="Q43" s="42">
        <v>133</v>
      </c>
      <c r="R43" s="42">
        <f t="shared" ref="R43" si="70">L43*Q43</f>
        <v>133000</v>
      </c>
    </row>
    <row r="45" spans="1:19">
      <c r="A45" s="1" t="s">
        <v>4023</v>
      </c>
      <c r="B45" s="351" t="s">
        <v>3958</v>
      </c>
      <c r="C45" s="351" t="s">
        <v>3124</v>
      </c>
      <c r="D45" s="42" t="s">
        <v>16</v>
      </c>
      <c r="E45" s="351" t="s">
        <v>3125</v>
      </c>
      <c r="F45" s="351">
        <v>0</v>
      </c>
      <c r="G45" s="351"/>
      <c r="H45" s="351">
        <v>2000</v>
      </c>
      <c r="I45" s="351">
        <v>80</v>
      </c>
      <c r="J45" s="351"/>
      <c r="K45" s="43">
        <f t="shared" ref="K45" si="71">I45*J45</f>
        <v>0</v>
      </c>
      <c r="L45" s="43">
        <f t="shared" ref="L45" si="72">H45-K45</f>
        <v>2000</v>
      </c>
      <c r="M45" s="43"/>
      <c r="N45" s="43">
        <f t="shared" ref="N45" si="73">L45-M45</f>
        <v>2000</v>
      </c>
      <c r="O45" s="43">
        <f t="shared" ref="O45" si="74">H45/1000*70</f>
        <v>140</v>
      </c>
      <c r="P45" s="42">
        <v>0</v>
      </c>
      <c r="Q45" s="42"/>
      <c r="R45" s="42">
        <f t="shared" ref="R45" si="75">L45*Q45</f>
        <v>0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>
  <dimension ref="A5:T11"/>
  <sheetViews>
    <sheetView zoomScale="85" zoomScaleNormal="85" workbookViewId="0">
      <selection activeCell="A12" sqref="A12"/>
    </sheetView>
  </sheetViews>
  <sheetFormatPr defaultRowHeight="14.4"/>
  <cols>
    <col min="1" max="1" width="8.88671875" style="1"/>
    <col min="2" max="2" width="23.44140625" style="1" customWidth="1"/>
    <col min="3" max="3" width="16.6640625" style="1" customWidth="1"/>
    <col min="4" max="4" width="5.5546875" style="1" customWidth="1"/>
    <col min="5" max="5" width="10.664062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0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0">
      <c r="A6" s="7"/>
      <c r="B6" s="266"/>
      <c r="C6" s="266"/>
      <c r="D6" s="266"/>
      <c r="E6" s="266"/>
      <c r="F6" s="266"/>
      <c r="G6" s="266"/>
      <c r="H6" s="266"/>
      <c r="I6" s="266"/>
      <c r="J6" s="266"/>
      <c r="K6" s="266"/>
      <c r="L6" s="5"/>
      <c r="M6" s="5"/>
      <c r="N6" s="266"/>
    </row>
    <row r="8" spans="1:20">
      <c r="A8" s="374" t="s">
        <v>2489</v>
      </c>
      <c r="B8" s="42" t="s">
        <v>2490</v>
      </c>
      <c r="C8" s="169" t="s">
        <v>2491</v>
      </c>
      <c r="D8" s="42" t="s">
        <v>16</v>
      </c>
      <c r="E8" s="42" t="s">
        <v>2492</v>
      </c>
      <c r="F8" s="42">
        <v>312360</v>
      </c>
      <c r="G8" s="42"/>
      <c r="H8" s="42">
        <v>1000</v>
      </c>
      <c r="I8" s="42">
        <v>40</v>
      </c>
      <c r="J8" s="42"/>
      <c r="K8" s="43">
        <f t="shared" ref="K8:K9" si="0">I8*J8</f>
        <v>0</v>
      </c>
      <c r="L8" s="43">
        <f t="shared" ref="L8:L9" si="1">H8-K8</f>
        <v>1000</v>
      </c>
      <c r="M8" s="43"/>
      <c r="N8" s="43">
        <f t="shared" ref="N8:N9" si="2">L8-M8</f>
        <v>1000</v>
      </c>
      <c r="O8" s="43">
        <f t="shared" ref="O8:O9" si="3">H8/1000*70</f>
        <v>70</v>
      </c>
      <c r="P8" s="42">
        <v>0</v>
      </c>
      <c r="Q8" s="42"/>
      <c r="R8" s="42">
        <f t="shared" ref="R8:R9" si="4">L8*Q8</f>
        <v>0</v>
      </c>
    </row>
    <row r="9" spans="1:20">
      <c r="A9" s="374"/>
      <c r="B9" s="42"/>
      <c r="C9" s="42" t="s">
        <v>639</v>
      </c>
      <c r="D9" s="42" t="s">
        <v>16</v>
      </c>
      <c r="E9" s="42" t="s">
        <v>2492</v>
      </c>
      <c r="F9" s="42">
        <v>312360</v>
      </c>
      <c r="G9" s="42"/>
      <c r="H9" s="42">
        <v>1000</v>
      </c>
      <c r="I9" s="42">
        <v>40</v>
      </c>
      <c r="J9" s="42"/>
      <c r="K9" s="43">
        <f t="shared" si="0"/>
        <v>0</v>
      </c>
      <c r="L9" s="43">
        <f t="shared" si="1"/>
        <v>1000</v>
      </c>
      <c r="M9" s="43"/>
      <c r="N9" s="43">
        <f t="shared" si="2"/>
        <v>1000</v>
      </c>
      <c r="O9" s="43">
        <f t="shared" si="3"/>
        <v>70</v>
      </c>
      <c r="P9" s="42">
        <v>0</v>
      </c>
      <c r="Q9" s="42"/>
      <c r="R9" s="42">
        <f t="shared" si="4"/>
        <v>0</v>
      </c>
    </row>
    <row r="11" spans="1:20">
      <c r="A11" s="1" t="s">
        <v>3953</v>
      </c>
      <c r="B11" s="335" t="s">
        <v>2490</v>
      </c>
      <c r="C11" s="335" t="s">
        <v>3955</v>
      </c>
      <c r="D11" s="42" t="s">
        <v>16</v>
      </c>
      <c r="E11" s="335" t="s">
        <v>835</v>
      </c>
      <c r="F11" s="335">
        <v>312504</v>
      </c>
      <c r="G11" s="335"/>
      <c r="H11" s="335">
        <v>200</v>
      </c>
      <c r="I11" s="335">
        <v>8</v>
      </c>
      <c r="J11" s="335"/>
      <c r="K11" s="43">
        <f t="shared" ref="K11" si="5">I11*J11</f>
        <v>0</v>
      </c>
      <c r="L11" s="43">
        <f t="shared" ref="L11" si="6">H11-K11</f>
        <v>200</v>
      </c>
      <c r="M11" s="43"/>
      <c r="N11" s="43">
        <f t="shared" ref="N11" si="7">L11-M11</f>
        <v>200</v>
      </c>
      <c r="O11" s="43">
        <f t="shared" ref="O11" si="8">H11/1000*70</f>
        <v>14</v>
      </c>
      <c r="P11" s="42">
        <v>0</v>
      </c>
      <c r="Q11" s="42">
        <v>276.45</v>
      </c>
      <c r="R11" s="42">
        <f t="shared" ref="R11" si="9">L11*Q11</f>
        <v>55290</v>
      </c>
    </row>
  </sheetData>
  <mergeCells count="1">
    <mergeCell ref="A8:A9"/>
  </mergeCells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>
  <dimension ref="A5:T9"/>
  <sheetViews>
    <sheetView zoomScale="85" zoomScaleNormal="85" workbookViewId="0">
      <selection activeCell="E16" sqref="E16"/>
    </sheetView>
  </sheetViews>
  <sheetFormatPr defaultRowHeight="14.4"/>
  <cols>
    <col min="1" max="1" width="8.88671875" style="1"/>
    <col min="2" max="2" width="23.44140625" style="1" customWidth="1"/>
    <col min="3" max="3" width="16.6640625" style="1" customWidth="1"/>
    <col min="4" max="4" width="5.5546875" style="1" customWidth="1"/>
    <col min="5" max="5" width="10.664062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0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0">
      <c r="A6" s="7"/>
      <c r="B6" s="272"/>
      <c r="C6" s="272"/>
      <c r="D6" s="272"/>
      <c r="E6" s="272"/>
      <c r="F6" s="272"/>
      <c r="G6" s="272"/>
      <c r="H6" s="272"/>
      <c r="I6" s="272"/>
      <c r="J6" s="272"/>
      <c r="K6" s="272"/>
      <c r="L6" s="5"/>
      <c r="M6" s="5"/>
      <c r="N6" s="272"/>
    </row>
    <row r="9" spans="1:20">
      <c r="A9" s="1" t="s">
        <v>2519</v>
      </c>
      <c r="B9" s="42" t="s">
        <v>2522</v>
      </c>
      <c r="C9" s="42" t="s">
        <v>2523</v>
      </c>
      <c r="D9" s="42" t="s">
        <v>16</v>
      </c>
      <c r="E9" s="42" t="s">
        <v>2524</v>
      </c>
      <c r="F9" s="42">
        <v>3903</v>
      </c>
      <c r="G9" s="42"/>
      <c r="H9" s="42">
        <v>300</v>
      </c>
      <c r="I9" s="42">
        <v>15</v>
      </c>
      <c r="J9" s="42"/>
      <c r="K9" s="43">
        <f t="shared" ref="K9" si="0">I9*J9</f>
        <v>0</v>
      </c>
      <c r="L9" s="43">
        <f t="shared" ref="L9" si="1">H9-K9</f>
        <v>300</v>
      </c>
      <c r="M9" s="43"/>
      <c r="N9" s="43">
        <f t="shared" ref="N9" si="2">L9-M9</f>
        <v>300</v>
      </c>
      <c r="O9" s="43">
        <f t="shared" ref="O9" si="3">H9/1000*70</f>
        <v>21</v>
      </c>
      <c r="P9" s="42">
        <v>0</v>
      </c>
      <c r="Q9" s="42"/>
      <c r="R9" s="42">
        <f t="shared" ref="R9" si="4">L9*Q9</f>
        <v>0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>
  <dimension ref="A5:T21"/>
  <sheetViews>
    <sheetView zoomScale="85" zoomScaleNormal="85" workbookViewId="0">
      <selection activeCell="A22" sqref="A22"/>
    </sheetView>
  </sheetViews>
  <sheetFormatPr defaultRowHeight="14.4"/>
  <cols>
    <col min="1" max="1" width="8.88671875" style="1"/>
    <col min="2" max="2" width="23.44140625" style="1" customWidth="1"/>
    <col min="3" max="3" width="16.6640625" style="1" customWidth="1"/>
    <col min="4" max="4" width="5.5546875" style="1" customWidth="1"/>
    <col min="5" max="5" width="10.664062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0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0">
      <c r="A6" s="7"/>
      <c r="B6" s="278"/>
      <c r="C6" s="278"/>
      <c r="D6" s="278"/>
      <c r="E6" s="278"/>
      <c r="F6" s="278"/>
      <c r="G6" s="278"/>
      <c r="H6" s="278"/>
      <c r="I6" s="278"/>
      <c r="J6" s="278"/>
      <c r="K6" s="278"/>
      <c r="L6" s="5"/>
      <c r="M6" s="5"/>
      <c r="N6" s="278"/>
    </row>
    <row r="10" spans="1:20">
      <c r="A10" s="1" t="s">
        <v>2634</v>
      </c>
      <c r="B10" s="42" t="s">
        <v>2641</v>
      </c>
      <c r="C10" s="42" t="s">
        <v>639</v>
      </c>
      <c r="D10" s="42" t="s">
        <v>16</v>
      </c>
      <c r="E10" s="42" t="s">
        <v>2642</v>
      </c>
      <c r="F10" s="42">
        <v>0</v>
      </c>
      <c r="G10" s="42"/>
      <c r="H10" s="42">
        <v>1000</v>
      </c>
      <c r="I10" s="42">
        <v>40</v>
      </c>
      <c r="J10" s="42"/>
      <c r="K10" s="43">
        <f t="shared" ref="K10" si="0">I10*J10</f>
        <v>0</v>
      </c>
      <c r="L10" s="43">
        <f t="shared" ref="L10" si="1">H10-K10</f>
        <v>1000</v>
      </c>
      <c r="M10" s="43"/>
      <c r="N10" s="43">
        <f t="shared" ref="N10" si="2">L10-M10</f>
        <v>1000</v>
      </c>
      <c r="O10" s="43">
        <f t="shared" ref="O10" si="3">H10/1000*70</f>
        <v>70</v>
      </c>
      <c r="P10" s="42">
        <v>0</v>
      </c>
      <c r="Q10" s="42">
        <v>115</v>
      </c>
      <c r="R10" s="42">
        <f t="shared" ref="R10" si="4">L10*Q10</f>
        <v>115000</v>
      </c>
    </row>
    <row r="12" spans="1:20">
      <c r="A12" s="1" t="s">
        <v>2698</v>
      </c>
      <c r="B12" s="42" t="s">
        <v>2702</v>
      </c>
      <c r="C12" s="42" t="s">
        <v>639</v>
      </c>
      <c r="D12" s="42" t="s">
        <v>16</v>
      </c>
      <c r="E12" s="42" t="s">
        <v>2703</v>
      </c>
      <c r="F12" s="42">
        <v>99</v>
      </c>
      <c r="G12" s="42"/>
      <c r="H12" s="42">
        <v>500</v>
      </c>
      <c r="I12" s="42">
        <v>20</v>
      </c>
      <c r="J12" s="42"/>
      <c r="K12" s="43">
        <f t="shared" ref="K12" si="5">I12*J12</f>
        <v>0</v>
      </c>
      <c r="L12" s="43">
        <f t="shared" ref="L12" si="6">H12-K12</f>
        <v>500</v>
      </c>
      <c r="M12" s="43"/>
      <c r="N12" s="43">
        <f t="shared" ref="N12" si="7">L12-M12</f>
        <v>500</v>
      </c>
      <c r="O12" s="43">
        <f t="shared" ref="O12" si="8">H12/1000*70</f>
        <v>35</v>
      </c>
      <c r="P12" s="42">
        <v>0</v>
      </c>
      <c r="Q12" s="42">
        <v>115</v>
      </c>
      <c r="R12" s="42">
        <f t="shared" ref="R12" si="9">L12*Q12</f>
        <v>57500</v>
      </c>
    </row>
    <row r="15" spans="1:20">
      <c r="A15" s="1" t="s">
        <v>2774</v>
      </c>
      <c r="B15" s="42" t="s">
        <v>2783</v>
      </c>
      <c r="C15" s="42" t="s">
        <v>639</v>
      </c>
      <c r="D15" s="42" t="s">
        <v>16</v>
      </c>
      <c r="E15" s="42" t="s">
        <v>2642</v>
      </c>
      <c r="F15" s="42">
        <v>209</v>
      </c>
      <c r="G15" s="42"/>
      <c r="H15" s="42">
        <v>1500</v>
      </c>
      <c r="I15" s="42">
        <v>60</v>
      </c>
      <c r="J15" s="42"/>
      <c r="K15" s="43">
        <f t="shared" ref="K15" si="10">I15*J15</f>
        <v>0</v>
      </c>
      <c r="L15" s="43">
        <f t="shared" ref="L15" si="11">H15-K15</f>
        <v>1500</v>
      </c>
      <c r="M15" s="43"/>
      <c r="N15" s="43">
        <f t="shared" ref="N15" si="12">L15-M15</f>
        <v>1500</v>
      </c>
      <c r="O15" s="43">
        <f t="shared" ref="O15" si="13">H15/1000*70</f>
        <v>105</v>
      </c>
      <c r="P15" s="42">
        <v>0</v>
      </c>
      <c r="Q15" s="42"/>
      <c r="R15" s="42">
        <f t="shared" ref="R15" si="14">L15*Q15</f>
        <v>0</v>
      </c>
    </row>
    <row r="17" spans="1:18">
      <c r="A17" s="1" t="s">
        <v>2901</v>
      </c>
      <c r="B17" s="42" t="s">
        <v>2702</v>
      </c>
      <c r="C17" s="42" t="s">
        <v>639</v>
      </c>
      <c r="D17" s="42" t="s">
        <v>16</v>
      </c>
      <c r="E17" s="42" t="s">
        <v>2899</v>
      </c>
      <c r="F17" s="42">
        <v>109</v>
      </c>
      <c r="G17" s="42"/>
      <c r="H17" s="42">
        <v>1500</v>
      </c>
      <c r="I17" s="42">
        <v>60</v>
      </c>
      <c r="J17" s="42"/>
      <c r="K17" s="43">
        <f t="shared" ref="K17" si="15">I17*J17</f>
        <v>0</v>
      </c>
      <c r="L17" s="43">
        <f t="shared" ref="L17" si="16">H17-K17</f>
        <v>1500</v>
      </c>
      <c r="M17" s="43"/>
      <c r="N17" s="43">
        <f t="shared" ref="N17" si="17">L17-M17</f>
        <v>1500</v>
      </c>
      <c r="O17" s="43">
        <f t="shared" ref="O17" si="18">H17/1000*70</f>
        <v>105</v>
      </c>
      <c r="P17" s="42">
        <v>0</v>
      </c>
      <c r="Q17" s="42">
        <v>115</v>
      </c>
      <c r="R17" s="42">
        <f t="shared" ref="R17" si="19">L17*Q17</f>
        <v>172500</v>
      </c>
    </row>
    <row r="19" spans="1:18">
      <c r="A19" s="1" t="s">
        <v>3060</v>
      </c>
      <c r="B19" s="42" t="s">
        <v>3066</v>
      </c>
      <c r="C19" s="42" t="s">
        <v>639</v>
      </c>
      <c r="D19" s="42" t="s">
        <v>16</v>
      </c>
      <c r="E19" s="42" t="s">
        <v>3067</v>
      </c>
      <c r="F19" s="42">
        <v>490</v>
      </c>
      <c r="G19" s="42">
        <v>2009</v>
      </c>
      <c r="H19" s="42">
        <v>500</v>
      </c>
      <c r="I19" s="42">
        <v>20</v>
      </c>
      <c r="J19" s="42"/>
      <c r="K19" s="43">
        <f t="shared" ref="K19" si="20">I19*J19</f>
        <v>0</v>
      </c>
      <c r="L19" s="43">
        <f t="shared" ref="L19" si="21">H19-K19</f>
        <v>500</v>
      </c>
      <c r="M19" s="43"/>
      <c r="N19" s="43">
        <f t="shared" ref="N19" si="22">L19-M19</f>
        <v>500</v>
      </c>
      <c r="O19" s="43">
        <f t="shared" ref="O19" si="23">H19/1000*70</f>
        <v>35</v>
      </c>
      <c r="P19" s="42">
        <v>0</v>
      </c>
      <c r="Q19" s="42">
        <v>115</v>
      </c>
      <c r="R19" s="42">
        <f t="shared" ref="R19" si="24">L19*Q19</f>
        <v>57500</v>
      </c>
    </row>
    <row r="21" spans="1:18">
      <c r="A21" s="1" t="s">
        <v>3188</v>
      </c>
      <c r="B21" s="42" t="s">
        <v>3066</v>
      </c>
      <c r="C21" s="42" t="s">
        <v>639</v>
      </c>
      <c r="D21" s="42" t="s">
        <v>16</v>
      </c>
      <c r="E21" s="42" t="s">
        <v>3195</v>
      </c>
      <c r="F21" s="42">
        <v>0</v>
      </c>
      <c r="G21" s="42"/>
      <c r="H21" s="42">
        <v>1000</v>
      </c>
      <c r="I21" s="42">
        <v>40</v>
      </c>
      <c r="J21" s="42"/>
      <c r="K21" s="43">
        <f t="shared" ref="K21" si="25">I21*J21</f>
        <v>0</v>
      </c>
      <c r="L21" s="43">
        <f t="shared" ref="L21" si="26">H21-K21</f>
        <v>1000</v>
      </c>
      <c r="M21" s="43"/>
      <c r="N21" s="43">
        <f t="shared" ref="N21" si="27">L21-M21</f>
        <v>1000</v>
      </c>
      <c r="O21" s="43">
        <f t="shared" ref="O21" si="28">H21/1000*70</f>
        <v>70</v>
      </c>
      <c r="P21" s="42"/>
      <c r="Q21" s="42">
        <v>115</v>
      </c>
      <c r="R21" s="42">
        <f t="shared" ref="R21" si="29">L21*Q21</f>
        <v>115000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>
  <dimension ref="A5:T9"/>
  <sheetViews>
    <sheetView zoomScale="85" zoomScaleNormal="85" workbookViewId="0">
      <selection activeCell="H11" sqref="H11"/>
    </sheetView>
  </sheetViews>
  <sheetFormatPr defaultRowHeight="14.4"/>
  <cols>
    <col min="1" max="1" width="8.88671875" style="1"/>
    <col min="2" max="2" width="23.44140625" style="1" customWidth="1"/>
    <col min="3" max="3" width="16.6640625" style="1" customWidth="1"/>
    <col min="4" max="4" width="5.5546875" style="1" customWidth="1"/>
    <col min="5" max="5" width="10.664062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0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0">
      <c r="A6" s="7"/>
      <c r="B6" s="280"/>
      <c r="C6" s="280"/>
      <c r="D6" s="280"/>
      <c r="E6" s="280"/>
      <c r="F6" s="280"/>
      <c r="G6" s="280"/>
      <c r="H6" s="280"/>
      <c r="I6" s="280"/>
      <c r="J6" s="280"/>
      <c r="K6" s="280"/>
      <c r="L6" s="5"/>
      <c r="M6" s="5"/>
      <c r="N6" s="280"/>
    </row>
    <row r="9" spans="1:20">
      <c r="A9" s="1" t="s">
        <v>2658</v>
      </c>
      <c r="B9" s="42" t="s">
        <v>2661</v>
      </c>
      <c r="C9" s="42" t="s">
        <v>1252</v>
      </c>
      <c r="D9" s="42" t="s">
        <v>16</v>
      </c>
      <c r="E9" s="42" t="s">
        <v>2662</v>
      </c>
      <c r="F9" s="42">
        <v>3809</v>
      </c>
      <c r="G9" s="42"/>
      <c r="H9" s="42">
        <v>1000</v>
      </c>
      <c r="I9" s="42">
        <v>40</v>
      </c>
      <c r="J9" s="42"/>
      <c r="K9" s="43">
        <f t="shared" ref="K9" si="0">I9*J9</f>
        <v>0</v>
      </c>
      <c r="L9" s="43">
        <f t="shared" ref="L9" si="1">H9-K9</f>
        <v>1000</v>
      </c>
      <c r="M9" s="43"/>
      <c r="N9" s="43">
        <f t="shared" ref="N9" si="2">L9-M9</f>
        <v>1000</v>
      </c>
      <c r="O9" s="43">
        <f t="shared" ref="O9" si="3">H9/1000*70</f>
        <v>70</v>
      </c>
      <c r="P9" s="42">
        <v>0</v>
      </c>
      <c r="Q9" s="42">
        <v>275</v>
      </c>
      <c r="R9" s="42">
        <f t="shared" ref="R9" si="4">L9*Q9</f>
        <v>275000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>
  <dimension ref="A5:T14"/>
  <sheetViews>
    <sheetView zoomScale="85" zoomScaleNormal="85" workbookViewId="0">
      <selection activeCell="B16" sqref="B16"/>
    </sheetView>
  </sheetViews>
  <sheetFormatPr defaultRowHeight="14.4"/>
  <cols>
    <col min="1" max="1" width="8.88671875" style="1"/>
    <col min="2" max="2" width="23.44140625" style="1" customWidth="1"/>
    <col min="3" max="3" width="16.6640625" style="1" customWidth="1"/>
    <col min="4" max="4" width="5.5546875" style="1" customWidth="1"/>
    <col min="5" max="5" width="10.664062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0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0">
      <c r="A6" s="7"/>
      <c r="B6" s="282"/>
      <c r="C6" s="282"/>
      <c r="D6" s="282"/>
      <c r="E6" s="282"/>
      <c r="F6" s="282"/>
      <c r="G6" s="282"/>
      <c r="H6" s="282"/>
      <c r="I6" s="282"/>
      <c r="J6" s="282"/>
      <c r="K6" s="282"/>
      <c r="L6" s="5"/>
      <c r="M6" s="5"/>
      <c r="N6" s="282"/>
    </row>
    <row r="10" spans="1:20">
      <c r="A10" s="1" t="s">
        <v>2692</v>
      </c>
      <c r="B10" s="42" t="s">
        <v>1782</v>
      </c>
      <c r="C10" s="42" t="s">
        <v>1252</v>
      </c>
      <c r="D10" s="42" t="s">
        <v>16</v>
      </c>
      <c r="E10" s="42" t="s">
        <v>2694</v>
      </c>
      <c r="F10" s="42">
        <v>3755</v>
      </c>
      <c r="G10" s="42"/>
      <c r="H10" s="42">
        <v>2000</v>
      </c>
      <c r="I10" s="42">
        <v>80</v>
      </c>
      <c r="J10" s="42"/>
      <c r="K10" s="43">
        <f t="shared" ref="K10" si="0">I10*J10</f>
        <v>0</v>
      </c>
      <c r="L10" s="43">
        <f t="shared" ref="L10" si="1">H10-K10</f>
        <v>2000</v>
      </c>
      <c r="M10" s="43"/>
      <c r="N10" s="43">
        <f t="shared" ref="N10" si="2">L10-M10</f>
        <v>2000</v>
      </c>
      <c r="O10" s="43">
        <f t="shared" ref="O10" si="3">H10/1000*70</f>
        <v>140</v>
      </c>
      <c r="P10" s="42">
        <v>4500</v>
      </c>
      <c r="Q10" s="42">
        <v>275</v>
      </c>
      <c r="R10" s="42">
        <f t="shared" ref="R10" si="4">L10*Q10</f>
        <v>550000</v>
      </c>
    </row>
    <row r="12" spans="1:20">
      <c r="A12" s="1" t="s">
        <v>2745</v>
      </c>
      <c r="B12" s="42" t="s">
        <v>1782</v>
      </c>
      <c r="C12" s="42" t="s">
        <v>1252</v>
      </c>
      <c r="D12" s="42" t="s">
        <v>16</v>
      </c>
      <c r="E12" s="42" t="s">
        <v>2746</v>
      </c>
      <c r="F12" s="42">
        <v>3795</v>
      </c>
      <c r="G12" s="42"/>
      <c r="H12" s="42">
        <v>2000</v>
      </c>
      <c r="I12" s="42">
        <v>80</v>
      </c>
      <c r="J12" s="42"/>
      <c r="K12" s="43">
        <f t="shared" ref="K12" si="5">I12*J12</f>
        <v>0</v>
      </c>
      <c r="L12" s="43">
        <f t="shared" ref="L12" si="6">H12-K12</f>
        <v>2000</v>
      </c>
      <c r="M12" s="43"/>
      <c r="N12" s="43">
        <f t="shared" ref="N12" si="7">L12-M12</f>
        <v>2000</v>
      </c>
      <c r="O12" s="43">
        <f t="shared" ref="O12" si="8">H12/1000*70</f>
        <v>140</v>
      </c>
      <c r="P12" s="42">
        <v>3500</v>
      </c>
      <c r="Q12" s="42">
        <v>270</v>
      </c>
      <c r="R12" s="42">
        <f t="shared" ref="R12" si="9">L12*Q12</f>
        <v>540000</v>
      </c>
      <c r="S12" s="42"/>
    </row>
    <row r="14" spans="1:20">
      <c r="A14" s="1" t="s">
        <v>2858</v>
      </c>
      <c r="B14" s="42" t="s">
        <v>1782</v>
      </c>
      <c r="C14" s="42" t="s">
        <v>1252</v>
      </c>
      <c r="D14" s="42" t="s">
        <v>16</v>
      </c>
      <c r="E14" s="42" t="s">
        <v>2859</v>
      </c>
      <c r="F14" s="42">
        <v>6181</v>
      </c>
      <c r="G14" s="42"/>
      <c r="H14" s="42">
        <v>1000</v>
      </c>
      <c r="I14" s="42">
        <v>40</v>
      </c>
      <c r="J14" s="42"/>
      <c r="K14" s="43">
        <f t="shared" ref="K14" si="10">I14*J14</f>
        <v>0</v>
      </c>
      <c r="L14" s="43">
        <f t="shared" ref="L14" si="11">H14-K14</f>
        <v>1000</v>
      </c>
      <c r="M14" s="43"/>
      <c r="N14" s="43">
        <f t="shared" ref="N14" si="12">L14-M14</f>
        <v>1000</v>
      </c>
      <c r="O14" s="43">
        <f t="shared" ref="O14" si="13">H14/1000*70</f>
        <v>70</v>
      </c>
      <c r="P14" s="42">
        <v>3500</v>
      </c>
      <c r="Q14" s="42">
        <v>270</v>
      </c>
      <c r="R14" s="42">
        <f t="shared" ref="R14" si="14">L14*Q14</f>
        <v>270000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>
  <dimension ref="A5:T20"/>
  <sheetViews>
    <sheetView zoomScale="85" zoomScaleNormal="85" workbookViewId="0">
      <selection activeCell="A16" sqref="A16"/>
    </sheetView>
  </sheetViews>
  <sheetFormatPr defaultRowHeight="14.4"/>
  <cols>
    <col min="1" max="1" width="8.88671875" style="1"/>
    <col min="2" max="2" width="23.44140625" style="1" customWidth="1"/>
    <col min="3" max="3" width="16.6640625" style="1" customWidth="1"/>
    <col min="4" max="4" width="5.5546875" style="1" customWidth="1"/>
    <col min="5" max="5" width="10.664062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0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0">
      <c r="A6" s="7"/>
      <c r="B6" s="285"/>
      <c r="C6" s="285"/>
      <c r="D6" s="285"/>
      <c r="E6" s="285"/>
      <c r="F6" s="285"/>
      <c r="G6" s="285"/>
      <c r="H6" s="285"/>
      <c r="I6" s="285"/>
      <c r="J6" s="285"/>
      <c r="K6" s="285"/>
      <c r="L6" s="5"/>
      <c r="M6" s="5"/>
      <c r="N6" s="285"/>
    </row>
    <row r="11" spans="1:20">
      <c r="A11" s="1" t="s">
        <v>2734</v>
      </c>
      <c r="B11" s="42" t="s">
        <v>2736</v>
      </c>
      <c r="C11" s="42" t="s">
        <v>2737</v>
      </c>
      <c r="D11" s="42" t="s">
        <v>16</v>
      </c>
      <c r="E11" s="42" t="s">
        <v>2738</v>
      </c>
      <c r="F11" s="42">
        <v>311362</v>
      </c>
      <c r="G11" s="42"/>
      <c r="H11" s="42">
        <v>1000</v>
      </c>
      <c r="I11" s="42">
        <v>100</v>
      </c>
      <c r="J11" s="42"/>
      <c r="K11" s="43">
        <f t="shared" ref="K11" si="0">I11*J11</f>
        <v>0</v>
      </c>
      <c r="L11" s="43">
        <f t="shared" ref="L11" si="1">H11-K11</f>
        <v>1000</v>
      </c>
      <c r="M11" s="43"/>
      <c r="N11" s="43">
        <f t="shared" ref="N11" si="2">L11-M11</f>
        <v>1000</v>
      </c>
      <c r="O11" s="43">
        <f t="shared" ref="O11" si="3">H11/1000*70</f>
        <v>70</v>
      </c>
      <c r="P11" s="42">
        <v>0</v>
      </c>
      <c r="Q11" s="42">
        <v>325</v>
      </c>
      <c r="R11" s="42">
        <f t="shared" ref="R11" si="4">L11*Q11</f>
        <v>325000</v>
      </c>
    </row>
    <row r="14" spans="1:20">
      <c r="A14" s="1" t="s">
        <v>3188</v>
      </c>
      <c r="B14" s="42" t="s">
        <v>3192</v>
      </c>
      <c r="C14" s="42" t="s">
        <v>2737</v>
      </c>
      <c r="D14" s="42" t="s">
        <v>16</v>
      </c>
      <c r="E14" s="42" t="s">
        <v>2738</v>
      </c>
      <c r="F14" s="42">
        <v>311362</v>
      </c>
      <c r="G14" s="42"/>
      <c r="H14" s="42">
        <v>500</v>
      </c>
      <c r="I14" s="42"/>
      <c r="J14" s="42"/>
      <c r="K14" s="43">
        <f t="shared" ref="K14" si="5">I14*J14</f>
        <v>0</v>
      </c>
      <c r="L14" s="43">
        <f t="shared" ref="L14" si="6">H14-K14</f>
        <v>500</v>
      </c>
      <c r="M14" s="43"/>
      <c r="N14" s="43">
        <f t="shared" ref="N14" si="7">L14-M14</f>
        <v>500</v>
      </c>
      <c r="O14" s="43">
        <f t="shared" ref="O14" si="8">H14/1000*70</f>
        <v>35</v>
      </c>
      <c r="P14" s="42">
        <v>0</v>
      </c>
      <c r="Q14" s="42">
        <v>325</v>
      </c>
      <c r="R14" s="42">
        <f t="shared" ref="R14" si="9">L14*Q14</f>
        <v>162500</v>
      </c>
    </row>
    <row r="16" spans="1:20">
      <c r="A16" s="1" t="s">
        <v>3374</v>
      </c>
      <c r="B16" s="42" t="s">
        <v>2736</v>
      </c>
      <c r="C16" s="42" t="s">
        <v>2737</v>
      </c>
      <c r="D16" s="42" t="s">
        <v>16</v>
      </c>
      <c r="E16" s="47" t="s">
        <v>3376</v>
      </c>
      <c r="F16" s="47">
        <v>1</v>
      </c>
      <c r="G16" s="47"/>
      <c r="H16" s="47">
        <v>1000</v>
      </c>
      <c r="I16" s="47">
        <f>213+396+14+377</f>
        <v>1000</v>
      </c>
      <c r="J16" s="47"/>
      <c r="K16" s="43">
        <f t="shared" ref="K16" si="10">I16*J16</f>
        <v>0</v>
      </c>
      <c r="L16" s="43">
        <f t="shared" ref="L16" si="11">H16-K16</f>
        <v>1000</v>
      </c>
      <c r="M16" s="43"/>
      <c r="N16" s="43">
        <f t="shared" ref="N16" si="12">L16-M16</f>
        <v>1000</v>
      </c>
      <c r="O16" s="43">
        <f t="shared" ref="O16" si="13">H16/1000*70</f>
        <v>70</v>
      </c>
      <c r="P16" s="42">
        <v>0</v>
      </c>
      <c r="Q16" s="42"/>
      <c r="R16" s="42">
        <f t="shared" ref="R16" si="14">L16*Q16</f>
        <v>0</v>
      </c>
    </row>
    <row r="18" spans="1:20">
      <c r="A18" s="1" t="s">
        <v>3489</v>
      </c>
      <c r="B18" s="42" t="s">
        <v>2736</v>
      </c>
      <c r="C18" s="42" t="s">
        <v>2737</v>
      </c>
      <c r="D18" s="42" t="s">
        <v>16</v>
      </c>
      <c r="E18" s="47" t="s">
        <v>3376</v>
      </c>
      <c r="F18" s="47">
        <v>0</v>
      </c>
      <c r="G18" s="47"/>
      <c r="H18" s="47">
        <v>500</v>
      </c>
      <c r="I18" s="47">
        <v>500</v>
      </c>
      <c r="J18" s="47"/>
      <c r="K18" s="43">
        <f t="shared" ref="K18" si="15">I18*J18</f>
        <v>0</v>
      </c>
      <c r="L18" s="43">
        <f t="shared" ref="L18" si="16">H18-K18</f>
        <v>500</v>
      </c>
      <c r="M18" s="43"/>
      <c r="N18" s="43">
        <f t="shared" ref="N18" si="17">L18-M18</f>
        <v>500</v>
      </c>
      <c r="O18" s="43">
        <f t="shared" ref="O18" si="18">H18/1000*70</f>
        <v>35</v>
      </c>
      <c r="P18" s="42">
        <v>0</v>
      </c>
      <c r="Q18" s="42">
        <v>325</v>
      </c>
      <c r="R18" s="42">
        <f t="shared" ref="R18" si="19">L18*Q18</f>
        <v>162500</v>
      </c>
    </row>
    <row r="20" spans="1:20">
      <c r="A20" s="1" t="s">
        <v>4038</v>
      </c>
      <c r="B20" s="357" t="s">
        <v>4039</v>
      </c>
      <c r="C20" s="357" t="s">
        <v>2737</v>
      </c>
      <c r="D20" s="42" t="s">
        <v>16</v>
      </c>
      <c r="E20" s="357" t="s">
        <v>4040</v>
      </c>
      <c r="F20" s="357">
        <v>311362</v>
      </c>
      <c r="G20" s="357"/>
      <c r="H20" s="357">
        <v>318</v>
      </c>
      <c r="I20" s="357"/>
      <c r="J20" s="357"/>
      <c r="K20" s="43">
        <f t="shared" ref="K20" si="20">I20*J20</f>
        <v>0</v>
      </c>
      <c r="L20" s="43">
        <f t="shared" ref="L20" si="21">H20-K20</f>
        <v>318</v>
      </c>
      <c r="M20" s="43"/>
      <c r="N20" s="43">
        <f t="shared" ref="N20" si="22">L20-M20</f>
        <v>318</v>
      </c>
      <c r="O20" s="43">
        <f t="shared" ref="O20" si="23">H20/1000*70</f>
        <v>22.26</v>
      </c>
      <c r="P20" s="42">
        <v>0</v>
      </c>
      <c r="Q20" s="42"/>
      <c r="R20" s="42">
        <f t="shared" ref="R20" si="24">L20*Q20</f>
        <v>0</v>
      </c>
      <c r="S20" s="42"/>
      <c r="T20" s="44"/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>
  <dimension ref="A5:T17"/>
  <sheetViews>
    <sheetView zoomScale="85" zoomScaleNormal="85" workbookViewId="0">
      <selection activeCell="A18" sqref="A18"/>
    </sheetView>
  </sheetViews>
  <sheetFormatPr defaultRowHeight="14.4"/>
  <cols>
    <col min="1" max="1" width="8.88671875" style="1"/>
    <col min="2" max="2" width="23.44140625" style="1" customWidth="1"/>
    <col min="3" max="3" width="16.6640625" style="1" customWidth="1"/>
    <col min="4" max="4" width="5.5546875" style="1" customWidth="1"/>
    <col min="5" max="5" width="10.664062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0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0">
      <c r="A6" s="7"/>
      <c r="B6" s="307"/>
      <c r="C6" s="307"/>
      <c r="D6" s="307"/>
      <c r="E6" s="307"/>
      <c r="F6" s="307"/>
      <c r="G6" s="307"/>
      <c r="H6" s="307"/>
      <c r="I6" s="307"/>
      <c r="J6" s="307"/>
      <c r="K6" s="307"/>
      <c r="L6" s="5"/>
      <c r="M6" s="5"/>
      <c r="N6" s="307"/>
    </row>
    <row r="13" spans="1:20">
      <c r="A13" s="1" t="s">
        <v>3110</v>
      </c>
      <c r="B13" s="42" t="s">
        <v>3111</v>
      </c>
      <c r="C13" s="42" t="s">
        <v>3112</v>
      </c>
      <c r="D13" s="42" t="s">
        <v>16</v>
      </c>
      <c r="E13" s="42" t="s">
        <v>3113</v>
      </c>
      <c r="F13" s="42">
        <v>2860</v>
      </c>
      <c r="G13" s="42"/>
      <c r="H13" s="42">
        <v>5000</v>
      </c>
      <c r="I13" s="42">
        <v>100</v>
      </c>
      <c r="J13" s="42"/>
      <c r="K13" s="43">
        <f t="shared" ref="K13" si="0">I13*J13</f>
        <v>0</v>
      </c>
      <c r="L13" s="43">
        <f t="shared" ref="L13" si="1">H13-K13</f>
        <v>5000</v>
      </c>
      <c r="M13" s="43"/>
      <c r="N13" s="43">
        <f t="shared" ref="N13" si="2">L13-M13</f>
        <v>5000</v>
      </c>
      <c r="O13" s="43">
        <f t="shared" ref="O13" si="3">H13/1000*70</f>
        <v>350</v>
      </c>
      <c r="P13" s="42">
        <v>0</v>
      </c>
      <c r="Q13" s="42">
        <v>46</v>
      </c>
      <c r="R13" s="42">
        <f t="shared" ref="R13" si="4">L13*Q13</f>
        <v>230000</v>
      </c>
    </row>
    <row r="15" spans="1:20">
      <c r="A15" s="1" t="s">
        <v>3350</v>
      </c>
      <c r="B15" s="42" t="s">
        <v>3351</v>
      </c>
      <c r="C15" s="42" t="s">
        <v>3112</v>
      </c>
      <c r="D15" s="42" t="s">
        <v>16</v>
      </c>
      <c r="E15" s="47" t="s">
        <v>3113</v>
      </c>
      <c r="F15" s="47">
        <v>3049</v>
      </c>
      <c r="G15" s="47"/>
      <c r="H15" s="47">
        <v>5000</v>
      </c>
      <c r="I15" s="47">
        <v>100</v>
      </c>
      <c r="J15" s="47"/>
      <c r="K15" s="43">
        <f t="shared" ref="K15" si="5">I15*J15</f>
        <v>0</v>
      </c>
      <c r="L15" s="43">
        <f t="shared" ref="L15" si="6">H15-K15</f>
        <v>5000</v>
      </c>
      <c r="M15" s="43"/>
      <c r="N15" s="43">
        <f t="shared" ref="N15" si="7">L15-M15</f>
        <v>5000</v>
      </c>
      <c r="O15" s="43">
        <f t="shared" ref="O15" si="8">H15/1000*70</f>
        <v>350</v>
      </c>
      <c r="P15" s="42">
        <v>0</v>
      </c>
      <c r="Q15" s="42">
        <v>46</v>
      </c>
      <c r="R15" s="42">
        <f t="shared" ref="R15" si="9">L15*Q15</f>
        <v>230000</v>
      </c>
    </row>
    <row r="17" spans="1:18">
      <c r="A17" s="1" t="s">
        <v>3523</v>
      </c>
      <c r="B17" s="42" t="s">
        <v>3458</v>
      </c>
      <c r="C17" s="42" t="s">
        <v>3520</v>
      </c>
      <c r="D17" s="42" t="s">
        <v>16</v>
      </c>
      <c r="E17" s="47" t="s">
        <v>3521</v>
      </c>
      <c r="F17" s="47">
        <v>2560</v>
      </c>
      <c r="G17" s="47"/>
      <c r="H17" s="47">
        <v>5000</v>
      </c>
      <c r="I17" s="47">
        <v>100</v>
      </c>
      <c r="J17" s="47"/>
      <c r="K17" s="43">
        <f t="shared" ref="K17" si="10">I17*J17</f>
        <v>0</v>
      </c>
      <c r="L17" s="43">
        <f t="shared" ref="L17" si="11">H17-K17</f>
        <v>5000</v>
      </c>
      <c r="M17" s="43"/>
      <c r="N17" s="43">
        <f t="shared" ref="N17" si="12">L17-M17</f>
        <v>5000</v>
      </c>
      <c r="O17" s="43">
        <f t="shared" ref="O17" si="13">H17/1000*70</f>
        <v>350</v>
      </c>
      <c r="P17" s="42">
        <v>0</v>
      </c>
      <c r="Q17" s="42">
        <v>46</v>
      </c>
      <c r="R17" s="42">
        <f t="shared" ref="R17" si="14">L17*Q17</f>
        <v>230000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>
  <dimension ref="A5:T17"/>
  <sheetViews>
    <sheetView zoomScale="85" zoomScaleNormal="85" workbookViewId="0">
      <selection activeCell="A18" sqref="A18"/>
    </sheetView>
  </sheetViews>
  <sheetFormatPr defaultRowHeight="14.4"/>
  <cols>
    <col min="1" max="1" width="8.88671875" style="1"/>
    <col min="2" max="2" width="23.44140625" style="1" customWidth="1"/>
    <col min="3" max="3" width="16.6640625" style="1" customWidth="1"/>
    <col min="4" max="4" width="5.5546875" style="1" customWidth="1"/>
    <col min="5" max="5" width="10.664062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0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0">
      <c r="A6" s="7"/>
      <c r="B6" s="315"/>
      <c r="C6" s="315"/>
      <c r="D6" s="315"/>
      <c r="E6" s="315"/>
      <c r="F6" s="315"/>
      <c r="G6" s="315"/>
      <c r="H6" s="315"/>
      <c r="I6" s="315"/>
      <c r="J6" s="315"/>
      <c r="K6" s="315"/>
      <c r="L6" s="5"/>
      <c r="M6" s="5"/>
      <c r="N6" s="315"/>
    </row>
    <row r="14" spans="1:20">
      <c r="A14" s="1" t="s">
        <v>3523</v>
      </c>
      <c r="B14" s="42" t="s">
        <v>3528</v>
      </c>
      <c r="C14" s="42" t="s">
        <v>3529</v>
      </c>
      <c r="D14" s="42" t="s">
        <v>16</v>
      </c>
      <c r="E14" s="47" t="s">
        <v>835</v>
      </c>
      <c r="F14" s="47">
        <v>0</v>
      </c>
      <c r="G14" s="47"/>
      <c r="H14" s="47">
        <v>100</v>
      </c>
      <c r="I14" s="47">
        <v>4</v>
      </c>
      <c r="J14" s="47"/>
      <c r="K14" s="43">
        <f t="shared" ref="K14" si="0">I14*J14</f>
        <v>0</v>
      </c>
      <c r="L14" s="43">
        <f t="shared" ref="L14" si="1">H14-K14</f>
        <v>100</v>
      </c>
      <c r="M14" s="43"/>
      <c r="N14" s="43">
        <f t="shared" ref="N14" si="2">L14-M14</f>
        <v>100</v>
      </c>
      <c r="O14" s="43">
        <f t="shared" ref="O14" si="3">H14/1000*70</f>
        <v>7</v>
      </c>
      <c r="P14" s="42">
        <v>0</v>
      </c>
      <c r="Q14" s="42">
        <v>150</v>
      </c>
      <c r="R14" s="42">
        <f t="shared" ref="R14" si="4">L14*Q14</f>
        <v>15000</v>
      </c>
    </row>
    <row r="17" spans="1:18">
      <c r="A17" s="1" t="s">
        <v>3548</v>
      </c>
      <c r="B17" s="42" t="s">
        <v>3528</v>
      </c>
      <c r="C17" s="42" t="s">
        <v>3564</v>
      </c>
      <c r="D17" s="42" t="s">
        <v>16</v>
      </c>
      <c r="E17" s="47" t="s">
        <v>835</v>
      </c>
      <c r="F17" s="47">
        <v>4320</v>
      </c>
      <c r="G17" s="47"/>
      <c r="H17" s="47">
        <v>100</v>
      </c>
      <c r="I17" s="47">
        <v>4</v>
      </c>
      <c r="J17" s="47"/>
      <c r="K17" s="43">
        <f t="shared" ref="K17" si="5">I17*J17</f>
        <v>0</v>
      </c>
      <c r="L17" s="43">
        <f t="shared" ref="L17" si="6">H17-K17</f>
        <v>100</v>
      </c>
      <c r="M17" s="43"/>
      <c r="N17" s="43">
        <f t="shared" ref="N17" si="7">L17-M17</f>
        <v>100</v>
      </c>
      <c r="O17" s="43">
        <f t="shared" ref="O17" si="8">H17/1000*70</f>
        <v>7</v>
      </c>
      <c r="P17" s="42">
        <v>0</v>
      </c>
      <c r="Q17" s="42">
        <v>0</v>
      </c>
      <c r="R17" s="42">
        <f t="shared" ref="R17" si="9">L17*Q17</f>
        <v>0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>
  <dimension ref="A5:T23"/>
  <sheetViews>
    <sheetView zoomScale="85" zoomScaleNormal="85" workbookViewId="0">
      <selection activeCell="A24" sqref="A24"/>
    </sheetView>
  </sheetViews>
  <sheetFormatPr defaultRowHeight="14.4"/>
  <cols>
    <col min="1" max="1" width="8.88671875" style="1"/>
    <col min="2" max="2" width="23.44140625" style="1" customWidth="1"/>
    <col min="3" max="3" width="16.6640625" style="1" customWidth="1"/>
    <col min="4" max="4" width="5.5546875" style="1" customWidth="1"/>
    <col min="5" max="5" width="10.664062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0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0">
      <c r="A6" s="7"/>
      <c r="B6" s="316"/>
      <c r="C6" s="316"/>
      <c r="D6" s="316"/>
      <c r="E6" s="316"/>
      <c r="F6" s="316"/>
      <c r="G6" s="316"/>
      <c r="H6" s="316"/>
      <c r="I6" s="316"/>
      <c r="J6" s="316"/>
      <c r="K6" s="316"/>
      <c r="L6" s="5"/>
      <c r="M6" s="5"/>
      <c r="N6" s="316"/>
    </row>
    <row r="15" spans="1:20">
      <c r="A15" s="1" t="s">
        <v>3538</v>
      </c>
      <c r="B15" s="42" t="s">
        <v>3541</v>
      </c>
      <c r="C15" s="42" t="s">
        <v>3542</v>
      </c>
      <c r="D15" s="42" t="s">
        <v>16</v>
      </c>
      <c r="E15" s="47" t="s">
        <v>835</v>
      </c>
      <c r="F15" s="47">
        <v>17</v>
      </c>
      <c r="G15" s="47"/>
      <c r="H15" s="47">
        <v>500</v>
      </c>
      <c r="I15" s="47">
        <v>20</v>
      </c>
      <c r="J15" s="47"/>
      <c r="K15" s="43">
        <f t="shared" ref="K15" si="0">I15*J15</f>
        <v>0</v>
      </c>
      <c r="L15" s="43">
        <f t="shared" ref="L15" si="1">H15-K15</f>
        <v>500</v>
      </c>
      <c r="M15" s="43"/>
      <c r="N15" s="43">
        <f t="shared" ref="N15" si="2">L15-M15</f>
        <v>500</v>
      </c>
      <c r="O15" s="43">
        <f t="shared" ref="O15" si="3">H15/1000*70</f>
        <v>35</v>
      </c>
      <c r="P15" s="42">
        <v>0</v>
      </c>
      <c r="Q15" s="42">
        <v>125</v>
      </c>
      <c r="R15" s="42">
        <f t="shared" ref="R15" si="4">L15*Q15</f>
        <v>62500</v>
      </c>
    </row>
    <row r="17" spans="1:18">
      <c r="B17" s="42" t="s">
        <v>3578</v>
      </c>
      <c r="C17" s="42" t="s">
        <v>3579</v>
      </c>
      <c r="D17" s="42" t="s">
        <v>16</v>
      </c>
      <c r="E17" s="47" t="s">
        <v>3580</v>
      </c>
      <c r="F17" s="47">
        <v>789</v>
      </c>
      <c r="G17" s="47"/>
      <c r="H17" s="47">
        <v>400</v>
      </c>
      <c r="I17" s="47">
        <v>20</v>
      </c>
      <c r="J17" s="47"/>
      <c r="K17" s="43">
        <f t="shared" ref="K17" si="5">I17*J17</f>
        <v>0</v>
      </c>
      <c r="L17" s="43">
        <f t="shared" ref="L17" si="6">H17-K17</f>
        <v>400</v>
      </c>
      <c r="M17" s="43"/>
      <c r="N17" s="43">
        <f t="shared" ref="N17" si="7">L17-M17</f>
        <v>400</v>
      </c>
      <c r="O17" s="43">
        <f t="shared" ref="O17" si="8">H17/1000*70</f>
        <v>28</v>
      </c>
      <c r="P17" s="42">
        <v>0</v>
      </c>
      <c r="Q17" s="42">
        <v>1100</v>
      </c>
      <c r="R17" s="42">
        <f t="shared" ref="R17" si="9">L17*Q17</f>
        <v>440000</v>
      </c>
    </row>
    <row r="19" spans="1:18">
      <c r="A19" s="1" t="s">
        <v>3652</v>
      </c>
      <c r="B19" s="42" t="s">
        <v>3654</v>
      </c>
      <c r="C19" s="42" t="s">
        <v>3655</v>
      </c>
      <c r="D19" s="42" t="s">
        <v>16</v>
      </c>
      <c r="E19" s="47" t="s">
        <v>3656</v>
      </c>
      <c r="F19" s="47">
        <v>2393</v>
      </c>
      <c r="G19" s="47"/>
      <c r="H19" s="47">
        <v>1175</v>
      </c>
      <c r="I19" s="47">
        <v>47</v>
      </c>
      <c r="J19" s="47"/>
      <c r="K19" s="43">
        <f t="shared" ref="K19" si="10">I19*J19</f>
        <v>0</v>
      </c>
      <c r="L19" s="43">
        <f t="shared" ref="L19" si="11">H19-K19</f>
        <v>1175</v>
      </c>
      <c r="M19" s="43"/>
      <c r="N19" s="43">
        <f t="shared" ref="N19" si="12">L19-M19</f>
        <v>1175</v>
      </c>
      <c r="O19" s="43">
        <f t="shared" ref="O19" si="13">H19/1000*70</f>
        <v>82.25</v>
      </c>
      <c r="P19" s="42">
        <v>0</v>
      </c>
      <c r="Q19" s="42">
        <v>132</v>
      </c>
      <c r="R19" s="42">
        <f t="shared" ref="R19" si="14">L19*Q19</f>
        <v>155100</v>
      </c>
    </row>
    <row r="21" spans="1:18">
      <c r="A21" s="1" t="s">
        <v>3775</v>
      </c>
      <c r="B21" s="42" t="s">
        <v>3654</v>
      </c>
      <c r="C21" s="42" t="s">
        <v>3777</v>
      </c>
      <c r="D21" s="42" t="s">
        <v>16</v>
      </c>
      <c r="E21" s="47" t="s">
        <v>3778</v>
      </c>
      <c r="F21" s="47">
        <v>2319</v>
      </c>
      <c r="G21" s="47"/>
      <c r="H21" s="47">
        <v>600</v>
      </c>
      <c r="I21" s="47">
        <v>24</v>
      </c>
      <c r="J21" s="47"/>
      <c r="K21" s="43">
        <f t="shared" ref="K21" si="15">I21*J21</f>
        <v>0</v>
      </c>
      <c r="L21" s="43">
        <f t="shared" ref="L21" si="16">H21-K21</f>
        <v>600</v>
      </c>
      <c r="M21" s="43"/>
      <c r="N21" s="43">
        <f t="shared" ref="N21" si="17">L21-M21</f>
        <v>600</v>
      </c>
      <c r="O21" s="43">
        <f t="shared" ref="O21" si="18">H21/1000*70</f>
        <v>42</v>
      </c>
      <c r="P21" s="42">
        <v>0</v>
      </c>
      <c r="Q21" s="42">
        <v>132</v>
      </c>
      <c r="R21" s="42">
        <f t="shared" ref="R21" si="19">L21*Q21</f>
        <v>79200</v>
      </c>
    </row>
    <row r="23" spans="1:18">
      <c r="A23" s="1" t="s">
        <v>3995</v>
      </c>
      <c r="B23" s="348" t="s">
        <v>3996</v>
      </c>
      <c r="C23" s="348" t="s">
        <v>3997</v>
      </c>
      <c r="D23" s="42" t="s">
        <v>16</v>
      </c>
      <c r="E23" s="348" t="s">
        <v>3998</v>
      </c>
      <c r="F23" s="348">
        <v>1191</v>
      </c>
      <c r="G23" s="348"/>
      <c r="H23" s="348">
        <v>1975</v>
      </c>
      <c r="I23" s="348">
        <v>79</v>
      </c>
      <c r="J23" s="348"/>
      <c r="K23" s="43">
        <f t="shared" ref="K23" si="20">I23*J23</f>
        <v>0</v>
      </c>
      <c r="L23" s="43">
        <f t="shared" ref="L23" si="21">H23-K23</f>
        <v>1975</v>
      </c>
      <c r="M23" s="43"/>
      <c r="N23" s="43">
        <f t="shared" ref="N23" si="22">L23-M23</f>
        <v>1975</v>
      </c>
      <c r="O23" s="43">
        <f t="shared" ref="O23" si="23">H23/1000*70</f>
        <v>138.25</v>
      </c>
      <c r="P23" s="42">
        <v>5500</v>
      </c>
      <c r="Q23" s="42">
        <v>115</v>
      </c>
      <c r="R23" s="42">
        <f t="shared" ref="R23" si="24">L23*Q23</f>
        <v>227125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>
  <dimension ref="A5:T22"/>
  <sheetViews>
    <sheetView zoomScale="85" zoomScaleNormal="85" workbookViewId="0">
      <selection activeCell="A23" sqref="A23"/>
    </sheetView>
  </sheetViews>
  <sheetFormatPr defaultRowHeight="14.4"/>
  <cols>
    <col min="1" max="1" width="8.88671875" style="1"/>
    <col min="2" max="2" width="23.44140625" style="1" customWidth="1"/>
    <col min="3" max="3" width="16.6640625" style="1" customWidth="1"/>
    <col min="4" max="4" width="5.5546875" style="1" customWidth="1"/>
    <col min="5" max="5" width="10.664062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0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0">
      <c r="A6" s="7"/>
      <c r="B6" s="317"/>
      <c r="C6" s="317"/>
      <c r="D6" s="317"/>
      <c r="E6" s="317"/>
      <c r="F6" s="317"/>
      <c r="G6" s="317"/>
      <c r="H6" s="317"/>
      <c r="I6" s="317"/>
      <c r="J6" s="317"/>
      <c r="K6" s="317"/>
      <c r="L6" s="5"/>
      <c r="M6" s="5"/>
      <c r="N6" s="317"/>
    </row>
    <row r="16" spans="1:20">
      <c r="A16" s="1" t="s">
        <v>3574</v>
      </c>
      <c r="B16" s="42" t="s">
        <v>3578</v>
      </c>
      <c r="C16" s="42" t="s">
        <v>3579</v>
      </c>
      <c r="D16" s="42" t="s">
        <v>16</v>
      </c>
      <c r="E16" s="47" t="s">
        <v>3580</v>
      </c>
      <c r="F16" s="47">
        <v>789</v>
      </c>
      <c r="G16" s="47"/>
      <c r="H16" s="47">
        <v>400</v>
      </c>
      <c r="I16" s="47">
        <v>20</v>
      </c>
      <c r="J16" s="47"/>
      <c r="K16" s="43">
        <f t="shared" ref="K16" si="0">I16*J16</f>
        <v>0</v>
      </c>
      <c r="L16" s="43">
        <f t="shared" ref="L16" si="1">H16-K16</f>
        <v>400</v>
      </c>
      <c r="M16" s="43"/>
      <c r="N16" s="43">
        <f t="shared" ref="N16" si="2">L16-M16</f>
        <v>400</v>
      </c>
      <c r="O16" s="43">
        <f t="shared" ref="O16" si="3">H16/1000*70</f>
        <v>28</v>
      </c>
      <c r="P16" s="42">
        <v>0</v>
      </c>
      <c r="Q16" s="42">
        <v>1100</v>
      </c>
      <c r="R16" s="42">
        <f t="shared" ref="R16" si="4">L16*Q16</f>
        <v>440000</v>
      </c>
    </row>
    <row r="20" spans="1:18">
      <c r="B20" s="42" t="s">
        <v>3618</v>
      </c>
      <c r="C20" s="42" t="s">
        <v>3636</v>
      </c>
      <c r="D20" s="42" t="s">
        <v>16</v>
      </c>
      <c r="E20" s="47" t="s">
        <v>3627</v>
      </c>
      <c r="F20" s="47">
        <v>89159</v>
      </c>
      <c r="G20" s="47">
        <v>2617</v>
      </c>
      <c r="H20" s="47">
        <v>100</v>
      </c>
      <c r="I20" s="47">
        <v>4</v>
      </c>
      <c r="J20" s="47"/>
      <c r="K20" s="43">
        <f t="shared" ref="K20" si="5">I20*J20</f>
        <v>0</v>
      </c>
      <c r="L20" s="43">
        <f t="shared" ref="L20" si="6">H20-K20</f>
        <v>100</v>
      </c>
      <c r="M20" s="43"/>
      <c r="N20" s="43">
        <f t="shared" ref="N20" si="7">L20-M20</f>
        <v>100</v>
      </c>
      <c r="O20" s="43">
        <f t="shared" ref="O20" si="8">H20/1000*70</f>
        <v>7</v>
      </c>
      <c r="P20" s="42"/>
      <c r="Q20" s="42">
        <v>490</v>
      </c>
      <c r="R20" s="42">
        <f t="shared" ref="R20" si="9">L20*Q20</f>
        <v>49000</v>
      </c>
    </row>
    <row r="22" spans="1:18">
      <c r="A22" s="1" t="s">
        <v>3975</v>
      </c>
      <c r="B22" s="345" t="s">
        <v>3985</v>
      </c>
      <c r="C22" s="345" t="s">
        <v>3986</v>
      </c>
      <c r="D22" s="42" t="s">
        <v>16</v>
      </c>
      <c r="E22" s="345" t="s">
        <v>3580</v>
      </c>
      <c r="F22" s="345">
        <v>811</v>
      </c>
      <c r="G22" s="345"/>
      <c r="H22" s="345">
        <v>200</v>
      </c>
      <c r="I22" s="345">
        <v>8</v>
      </c>
      <c r="J22" s="345"/>
      <c r="K22" s="43">
        <f t="shared" ref="K22" si="10">I22*J22</f>
        <v>0</v>
      </c>
      <c r="L22" s="43">
        <f t="shared" ref="L22" si="11">H22-K22</f>
        <v>200</v>
      </c>
      <c r="M22" s="43"/>
      <c r="N22" s="43">
        <f t="shared" ref="N22" si="12">L22-M22</f>
        <v>200</v>
      </c>
      <c r="O22" s="43">
        <f t="shared" ref="O22" si="13">H22/1000*70</f>
        <v>14</v>
      </c>
      <c r="P22" s="42">
        <v>0</v>
      </c>
      <c r="Q22" s="42"/>
      <c r="R22" s="42">
        <f t="shared" ref="R22" si="14">L22*Q22</f>
        <v>0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>
  <dimension ref="A5:T14"/>
  <sheetViews>
    <sheetView zoomScale="85" zoomScaleNormal="85" workbookViewId="0">
      <selection activeCell="B14" sqref="B14:R14"/>
    </sheetView>
  </sheetViews>
  <sheetFormatPr defaultRowHeight="14.4"/>
  <cols>
    <col min="1" max="1" width="8.88671875" style="1"/>
    <col min="2" max="2" width="23.44140625" style="1" customWidth="1"/>
    <col min="3" max="3" width="16.6640625" style="1" customWidth="1"/>
    <col min="4" max="4" width="5.5546875" style="1" customWidth="1"/>
    <col min="5" max="5" width="10.664062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0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0">
      <c r="A6" s="7"/>
      <c r="B6" s="318"/>
      <c r="C6" s="318"/>
      <c r="D6" s="318"/>
      <c r="E6" s="318"/>
      <c r="F6" s="318"/>
      <c r="G6" s="318"/>
      <c r="H6" s="318"/>
      <c r="I6" s="318"/>
      <c r="J6" s="318"/>
      <c r="K6" s="318"/>
      <c r="L6" s="5"/>
      <c r="M6" s="5"/>
      <c r="N6" s="318"/>
    </row>
    <row r="12" spans="1:20">
      <c r="A12" s="1" t="s">
        <v>3631</v>
      </c>
      <c r="B12" s="42" t="s">
        <v>3618</v>
      </c>
      <c r="C12" s="42" t="s">
        <v>3636</v>
      </c>
      <c r="D12" s="42" t="s">
        <v>16</v>
      </c>
      <c r="E12" s="47" t="s">
        <v>3627</v>
      </c>
      <c r="F12" s="47">
        <v>89159</v>
      </c>
      <c r="G12" s="47">
        <v>2617</v>
      </c>
      <c r="H12" s="47">
        <v>100</v>
      </c>
      <c r="I12" s="47">
        <v>4</v>
      </c>
      <c r="J12" s="47"/>
      <c r="K12" s="43">
        <f t="shared" ref="K12" si="0">I12*J12</f>
        <v>0</v>
      </c>
      <c r="L12" s="43">
        <f t="shared" ref="L12" si="1">H12-K12</f>
        <v>100</v>
      </c>
      <c r="M12" s="43"/>
      <c r="N12" s="43">
        <f t="shared" ref="N12" si="2">L12-M12</f>
        <v>100</v>
      </c>
      <c r="O12" s="43">
        <f t="shared" ref="O12" si="3">H12/1000*70</f>
        <v>7</v>
      </c>
      <c r="P12" s="42"/>
      <c r="Q12" s="42">
        <v>490</v>
      </c>
      <c r="R12" s="42">
        <f t="shared" ref="R12" si="4">L12*Q12</f>
        <v>49000</v>
      </c>
    </row>
    <row r="14" spans="1:20">
      <c r="B14" s="42"/>
      <c r="C14" s="42"/>
      <c r="D14" s="42"/>
      <c r="E14" s="47"/>
      <c r="F14" s="47"/>
      <c r="G14" s="47"/>
      <c r="H14" s="47"/>
      <c r="I14" s="47"/>
      <c r="J14" s="47"/>
      <c r="K14" s="43"/>
      <c r="L14" s="43"/>
      <c r="M14" s="43"/>
      <c r="N14" s="43"/>
      <c r="O14" s="43"/>
      <c r="P14" s="42"/>
      <c r="Q14" s="42"/>
      <c r="R14" s="42"/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>
  <dimension ref="A5:T23"/>
  <sheetViews>
    <sheetView zoomScale="85" zoomScaleNormal="85" workbookViewId="0">
      <selection activeCell="A24" sqref="A24"/>
    </sheetView>
  </sheetViews>
  <sheetFormatPr defaultRowHeight="14.4"/>
  <cols>
    <col min="1" max="1" width="8.88671875" style="1"/>
    <col min="2" max="2" width="23.44140625" style="1" customWidth="1"/>
    <col min="3" max="3" width="16.6640625" style="1" customWidth="1"/>
    <col min="4" max="4" width="5.5546875" style="1" customWidth="1"/>
    <col min="5" max="5" width="10.664062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0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0">
      <c r="A6" s="7"/>
      <c r="B6" s="319"/>
      <c r="C6" s="319"/>
      <c r="D6" s="319"/>
      <c r="E6" s="319"/>
      <c r="F6" s="319"/>
      <c r="G6" s="319"/>
      <c r="H6" s="319"/>
      <c r="I6" s="319"/>
      <c r="J6" s="319"/>
      <c r="K6" s="319"/>
      <c r="L6" s="5"/>
      <c r="M6" s="5"/>
      <c r="N6" s="319"/>
    </row>
    <row r="13" spans="1:20">
      <c r="A13" s="1" t="s">
        <v>2252</v>
      </c>
      <c r="B13" s="42" t="s">
        <v>3736</v>
      </c>
      <c r="C13" s="42" t="s">
        <v>3735</v>
      </c>
      <c r="D13" s="42" t="s">
        <v>16</v>
      </c>
      <c r="E13" s="47" t="s">
        <v>1127</v>
      </c>
      <c r="F13" s="47"/>
      <c r="G13" s="47"/>
      <c r="H13" s="47">
        <v>25</v>
      </c>
      <c r="I13" s="47">
        <v>1</v>
      </c>
      <c r="J13" s="47"/>
      <c r="K13" s="43">
        <f t="shared" ref="K13" si="0">I13*J13</f>
        <v>0</v>
      </c>
      <c r="L13" s="43">
        <f t="shared" ref="L13" si="1">H13-K13</f>
        <v>25</v>
      </c>
      <c r="M13" s="43"/>
      <c r="N13" s="43">
        <f t="shared" ref="N13" si="2">L13-M13</f>
        <v>25</v>
      </c>
      <c r="O13" s="43">
        <v>0</v>
      </c>
      <c r="P13" s="42"/>
      <c r="Q13" s="42">
        <f>51000/25</f>
        <v>2040</v>
      </c>
      <c r="R13" s="42">
        <f t="shared" ref="R13" si="3">L13*Q13</f>
        <v>51000</v>
      </c>
    </row>
    <row r="15" spans="1:20">
      <c r="B15" s="42"/>
      <c r="C15" s="42" t="s">
        <v>3738</v>
      </c>
      <c r="D15" s="42" t="s">
        <v>16</v>
      </c>
      <c r="E15" s="47" t="s">
        <v>3739</v>
      </c>
      <c r="F15" s="47">
        <v>1267</v>
      </c>
      <c r="G15" s="47"/>
      <c r="H15" s="47">
        <v>12000</v>
      </c>
      <c r="I15" s="47">
        <v>400</v>
      </c>
      <c r="J15" s="47"/>
      <c r="K15" s="43">
        <f t="shared" ref="K15" si="4">I15*J15</f>
        <v>0</v>
      </c>
      <c r="L15" s="43">
        <f t="shared" ref="L15" si="5">H15-K15</f>
        <v>12000</v>
      </c>
      <c r="M15" s="43"/>
      <c r="N15" s="43">
        <f t="shared" ref="N15" si="6">L15-M15</f>
        <v>12000</v>
      </c>
      <c r="O15" s="43">
        <f t="shared" ref="O15" si="7">H15/1000*70</f>
        <v>840</v>
      </c>
      <c r="P15" s="42">
        <v>21000</v>
      </c>
      <c r="Q15" s="42"/>
      <c r="R15" s="42">
        <f t="shared" ref="R15" si="8">L15*Q15</f>
        <v>0</v>
      </c>
    </row>
    <row r="18" spans="1:19">
      <c r="A18" s="1" t="s">
        <v>3831</v>
      </c>
      <c r="B18" s="42" t="s">
        <v>1747</v>
      </c>
      <c r="C18" s="42" t="s">
        <v>3743</v>
      </c>
      <c r="D18" s="42" t="s">
        <v>16</v>
      </c>
      <c r="E18" s="47" t="s">
        <v>1127</v>
      </c>
      <c r="F18" s="47">
        <v>25461</v>
      </c>
      <c r="G18" s="47"/>
      <c r="H18" s="47">
        <v>25</v>
      </c>
      <c r="I18" s="47">
        <v>1</v>
      </c>
      <c r="J18" s="47"/>
      <c r="K18" s="43">
        <f t="shared" ref="K18" si="9">I18*J18</f>
        <v>0</v>
      </c>
      <c r="L18" s="43">
        <f t="shared" ref="L18" si="10">H18-K18</f>
        <v>25</v>
      </c>
      <c r="M18" s="43"/>
      <c r="N18" s="43">
        <f t="shared" ref="N18" si="11">L18-M18</f>
        <v>25</v>
      </c>
      <c r="O18" s="43">
        <v>0</v>
      </c>
      <c r="P18" s="42">
        <v>0</v>
      </c>
      <c r="Q18" s="42">
        <v>2040</v>
      </c>
      <c r="R18" s="42">
        <f t="shared" ref="R18" si="12">L18*Q18</f>
        <v>51000</v>
      </c>
      <c r="S18" s="85"/>
    </row>
    <row r="21" spans="1:19">
      <c r="A21" s="1" t="s">
        <v>3957</v>
      </c>
      <c r="B21" s="337" t="s">
        <v>1269</v>
      </c>
      <c r="C21" s="337" t="s">
        <v>3743</v>
      </c>
      <c r="D21" s="42" t="s">
        <v>16</v>
      </c>
      <c r="E21" s="337" t="s">
        <v>1127</v>
      </c>
      <c r="F21" s="337">
        <v>19025489</v>
      </c>
      <c r="G21" s="337"/>
      <c r="H21" s="337">
        <v>25</v>
      </c>
      <c r="I21" s="337">
        <v>1</v>
      </c>
      <c r="J21" s="337"/>
      <c r="K21" s="43">
        <f t="shared" ref="K21" si="13">I21*J21</f>
        <v>0</v>
      </c>
      <c r="L21" s="43">
        <f t="shared" ref="L21" si="14">H21-K21</f>
        <v>25</v>
      </c>
      <c r="M21" s="43"/>
      <c r="N21" s="43">
        <f t="shared" ref="N21" si="15">L21-M21</f>
        <v>25</v>
      </c>
      <c r="O21" s="43">
        <v>0</v>
      </c>
      <c r="P21" s="42">
        <v>0</v>
      </c>
      <c r="Q21" s="42">
        <v>2040</v>
      </c>
      <c r="R21" s="42">
        <f t="shared" ref="R21" si="16">L21*Q21</f>
        <v>51000</v>
      </c>
    </row>
    <row r="23" spans="1:19">
      <c r="A23" s="1" t="s">
        <v>4026</v>
      </c>
      <c r="B23" s="352" t="s">
        <v>1269</v>
      </c>
      <c r="C23" s="352" t="s">
        <v>3743</v>
      </c>
      <c r="D23" s="42" t="s">
        <v>16</v>
      </c>
      <c r="E23" s="352" t="s">
        <v>4032</v>
      </c>
      <c r="F23" s="352">
        <v>0</v>
      </c>
      <c r="G23" s="352"/>
      <c r="H23" s="352">
        <v>75</v>
      </c>
      <c r="I23" s="352">
        <v>3</v>
      </c>
      <c r="J23" s="352"/>
      <c r="K23" s="43">
        <f t="shared" ref="K23" si="17">I23*J23</f>
        <v>0</v>
      </c>
      <c r="L23" s="43">
        <f t="shared" ref="L23" si="18">H23-K23</f>
        <v>75</v>
      </c>
      <c r="M23" s="43"/>
      <c r="N23" s="43">
        <f t="shared" ref="N23" si="19">L23-M23</f>
        <v>75</v>
      </c>
      <c r="O23" s="43">
        <f t="shared" ref="O23" si="20">H23/1000*70</f>
        <v>5.25</v>
      </c>
      <c r="P23" s="42">
        <v>0</v>
      </c>
      <c r="Q23" s="42">
        <v>2030</v>
      </c>
      <c r="R23" s="42">
        <f t="shared" ref="R23" si="21">L23*Q23</f>
        <v>152250</v>
      </c>
      <c r="S23" s="85"/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>
  <dimension ref="A5:T22"/>
  <sheetViews>
    <sheetView zoomScale="85" zoomScaleNormal="85" workbookViewId="0">
      <selection activeCell="A23" sqref="A23"/>
    </sheetView>
  </sheetViews>
  <sheetFormatPr defaultRowHeight="14.4"/>
  <cols>
    <col min="1" max="1" width="8.88671875" style="1"/>
    <col min="2" max="2" width="23.44140625" style="1" customWidth="1"/>
    <col min="3" max="3" width="16.6640625" style="1" customWidth="1"/>
    <col min="4" max="4" width="5.5546875" style="1" customWidth="1"/>
    <col min="5" max="5" width="10.664062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0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0">
      <c r="A6" s="7"/>
      <c r="B6" s="320"/>
      <c r="C6" s="320"/>
      <c r="D6" s="320"/>
      <c r="E6" s="320"/>
      <c r="F6" s="320"/>
      <c r="G6" s="320"/>
      <c r="H6" s="320"/>
      <c r="I6" s="320"/>
      <c r="J6" s="320"/>
      <c r="K6" s="320"/>
      <c r="L6" s="5"/>
      <c r="M6" s="5"/>
      <c r="N6" s="320"/>
    </row>
    <row r="14" spans="1:20">
      <c r="A14" s="1" t="s">
        <v>3737</v>
      </c>
      <c r="B14" s="42"/>
      <c r="C14" s="42" t="s">
        <v>3738</v>
      </c>
      <c r="D14" s="42" t="s">
        <v>16</v>
      </c>
      <c r="E14" s="47" t="s">
        <v>3739</v>
      </c>
      <c r="F14" s="47">
        <v>1267</v>
      </c>
      <c r="G14" s="47"/>
      <c r="H14" s="47">
        <v>12000</v>
      </c>
      <c r="I14" s="47">
        <v>400</v>
      </c>
      <c r="J14" s="47"/>
      <c r="K14" s="43">
        <f t="shared" ref="K14" si="0">I14*J14</f>
        <v>0</v>
      </c>
      <c r="L14" s="43">
        <f t="shared" ref="L14" si="1">H14-K14</f>
        <v>12000</v>
      </c>
      <c r="M14" s="43"/>
      <c r="N14" s="43">
        <f t="shared" ref="N14" si="2">L14-M14</f>
        <v>12000</v>
      </c>
      <c r="O14" s="43">
        <f t="shared" ref="O14" si="3">H14/1000*70</f>
        <v>840</v>
      </c>
      <c r="P14" s="42">
        <v>21000</v>
      </c>
      <c r="Q14" s="42"/>
      <c r="R14" s="42">
        <f t="shared" ref="R14" si="4">L14*Q14</f>
        <v>0</v>
      </c>
    </row>
    <row r="16" spans="1:20">
      <c r="A16" s="1" t="s">
        <v>3821</v>
      </c>
      <c r="B16" s="42" t="s">
        <v>3654</v>
      </c>
      <c r="C16" s="42" t="s">
        <v>3820</v>
      </c>
      <c r="D16" s="42" t="s">
        <v>16</v>
      </c>
      <c r="E16" s="47" t="s">
        <v>1127</v>
      </c>
      <c r="F16" s="47">
        <v>2332</v>
      </c>
      <c r="G16" s="47"/>
      <c r="H16" s="47">
        <v>25</v>
      </c>
      <c r="I16" s="47">
        <v>1</v>
      </c>
      <c r="J16" s="47"/>
      <c r="K16" s="43">
        <f t="shared" ref="K16" si="5">I16*J16</f>
        <v>0</v>
      </c>
      <c r="L16" s="43">
        <f t="shared" ref="L16" si="6">H16-K16</f>
        <v>25</v>
      </c>
      <c r="M16" s="43"/>
      <c r="N16" s="43">
        <f t="shared" ref="N16" si="7">L16-M16</f>
        <v>25</v>
      </c>
      <c r="O16" s="43">
        <f t="shared" ref="O16" si="8">H16/1000*70</f>
        <v>1.75</v>
      </c>
      <c r="P16" s="42">
        <v>0</v>
      </c>
      <c r="Q16" s="42"/>
      <c r="R16" s="42">
        <f t="shared" ref="R16" si="9">L16*Q16</f>
        <v>0</v>
      </c>
    </row>
    <row r="18" spans="1:19">
      <c r="A18" s="1" t="s">
        <v>3825</v>
      </c>
      <c r="B18" s="42" t="s">
        <v>3654</v>
      </c>
      <c r="C18" s="42" t="s">
        <v>3830</v>
      </c>
      <c r="D18" s="42" t="s">
        <v>16</v>
      </c>
      <c r="E18" s="47" t="s">
        <v>3778</v>
      </c>
      <c r="F18" s="47">
        <v>2342</v>
      </c>
      <c r="G18" s="47"/>
      <c r="H18" s="47">
        <v>2475</v>
      </c>
      <c r="I18" s="47">
        <v>99</v>
      </c>
      <c r="J18" s="47"/>
      <c r="K18" s="43">
        <f>I18*J18</f>
        <v>0</v>
      </c>
      <c r="L18" s="43">
        <f>H18-K18</f>
        <v>2475</v>
      </c>
      <c r="M18" s="43"/>
      <c r="N18" s="43">
        <f>L18-M18</f>
        <v>2475</v>
      </c>
      <c r="O18" s="43">
        <f>H18/1000*70</f>
        <v>173.25</v>
      </c>
      <c r="P18" s="42">
        <v>0</v>
      </c>
      <c r="Q18" s="42"/>
      <c r="R18" s="42">
        <f>L18*Q18</f>
        <v>0</v>
      </c>
    </row>
    <row r="20" spans="1:19">
      <c r="A20" s="1" t="s">
        <v>3870</v>
      </c>
      <c r="B20" s="42" t="s">
        <v>3774</v>
      </c>
      <c r="C20" s="42" t="s">
        <v>3873</v>
      </c>
      <c r="D20" s="42" t="s">
        <v>16</v>
      </c>
      <c r="E20" s="47" t="s">
        <v>3739</v>
      </c>
      <c r="F20" s="47">
        <v>7804</v>
      </c>
      <c r="G20" s="47"/>
      <c r="H20" s="47">
        <v>12770</v>
      </c>
      <c r="I20" s="47">
        <v>420</v>
      </c>
      <c r="J20" s="47">
        <v>0.13</v>
      </c>
      <c r="K20" s="43">
        <f t="shared" ref="K20" si="10">I20*J20</f>
        <v>54.6</v>
      </c>
      <c r="L20" s="43">
        <f t="shared" ref="L20" si="11">H20-K20</f>
        <v>12715.4</v>
      </c>
      <c r="M20" s="43"/>
      <c r="N20" s="43">
        <f t="shared" ref="N20" si="12">L20-M20</f>
        <v>12715.4</v>
      </c>
      <c r="O20" s="43">
        <f t="shared" ref="O20" si="13">H20/1000*70</f>
        <v>893.9</v>
      </c>
      <c r="P20" s="42">
        <v>20000</v>
      </c>
      <c r="Q20" s="42"/>
      <c r="R20" s="42">
        <f t="shared" ref="R20" si="14">L20*Q20</f>
        <v>0</v>
      </c>
      <c r="S20" s="42"/>
    </row>
    <row r="22" spans="1:19">
      <c r="A22" s="1" t="s">
        <v>3960</v>
      </c>
      <c r="B22" s="338" t="s">
        <v>3774</v>
      </c>
      <c r="C22" s="338" t="s">
        <v>3873</v>
      </c>
      <c r="D22" s="42" t="s">
        <v>16</v>
      </c>
      <c r="E22" s="338" t="s">
        <v>3962</v>
      </c>
      <c r="F22" s="338">
        <v>1505</v>
      </c>
      <c r="G22" s="338"/>
      <c r="H22" s="338">
        <v>12490</v>
      </c>
      <c r="I22" s="338">
        <v>420</v>
      </c>
      <c r="J22" s="338">
        <v>0.13</v>
      </c>
      <c r="K22" s="43">
        <f t="shared" ref="K22" si="15">I22*J22</f>
        <v>54.6</v>
      </c>
      <c r="L22" s="43">
        <f t="shared" ref="L22" si="16">H22-K22</f>
        <v>12435.4</v>
      </c>
      <c r="M22" s="43"/>
      <c r="N22" s="43">
        <f t="shared" ref="N22" si="17">L22-M22</f>
        <v>12435.4</v>
      </c>
      <c r="O22" s="43">
        <f t="shared" ref="O22" si="18">H22/1000*70</f>
        <v>874.30000000000007</v>
      </c>
      <c r="P22" s="42">
        <v>23500</v>
      </c>
      <c r="Q22" s="42"/>
      <c r="R22" s="42">
        <f t="shared" ref="R22" si="19">L22*Q22</f>
        <v>0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>
  <dimension ref="A5:T12"/>
  <sheetViews>
    <sheetView zoomScale="85" zoomScaleNormal="85" workbookViewId="0">
      <selection activeCell="B25" sqref="B25"/>
    </sheetView>
  </sheetViews>
  <sheetFormatPr defaultRowHeight="14.4"/>
  <cols>
    <col min="1" max="1" width="8.88671875" style="1"/>
    <col min="2" max="2" width="23.44140625" style="1" customWidth="1"/>
    <col min="3" max="3" width="16.6640625" style="1" customWidth="1"/>
    <col min="4" max="4" width="5.5546875" style="1" customWidth="1"/>
    <col min="5" max="5" width="10.664062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0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0">
      <c r="A6" s="7"/>
      <c r="B6" s="322"/>
      <c r="C6" s="322"/>
      <c r="D6" s="322"/>
      <c r="E6" s="322"/>
      <c r="F6" s="322"/>
      <c r="G6" s="322"/>
      <c r="H6" s="322"/>
      <c r="I6" s="322"/>
      <c r="J6" s="322"/>
      <c r="K6" s="322"/>
      <c r="L6" s="5"/>
      <c r="M6" s="5"/>
      <c r="N6" s="322"/>
    </row>
    <row r="8" spans="1:20">
      <c r="A8" s="1" t="s">
        <v>3849</v>
      </c>
      <c r="B8" s="42" t="s">
        <v>3851</v>
      </c>
      <c r="C8" s="42" t="s">
        <v>3852</v>
      </c>
      <c r="D8" s="42" t="s">
        <v>16</v>
      </c>
      <c r="E8" s="47" t="s">
        <v>1127</v>
      </c>
      <c r="F8" s="47">
        <v>2994</v>
      </c>
      <c r="G8" s="47"/>
      <c r="H8" s="47">
        <v>5</v>
      </c>
      <c r="I8" s="47">
        <v>1</v>
      </c>
      <c r="J8" s="47"/>
      <c r="K8" s="43">
        <f t="shared" ref="K8" si="0">I8*J8</f>
        <v>0</v>
      </c>
      <c r="L8" s="43">
        <f t="shared" ref="L8" si="1">H8-K8</f>
        <v>5</v>
      </c>
      <c r="M8" s="43"/>
      <c r="N8" s="43">
        <f t="shared" ref="N8" si="2">L8-M8</f>
        <v>5</v>
      </c>
      <c r="O8" s="43">
        <f t="shared" ref="O8" si="3">H8/1000*70</f>
        <v>0.35000000000000003</v>
      </c>
      <c r="P8" s="42">
        <v>0</v>
      </c>
      <c r="Q8" s="42">
        <v>300</v>
      </c>
      <c r="R8" s="42">
        <f t="shared" ref="R8" si="4">L8*Q8</f>
        <v>1500</v>
      </c>
    </row>
    <row r="12" spans="1:20">
      <c r="A12" s="1" t="s">
        <v>3970</v>
      </c>
      <c r="B12" s="342" t="s">
        <v>3972</v>
      </c>
      <c r="C12" s="342" t="s">
        <v>3973</v>
      </c>
      <c r="D12" s="42" t="s">
        <v>16</v>
      </c>
      <c r="E12" s="342" t="s">
        <v>1127</v>
      </c>
      <c r="F12" s="342">
        <v>490</v>
      </c>
      <c r="G12" s="342"/>
      <c r="H12" s="342">
        <v>2</v>
      </c>
      <c r="I12" s="342">
        <v>1</v>
      </c>
      <c r="J12" s="342"/>
      <c r="K12" s="43">
        <f t="shared" ref="K12" si="5">I12*J12</f>
        <v>0</v>
      </c>
      <c r="L12" s="43">
        <f t="shared" ref="L12" si="6">H12-K12</f>
        <v>2</v>
      </c>
      <c r="M12" s="43"/>
      <c r="N12" s="43">
        <f t="shared" ref="N12" si="7">L12-M12</f>
        <v>2</v>
      </c>
      <c r="O12" s="43">
        <f t="shared" ref="O12" si="8">H12/1000*70</f>
        <v>0.14000000000000001</v>
      </c>
      <c r="P12" s="42">
        <v>0</v>
      </c>
      <c r="Q12" s="42">
        <v>4000</v>
      </c>
      <c r="R12" s="42">
        <f t="shared" ref="R12" si="9">L12*Q12</f>
        <v>8000</v>
      </c>
      <c r="S12" s="85"/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>
  <dimension ref="A5:T12"/>
  <sheetViews>
    <sheetView zoomScale="85" zoomScaleNormal="85" workbookViewId="0">
      <selection activeCell="C25" sqref="C25"/>
    </sheetView>
  </sheetViews>
  <sheetFormatPr defaultRowHeight="14.4"/>
  <cols>
    <col min="1" max="1" width="8.88671875" style="1"/>
    <col min="2" max="2" width="23.44140625" style="1" customWidth="1"/>
    <col min="3" max="3" width="16.6640625" style="1" customWidth="1"/>
    <col min="4" max="4" width="5.5546875" style="1" customWidth="1"/>
    <col min="5" max="5" width="10.664062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0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0">
      <c r="A6" s="7"/>
      <c r="B6" s="343"/>
      <c r="C6" s="343"/>
      <c r="D6" s="343"/>
      <c r="E6" s="343"/>
      <c r="F6" s="343"/>
      <c r="G6" s="343"/>
      <c r="H6" s="343"/>
      <c r="I6" s="343"/>
      <c r="J6" s="343"/>
      <c r="K6" s="343"/>
      <c r="L6" s="5"/>
      <c r="M6" s="5"/>
      <c r="N6" s="343"/>
    </row>
    <row r="8" spans="1:20">
      <c r="A8" s="1" t="s">
        <v>3849</v>
      </c>
      <c r="B8" s="42" t="s">
        <v>3851</v>
      </c>
      <c r="C8" s="42" t="s">
        <v>3852</v>
      </c>
      <c r="D8" s="42" t="s">
        <v>16</v>
      </c>
      <c r="E8" s="47" t="s">
        <v>1127</v>
      </c>
      <c r="F8" s="47">
        <v>2994</v>
      </c>
      <c r="G8" s="47"/>
      <c r="H8" s="47">
        <v>5</v>
      </c>
      <c r="I8" s="47">
        <v>1</v>
      </c>
      <c r="J8" s="47"/>
      <c r="K8" s="43">
        <f t="shared" ref="K8" si="0">I8*J8</f>
        <v>0</v>
      </c>
      <c r="L8" s="43">
        <f t="shared" ref="L8" si="1">H8-K8</f>
        <v>5</v>
      </c>
      <c r="M8" s="43"/>
      <c r="N8" s="43">
        <f t="shared" ref="N8" si="2">L8-M8</f>
        <v>5</v>
      </c>
      <c r="O8" s="43">
        <f t="shared" ref="O8" si="3">H8/1000*70</f>
        <v>0.35000000000000003</v>
      </c>
      <c r="P8" s="42">
        <v>0</v>
      </c>
      <c r="Q8" s="42">
        <v>300</v>
      </c>
      <c r="R8" s="42">
        <f t="shared" ref="R8" si="4">L8*Q8</f>
        <v>1500</v>
      </c>
    </row>
    <row r="12" spans="1:20">
      <c r="A12" s="1" t="s">
        <v>3970</v>
      </c>
      <c r="B12" s="342" t="s">
        <v>3972</v>
      </c>
      <c r="C12" s="342" t="s">
        <v>3973</v>
      </c>
      <c r="D12" s="42" t="s">
        <v>16</v>
      </c>
      <c r="E12" s="342" t="s">
        <v>1127</v>
      </c>
      <c r="F12" s="342">
        <v>490</v>
      </c>
      <c r="G12" s="342"/>
      <c r="H12" s="342">
        <v>2</v>
      </c>
      <c r="I12" s="342">
        <v>1</v>
      </c>
      <c r="J12" s="342"/>
      <c r="K12" s="43">
        <f t="shared" ref="K12" si="5">I12*J12</f>
        <v>0</v>
      </c>
      <c r="L12" s="43">
        <f t="shared" ref="L12" si="6">H12-K12</f>
        <v>2</v>
      </c>
      <c r="M12" s="43"/>
      <c r="N12" s="43">
        <f t="shared" ref="N12" si="7">L12-M12</f>
        <v>2</v>
      </c>
      <c r="O12" s="43">
        <f t="shared" ref="O12" si="8">H12/1000*70</f>
        <v>0.14000000000000001</v>
      </c>
      <c r="P12" s="42">
        <v>0</v>
      </c>
      <c r="Q12" s="42">
        <v>4000</v>
      </c>
      <c r="R12" s="42">
        <f t="shared" ref="R12" si="9">L12*Q12</f>
        <v>8000</v>
      </c>
      <c r="S12" s="85"/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>
  <dimension ref="A5:T31"/>
  <sheetViews>
    <sheetView topLeftCell="A10" zoomScale="85" zoomScaleNormal="85" workbookViewId="0">
      <selection activeCell="A32" sqref="A32"/>
    </sheetView>
  </sheetViews>
  <sheetFormatPr defaultRowHeight="14.4"/>
  <cols>
    <col min="1" max="1" width="8.88671875" style="1"/>
    <col min="2" max="2" width="23.44140625" style="1" customWidth="1"/>
    <col min="3" max="3" width="16.6640625" style="1" customWidth="1"/>
    <col min="4" max="4" width="5.5546875" style="1" customWidth="1"/>
    <col min="5" max="5" width="10.664062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8" width="8.88671875" style="1"/>
    <col min="19" max="19" width="27.109375" style="1" customWidth="1"/>
    <col min="20" max="16384" width="8.88671875" style="1"/>
  </cols>
  <sheetData>
    <row r="5" spans="1:20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0">
      <c r="A6" s="7"/>
      <c r="B6" s="312"/>
      <c r="C6" s="312"/>
      <c r="D6" s="312"/>
      <c r="E6" s="312"/>
      <c r="F6" s="312"/>
      <c r="G6" s="312"/>
      <c r="H6" s="312"/>
      <c r="I6" s="312"/>
      <c r="J6" s="312"/>
      <c r="K6" s="312"/>
      <c r="L6" s="5"/>
      <c r="M6" s="5"/>
      <c r="N6" s="312"/>
    </row>
    <row r="14" spans="1:20" ht="23.4">
      <c r="A14" s="1" t="s">
        <v>3297</v>
      </c>
      <c r="B14" s="42" t="s">
        <v>3305</v>
      </c>
      <c r="C14" s="42" t="s">
        <v>881</v>
      </c>
      <c r="D14" s="42" t="s">
        <v>16</v>
      </c>
      <c r="E14" s="47" t="s">
        <v>3306</v>
      </c>
      <c r="F14" s="47">
        <v>8324</v>
      </c>
      <c r="G14" s="47"/>
      <c r="H14" s="47">
        <v>8020</v>
      </c>
      <c r="I14" s="47">
        <f>20+16+16+10+16+20+10+4</f>
        <v>112</v>
      </c>
      <c r="J14" s="47"/>
      <c r="K14" s="43">
        <f t="shared" ref="K14" si="0">I14*J14</f>
        <v>0</v>
      </c>
      <c r="L14" s="43">
        <f t="shared" ref="L14" si="1">H14-K14</f>
        <v>8020</v>
      </c>
      <c r="M14" s="43"/>
      <c r="N14" s="43">
        <f t="shared" ref="N14" si="2">L14-M14</f>
        <v>8020</v>
      </c>
      <c r="O14" s="43"/>
      <c r="P14" s="42">
        <v>0</v>
      </c>
      <c r="Q14" s="42">
        <v>0</v>
      </c>
      <c r="R14" s="42">
        <f t="shared" ref="R14" si="3">L14*Q14</f>
        <v>0</v>
      </c>
      <c r="S14" s="85" t="s">
        <v>3307</v>
      </c>
    </row>
    <row r="16" spans="1:20">
      <c r="A16" s="1" t="s">
        <v>3320</v>
      </c>
      <c r="B16" s="42" t="s">
        <v>3305</v>
      </c>
      <c r="C16" s="42" t="s">
        <v>881</v>
      </c>
      <c r="D16" s="42" t="s">
        <v>16</v>
      </c>
      <c r="E16" s="47" t="s">
        <v>3306</v>
      </c>
      <c r="F16" s="47">
        <v>8342</v>
      </c>
      <c r="G16" s="47"/>
      <c r="H16" s="47">
        <v>3780</v>
      </c>
      <c r="I16" s="47">
        <v>48</v>
      </c>
      <c r="J16" s="47"/>
      <c r="K16" s="43">
        <f t="shared" ref="K16" si="4">I16*J16</f>
        <v>0</v>
      </c>
      <c r="L16" s="43">
        <f t="shared" ref="L16" si="5">H16-K16</f>
        <v>3780</v>
      </c>
      <c r="M16" s="43"/>
      <c r="N16" s="43">
        <f t="shared" ref="N16" si="6">L16-M16</f>
        <v>3780</v>
      </c>
      <c r="O16" s="43"/>
      <c r="P16" s="42">
        <v>0</v>
      </c>
      <c r="Q16" s="42"/>
      <c r="R16" s="42">
        <f t="shared" ref="R16" si="7">L16*Q16</f>
        <v>0</v>
      </c>
      <c r="S16" s="55" t="s">
        <v>3322</v>
      </c>
    </row>
    <row r="18" spans="1:19">
      <c r="A18" s="1" t="s">
        <v>3350</v>
      </c>
      <c r="B18" s="42" t="s">
        <v>3305</v>
      </c>
      <c r="C18" s="42" t="s">
        <v>881</v>
      </c>
      <c r="D18" s="42" t="s">
        <v>16</v>
      </c>
      <c r="E18" s="47" t="s">
        <v>3353</v>
      </c>
      <c r="F18" s="47">
        <v>8364</v>
      </c>
      <c r="G18" s="47"/>
      <c r="H18" s="47">
        <v>3950</v>
      </c>
      <c r="I18" s="47">
        <v>50</v>
      </c>
      <c r="J18" s="47"/>
      <c r="K18" s="43">
        <f t="shared" ref="K18" si="8">I18*J18</f>
        <v>0</v>
      </c>
      <c r="L18" s="43">
        <f t="shared" ref="L18" si="9">H18-K18</f>
        <v>3950</v>
      </c>
      <c r="M18" s="43"/>
      <c r="N18" s="43">
        <f t="shared" ref="N18" si="10">L18-M18</f>
        <v>3950</v>
      </c>
      <c r="O18" s="43"/>
      <c r="P18" s="42"/>
      <c r="Q18" s="42"/>
      <c r="R18" s="42">
        <f t="shared" ref="R18" si="11">L18*Q18</f>
        <v>0</v>
      </c>
      <c r="S18" s="42" t="s">
        <v>3354</v>
      </c>
    </row>
    <row r="20" spans="1:19">
      <c r="A20" s="1" t="s">
        <v>3381</v>
      </c>
      <c r="B20" s="42" t="s">
        <v>3305</v>
      </c>
      <c r="C20" s="42" t="s">
        <v>331</v>
      </c>
      <c r="D20" s="42" t="s">
        <v>16</v>
      </c>
      <c r="E20" s="47" t="s">
        <v>3353</v>
      </c>
      <c r="F20" s="47">
        <v>8392</v>
      </c>
      <c r="G20" s="47"/>
      <c r="H20" s="47">
        <v>3020</v>
      </c>
      <c r="I20" s="47">
        <v>50</v>
      </c>
      <c r="J20" s="47"/>
      <c r="K20" s="43">
        <f t="shared" ref="K20" si="12">I20*J20</f>
        <v>0</v>
      </c>
      <c r="L20" s="43">
        <f t="shared" ref="L20" si="13">H20-K20</f>
        <v>3020</v>
      </c>
      <c r="M20" s="43"/>
      <c r="N20" s="43">
        <f t="shared" ref="N20" si="14">L20-M20</f>
        <v>3020</v>
      </c>
      <c r="O20" s="43">
        <v>0</v>
      </c>
      <c r="P20" s="42">
        <v>0</v>
      </c>
      <c r="Q20" s="42"/>
      <c r="R20" s="42">
        <f t="shared" ref="R20" si="15">L20*Q20</f>
        <v>0</v>
      </c>
      <c r="S20" s="85" t="s">
        <v>3385</v>
      </c>
    </row>
    <row r="22" spans="1:19">
      <c r="A22" s="1" t="s">
        <v>3400</v>
      </c>
      <c r="B22" s="42" t="s">
        <v>3305</v>
      </c>
      <c r="C22" s="42" t="s">
        <v>331</v>
      </c>
      <c r="D22" s="42" t="s">
        <v>16</v>
      </c>
      <c r="E22" s="47" t="s">
        <v>3402</v>
      </c>
      <c r="F22" s="47">
        <v>8420</v>
      </c>
      <c r="G22" s="47"/>
      <c r="H22" s="47">
        <v>860</v>
      </c>
      <c r="I22" s="47">
        <v>19</v>
      </c>
      <c r="J22" s="47"/>
      <c r="K22" s="43">
        <f t="shared" ref="K22" si="16">I22*J22</f>
        <v>0</v>
      </c>
      <c r="L22" s="43">
        <f t="shared" ref="L22" si="17">H22-K22</f>
        <v>860</v>
      </c>
      <c r="M22" s="43"/>
      <c r="N22" s="43">
        <f t="shared" ref="N22" si="18">L22-M22</f>
        <v>860</v>
      </c>
      <c r="O22" s="43">
        <f t="shared" ref="O22" si="19">H22/1000*70</f>
        <v>60.199999999999996</v>
      </c>
      <c r="P22" s="42">
        <v>0</v>
      </c>
      <c r="Q22" s="42"/>
      <c r="R22" s="42">
        <f t="shared" ref="R22" si="20">L22*Q22</f>
        <v>0</v>
      </c>
      <c r="S22" s="42" t="s">
        <v>3403</v>
      </c>
    </row>
    <row r="24" spans="1:19">
      <c r="A24" s="1" t="s">
        <v>3438</v>
      </c>
      <c r="B24" s="42" t="s">
        <v>3305</v>
      </c>
      <c r="C24" s="42" t="s">
        <v>331</v>
      </c>
      <c r="D24" s="42" t="s">
        <v>16</v>
      </c>
      <c r="E24" s="47" t="s">
        <v>3402</v>
      </c>
      <c r="F24" s="47">
        <v>8464</v>
      </c>
      <c r="G24" s="47"/>
      <c r="H24" s="47">
        <v>1860</v>
      </c>
      <c r="I24" s="47">
        <v>40</v>
      </c>
      <c r="J24" s="47"/>
      <c r="K24" s="43">
        <f t="shared" ref="K24:K25" si="21">I24*J24</f>
        <v>0</v>
      </c>
      <c r="L24" s="43">
        <f t="shared" ref="L24:L25" si="22">H24-K24</f>
        <v>1860</v>
      </c>
      <c r="M24" s="43"/>
      <c r="N24" s="43">
        <f t="shared" ref="N24:N25" si="23">L24-M24</f>
        <v>1860</v>
      </c>
      <c r="O24" s="43">
        <f t="shared" ref="O24:O25" si="24">H24/1000*70</f>
        <v>130.20000000000002</v>
      </c>
      <c r="P24" s="42">
        <v>0</v>
      </c>
      <c r="Q24" s="42">
        <v>0</v>
      </c>
      <c r="R24" s="42">
        <f t="shared" ref="R24:R25" si="25">L24*Q24</f>
        <v>0</v>
      </c>
      <c r="S24" s="42" t="s">
        <v>3443</v>
      </c>
    </row>
    <row r="25" spans="1:19" ht="23.4">
      <c r="A25" s="21" t="s">
        <v>3571</v>
      </c>
      <c r="B25" s="42" t="s">
        <v>3572</v>
      </c>
      <c r="C25" s="42" t="s">
        <v>331</v>
      </c>
      <c r="D25" s="42" t="s">
        <v>16</v>
      </c>
      <c r="E25" s="47" t="s">
        <v>3402</v>
      </c>
      <c r="F25" s="47">
        <v>8534</v>
      </c>
      <c r="G25" s="47"/>
      <c r="H25" s="47">
        <v>5190</v>
      </c>
      <c r="I25" s="47">
        <v>98</v>
      </c>
      <c r="J25" s="47"/>
      <c r="K25" s="43">
        <f t="shared" si="21"/>
        <v>0</v>
      </c>
      <c r="L25" s="43">
        <f t="shared" si="22"/>
        <v>5190</v>
      </c>
      <c r="M25" s="43"/>
      <c r="N25" s="43">
        <f t="shared" si="23"/>
        <v>5190</v>
      </c>
      <c r="O25" s="43">
        <f t="shared" si="24"/>
        <v>363.3</v>
      </c>
      <c r="P25" s="42">
        <v>0</v>
      </c>
      <c r="Q25" s="42"/>
      <c r="R25" s="42">
        <f t="shared" si="25"/>
        <v>0</v>
      </c>
      <c r="S25" s="85" t="s">
        <v>3573</v>
      </c>
    </row>
    <row r="27" spans="1:19" ht="31.2">
      <c r="A27" s="21" t="s">
        <v>3596</v>
      </c>
      <c r="B27" s="42" t="s">
        <v>3572</v>
      </c>
      <c r="C27" s="42" t="s">
        <v>3600</v>
      </c>
      <c r="D27" s="42" t="s">
        <v>16</v>
      </c>
      <c r="E27" s="47" t="s">
        <v>3353</v>
      </c>
      <c r="F27" s="47" t="s">
        <v>3598</v>
      </c>
      <c r="G27" s="47">
        <v>2600</v>
      </c>
      <c r="H27" s="47"/>
      <c r="I27" s="47"/>
      <c r="J27" s="47"/>
      <c r="K27" s="43">
        <f t="shared" ref="K27" si="26">I27*J27</f>
        <v>0</v>
      </c>
      <c r="L27" s="43">
        <f t="shared" ref="L27" si="27">H27-K27</f>
        <v>0</v>
      </c>
      <c r="M27" s="43"/>
      <c r="N27" s="43">
        <f t="shared" ref="N27" si="28">L27-M27</f>
        <v>0</v>
      </c>
      <c r="O27" s="43">
        <f t="shared" ref="O27" si="29">H27/1000*70</f>
        <v>0</v>
      </c>
      <c r="P27" s="42"/>
      <c r="Q27" s="42"/>
      <c r="R27" s="42">
        <f t="shared" ref="R27" si="30">L27*Q27</f>
        <v>0</v>
      </c>
      <c r="S27" s="85" t="s">
        <v>3599</v>
      </c>
    </row>
    <row r="29" spans="1:19">
      <c r="A29" s="21" t="s">
        <v>3661</v>
      </c>
      <c r="B29" s="42" t="s">
        <v>3305</v>
      </c>
      <c r="C29" s="42" t="s">
        <v>331</v>
      </c>
      <c r="D29" s="42" t="s">
        <v>16</v>
      </c>
      <c r="E29" s="47" t="s">
        <v>3402</v>
      </c>
      <c r="F29" s="47">
        <v>8577</v>
      </c>
      <c r="G29" s="47"/>
      <c r="H29" s="47">
        <v>1040</v>
      </c>
      <c r="I29" s="47">
        <v>21</v>
      </c>
      <c r="J29" s="47"/>
      <c r="K29" s="43">
        <f t="shared" ref="K29" si="31">I29*J29</f>
        <v>0</v>
      </c>
      <c r="L29" s="43">
        <f t="shared" ref="L29" si="32">H29-K29</f>
        <v>1040</v>
      </c>
      <c r="M29" s="43"/>
      <c r="N29" s="43">
        <f t="shared" ref="N29" si="33">L29-M29</f>
        <v>1040</v>
      </c>
      <c r="O29" s="43">
        <f t="shared" ref="O29" si="34">H29/1000*70</f>
        <v>72.8</v>
      </c>
      <c r="P29" s="42">
        <v>0</v>
      </c>
      <c r="Q29" s="42"/>
      <c r="R29" s="42">
        <f t="shared" ref="R29" si="35">L29*Q29</f>
        <v>0</v>
      </c>
      <c r="S29" s="119" t="s">
        <v>3662</v>
      </c>
    </row>
    <row r="31" spans="1:19">
      <c r="A31" s="1" t="s">
        <v>3945</v>
      </c>
      <c r="B31" s="334" t="s">
        <v>3305</v>
      </c>
      <c r="C31" s="334" t="s">
        <v>881</v>
      </c>
      <c r="D31" s="42" t="s">
        <v>16</v>
      </c>
      <c r="E31" s="334" t="s">
        <v>3402</v>
      </c>
      <c r="F31" s="334">
        <v>8692</v>
      </c>
      <c r="G31" s="334"/>
      <c r="H31" s="334">
        <v>2610</v>
      </c>
      <c r="I31" s="334">
        <v>51</v>
      </c>
      <c r="J31" s="334"/>
      <c r="K31" s="43">
        <f t="shared" ref="K31" si="36">I31*J31</f>
        <v>0</v>
      </c>
      <c r="L31" s="43">
        <f t="shared" ref="L31" si="37">H31-K31</f>
        <v>2610</v>
      </c>
      <c r="M31" s="43"/>
      <c r="N31" s="43">
        <f t="shared" ref="N31" si="38">L31-M31</f>
        <v>2610</v>
      </c>
      <c r="O31" s="43">
        <f t="shared" ref="O31" si="39">H31/1000*70</f>
        <v>182.7</v>
      </c>
      <c r="P31" s="42">
        <v>0</v>
      </c>
      <c r="Q31" s="42"/>
      <c r="R31" s="42">
        <f t="shared" ref="R31" si="40">L31*Q31</f>
        <v>0</v>
      </c>
      <c r="S31" s="85" t="s">
        <v>3951</v>
      </c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>
  <dimension ref="A5:U213"/>
  <sheetViews>
    <sheetView topLeftCell="A200" workbookViewId="0">
      <selection activeCell="A214" sqref="A214"/>
    </sheetView>
  </sheetViews>
  <sheetFormatPr defaultRowHeight="14.4"/>
  <cols>
    <col min="1" max="1" width="8.88671875" style="1"/>
    <col min="2" max="2" width="17" style="1" customWidth="1"/>
    <col min="3" max="3" width="10" style="1" customWidth="1"/>
    <col min="4" max="4" width="5.5546875" style="1" customWidth="1"/>
    <col min="5" max="5" width="10.88671875" style="1" customWidth="1"/>
    <col min="6" max="6" width="7" style="1" customWidth="1"/>
    <col min="7" max="7" width="4.109375" style="1" customWidth="1"/>
    <col min="8" max="8" width="7.109375" style="1" customWidth="1"/>
    <col min="9" max="9" width="6.44140625" style="1" customWidth="1"/>
    <col min="10" max="10" width="3.4414062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" width="8.88671875" style="1"/>
    <col min="17" max="17" width="8.21875" style="1" customWidth="1"/>
    <col min="18" max="18" width="8.88671875" style="1"/>
    <col min="19" max="19" width="24.77734375" style="1" customWidth="1"/>
    <col min="20" max="16384" width="8.88671875" style="1"/>
  </cols>
  <sheetData>
    <row r="5" spans="1:21" ht="30.6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1">
      <c r="A6" s="7"/>
      <c r="B6" s="2"/>
      <c r="C6" s="2"/>
      <c r="D6" s="2"/>
      <c r="E6" s="2"/>
      <c r="F6" s="2"/>
      <c r="G6" s="2"/>
      <c r="H6" s="2"/>
      <c r="I6" s="2"/>
      <c r="J6" s="2"/>
      <c r="K6" s="2"/>
      <c r="L6" s="5"/>
      <c r="M6" s="5"/>
      <c r="N6" s="2"/>
      <c r="Q6" s="1" t="s">
        <v>26</v>
      </c>
      <c r="R6" s="1">
        <v>124</v>
      </c>
      <c r="S6" s="1">
        <v>20000</v>
      </c>
      <c r="U6" s="1" t="s">
        <v>83</v>
      </c>
    </row>
    <row r="7" spans="1:21">
      <c r="A7" s="8"/>
      <c r="B7" s="2"/>
      <c r="C7" s="2"/>
      <c r="D7" s="2"/>
      <c r="E7" s="2"/>
      <c r="F7" s="2"/>
      <c r="G7" s="2"/>
      <c r="H7" s="2"/>
      <c r="I7" s="2"/>
      <c r="J7" s="2"/>
      <c r="K7" s="2"/>
      <c r="L7" s="5"/>
      <c r="M7" s="5"/>
      <c r="N7" s="2"/>
    </row>
    <row r="8" spans="1:21">
      <c r="A8" s="8" t="s">
        <v>151</v>
      </c>
      <c r="B8" s="2" t="s">
        <v>161</v>
      </c>
      <c r="C8" s="2" t="s">
        <v>162</v>
      </c>
      <c r="D8" s="2" t="s">
        <v>16</v>
      </c>
      <c r="E8" s="2" t="s">
        <v>163</v>
      </c>
      <c r="F8" s="2">
        <v>11190</v>
      </c>
      <c r="G8" s="2"/>
      <c r="H8" s="2">
        <v>4700</v>
      </c>
      <c r="I8" s="2"/>
      <c r="J8" s="2"/>
      <c r="K8" s="5">
        <f t="shared" ref="K8" si="0">I8*J8</f>
        <v>0</v>
      </c>
      <c r="L8" s="19">
        <f t="shared" ref="L8" si="1">H8-K8</f>
        <v>4700</v>
      </c>
      <c r="M8" s="5">
        <f t="shared" ref="M8" si="2">H8/1000*70</f>
        <v>329</v>
      </c>
      <c r="N8" s="2"/>
    </row>
    <row r="9" spans="1:21">
      <c r="A9" s="9"/>
      <c r="B9" s="2"/>
      <c r="C9" s="2"/>
      <c r="D9" s="2"/>
      <c r="E9" s="2"/>
      <c r="F9" s="2"/>
      <c r="G9" s="2"/>
      <c r="H9" s="2"/>
      <c r="I9" s="2"/>
      <c r="J9" s="2"/>
      <c r="K9" s="2"/>
      <c r="L9" s="5"/>
      <c r="M9" s="5"/>
      <c r="N9" s="2"/>
    </row>
    <row r="10" spans="1:21">
      <c r="A10" s="10" t="s">
        <v>329</v>
      </c>
      <c r="B10" s="42" t="s">
        <v>330</v>
      </c>
      <c r="C10" s="42" t="s">
        <v>331</v>
      </c>
      <c r="D10" s="42" t="s">
        <v>16</v>
      </c>
      <c r="E10" s="42" t="s">
        <v>332</v>
      </c>
      <c r="F10" s="42">
        <v>11318</v>
      </c>
      <c r="G10" s="42"/>
      <c r="H10" s="42">
        <v>1400</v>
      </c>
      <c r="I10" s="42">
        <v>10</v>
      </c>
      <c r="J10" s="42"/>
      <c r="K10" s="42">
        <f t="shared" ref="K10" si="3">I10*J10</f>
        <v>0</v>
      </c>
      <c r="L10" s="43">
        <f t="shared" ref="L10" si="4">H10-K10</f>
        <v>1400</v>
      </c>
      <c r="M10" s="43">
        <f t="shared" ref="M10" si="5">H10/1000*70</f>
        <v>98</v>
      </c>
      <c r="N10" s="42">
        <v>0</v>
      </c>
      <c r="O10" s="42"/>
      <c r="P10" s="42">
        <f t="shared" ref="P10" si="6">L10*O10</f>
        <v>0</v>
      </c>
      <c r="Q10" s="42" t="s">
        <v>333</v>
      </c>
    </row>
    <row r="11" spans="1:21">
      <c r="A11" s="11"/>
      <c r="B11" s="2"/>
      <c r="C11" s="2"/>
      <c r="D11" s="2"/>
      <c r="E11" s="2"/>
      <c r="F11" s="2"/>
      <c r="G11" s="2"/>
      <c r="H11" s="2"/>
      <c r="I11" s="2"/>
      <c r="J11" s="2"/>
      <c r="K11" s="2"/>
      <c r="L11" s="5"/>
      <c r="M11" s="5"/>
      <c r="N11" s="2"/>
    </row>
    <row r="12" spans="1:21">
      <c r="B12" s="42" t="s">
        <v>346</v>
      </c>
      <c r="C12" s="42" t="s">
        <v>331</v>
      </c>
      <c r="D12" s="42" t="s">
        <v>16</v>
      </c>
      <c r="E12" s="42" t="s">
        <v>332</v>
      </c>
      <c r="F12" s="42">
        <v>11341</v>
      </c>
      <c r="G12" s="42"/>
      <c r="H12" s="42">
        <v>440</v>
      </c>
      <c r="I12" s="42"/>
      <c r="J12" s="42"/>
      <c r="K12" s="42">
        <f t="shared" ref="K12" si="7">I12*J12</f>
        <v>0</v>
      </c>
      <c r="L12" s="43">
        <f t="shared" ref="L12" si="8">H12-K12</f>
        <v>440</v>
      </c>
      <c r="M12" s="43">
        <f t="shared" ref="M12" si="9">H12/1000*70</f>
        <v>30.8</v>
      </c>
      <c r="N12" s="42">
        <v>0</v>
      </c>
      <c r="O12" s="42"/>
      <c r="P12" s="42">
        <f t="shared" ref="P12" si="10">L12*O12</f>
        <v>0</v>
      </c>
      <c r="Q12" s="1" t="s">
        <v>347</v>
      </c>
    </row>
    <row r="14" spans="1:21" ht="81.599999999999994">
      <c r="A14" s="57" t="s">
        <v>373</v>
      </c>
      <c r="B14" s="42" t="s">
        <v>377</v>
      </c>
      <c r="C14" s="42" t="s">
        <v>331</v>
      </c>
      <c r="D14" s="42" t="s">
        <v>16</v>
      </c>
      <c r="E14" s="42" t="s">
        <v>378</v>
      </c>
      <c r="F14" s="42">
        <v>11385</v>
      </c>
      <c r="G14" s="42"/>
      <c r="H14" s="42"/>
      <c r="I14" s="42"/>
      <c r="J14" s="42"/>
      <c r="K14" s="42">
        <f t="shared" ref="K14" si="11">I14*J14</f>
        <v>0</v>
      </c>
      <c r="L14" s="43">
        <f t="shared" ref="L14" si="12">H14-K14</f>
        <v>0</v>
      </c>
      <c r="M14" s="43">
        <f t="shared" ref="M14" si="13">H14/1000*70</f>
        <v>0</v>
      </c>
      <c r="N14" s="42"/>
      <c r="O14" s="42"/>
      <c r="P14" s="42">
        <f t="shared" ref="P14" si="14">L14*O14</f>
        <v>0</v>
      </c>
      <c r="Q14" s="56" t="s">
        <v>379</v>
      </c>
    </row>
    <row r="16" spans="1:21">
      <c r="A16" s="1" t="s">
        <v>434</v>
      </c>
      <c r="B16" s="42" t="s">
        <v>438</v>
      </c>
      <c r="C16" s="42" t="s">
        <v>331</v>
      </c>
      <c r="D16" s="42" t="s">
        <v>16</v>
      </c>
      <c r="E16" s="42" t="s">
        <v>378</v>
      </c>
      <c r="F16" s="42">
        <v>11524</v>
      </c>
      <c r="G16" s="42"/>
      <c r="H16" s="42">
        <v>920</v>
      </c>
      <c r="I16" s="42"/>
      <c r="J16" s="42"/>
      <c r="K16" s="42">
        <f t="shared" ref="K16" si="15">I16*J16</f>
        <v>0</v>
      </c>
      <c r="L16" s="43">
        <f t="shared" ref="L16" si="16">H16-K16</f>
        <v>920</v>
      </c>
      <c r="M16" s="43">
        <f t="shared" ref="M16" si="17">H16/1000*70</f>
        <v>64.400000000000006</v>
      </c>
      <c r="N16" s="42"/>
      <c r="O16" s="42"/>
      <c r="P16" s="42">
        <f t="shared" ref="P16" si="18">L16*O16</f>
        <v>0</v>
      </c>
      <c r="Q16" s="42" t="s">
        <v>439</v>
      </c>
    </row>
    <row r="18" spans="1:19">
      <c r="A18" s="1" t="s">
        <v>502</v>
      </c>
      <c r="B18" s="42" t="s">
        <v>438</v>
      </c>
      <c r="C18" s="42" t="s">
        <v>331</v>
      </c>
      <c r="D18" s="42" t="s">
        <v>16</v>
      </c>
      <c r="E18" s="42" t="s">
        <v>513</v>
      </c>
      <c r="F18" s="42">
        <v>11621</v>
      </c>
      <c r="G18" s="42"/>
      <c r="H18" s="42">
        <v>1480</v>
      </c>
      <c r="I18" s="42"/>
      <c r="J18" s="42"/>
      <c r="K18" s="43">
        <f t="shared" ref="K18" si="19">I18*J18</f>
        <v>0</v>
      </c>
      <c r="L18" s="43">
        <f t="shared" ref="L18" si="20">H18-K18</f>
        <v>1480</v>
      </c>
      <c r="M18" s="43">
        <f t="shared" ref="M18" si="21">H18/1000*70</f>
        <v>103.6</v>
      </c>
      <c r="N18" s="42"/>
      <c r="O18" s="42"/>
      <c r="P18" s="42">
        <f t="shared" ref="P18" si="22">L18*O18</f>
        <v>0</v>
      </c>
      <c r="Q18" s="42" t="s">
        <v>514</v>
      </c>
    </row>
    <row r="20" spans="1:19">
      <c r="A20" s="1" t="s">
        <v>542</v>
      </c>
      <c r="B20" s="42" t="s">
        <v>438</v>
      </c>
      <c r="C20" s="42" t="s">
        <v>331</v>
      </c>
      <c r="D20" s="42" t="s">
        <v>16</v>
      </c>
      <c r="E20" s="42" t="s">
        <v>553</v>
      </c>
      <c r="F20" s="42">
        <v>11665</v>
      </c>
      <c r="G20" s="42"/>
      <c r="H20" s="42">
        <v>460</v>
      </c>
      <c r="I20" s="42"/>
      <c r="J20" s="42"/>
      <c r="K20" s="43">
        <f t="shared" ref="K20" si="23">I20*J20</f>
        <v>0</v>
      </c>
      <c r="L20" s="43">
        <f t="shared" ref="L20" si="24">H20-K20</f>
        <v>460</v>
      </c>
      <c r="M20" s="43">
        <f t="shared" ref="M20" si="25">H20/1000*70</f>
        <v>32.200000000000003</v>
      </c>
      <c r="N20" s="42">
        <v>2500</v>
      </c>
      <c r="O20" s="42"/>
      <c r="P20" s="42">
        <f t="shared" ref="P20" si="26">L20*O20</f>
        <v>0</v>
      </c>
      <c r="Q20" s="42" t="s">
        <v>554</v>
      </c>
    </row>
    <row r="22" spans="1:19">
      <c r="A22" s="1" t="s">
        <v>656</v>
      </c>
      <c r="B22" s="42" t="s">
        <v>657</v>
      </c>
      <c r="C22" s="42" t="s">
        <v>658</v>
      </c>
      <c r="D22" s="42" t="s">
        <v>16</v>
      </c>
      <c r="E22" s="42" t="s">
        <v>659</v>
      </c>
      <c r="F22" s="42">
        <v>11759</v>
      </c>
      <c r="G22" s="42"/>
      <c r="H22" s="42">
        <v>10000</v>
      </c>
      <c r="I22" s="42"/>
      <c r="J22" s="42"/>
      <c r="K22" s="43">
        <f t="shared" ref="K22" si="27">I22*J22</f>
        <v>0</v>
      </c>
      <c r="L22" s="43">
        <f t="shared" ref="L22" si="28">H22-K22</f>
        <v>10000</v>
      </c>
      <c r="M22" s="43">
        <f t="shared" ref="M22" si="29">H22/1000*70</f>
        <v>700</v>
      </c>
      <c r="N22" s="42">
        <v>1000</v>
      </c>
      <c r="O22" s="42"/>
    </row>
    <row r="24" spans="1:19" ht="101.4">
      <c r="A24" s="1" t="s">
        <v>669</v>
      </c>
      <c r="B24" s="42" t="s">
        <v>673</v>
      </c>
      <c r="C24" s="42" t="s">
        <v>331</v>
      </c>
      <c r="D24" s="42" t="s">
        <v>16</v>
      </c>
      <c r="E24" s="42" t="s">
        <v>553</v>
      </c>
      <c r="F24" s="42">
        <v>11768</v>
      </c>
      <c r="G24" s="42"/>
      <c r="H24" s="42"/>
      <c r="I24" s="42"/>
      <c r="J24" s="42"/>
      <c r="K24" s="42">
        <f t="shared" ref="K24:K25" si="30">I24*J24</f>
        <v>0</v>
      </c>
      <c r="L24" s="43">
        <f t="shared" ref="L24:L25" si="31">H24-K24</f>
        <v>0</v>
      </c>
      <c r="M24" s="43">
        <f t="shared" ref="M24" si="32">H24/1000*70</f>
        <v>0</v>
      </c>
      <c r="N24" s="42">
        <v>3000</v>
      </c>
      <c r="O24" s="42"/>
      <c r="P24" s="42"/>
      <c r="Q24" s="85" t="s">
        <v>674</v>
      </c>
    </row>
    <row r="25" spans="1:19" ht="15.6">
      <c r="A25" s="21" t="s">
        <v>683</v>
      </c>
      <c r="B25" s="42" t="s">
        <v>673</v>
      </c>
      <c r="C25" s="42" t="s">
        <v>331</v>
      </c>
      <c r="D25" s="42" t="s">
        <v>16</v>
      </c>
      <c r="E25" s="42" t="s">
        <v>688</v>
      </c>
      <c r="F25" s="42">
        <v>11784</v>
      </c>
      <c r="G25" s="42"/>
      <c r="H25" s="42">
        <v>860</v>
      </c>
      <c r="I25" s="42"/>
      <c r="J25" s="42"/>
      <c r="K25" s="42">
        <f t="shared" si="30"/>
        <v>0</v>
      </c>
      <c r="L25" s="43">
        <f t="shared" si="31"/>
        <v>860</v>
      </c>
      <c r="M25" s="43"/>
      <c r="N25" s="43">
        <f t="shared" ref="N25" si="33">L25-M25</f>
        <v>860</v>
      </c>
      <c r="O25" s="43">
        <f t="shared" ref="O25" si="34">H25/1000*70</f>
        <v>60.199999999999996</v>
      </c>
      <c r="P25" s="42">
        <v>1200</v>
      </c>
      <c r="Q25" s="42"/>
      <c r="R25" s="42">
        <f t="shared" ref="R25" si="35">L25*Q25</f>
        <v>0</v>
      </c>
      <c r="S25" s="85" t="s">
        <v>689</v>
      </c>
    </row>
    <row r="27" spans="1:19">
      <c r="A27" s="21" t="s">
        <v>722</v>
      </c>
      <c r="B27" s="42" t="s">
        <v>673</v>
      </c>
      <c r="C27" s="42" t="s">
        <v>331</v>
      </c>
      <c r="D27" s="42" t="s">
        <v>16</v>
      </c>
      <c r="E27" s="42" t="s">
        <v>332</v>
      </c>
      <c r="F27" s="42">
        <v>11815</v>
      </c>
      <c r="G27" s="42"/>
      <c r="H27" s="42">
        <v>340</v>
      </c>
      <c r="I27" s="42"/>
      <c r="J27" s="42"/>
      <c r="K27" s="42">
        <f t="shared" ref="K27" si="36">I27*J27</f>
        <v>0</v>
      </c>
      <c r="L27" s="43">
        <f t="shared" ref="L27" si="37">H27-K27</f>
        <v>340</v>
      </c>
      <c r="M27" s="43"/>
      <c r="N27" s="43">
        <f t="shared" ref="N27" si="38">L27-M27</f>
        <v>340</v>
      </c>
      <c r="O27" s="43">
        <f t="shared" ref="O27" si="39">H27/1000*70</f>
        <v>23.8</v>
      </c>
      <c r="P27" s="42">
        <v>0</v>
      </c>
      <c r="Q27" s="42"/>
      <c r="R27" s="42">
        <f t="shared" ref="R27" si="40">L27*Q27</f>
        <v>0</v>
      </c>
      <c r="S27" s="42" t="s">
        <v>726</v>
      </c>
    </row>
    <row r="29" spans="1:19">
      <c r="A29" s="21" t="s">
        <v>788</v>
      </c>
      <c r="B29" s="42" t="s">
        <v>673</v>
      </c>
      <c r="C29" s="42" t="s">
        <v>331</v>
      </c>
      <c r="D29" s="42" t="s">
        <v>16</v>
      </c>
      <c r="E29" s="42" t="s">
        <v>799</v>
      </c>
      <c r="F29" s="42">
        <v>11873</v>
      </c>
      <c r="G29" s="42"/>
      <c r="H29" s="42">
        <v>330</v>
      </c>
      <c r="I29" s="42"/>
      <c r="J29" s="42"/>
      <c r="K29" s="43">
        <f t="shared" ref="K29" si="41">I29*J29</f>
        <v>0</v>
      </c>
      <c r="L29" s="43">
        <f t="shared" ref="L29" si="42">H29-K29</f>
        <v>330</v>
      </c>
      <c r="M29" s="43"/>
      <c r="N29" s="43">
        <f t="shared" ref="N29" si="43">L29-M29</f>
        <v>330</v>
      </c>
      <c r="O29" s="43">
        <f t="shared" ref="O29" si="44">H29/1000*70</f>
        <v>23.1</v>
      </c>
      <c r="P29" s="42">
        <v>800</v>
      </c>
      <c r="Q29" s="42"/>
      <c r="R29" s="42">
        <f t="shared" ref="R29" si="45">L29*Q29</f>
        <v>0</v>
      </c>
      <c r="S29" s="42" t="s">
        <v>800</v>
      </c>
    </row>
    <row r="31" spans="1:19">
      <c r="A31" s="1" t="s">
        <v>804</v>
      </c>
      <c r="B31" s="42" t="s">
        <v>673</v>
      </c>
      <c r="C31" s="42" t="s">
        <v>331</v>
      </c>
      <c r="D31" s="42" t="s">
        <v>16</v>
      </c>
      <c r="E31" s="42" t="s">
        <v>378</v>
      </c>
      <c r="F31" s="47">
        <v>11880</v>
      </c>
      <c r="G31" s="47"/>
      <c r="H31" s="47">
        <v>810</v>
      </c>
      <c r="I31" s="47"/>
      <c r="J31" s="47"/>
      <c r="K31" s="43">
        <f t="shared" ref="K31" si="46">I31*J31</f>
        <v>0</v>
      </c>
      <c r="L31" s="43">
        <f t="shared" ref="L31" si="47">H31-K31</f>
        <v>810</v>
      </c>
      <c r="M31" s="43"/>
      <c r="N31" s="43">
        <f t="shared" ref="N31" si="48">L31-M31</f>
        <v>810</v>
      </c>
      <c r="O31" s="43">
        <f t="shared" ref="O31" si="49">H31/1000*70</f>
        <v>56.7</v>
      </c>
      <c r="P31" s="47"/>
      <c r="Q31" s="47"/>
      <c r="R31" s="42">
        <f t="shared" ref="R31" si="50">L31*Q31</f>
        <v>0</v>
      </c>
      <c r="S31" s="46" t="s">
        <v>810</v>
      </c>
    </row>
    <row r="33" spans="1:19">
      <c r="A33" s="1" t="s">
        <v>831</v>
      </c>
      <c r="B33" s="42" t="s">
        <v>673</v>
      </c>
      <c r="C33" s="42" t="s">
        <v>331</v>
      </c>
      <c r="D33" s="42" t="s">
        <v>16</v>
      </c>
      <c r="E33" s="42" t="s">
        <v>839</v>
      </c>
      <c r="F33" s="42">
        <v>11897</v>
      </c>
      <c r="G33" s="42"/>
      <c r="H33" s="42">
        <v>290</v>
      </c>
      <c r="I33" s="42">
        <v>6</v>
      </c>
      <c r="J33" s="42"/>
      <c r="K33" s="43">
        <f t="shared" ref="K33" si="51">I33*J33</f>
        <v>0</v>
      </c>
      <c r="L33" s="43">
        <f t="shared" ref="L33" si="52">H33-K33</f>
        <v>290</v>
      </c>
      <c r="M33" s="43"/>
      <c r="N33" s="43">
        <f t="shared" ref="N33" si="53">L33-M33</f>
        <v>290</v>
      </c>
      <c r="O33" s="43">
        <f t="shared" ref="O33" si="54">H33/1000*70</f>
        <v>20.299999999999997</v>
      </c>
      <c r="P33" s="42">
        <v>0</v>
      </c>
      <c r="Q33" s="42"/>
      <c r="R33" s="42">
        <f t="shared" ref="R33" si="55">L33*Q33</f>
        <v>0</v>
      </c>
      <c r="S33" s="42" t="s">
        <v>840</v>
      </c>
    </row>
    <row r="35" spans="1:19">
      <c r="A35" s="1" t="s">
        <v>877</v>
      </c>
      <c r="B35" s="42" t="s">
        <v>330</v>
      </c>
      <c r="C35" s="42" t="s">
        <v>881</v>
      </c>
      <c r="D35" s="42" t="s">
        <v>16</v>
      </c>
      <c r="E35" s="42" t="s">
        <v>882</v>
      </c>
      <c r="F35" s="42">
        <v>11927</v>
      </c>
      <c r="G35" s="42"/>
      <c r="H35" s="42">
        <v>220</v>
      </c>
      <c r="I35" s="42">
        <v>4</v>
      </c>
      <c r="J35" s="42"/>
      <c r="K35" s="42">
        <f t="shared" ref="K35" si="56">I35*J35</f>
        <v>0</v>
      </c>
      <c r="L35" s="43">
        <f t="shared" ref="L35" si="57">H35-K35</f>
        <v>220</v>
      </c>
      <c r="M35" s="43"/>
      <c r="N35" s="43">
        <f t="shared" ref="N35" si="58">L35-M35</f>
        <v>220</v>
      </c>
      <c r="O35" s="43">
        <f t="shared" ref="O35" si="59">H35/1000*70</f>
        <v>15.4</v>
      </c>
      <c r="P35" s="42">
        <v>0</v>
      </c>
      <c r="Q35" s="42"/>
      <c r="R35" s="42">
        <f t="shared" ref="R35" si="60">L35*Q35</f>
        <v>0</v>
      </c>
      <c r="S35" s="42" t="s">
        <v>883</v>
      </c>
    </row>
    <row r="37" spans="1:19">
      <c r="A37" s="1" t="s">
        <v>897</v>
      </c>
      <c r="B37" s="42" t="s">
        <v>330</v>
      </c>
      <c r="C37" s="42" t="s">
        <v>881</v>
      </c>
      <c r="D37" s="42" t="s">
        <v>16</v>
      </c>
      <c r="E37" s="42" t="s">
        <v>882</v>
      </c>
      <c r="F37" s="42">
        <v>11949</v>
      </c>
      <c r="G37" s="42"/>
      <c r="H37" s="42">
        <v>370</v>
      </c>
      <c r="I37" s="42">
        <v>8</v>
      </c>
      <c r="J37" s="42"/>
      <c r="K37" s="42">
        <f t="shared" ref="K37" si="61">I37*J37</f>
        <v>0</v>
      </c>
      <c r="L37" s="43">
        <f t="shared" ref="L37" si="62">H37-K37</f>
        <v>370</v>
      </c>
      <c r="M37" s="43"/>
      <c r="N37" s="43">
        <f t="shared" ref="N37" si="63">L37-M37</f>
        <v>370</v>
      </c>
      <c r="O37" s="43">
        <f t="shared" ref="O37" si="64">H37/1000*70</f>
        <v>25.9</v>
      </c>
      <c r="P37" s="42">
        <v>0</v>
      </c>
      <c r="Q37" s="42"/>
      <c r="R37" s="42">
        <f t="shared" ref="R37" si="65">L37*Q37</f>
        <v>0</v>
      </c>
      <c r="S37" s="42" t="s">
        <v>899</v>
      </c>
    </row>
    <row r="39" spans="1:19">
      <c r="A39" s="1" t="s">
        <v>931</v>
      </c>
      <c r="B39" s="42" t="s">
        <v>330</v>
      </c>
      <c r="C39" s="42" t="s">
        <v>881</v>
      </c>
      <c r="D39" s="42" t="s">
        <v>16</v>
      </c>
      <c r="E39" s="42" t="s">
        <v>513</v>
      </c>
      <c r="F39" s="42">
        <v>12021</v>
      </c>
      <c r="G39" s="42"/>
      <c r="H39" s="42">
        <v>570</v>
      </c>
      <c r="I39" s="42"/>
      <c r="J39" s="42"/>
      <c r="K39" s="42">
        <f t="shared" ref="K39" si="66">I39*J39</f>
        <v>0</v>
      </c>
      <c r="L39" s="43">
        <f t="shared" ref="L39" si="67">H39-K39</f>
        <v>570</v>
      </c>
      <c r="M39" s="43"/>
      <c r="N39" s="43">
        <f t="shared" ref="N39" si="68">L39-M39</f>
        <v>570</v>
      </c>
      <c r="O39" s="43">
        <f t="shared" ref="O39" si="69">H39/1000*70</f>
        <v>39.9</v>
      </c>
      <c r="P39" s="42">
        <v>0</v>
      </c>
      <c r="Q39" s="42"/>
      <c r="R39" s="42">
        <f t="shared" ref="R39" si="70">L39*Q39</f>
        <v>0</v>
      </c>
      <c r="S39" s="42" t="s">
        <v>934</v>
      </c>
    </row>
    <row r="41" spans="1:19">
      <c r="A41" s="1" t="s">
        <v>935</v>
      </c>
      <c r="B41" s="42" t="s">
        <v>330</v>
      </c>
      <c r="C41" s="42" t="s">
        <v>881</v>
      </c>
      <c r="D41" s="42" t="s">
        <v>16</v>
      </c>
      <c r="E41" s="42" t="s">
        <v>937</v>
      </c>
      <c r="F41" s="42">
        <v>12038</v>
      </c>
      <c r="G41" s="42"/>
      <c r="H41" s="42">
        <v>730</v>
      </c>
      <c r="I41" s="42"/>
      <c r="J41" s="42"/>
      <c r="K41" s="42">
        <f t="shared" ref="K41" si="71">I41*J41</f>
        <v>0</v>
      </c>
      <c r="L41" s="43">
        <f t="shared" ref="L41" si="72">H41-K41</f>
        <v>730</v>
      </c>
      <c r="M41" s="43"/>
      <c r="N41" s="43">
        <f t="shared" ref="N41" si="73">L41-M41</f>
        <v>730</v>
      </c>
      <c r="O41" s="43">
        <f t="shared" ref="O41" si="74">H41/1000*70</f>
        <v>51.1</v>
      </c>
      <c r="P41" s="42"/>
      <c r="Q41" s="42"/>
      <c r="R41" s="42">
        <f t="shared" ref="R41" si="75">L41*Q41</f>
        <v>0</v>
      </c>
      <c r="S41" s="42" t="s">
        <v>938</v>
      </c>
    </row>
    <row r="43" spans="1:19">
      <c r="A43" s="1" t="s">
        <v>942</v>
      </c>
      <c r="B43" s="42" t="s">
        <v>330</v>
      </c>
      <c r="C43" s="42" t="s">
        <v>331</v>
      </c>
      <c r="D43" s="42" t="s">
        <v>16</v>
      </c>
      <c r="E43" s="42" t="s">
        <v>332</v>
      </c>
      <c r="F43" s="42">
        <v>12077</v>
      </c>
      <c r="G43" s="42"/>
      <c r="H43" s="42">
        <v>280</v>
      </c>
      <c r="I43" s="42">
        <v>6</v>
      </c>
      <c r="J43" s="42"/>
      <c r="K43" s="42">
        <f t="shared" ref="K43" si="76">I43*J43</f>
        <v>0</v>
      </c>
      <c r="L43" s="43">
        <f t="shared" ref="L43" si="77">H43-K43</f>
        <v>280</v>
      </c>
      <c r="M43" s="43"/>
      <c r="N43" s="43">
        <f t="shared" ref="N43" si="78">L43-M43</f>
        <v>280</v>
      </c>
      <c r="O43" s="43">
        <f t="shared" ref="O43" si="79">H43/1000*70</f>
        <v>19.600000000000001</v>
      </c>
      <c r="P43" s="42"/>
      <c r="Q43" s="42"/>
      <c r="R43" s="42">
        <f t="shared" ref="R43" si="80">L43*Q43</f>
        <v>0</v>
      </c>
      <c r="S43" s="42" t="s">
        <v>943</v>
      </c>
    </row>
    <row r="45" spans="1:19">
      <c r="A45" s="1" t="s">
        <v>947</v>
      </c>
      <c r="B45" s="42" t="s">
        <v>330</v>
      </c>
      <c r="C45" s="42" t="s">
        <v>331</v>
      </c>
      <c r="D45" s="42" t="s">
        <v>16</v>
      </c>
      <c r="E45" s="42" t="s">
        <v>332</v>
      </c>
      <c r="F45" s="42">
        <v>1104</v>
      </c>
      <c r="G45" s="42"/>
      <c r="H45" s="42">
        <v>550</v>
      </c>
      <c r="I45" s="42"/>
      <c r="J45" s="42"/>
      <c r="K45" s="42">
        <f t="shared" ref="K45" si="81">I45*J45</f>
        <v>0</v>
      </c>
      <c r="L45" s="43">
        <f t="shared" ref="L45" si="82">H45-K45</f>
        <v>550</v>
      </c>
      <c r="M45" s="43"/>
      <c r="N45" s="43">
        <f t="shared" ref="N45" si="83">L45-M45</f>
        <v>550</v>
      </c>
      <c r="O45" s="43">
        <f t="shared" ref="O45" si="84">H45/1000*70</f>
        <v>38.5</v>
      </c>
      <c r="P45" s="42"/>
      <c r="Q45" s="42"/>
      <c r="R45" s="42">
        <f t="shared" ref="R45" si="85">L45*Q45</f>
        <v>0</v>
      </c>
      <c r="S45" s="42" t="s">
        <v>950</v>
      </c>
    </row>
    <row r="47" spans="1:19">
      <c r="A47" s="1" t="s">
        <v>953</v>
      </c>
      <c r="B47" s="42" t="s">
        <v>330</v>
      </c>
      <c r="C47" s="42" t="s">
        <v>331</v>
      </c>
      <c r="D47" s="42" t="s">
        <v>16</v>
      </c>
      <c r="E47" s="42" t="s">
        <v>332</v>
      </c>
      <c r="F47" s="42">
        <v>12144</v>
      </c>
      <c r="G47" s="42"/>
      <c r="H47" s="42">
        <v>680</v>
      </c>
      <c r="I47" s="42"/>
      <c r="J47" s="42"/>
      <c r="K47" s="42">
        <f t="shared" ref="K47" si="86">I47*J47</f>
        <v>0</v>
      </c>
      <c r="L47" s="43">
        <f t="shared" ref="L47" si="87">H47-K47</f>
        <v>680</v>
      </c>
      <c r="M47" s="43"/>
      <c r="N47" s="43">
        <f t="shared" ref="N47" si="88">L47-M47</f>
        <v>680</v>
      </c>
      <c r="O47" s="43">
        <f t="shared" ref="O47" si="89">H47/1000*70</f>
        <v>47.6</v>
      </c>
      <c r="P47" s="42">
        <v>0</v>
      </c>
      <c r="Q47" s="42"/>
      <c r="R47" s="42">
        <f t="shared" ref="R47" si="90">L47*Q47</f>
        <v>0</v>
      </c>
      <c r="S47" s="42" t="s">
        <v>954</v>
      </c>
    </row>
    <row r="49" spans="1:19">
      <c r="A49" s="1" t="s">
        <v>955</v>
      </c>
      <c r="B49" s="42" t="s">
        <v>330</v>
      </c>
      <c r="C49" s="42" t="s">
        <v>331</v>
      </c>
      <c r="D49" s="42" t="s">
        <v>16</v>
      </c>
      <c r="E49" s="42" t="s">
        <v>882</v>
      </c>
      <c r="F49" s="42">
        <v>12162</v>
      </c>
      <c r="G49" s="42"/>
      <c r="H49" s="42">
        <v>1280</v>
      </c>
      <c r="I49" s="42"/>
      <c r="J49" s="42"/>
      <c r="K49" s="42">
        <f t="shared" ref="K49" si="91">I49*J49</f>
        <v>0</v>
      </c>
      <c r="L49" s="43">
        <f t="shared" ref="L49" si="92">H49-K49</f>
        <v>1280</v>
      </c>
      <c r="M49" s="43"/>
      <c r="N49" s="43">
        <f t="shared" ref="N49" si="93">L49-M49</f>
        <v>1280</v>
      </c>
      <c r="O49" s="43">
        <f t="shared" ref="O49" si="94">H49/1000*70</f>
        <v>89.600000000000009</v>
      </c>
      <c r="P49" s="42"/>
      <c r="Q49" s="42"/>
      <c r="R49" s="42">
        <f t="shared" ref="R49" si="95">L49*Q49</f>
        <v>0</v>
      </c>
      <c r="S49" s="42" t="s">
        <v>956</v>
      </c>
    </row>
    <row r="51" spans="1:19">
      <c r="A51" s="1" t="s">
        <v>964</v>
      </c>
      <c r="B51" s="92" t="s">
        <v>330</v>
      </c>
      <c r="C51" s="92" t="s">
        <v>331</v>
      </c>
      <c r="D51" s="42" t="s">
        <v>16</v>
      </c>
      <c r="E51" s="92" t="s">
        <v>378</v>
      </c>
      <c r="F51" s="92">
        <v>12224</v>
      </c>
      <c r="G51" s="92"/>
      <c r="H51" s="92">
        <v>580</v>
      </c>
      <c r="I51" s="92">
        <v>10</v>
      </c>
      <c r="J51" s="92"/>
      <c r="K51" s="42">
        <f t="shared" ref="K51" si="96">I51*J51</f>
        <v>0</v>
      </c>
      <c r="L51" s="43">
        <f t="shared" ref="L51" si="97">H51-K51</f>
        <v>580</v>
      </c>
      <c r="M51" s="43"/>
      <c r="N51" s="43">
        <f t="shared" ref="N51" si="98">L51-M51</f>
        <v>580</v>
      </c>
      <c r="O51" s="43">
        <f t="shared" ref="O51" si="99">H51/1000*70</f>
        <v>40.599999999999994</v>
      </c>
      <c r="P51" s="92">
        <v>0</v>
      </c>
      <c r="Q51" s="92"/>
      <c r="R51" s="92">
        <f t="shared" ref="R51" si="100">L51*Q51</f>
        <v>0</v>
      </c>
      <c r="S51" s="92" t="s">
        <v>967</v>
      </c>
    </row>
    <row r="53" spans="1:19">
      <c r="A53" s="1" t="s">
        <v>968</v>
      </c>
      <c r="B53" s="92" t="s">
        <v>330</v>
      </c>
      <c r="C53" s="92" t="s">
        <v>331</v>
      </c>
      <c r="D53" s="42" t="s">
        <v>16</v>
      </c>
      <c r="E53" s="42" t="s">
        <v>513</v>
      </c>
      <c r="F53" s="42">
        <v>12242</v>
      </c>
      <c r="G53" s="42"/>
      <c r="H53" s="42">
        <v>560</v>
      </c>
      <c r="I53" s="42"/>
      <c r="J53" s="42"/>
      <c r="K53" s="42">
        <f t="shared" ref="K53" si="101">I53*J53</f>
        <v>0</v>
      </c>
      <c r="L53" s="43">
        <f t="shared" ref="L53" si="102">H53-K53</f>
        <v>560</v>
      </c>
      <c r="M53" s="43"/>
      <c r="N53" s="43">
        <f t="shared" ref="N53" si="103">L53-M53</f>
        <v>560</v>
      </c>
      <c r="O53" s="43">
        <f t="shared" ref="O53" si="104">H53/1000*70</f>
        <v>39.200000000000003</v>
      </c>
      <c r="P53" s="42">
        <v>0</v>
      </c>
      <c r="Q53" s="42"/>
      <c r="R53" s="42">
        <f t="shared" ref="R53" si="105">L53*Q53</f>
        <v>0</v>
      </c>
      <c r="S53" s="42" t="s">
        <v>970</v>
      </c>
    </row>
    <row r="55" spans="1:19">
      <c r="A55" s="1" t="s">
        <v>1001</v>
      </c>
      <c r="B55" s="42" t="s">
        <v>1002</v>
      </c>
      <c r="C55" s="42" t="s">
        <v>331</v>
      </c>
      <c r="D55" s="42" t="s">
        <v>16</v>
      </c>
      <c r="E55" s="42" t="s">
        <v>882</v>
      </c>
      <c r="F55" s="42">
        <v>12323</v>
      </c>
      <c r="G55" s="42"/>
      <c r="H55" s="42">
        <v>1160</v>
      </c>
      <c r="I55" s="42">
        <v>20</v>
      </c>
      <c r="J55" s="42"/>
      <c r="K55" s="42">
        <f t="shared" ref="K55" si="106">I55*J55</f>
        <v>0</v>
      </c>
      <c r="L55" s="43">
        <f t="shared" ref="L55" si="107">H55-K55</f>
        <v>1160</v>
      </c>
      <c r="M55" s="43"/>
      <c r="N55" s="43">
        <f t="shared" ref="N55" si="108">L55-M55</f>
        <v>1160</v>
      </c>
      <c r="O55" s="43">
        <f t="shared" ref="O55" si="109">H55/1000*70</f>
        <v>81.199999999999989</v>
      </c>
      <c r="P55" s="42"/>
      <c r="Q55" s="42"/>
      <c r="R55" s="42">
        <f t="shared" ref="R55" si="110">L55*Q55</f>
        <v>0</v>
      </c>
      <c r="S55" s="42" t="s">
        <v>1003</v>
      </c>
    </row>
    <row r="57" spans="1:19">
      <c r="A57" s="1" t="s">
        <v>1019</v>
      </c>
      <c r="B57" s="42" t="s">
        <v>330</v>
      </c>
      <c r="C57" s="42" t="s">
        <v>331</v>
      </c>
      <c r="D57" s="42" t="s">
        <v>16</v>
      </c>
      <c r="E57" s="42" t="s">
        <v>882</v>
      </c>
      <c r="F57" s="42">
        <v>12545</v>
      </c>
      <c r="G57" s="42"/>
      <c r="H57" s="42">
        <v>450</v>
      </c>
      <c r="I57" s="42">
        <v>10</v>
      </c>
      <c r="J57" s="42"/>
      <c r="K57" s="42">
        <f t="shared" ref="K57" si="111">I57*J57</f>
        <v>0</v>
      </c>
      <c r="L57" s="43">
        <f t="shared" ref="L57" si="112">H57-K57</f>
        <v>450</v>
      </c>
      <c r="M57" s="43"/>
      <c r="N57" s="43">
        <f t="shared" ref="N57" si="113">L57-M57</f>
        <v>450</v>
      </c>
      <c r="O57" s="43">
        <f t="shared" ref="O57" si="114">H57/1000*70</f>
        <v>31.5</v>
      </c>
      <c r="P57" s="42"/>
      <c r="Q57" s="42"/>
      <c r="R57" s="42">
        <f t="shared" ref="R57" si="115">L57*Q57</f>
        <v>0</v>
      </c>
      <c r="S57" s="42" t="s">
        <v>1021</v>
      </c>
    </row>
    <row r="59" spans="1:19" ht="15.6">
      <c r="A59" s="1" t="s">
        <v>1028</v>
      </c>
      <c r="B59" s="42" t="s">
        <v>1002</v>
      </c>
      <c r="C59" s="42" t="s">
        <v>331</v>
      </c>
      <c r="D59" s="42" t="s">
        <v>16</v>
      </c>
      <c r="E59" s="92" t="s">
        <v>1031</v>
      </c>
      <c r="F59" s="92">
        <v>12595</v>
      </c>
      <c r="G59" s="92"/>
      <c r="H59" s="92">
        <v>1200</v>
      </c>
      <c r="I59" s="92">
        <v>22</v>
      </c>
      <c r="J59" s="92"/>
      <c r="K59" s="42">
        <f t="shared" ref="K59" si="116">I59*J59</f>
        <v>0</v>
      </c>
      <c r="L59" s="43">
        <f t="shared" ref="L59" si="117">H59-K59</f>
        <v>1200</v>
      </c>
      <c r="M59" s="43"/>
      <c r="N59" s="43">
        <f t="shared" ref="N59" si="118">L59-M59</f>
        <v>1200</v>
      </c>
      <c r="O59" s="43">
        <f t="shared" ref="O59" si="119">H59/1000*70</f>
        <v>84</v>
      </c>
      <c r="P59" s="92">
        <v>0</v>
      </c>
      <c r="Q59" s="92"/>
      <c r="R59" s="92">
        <f t="shared" ref="R59" si="120">L59*Q59</f>
        <v>0</v>
      </c>
      <c r="S59" s="116" t="s">
        <v>1032</v>
      </c>
    </row>
    <row r="61" spans="1:19">
      <c r="A61" s="1" t="s">
        <v>1036</v>
      </c>
      <c r="B61" s="42" t="s">
        <v>1002</v>
      </c>
      <c r="C61" s="42" t="s">
        <v>331</v>
      </c>
      <c r="D61" s="42" t="s">
        <v>16</v>
      </c>
      <c r="E61" s="92" t="s">
        <v>378</v>
      </c>
      <c r="F61" s="92">
        <v>12604</v>
      </c>
      <c r="G61" s="92"/>
      <c r="H61" s="92">
        <v>500</v>
      </c>
      <c r="I61" s="92">
        <v>8</v>
      </c>
      <c r="J61" s="92"/>
      <c r="K61" s="42">
        <f t="shared" ref="K61" si="121">I61*J61</f>
        <v>0</v>
      </c>
      <c r="L61" s="43">
        <f t="shared" ref="L61" si="122">H61-K61</f>
        <v>500</v>
      </c>
      <c r="M61" s="43"/>
      <c r="N61" s="43">
        <f t="shared" ref="N61" si="123">L61-M61</f>
        <v>500</v>
      </c>
      <c r="O61" s="43">
        <f t="shared" ref="O61" si="124">H61/1000*70</f>
        <v>35</v>
      </c>
      <c r="P61" s="92"/>
      <c r="Q61" s="92"/>
      <c r="R61" s="92">
        <f t="shared" ref="R61" si="125">L61*Q61</f>
        <v>0</v>
      </c>
      <c r="S61" s="116" t="s">
        <v>1038</v>
      </c>
    </row>
    <row r="63" spans="1:19">
      <c r="A63" s="1" t="s">
        <v>1044</v>
      </c>
      <c r="B63" s="42" t="s">
        <v>1002</v>
      </c>
      <c r="C63" s="42" t="s">
        <v>331</v>
      </c>
      <c r="D63" s="42" t="s">
        <v>16</v>
      </c>
      <c r="E63" s="42" t="s">
        <v>1045</v>
      </c>
      <c r="F63" s="42">
        <v>12634</v>
      </c>
      <c r="G63" s="42"/>
      <c r="H63" s="42">
        <v>480</v>
      </c>
      <c r="I63" s="42"/>
      <c r="J63" s="42"/>
      <c r="K63" s="42">
        <f t="shared" ref="K63" si="126">I63*J63</f>
        <v>0</v>
      </c>
      <c r="L63" s="43">
        <f t="shared" ref="L63" si="127">H63-K63</f>
        <v>480</v>
      </c>
      <c r="M63" s="43"/>
      <c r="N63" s="43">
        <f t="shared" ref="N63" si="128">L63-M63</f>
        <v>480</v>
      </c>
      <c r="O63" s="43">
        <f t="shared" ref="O63" si="129">H63/1000*70</f>
        <v>33.6</v>
      </c>
      <c r="P63" s="42">
        <v>0</v>
      </c>
      <c r="Q63" s="42"/>
      <c r="R63" s="42">
        <f t="shared" ref="R63" si="130">L63*Q63</f>
        <v>0</v>
      </c>
      <c r="S63" s="42" t="s">
        <v>1046</v>
      </c>
    </row>
    <row r="65" spans="1:19">
      <c r="A65" s="1" t="s">
        <v>1056</v>
      </c>
      <c r="B65" s="42" t="s">
        <v>1002</v>
      </c>
      <c r="C65" s="42" t="s">
        <v>331</v>
      </c>
      <c r="D65" s="42" t="s">
        <v>16</v>
      </c>
      <c r="E65" s="42" t="s">
        <v>882</v>
      </c>
      <c r="F65" s="42">
        <v>12699</v>
      </c>
      <c r="G65" s="42"/>
      <c r="H65" s="42">
        <v>1190</v>
      </c>
      <c r="I65" s="42"/>
      <c r="J65" s="42"/>
      <c r="K65" s="42">
        <f t="shared" ref="K65" si="131">I65*J65</f>
        <v>0</v>
      </c>
      <c r="L65" s="43">
        <f t="shared" ref="L65" si="132">H65-K65</f>
        <v>1190</v>
      </c>
      <c r="M65" s="43"/>
      <c r="N65" s="43">
        <f t="shared" ref="N65" si="133">L65-M65</f>
        <v>1190</v>
      </c>
      <c r="O65" s="43">
        <f t="shared" ref="O65" si="134">H65/1000*70</f>
        <v>83.3</v>
      </c>
      <c r="P65" s="42"/>
      <c r="Q65" s="42"/>
      <c r="R65" s="42">
        <f t="shared" ref="R65" si="135">L65*Q65</f>
        <v>0</v>
      </c>
      <c r="S65" s="42" t="s">
        <v>1058</v>
      </c>
    </row>
    <row r="67" spans="1:19">
      <c r="A67" s="1" t="s">
        <v>1063</v>
      </c>
      <c r="B67" s="42" t="s">
        <v>1002</v>
      </c>
      <c r="C67" s="42" t="s">
        <v>331</v>
      </c>
      <c r="D67" s="42" t="s">
        <v>16</v>
      </c>
      <c r="E67" s="42" t="s">
        <v>378</v>
      </c>
      <c r="F67" s="42">
        <v>12729</v>
      </c>
      <c r="G67" s="42"/>
      <c r="H67" s="42">
        <v>720</v>
      </c>
      <c r="I67" s="42">
        <v>10</v>
      </c>
      <c r="J67" s="42"/>
      <c r="K67" s="42">
        <f t="shared" ref="K67" si="136">I67*J67</f>
        <v>0</v>
      </c>
      <c r="L67" s="43">
        <f t="shared" ref="L67" si="137">H67-K67</f>
        <v>720</v>
      </c>
      <c r="M67" s="43"/>
      <c r="N67" s="43">
        <f t="shared" ref="N67" si="138">L67-M67</f>
        <v>720</v>
      </c>
      <c r="O67" s="43">
        <f t="shared" ref="O67" si="139">H67/1000*70</f>
        <v>50.4</v>
      </c>
      <c r="P67" s="42"/>
      <c r="Q67" s="42"/>
      <c r="R67" s="42">
        <f t="shared" ref="R67" si="140">L67*Q67</f>
        <v>0</v>
      </c>
      <c r="S67" s="42" t="s">
        <v>1064</v>
      </c>
    </row>
    <row r="69" spans="1:19">
      <c r="A69" s="1" t="s">
        <v>1110</v>
      </c>
      <c r="B69" s="42" t="s">
        <v>1114</v>
      </c>
      <c r="C69" s="42" t="s">
        <v>881</v>
      </c>
      <c r="D69" s="42" t="s">
        <v>16</v>
      </c>
      <c r="E69" s="42" t="s">
        <v>882</v>
      </c>
      <c r="F69" s="42">
        <v>12813</v>
      </c>
      <c r="G69" s="42"/>
      <c r="H69" s="42">
        <v>690</v>
      </c>
      <c r="I69" s="42"/>
      <c r="J69" s="42"/>
      <c r="K69" s="42">
        <f t="shared" ref="K69" si="141">I69*J69</f>
        <v>0</v>
      </c>
      <c r="L69" s="43">
        <f t="shared" ref="L69" si="142">H69-K69</f>
        <v>690</v>
      </c>
      <c r="M69" s="43"/>
      <c r="N69" s="43">
        <f t="shared" ref="N69" si="143">L69-M69</f>
        <v>690</v>
      </c>
      <c r="O69" s="43">
        <f t="shared" ref="O69" si="144">H69/1000*70</f>
        <v>48.3</v>
      </c>
      <c r="P69" s="42">
        <v>0</v>
      </c>
      <c r="Q69" s="42"/>
      <c r="R69" s="42">
        <f t="shared" ref="R69" si="145">L69*Q69</f>
        <v>0</v>
      </c>
      <c r="S69" s="42" t="s">
        <v>1115</v>
      </c>
    </row>
    <row r="71" spans="1:19">
      <c r="A71" s="1" t="s">
        <v>1128</v>
      </c>
      <c r="B71" s="42" t="s">
        <v>1114</v>
      </c>
      <c r="C71" s="42" t="s">
        <v>331</v>
      </c>
      <c r="D71" s="42" t="s">
        <v>16</v>
      </c>
      <c r="E71" s="42" t="s">
        <v>378</v>
      </c>
      <c r="F71" s="42">
        <v>12844</v>
      </c>
      <c r="G71" s="42"/>
      <c r="H71" s="42">
        <v>1110</v>
      </c>
      <c r="I71" s="42">
        <v>19</v>
      </c>
      <c r="J71" s="42"/>
      <c r="K71" s="42">
        <f t="shared" ref="K71" si="146">I71*J71</f>
        <v>0</v>
      </c>
      <c r="L71" s="43">
        <f t="shared" ref="L71" si="147">H71-K71</f>
        <v>1110</v>
      </c>
      <c r="M71" s="43"/>
      <c r="N71" s="43">
        <f t="shared" ref="N71" si="148">L71-M71</f>
        <v>1110</v>
      </c>
      <c r="O71" s="43">
        <f t="shared" ref="O71" si="149">H71/1000*70</f>
        <v>77.7</v>
      </c>
      <c r="P71" s="42"/>
      <c r="Q71" s="42"/>
      <c r="R71" s="42">
        <f t="shared" ref="R71" si="150">L71*Q71</f>
        <v>0</v>
      </c>
      <c r="S71" s="42" t="s">
        <v>1130</v>
      </c>
    </row>
    <row r="73" spans="1:19">
      <c r="A73" s="1" t="s">
        <v>1150</v>
      </c>
      <c r="B73" s="42" t="s">
        <v>1114</v>
      </c>
      <c r="C73" s="42" t="s">
        <v>881</v>
      </c>
      <c r="D73" s="42" t="s">
        <v>16</v>
      </c>
      <c r="E73" s="42" t="s">
        <v>513</v>
      </c>
      <c r="F73" s="42">
        <v>12914</v>
      </c>
      <c r="G73" s="42"/>
      <c r="H73" s="42">
        <v>890</v>
      </c>
      <c r="I73" s="42">
        <v>13</v>
      </c>
      <c r="J73" s="42"/>
      <c r="K73" s="42">
        <f t="shared" ref="K73" si="151">I73*J73</f>
        <v>0</v>
      </c>
      <c r="L73" s="43">
        <f t="shared" ref="L73" si="152">H73-K73</f>
        <v>890</v>
      </c>
      <c r="M73" s="43"/>
      <c r="N73" s="43">
        <f t="shared" ref="N73" si="153">L73-M73</f>
        <v>890</v>
      </c>
      <c r="O73" s="43">
        <f t="shared" ref="O73" si="154">H73/1000*70</f>
        <v>62.300000000000004</v>
      </c>
      <c r="P73" s="42">
        <v>0</v>
      </c>
      <c r="Q73" s="42"/>
      <c r="R73" s="42">
        <f t="shared" ref="R73" si="155">L73*Q73</f>
        <v>0</v>
      </c>
      <c r="S73" s="55" t="s">
        <v>1153</v>
      </c>
    </row>
    <row r="75" spans="1:19">
      <c r="A75" s="1" t="s">
        <v>1184</v>
      </c>
      <c r="B75" s="42" t="s">
        <v>1188</v>
      </c>
      <c r="C75" s="42" t="s">
        <v>1189</v>
      </c>
      <c r="D75" s="42" t="s">
        <v>16</v>
      </c>
      <c r="E75" s="42" t="s">
        <v>882</v>
      </c>
      <c r="F75" s="42">
        <v>12969</v>
      </c>
      <c r="G75" s="42"/>
      <c r="H75" s="42">
        <v>870</v>
      </c>
      <c r="I75" s="42">
        <v>12</v>
      </c>
      <c r="J75" s="42"/>
      <c r="K75" s="42">
        <f t="shared" ref="K75" si="156">I75*J75</f>
        <v>0</v>
      </c>
      <c r="L75" s="43">
        <f t="shared" ref="L75" si="157">H75-K75</f>
        <v>870</v>
      </c>
      <c r="M75" s="43"/>
      <c r="N75" s="43">
        <f t="shared" ref="N75" si="158">L75-M75</f>
        <v>870</v>
      </c>
      <c r="O75" s="43">
        <f t="shared" ref="O75" si="159">H75/1000*70</f>
        <v>60.9</v>
      </c>
      <c r="P75" s="42">
        <v>0</v>
      </c>
      <c r="Q75" s="42"/>
      <c r="R75" s="42">
        <f t="shared" ref="R75" si="160">L75*Q75</f>
        <v>0</v>
      </c>
      <c r="S75" s="42" t="s">
        <v>1190</v>
      </c>
    </row>
    <row r="77" spans="1:19">
      <c r="A77" s="1" t="s">
        <v>1243</v>
      </c>
      <c r="B77" s="42" t="s">
        <v>330</v>
      </c>
      <c r="C77" s="42" t="s">
        <v>331</v>
      </c>
      <c r="D77" s="42" t="s">
        <v>16</v>
      </c>
      <c r="E77" s="42" t="s">
        <v>378</v>
      </c>
      <c r="F77" s="42">
        <v>13047</v>
      </c>
      <c r="G77" s="42"/>
      <c r="H77" s="42">
        <v>490</v>
      </c>
      <c r="I77" s="42">
        <v>7</v>
      </c>
      <c r="J77" s="42"/>
      <c r="K77" s="42">
        <f t="shared" ref="K77" si="161">I77*J77</f>
        <v>0</v>
      </c>
      <c r="L77" s="43">
        <f t="shared" ref="L77" si="162">H77-K77</f>
        <v>490</v>
      </c>
      <c r="M77" s="43"/>
      <c r="N77" s="43">
        <f t="shared" ref="N77" si="163">L77-M77</f>
        <v>490</v>
      </c>
      <c r="O77" s="43">
        <f t="shared" ref="O77" si="164">H77/1000*70</f>
        <v>34.299999999999997</v>
      </c>
      <c r="P77" s="42">
        <v>0</v>
      </c>
      <c r="Q77" s="42"/>
      <c r="R77" s="42">
        <f t="shared" ref="R77" si="165">L77*Q77</f>
        <v>0</v>
      </c>
      <c r="S77" s="42" t="s">
        <v>1244</v>
      </c>
    </row>
    <row r="79" spans="1:19">
      <c r="A79" s="1" t="s">
        <v>1255</v>
      </c>
      <c r="B79" s="42" t="s">
        <v>330</v>
      </c>
      <c r="C79" s="42" t="s">
        <v>331</v>
      </c>
      <c r="D79" s="42" t="s">
        <v>16</v>
      </c>
      <c r="E79" s="42" t="s">
        <v>882</v>
      </c>
      <c r="F79" s="42">
        <v>13104</v>
      </c>
      <c r="G79" s="42"/>
      <c r="H79" s="42">
        <v>1190</v>
      </c>
      <c r="I79" s="42">
        <v>20</v>
      </c>
      <c r="J79" s="42"/>
      <c r="K79" s="42">
        <f t="shared" ref="K79" si="166">I79*J79</f>
        <v>0</v>
      </c>
      <c r="L79" s="43">
        <f t="shared" ref="L79" si="167">H79-K79</f>
        <v>1190</v>
      </c>
      <c r="M79" s="43"/>
      <c r="N79" s="43">
        <f t="shared" ref="N79" si="168">L79-M79</f>
        <v>1190</v>
      </c>
      <c r="O79" s="43">
        <f t="shared" ref="O79" si="169">H79/1000*70</f>
        <v>83.3</v>
      </c>
      <c r="P79" s="42">
        <v>0</v>
      </c>
      <c r="Q79" s="42"/>
      <c r="R79" s="42">
        <f t="shared" ref="R79" si="170">L79*Q79</f>
        <v>0</v>
      </c>
      <c r="S79" s="42" t="s">
        <v>1259</v>
      </c>
    </row>
    <row r="81" spans="1:19">
      <c r="A81" s="1" t="s">
        <v>1301</v>
      </c>
      <c r="B81" s="42" t="s">
        <v>330</v>
      </c>
      <c r="C81" s="42" t="s">
        <v>331</v>
      </c>
      <c r="D81" s="42" t="s">
        <v>16</v>
      </c>
      <c r="E81" s="42" t="s">
        <v>378</v>
      </c>
      <c r="F81" s="42">
        <v>13173</v>
      </c>
      <c r="G81" s="42"/>
      <c r="H81" s="42">
        <v>630</v>
      </c>
      <c r="I81" s="42">
        <v>9</v>
      </c>
      <c r="J81" s="42"/>
      <c r="K81" s="42">
        <f t="shared" ref="K81" si="171">I81*J81</f>
        <v>0</v>
      </c>
      <c r="L81" s="43">
        <f t="shared" ref="L81" si="172">H81-K81</f>
        <v>630</v>
      </c>
      <c r="M81" s="43"/>
      <c r="N81" s="43">
        <f t="shared" ref="N81" si="173">L81-M81</f>
        <v>630</v>
      </c>
      <c r="O81" s="43">
        <f t="shared" ref="O81" si="174">H81/1000*70</f>
        <v>44.1</v>
      </c>
      <c r="P81" s="42">
        <v>0</v>
      </c>
      <c r="Q81" s="42">
        <v>0</v>
      </c>
      <c r="R81" s="42">
        <f t="shared" ref="R81" si="175">L81*Q81</f>
        <v>0</v>
      </c>
      <c r="S81" s="42" t="s">
        <v>1302</v>
      </c>
    </row>
    <row r="83" spans="1:19">
      <c r="A83" s="1" t="s">
        <v>1320</v>
      </c>
      <c r="B83" s="42" t="s">
        <v>330</v>
      </c>
      <c r="C83" s="42" t="s">
        <v>331</v>
      </c>
      <c r="D83" s="42" t="s">
        <v>16</v>
      </c>
      <c r="E83" s="42" t="s">
        <v>513</v>
      </c>
      <c r="F83" s="42">
        <v>13216</v>
      </c>
      <c r="G83" s="42"/>
      <c r="H83" s="42">
        <v>960</v>
      </c>
      <c r="I83" s="42">
        <v>14</v>
      </c>
      <c r="J83" s="42"/>
      <c r="K83" s="42">
        <f t="shared" ref="K83" si="176">I83*J83</f>
        <v>0</v>
      </c>
      <c r="L83" s="43">
        <f t="shared" ref="L83" si="177">H83-K83</f>
        <v>960</v>
      </c>
      <c r="M83" s="43"/>
      <c r="N83" s="43">
        <f t="shared" ref="N83" si="178">L83-M83</f>
        <v>960</v>
      </c>
      <c r="O83" s="43">
        <f t="shared" ref="O83" si="179">H83/1000*70</f>
        <v>67.2</v>
      </c>
      <c r="P83" s="42"/>
      <c r="Q83" s="42"/>
      <c r="R83" s="42">
        <f t="shared" ref="R83" si="180">L83*Q83</f>
        <v>0</v>
      </c>
      <c r="S83" s="116" t="s">
        <v>1322</v>
      </c>
    </row>
    <row r="85" spans="1:19">
      <c r="A85" s="1" t="s">
        <v>1379</v>
      </c>
      <c r="B85" s="42" t="s">
        <v>330</v>
      </c>
      <c r="C85" s="92" t="s">
        <v>331</v>
      </c>
      <c r="D85" s="42" t="s">
        <v>16</v>
      </c>
      <c r="E85" s="42" t="s">
        <v>1382</v>
      </c>
      <c r="F85" s="42">
        <v>13269</v>
      </c>
      <c r="G85" s="42"/>
      <c r="H85" s="42">
        <v>640</v>
      </c>
      <c r="I85" s="42">
        <v>10</v>
      </c>
      <c r="J85" s="42"/>
      <c r="K85" s="42">
        <f t="shared" ref="K85" si="181">I85*J85</f>
        <v>0</v>
      </c>
      <c r="L85" s="43">
        <f t="shared" ref="L85" si="182">H85-K85</f>
        <v>640</v>
      </c>
      <c r="M85" s="43"/>
      <c r="N85" s="43">
        <f t="shared" ref="N85" si="183">L85-M85</f>
        <v>640</v>
      </c>
      <c r="O85" s="43">
        <f t="shared" ref="O85" si="184">H85/1000*70</f>
        <v>44.800000000000004</v>
      </c>
      <c r="P85" s="42">
        <v>900</v>
      </c>
      <c r="Q85" s="42"/>
      <c r="R85" s="42">
        <f t="shared" ref="R85" si="185">L85*Q85</f>
        <v>0</v>
      </c>
      <c r="S85" s="92" t="s">
        <v>1383</v>
      </c>
    </row>
    <row r="87" spans="1:19">
      <c r="A87" s="1" t="s">
        <v>1404</v>
      </c>
      <c r="B87" s="42" t="s">
        <v>330</v>
      </c>
      <c r="C87" s="42" t="s">
        <v>331</v>
      </c>
      <c r="D87" s="42" t="s">
        <v>16</v>
      </c>
      <c r="E87" s="42" t="s">
        <v>882</v>
      </c>
      <c r="F87" s="42">
        <v>13286</v>
      </c>
      <c r="G87" s="42"/>
      <c r="H87" s="42">
        <v>380</v>
      </c>
      <c r="I87" s="42">
        <v>9</v>
      </c>
      <c r="J87" s="42"/>
      <c r="K87" s="42">
        <f t="shared" ref="K87" si="186">I87*J87</f>
        <v>0</v>
      </c>
      <c r="L87" s="43">
        <f t="shared" ref="L87" si="187">H87-K87</f>
        <v>380</v>
      </c>
      <c r="M87" s="43"/>
      <c r="N87" s="43">
        <f t="shared" ref="N87" si="188">L87-M87</f>
        <v>380</v>
      </c>
      <c r="O87" s="43">
        <f t="shared" ref="O87" si="189">H87/1000*70</f>
        <v>26.6</v>
      </c>
      <c r="P87" s="42">
        <v>0</v>
      </c>
      <c r="Q87" s="42">
        <v>17.2</v>
      </c>
      <c r="R87" s="42">
        <f t="shared" ref="R87" si="190">L87*Q87</f>
        <v>6536</v>
      </c>
      <c r="S87" s="55" t="s">
        <v>1407</v>
      </c>
    </row>
    <row r="89" spans="1:19">
      <c r="A89" s="1" t="s">
        <v>1434</v>
      </c>
      <c r="B89" s="42" t="s">
        <v>330</v>
      </c>
      <c r="C89" s="42" t="s">
        <v>331</v>
      </c>
      <c r="D89" s="42" t="s">
        <v>16</v>
      </c>
      <c r="E89" s="42" t="s">
        <v>937</v>
      </c>
      <c r="F89" s="42">
        <v>13330</v>
      </c>
      <c r="G89" s="42"/>
      <c r="H89" s="42">
        <v>140</v>
      </c>
      <c r="I89" s="42">
        <v>3</v>
      </c>
      <c r="J89" s="42"/>
      <c r="K89" s="42">
        <f t="shared" ref="K89" si="191">I89*J89</f>
        <v>0</v>
      </c>
      <c r="L89" s="43">
        <f t="shared" ref="L89" si="192">H89-K89</f>
        <v>140</v>
      </c>
      <c r="M89" s="43"/>
      <c r="N89" s="43">
        <f t="shared" ref="N89" si="193">L89-M89</f>
        <v>140</v>
      </c>
      <c r="O89" s="43">
        <f t="shared" ref="O89" si="194">H89/1000*70</f>
        <v>9.8000000000000007</v>
      </c>
      <c r="P89" s="42">
        <v>0</v>
      </c>
      <c r="Q89" s="42"/>
      <c r="R89" s="42">
        <f t="shared" ref="R89" si="195">L89*Q89</f>
        <v>0</v>
      </c>
      <c r="S89" s="42" t="s">
        <v>1436</v>
      </c>
    </row>
    <row r="91" spans="1:19">
      <c r="A91" s="1" t="s">
        <v>1440</v>
      </c>
      <c r="B91" s="42" t="s">
        <v>330</v>
      </c>
      <c r="C91" s="42" t="s">
        <v>331</v>
      </c>
      <c r="D91" s="42" t="s">
        <v>16</v>
      </c>
      <c r="E91" s="42" t="s">
        <v>332</v>
      </c>
      <c r="F91" s="42">
        <v>13354</v>
      </c>
      <c r="G91" s="42"/>
      <c r="H91" s="42">
        <v>460</v>
      </c>
      <c r="I91" s="42">
        <v>10</v>
      </c>
      <c r="J91" s="42"/>
      <c r="K91" s="42">
        <f t="shared" ref="K91" si="196">I91*J91</f>
        <v>0</v>
      </c>
      <c r="L91" s="43">
        <f t="shared" ref="L91" si="197">H91-K91</f>
        <v>460</v>
      </c>
      <c r="M91" s="43"/>
      <c r="N91" s="43">
        <f t="shared" ref="N91" si="198">L91-M91</f>
        <v>460</v>
      </c>
      <c r="O91" s="43">
        <f t="shared" ref="O91" si="199">H91/1000*70</f>
        <v>32.200000000000003</v>
      </c>
      <c r="P91" s="42">
        <v>0</v>
      </c>
      <c r="Q91" s="42"/>
      <c r="R91" s="42">
        <f t="shared" ref="R91" si="200">L91*Q91</f>
        <v>0</v>
      </c>
      <c r="S91" s="42" t="s">
        <v>1444</v>
      </c>
    </row>
    <row r="93" spans="1:19">
      <c r="A93" s="1" t="s">
        <v>1445</v>
      </c>
      <c r="B93" s="42" t="s">
        <v>330</v>
      </c>
      <c r="C93" s="42" t="s">
        <v>331</v>
      </c>
      <c r="D93" s="42" t="s">
        <v>16</v>
      </c>
      <c r="E93" s="42" t="s">
        <v>882</v>
      </c>
      <c r="F93" s="42">
        <v>13360</v>
      </c>
      <c r="G93" s="42"/>
      <c r="H93" s="42">
        <v>1080</v>
      </c>
      <c r="I93" s="42">
        <v>18</v>
      </c>
      <c r="J93" s="42"/>
      <c r="K93" s="42">
        <f t="shared" ref="K93" si="201">I93*J93</f>
        <v>0</v>
      </c>
      <c r="L93" s="43">
        <f t="shared" ref="L93" si="202">H93-K93</f>
        <v>1080</v>
      </c>
      <c r="M93" s="43"/>
      <c r="N93" s="43">
        <f t="shared" ref="N93" si="203">L93-M93</f>
        <v>1080</v>
      </c>
      <c r="O93" s="43">
        <f t="shared" ref="O93" si="204">H93/1000*70</f>
        <v>75.600000000000009</v>
      </c>
      <c r="P93" s="42"/>
      <c r="Q93" s="42"/>
      <c r="R93" s="42">
        <f t="shared" ref="R93" si="205">L93*Q93</f>
        <v>0</v>
      </c>
      <c r="S93" s="42" t="s">
        <v>1448</v>
      </c>
    </row>
    <row r="95" spans="1:19">
      <c r="A95" s="1" t="s">
        <v>1449</v>
      </c>
      <c r="B95" s="42" t="s">
        <v>330</v>
      </c>
      <c r="C95" s="42" t="s">
        <v>331</v>
      </c>
      <c r="D95" s="42" t="s">
        <v>16</v>
      </c>
      <c r="E95" s="42" t="s">
        <v>513</v>
      </c>
      <c r="F95" s="42">
        <v>13371</v>
      </c>
      <c r="G95" s="42"/>
      <c r="H95" s="42">
        <v>1240</v>
      </c>
      <c r="I95" s="42">
        <v>22</v>
      </c>
      <c r="J95" s="42"/>
      <c r="K95" s="42">
        <f t="shared" ref="K95" si="206">I95*J95</f>
        <v>0</v>
      </c>
      <c r="L95" s="43">
        <f t="shared" ref="L95" si="207">H95-K95</f>
        <v>1240</v>
      </c>
      <c r="M95" s="43"/>
      <c r="N95" s="43">
        <f t="shared" ref="N95" si="208">L95-M95</f>
        <v>1240</v>
      </c>
      <c r="O95" s="43">
        <f t="shared" ref="O95" si="209">H95/1000*70</f>
        <v>86.8</v>
      </c>
      <c r="P95" s="42">
        <v>0</v>
      </c>
      <c r="Q95" s="42"/>
      <c r="R95" s="42">
        <f t="shared" ref="R95" si="210">L95*Q95</f>
        <v>0</v>
      </c>
      <c r="S95" s="55" t="s">
        <v>1455</v>
      </c>
    </row>
    <row r="97" spans="1:19">
      <c r="A97" s="1" t="s">
        <v>1463</v>
      </c>
      <c r="B97" s="42" t="s">
        <v>330</v>
      </c>
      <c r="C97" s="42" t="s">
        <v>331</v>
      </c>
      <c r="D97" s="42" t="s">
        <v>16</v>
      </c>
      <c r="E97" s="42" t="s">
        <v>332</v>
      </c>
      <c r="F97" s="42">
        <v>13390</v>
      </c>
      <c r="G97" s="42"/>
      <c r="H97" s="42">
        <v>430</v>
      </c>
      <c r="I97" s="42">
        <v>9</v>
      </c>
      <c r="J97" s="42"/>
      <c r="K97" s="42">
        <f t="shared" ref="K97" si="211">I97*J97</f>
        <v>0</v>
      </c>
      <c r="L97" s="43">
        <f t="shared" ref="L97" si="212">H97-K97</f>
        <v>430</v>
      </c>
      <c r="M97" s="43"/>
      <c r="N97" s="43">
        <f t="shared" ref="N97" si="213">L97-M97</f>
        <v>430</v>
      </c>
      <c r="O97" s="43">
        <f t="shared" ref="O97" si="214">H97/1000*70</f>
        <v>30.099999999999998</v>
      </c>
      <c r="P97" s="42">
        <v>0</v>
      </c>
      <c r="Q97" s="42"/>
      <c r="R97" s="42">
        <f t="shared" ref="R97" si="215">L97*Q97</f>
        <v>0</v>
      </c>
      <c r="S97" s="42" t="s">
        <v>1467</v>
      </c>
    </row>
    <row r="99" spans="1:19">
      <c r="A99" s="1" t="s">
        <v>1531</v>
      </c>
      <c r="B99" s="42" t="s">
        <v>346</v>
      </c>
      <c r="C99" s="42" t="s">
        <v>331</v>
      </c>
      <c r="D99" s="42" t="s">
        <v>16</v>
      </c>
      <c r="E99" s="42" t="s">
        <v>1536</v>
      </c>
      <c r="F99" s="42">
        <v>13479</v>
      </c>
      <c r="G99" s="42"/>
      <c r="H99" s="42">
        <v>800</v>
      </c>
      <c r="I99" s="42">
        <v>11</v>
      </c>
      <c r="J99" s="42"/>
      <c r="K99" s="42">
        <f t="shared" ref="K99" si="216">I99*J99</f>
        <v>0</v>
      </c>
      <c r="L99" s="43">
        <f t="shared" ref="L99" si="217">H99-K99</f>
        <v>800</v>
      </c>
      <c r="M99" s="43"/>
      <c r="N99" s="43">
        <f t="shared" ref="N99" si="218">L99-M99</f>
        <v>800</v>
      </c>
      <c r="O99" s="43">
        <f t="shared" ref="O99" si="219">H99/1000*70</f>
        <v>56</v>
      </c>
      <c r="P99" s="42">
        <v>0</v>
      </c>
      <c r="Q99" s="42"/>
      <c r="R99" s="42">
        <f t="shared" ref="R99" si="220">L99*Q99</f>
        <v>0</v>
      </c>
      <c r="S99" s="42" t="s">
        <v>1537</v>
      </c>
    </row>
    <row r="101" spans="1:19">
      <c r="A101" s="1" t="s">
        <v>1540</v>
      </c>
      <c r="B101" s="42" t="s">
        <v>346</v>
      </c>
      <c r="C101" s="92" t="s">
        <v>331</v>
      </c>
      <c r="D101" s="42" t="s">
        <v>16</v>
      </c>
      <c r="E101" s="42" t="s">
        <v>882</v>
      </c>
      <c r="F101" s="42">
        <v>13500</v>
      </c>
      <c r="G101" s="42"/>
      <c r="H101" s="42">
        <v>1420</v>
      </c>
      <c r="I101" s="42">
        <v>19</v>
      </c>
      <c r="J101" s="42"/>
      <c r="K101" s="42">
        <f t="shared" ref="K101" si="221">I101*J101</f>
        <v>0</v>
      </c>
      <c r="L101" s="43">
        <f t="shared" ref="L101" si="222">H101-K101</f>
        <v>1420</v>
      </c>
      <c r="M101" s="43"/>
      <c r="N101" s="43">
        <f t="shared" ref="N101" si="223">L101-M101</f>
        <v>1420</v>
      </c>
      <c r="O101" s="43">
        <f t="shared" ref="O101" si="224">H101/1000*70</f>
        <v>99.399999999999991</v>
      </c>
      <c r="P101" s="42">
        <v>0</v>
      </c>
      <c r="Q101" s="42"/>
      <c r="R101" s="42">
        <f t="shared" ref="R101" si="225">L101*Q101</f>
        <v>0</v>
      </c>
      <c r="S101" s="92" t="s">
        <v>1541</v>
      </c>
    </row>
    <row r="103" spans="1:19">
      <c r="A103" s="1" t="s">
        <v>1587</v>
      </c>
      <c r="B103" s="42" t="s">
        <v>346</v>
      </c>
      <c r="C103" s="42" t="s">
        <v>331</v>
      </c>
      <c r="D103" s="42" t="s">
        <v>16</v>
      </c>
      <c r="E103" s="42" t="s">
        <v>513</v>
      </c>
      <c r="F103" s="42">
        <v>13565</v>
      </c>
      <c r="G103" s="42"/>
      <c r="H103" s="42">
        <v>750</v>
      </c>
      <c r="I103" s="42">
        <v>11</v>
      </c>
      <c r="J103" s="42"/>
      <c r="K103" s="42">
        <f t="shared" ref="K103" si="226">I103*J103</f>
        <v>0</v>
      </c>
      <c r="L103" s="43">
        <f t="shared" ref="L103" si="227">H103-K103</f>
        <v>750</v>
      </c>
      <c r="M103" s="43"/>
      <c r="N103" s="43">
        <f t="shared" ref="N103" si="228">L103-M103</f>
        <v>750</v>
      </c>
      <c r="O103" s="43">
        <f t="shared" ref="O103" si="229">H103/1000*70</f>
        <v>52.5</v>
      </c>
      <c r="P103" s="42">
        <v>0</v>
      </c>
      <c r="Q103" s="42"/>
      <c r="R103" s="42">
        <f t="shared" ref="R103" si="230">L103*Q103</f>
        <v>0</v>
      </c>
      <c r="S103" s="42" t="s">
        <v>1603</v>
      </c>
    </row>
    <row r="105" spans="1:19">
      <c r="A105" s="1" t="s">
        <v>1606</v>
      </c>
      <c r="B105" s="42" t="s">
        <v>346</v>
      </c>
      <c r="C105" s="42" t="s">
        <v>331</v>
      </c>
      <c r="D105" s="42" t="s">
        <v>16</v>
      </c>
      <c r="E105" s="42" t="s">
        <v>1536</v>
      </c>
      <c r="F105" s="42">
        <v>13575</v>
      </c>
      <c r="G105" s="42"/>
      <c r="H105" s="42">
        <v>1630</v>
      </c>
      <c r="I105" s="42">
        <v>26</v>
      </c>
      <c r="J105" s="42"/>
      <c r="K105" s="42">
        <f t="shared" ref="K105" si="231">I105*J105</f>
        <v>0</v>
      </c>
      <c r="L105" s="43">
        <f t="shared" ref="L105" si="232">H105-K105</f>
        <v>1630</v>
      </c>
      <c r="M105" s="43"/>
      <c r="N105" s="43">
        <f t="shared" ref="N105" si="233">L105-M105</f>
        <v>1630</v>
      </c>
      <c r="O105" s="43">
        <f t="shared" ref="O105" si="234">H105/1000*70</f>
        <v>114.1</v>
      </c>
      <c r="P105" s="42">
        <v>0</v>
      </c>
      <c r="Q105" s="42">
        <v>0</v>
      </c>
      <c r="R105" s="42">
        <f t="shared" ref="R105" si="235">L105*Q105</f>
        <v>0</v>
      </c>
      <c r="S105" s="42" t="s">
        <v>1614</v>
      </c>
    </row>
    <row r="107" spans="1:19">
      <c r="A107" s="1" t="s">
        <v>1644</v>
      </c>
      <c r="B107" s="42" t="s">
        <v>346</v>
      </c>
      <c r="C107" s="42" t="s">
        <v>331</v>
      </c>
      <c r="D107" s="42" t="s">
        <v>16</v>
      </c>
      <c r="E107" s="42" t="s">
        <v>332</v>
      </c>
      <c r="F107" s="42">
        <v>13624</v>
      </c>
      <c r="G107" s="42"/>
      <c r="H107" s="42">
        <v>470</v>
      </c>
      <c r="I107" s="42">
        <v>10</v>
      </c>
      <c r="J107" s="42"/>
      <c r="K107" s="42">
        <f t="shared" ref="K107" si="236">I107*J107</f>
        <v>0</v>
      </c>
      <c r="L107" s="43">
        <f t="shared" ref="L107" si="237">H107-K107</f>
        <v>470</v>
      </c>
      <c r="M107" s="43"/>
      <c r="N107" s="43">
        <f t="shared" ref="N107" si="238">L107-M107</f>
        <v>470</v>
      </c>
      <c r="O107" s="43">
        <f t="shared" ref="O107" si="239">H107/1000*70</f>
        <v>32.9</v>
      </c>
      <c r="P107" s="191">
        <v>0</v>
      </c>
      <c r="Q107" s="191"/>
      <c r="R107" s="42">
        <f t="shared" ref="R107" si="240">L107*Q107</f>
        <v>0</v>
      </c>
      <c r="S107" s="42" t="s">
        <v>1649</v>
      </c>
    </row>
    <row r="109" spans="1:19">
      <c r="A109" s="1" t="s">
        <v>1687</v>
      </c>
      <c r="B109" s="42" t="s">
        <v>330</v>
      </c>
      <c r="C109" s="42" t="s">
        <v>331</v>
      </c>
      <c r="D109" s="42" t="s">
        <v>16</v>
      </c>
      <c r="E109" s="42" t="s">
        <v>332</v>
      </c>
      <c r="F109" s="42">
        <v>13690</v>
      </c>
      <c r="G109" s="42"/>
      <c r="H109" s="42">
        <v>1000</v>
      </c>
      <c r="I109" s="42">
        <v>12</v>
      </c>
      <c r="J109" s="42"/>
      <c r="K109" s="42">
        <f t="shared" ref="K109" si="241">I109*J109</f>
        <v>0</v>
      </c>
      <c r="L109" s="43">
        <f t="shared" ref="L109" si="242">H109-K109</f>
        <v>1000</v>
      </c>
      <c r="M109" s="43"/>
      <c r="N109" s="43">
        <f t="shared" ref="N109" si="243">L109-M109</f>
        <v>1000</v>
      </c>
      <c r="O109" s="43">
        <f t="shared" ref="O109" si="244">H109/1000*70</f>
        <v>70</v>
      </c>
      <c r="P109" s="200">
        <v>0</v>
      </c>
      <c r="Q109" s="200"/>
      <c r="R109" s="42">
        <f t="shared" ref="R109" si="245">L109*Q109</f>
        <v>0</v>
      </c>
      <c r="S109" s="42" t="s">
        <v>1688</v>
      </c>
    </row>
    <row r="111" spans="1:19">
      <c r="A111" s="1" t="s">
        <v>1691</v>
      </c>
      <c r="B111" s="42" t="s">
        <v>330</v>
      </c>
      <c r="C111" s="42" t="s">
        <v>331</v>
      </c>
      <c r="D111" s="42" t="s">
        <v>16</v>
      </c>
      <c r="E111" s="42" t="s">
        <v>882</v>
      </c>
      <c r="F111" s="42">
        <v>13706</v>
      </c>
      <c r="G111" s="42"/>
      <c r="H111" s="42">
        <v>460</v>
      </c>
      <c r="I111" s="42">
        <v>10</v>
      </c>
      <c r="J111" s="42"/>
      <c r="K111" s="42">
        <f t="shared" ref="K111" si="246">I111*J111</f>
        <v>0</v>
      </c>
      <c r="L111" s="43">
        <f t="shared" ref="L111" si="247">H111-K111</f>
        <v>460</v>
      </c>
      <c r="M111" s="43"/>
      <c r="N111" s="43">
        <f t="shared" ref="N111" si="248">L111-M111</f>
        <v>460</v>
      </c>
      <c r="O111" s="43">
        <f t="shared" ref="O111" si="249">H111/1000*70</f>
        <v>32.200000000000003</v>
      </c>
      <c r="P111" s="202">
        <v>0</v>
      </c>
      <c r="Q111" s="202"/>
      <c r="R111" s="42">
        <f t="shared" ref="R111" si="250">L111*Q111</f>
        <v>0</v>
      </c>
      <c r="S111" s="42" t="s">
        <v>1698</v>
      </c>
    </row>
    <row r="113" spans="1:19">
      <c r="A113" s="1" t="s">
        <v>1708</v>
      </c>
      <c r="B113" s="42" t="s">
        <v>330</v>
      </c>
      <c r="C113" s="115" t="s">
        <v>331</v>
      </c>
      <c r="D113" s="42" t="s">
        <v>16</v>
      </c>
      <c r="E113" s="42" t="s">
        <v>1718</v>
      </c>
      <c r="F113" s="42">
        <v>13726</v>
      </c>
      <c r="G113" s="42"/>
      <c r="H113" s="42">
        <v>360</v>
      </c>
      <c r="I113" s="42">
        <v>8</v>
      </c>
      <c r="J113" s="42"/>
      <c r="K113" s="42">
        <f t="shared" ref="K113" si="251">I113*J113</f>
        <v>0</v>
      </c>
      <c r="L113" s="43">
        <f t="shared" ref="L113" si="252">H113-K113</f>
        <v>360</v>
      </c>
      <c r="M113" s="43"/>
      <c r="N113" s="43">
        <f t="shared" ref="N113" si="253">L113-M113</f>
        <v>360</v>
      </c>
      <c r="O113" s="43">
        <f t="shared" ref="O113" si="254">H113/1000*70</f>
        <v>25.2</v>
      </c>
      <c r="P113" s="204">
        <v>0</v>
      </c>
      <c r="Q113" s="204"/>
      <c r="R113" s="42">
        <f t="shared" ref="R113" si="255">L113*Q113</f>
        <v>0</v>
      </c>
      <c r="S113" s="115" t="s">
        <v>1719</v>
      </c>
    </row>
    <row r="115" spans="1:19">
      <c r="A115" s="1" t="s">
        <v>1778</v>
      </c>
      <c r="B115" s="42" t="s">
        <v>1788</v>
      </c>
      <c r="C115" s="42" t="s">
        <v>331</v>
      </c>
      <c r="D115" s="42" t="s">
        <v>16</v>
      </c>
      <c r="E115" s="42" t="s">
        <v>882</v>
      </c>
      <c r="F115" s="42">
        <v>13760</v>
      </c>
      <c r="G115" s="42"/>
      <c r="H115" s="42">
        <v>720</v>
      </c>
      <c r="I115" s="42">
        <v>10</v>
      </c>
      <c r="J115" s="42"/>
      <c r="K115" s="42">
        <f t="shared" ref="K115" si="256">I115*J115</f>
        <v>0</v>
      </c>
      <c r="L115" s="43">
        <f t="shared" ref="L115" si="257">H115-K115</f>
        <v>720</v>
      </c>
      <c r="M115" s="43"/>
      <c r="N115" s="43">
        <f t="shared" ref="N115" si="258">L115-M115</f>
        <v>720</v>
      </c>
      <c r="O115" s="43">
        <f t="shared" ref="O115" si="259">H115/1000*70</f>
        <v>50.4</v>
      </c>
      <c r="P115" s="216">
        <v>0</v>
      </c>
      <c r="Q115" s="216"/>
      <c r="R115" s="42">
        <f t="shared" ref="R115" si="260">L115*Q115</f>
        <v>0</v>
      </c>
      <c r="S115" s="42" t="s">
        <v>1789</v>
      </c>
    </row>
    <row r="117" spans="1:19">
      <c r="A117" s="1" t="s">
        <v>1954</v>
      </c>
      <c r="B117" s="42" t="s">
        <v>330</v>
      </c>
      <c r="C117" s="42" t="s">
        <v>331</v>
      </c>
      <c r="D117" s="42" t="s">
        <v>16</v>
      </c>
      <c r="E117" s="42" t="s">
        <v>378</v>
      </c>
      <c r="F117" s="42">
        <v>13858</v>
      </c>
      <c r="G117" s="42"/>
      <c r="H117" s="42">
        <v>670</v>
      </c>
      <c r="I117" s="42">
        <v>9</v>
      </c>
      <c r="J117" s="42"/>
      <c r="K117" s="43">
        <f t="shared" ref="K117" si="261">I117*J117</f>
        <v>0</v>
      </c>
      <c r="L117" s="43">
        <f t="shared" ref="L117" si="262">H117-K117</f>
        <v>670</v>
      </c>
      <c r="M117" s="43"/>
      <c r="N117" s="43">
        <f t="shared" ref="N117" si="263">L117-M117</f>
        <v>670</v>
      </c>
      <c r="O117" s="43">
        <f t="shared" ref="O117" si="264">H117/1000*70</f>
        <v>46.900000000000006</v>
      </c>
      <c r="P117" s="42">
        <v>0</v>
      </c>
      <c r="Q117" s="42"/>
      <c r="R117" s="42">
        <f t="shared" ref="R117" si="265">L117*Q117</f>
        <v>0</v>
      </c>
      <c r="S117" s="48" t="s">
        <v>1302</v>
      </c>
    </row>
    <row r="119" spans="1:19">
      <c r="A119" s="1" t="s">
        <v>1981</v>
      </c>
      <c r="B119" s="42" t="s">
        <v>330</v>
      </c>
      <c r="C119" s="42" t="s">
        <v>331</v>
      </c>
      <c r="D119" s="42" t="s">
        <v>16</v>
      </c>
      <c r="E119" s="42" t="s">
        <v>378</v>
      </c>
      <c r="F119" s="42">
        <v>13900</v>
      </c>
      <c r="G119" s="42"/>
      <c r="H119" s="42">
        <v>1310</v>
      </c>
      <c r="I119" s="42">
        <v>23</v>
      </c>
      <c r="J119" s="42"/>
      <c r="K119" s="42">
        <f t="shared" ref="K119" si="266">I119*J119</f>
        <v>0</v>
      </c>
      <c r="L119" s="43">
        <f t="shared" ref="L119" si="267">H119-K119</f>
        <v>1310</v>
      </c>
      <c r="M119" s="43"/>
      <c r="N119" s="43">
        <f t="shared" ref="N119" si="268">L119-M119</f>
        <v>1310</v>
      </c>
      <c r="O119" s="43">
        <f t="shared" ref="O119" si="269">H119/1000*70</f>
        <v>91.7</v>
      </c>
      <c r="P119" s="42">
        <v>0</v>
      </c>
      <c r="Q119" s="42"/>
      <c r="R119" s="42">
        <f t="shared" ref="R119" si="270">L119*Q119</f>
        <v>0</v>
      </c>
      <c r="S119" s="55" t="s">
        <v>1987</v>
      </c>
    </row>
    <row r="121" spans="1:19">
      <c r="A121" s="1" t="s">
        <v>2003</v>
      </c>
      <c r="B121" s="240" t="s">
        <v>330</v>
      </c>
      <c r="C121" s="240" t="s">
        <v>331</v>
      </c>
      <c r="D121" s="240" t="s">
        <v>16</v>
      </c>
      <c r="E121" s="240" t="s">
        <v>378</v>
      </c>
      <c r="F121" s="240">
        <v>13952</v>
      </c>
      <c r="G121" s="240"/>
      <c r="H121" s="240">
        <v>780</v>
      </c>
      <c r="I121" s="240">
        <v>12</v>
      </c>
      <c r="J121" s="240"/>
      <c r="K121" s="5">
        <f t="shared" ref="K121" si="271">I121*J121</f>
        <v>0</v>
      </c>
      <c r="L121" s="19">
        <f t="shared" ref="L121" si="272">H121-K121</f>
        <v>780</v>
      </c>
      <c r="M121" s="19"/>
      <c r="N121" s="43">
        <f t="shared" ref="N121" si="273">L121-M121</f>
        <v>780</v>
      </c>
      <c r="O121" s="5">
        <f t="shared" ref="O121" si="274">H121/1000*70</f>
        <v>54.6</v>
      </c>
      <c r="P121" s="240">
        <v>0</v>
      </c>
      <c r="Q121" s="240"/>
      <c r="R121" s="240">
        <f t="shared" ref="R121" si="275">L121*Q121</f>
        <v>0</v>
      </c>
      <c r="S121" s="239" t="s">
        <v>2007</v>
      </c>
    </row>
    <row r="123" spans="1:19">
      <c r="A123" s="1" t="s">
        <v>2036</v>
      </c>
      <c r="B123" s="42" t="s">
        <v>2039</v>
      </c>
      <c r="C123" s="42" t="s">
        <v>2040</v>
      </c>
      <c r="D123" s="42" t="s">
        <v>16</v>
      </c>
      <c r="E123" s="42" t="s">
        <v>513</v>
      </c>
      <c r="F123" s="42">
        <v>13995</v>
      </c>
      <c r="G123" s="42"/>
      <c r="H123" s="42">
        <v>810</v>
      </c>
      <c r="I123" s="42">
        <v>10</v>
      </c>
      <c r="J123" s="42"/>
      <c r="K123" s="43">
        <f t="shared" ref="K123" si="276">I123*J123</f>
        <v>0</v>
      </c>
      <c r="L123" s="43">
        <f t="shared" ref="L123" si="277">H123-K123</f>
        <v>810</v>
      </c>
      <c r="M123" s="43"/>
      <c r="N123" s="43">
        <f t="shared" ref="N123" si="278">L123-M123</f>
        <v>810</v>
      </c>
      <c r="O123" s="43">
        <f t="shared" ref="O123" si="279">H123/1000*70</f>
        <v>56.7</v>
      </c>
      <c r="P123" s="42">
        <v>0</v>
      </c>
      <c r="Q123" s="42"/>
      <c r="R123" s="42">
        <f t="shared" ref="R123" si="280">L123*Q123</f>
        <v>0</v>
      </c>
      <c r="S123" s="42" t="s">
        <v>2041</v>
      </c>
    </row>
    <row r="125" spans="1:19">
      <c r="A125" s="1" t="s">
        <v>2110</v>
      </c>
      <c r="B125" s="42" t="s">
        <v>2039</v>
      </c>
      <c r="C125" s="42" t="s">
        <v>331</v>
      </c>
      <c r="D125" s="42" t="s">
        <v>16</v>
      </c>
      <c r="E125" s="42" t="s">
        <v>1536</v>
      </c>
      <c r="F125" s="42">
        <v>14218</v>
      </c>
      <c r="G125" s="42"/>
      <c r="H125" s="42">
        <v>1300</v>
      </c>
      <c r="I125" s="42">
        <v>25</v>
      </c>
      <c r="J125" s="42"/>
      <c r="K125" s="43">
        <f t="shared" ref="K125" si="281">I125*J125</f>
        <v>0</v>
      </c>
      <c r="L125" s="43">
        <f t="shared" ref="L125" si="282">H125-K125</f>
        <v>1300</v>
      </c>
      <c r="M125" s="43"/>
      <c r="N125" s="43">
        <f t="shared" ref="N125" si="283">L125-M125</f>
        <v>1300</v>
      </c>
      <c r="O125" s="43">
        <f t="shared" ref="O125" si="284">H125/1000*70</f>
        <v>91</v>
      </c>
      <c r="P125" s="42"/>
      <c r="Q125" s="42"/>
      <c r="R125" s="42">
        <f t="shared" ref="R125" si="285">L125*Q125</f>
        <v>0</v>
      </c>
      <c r="S125" s="55" t="s">
        <v>2112</v>
      </c>
    </row>
    <row r="127" spans="1:19">
      <c r="A127" s="1" t="s">
        <v>2121</v>
      </c>
      <c r="B127" s="42" t="s">
        <v>2039</v>
      </c>
      <c r="C127" s="42" t="s">
        <v>2122</v>
      </c>
      <c r="D127" s="42" t="s">
        <v>16</v>
      </c>
      <c r="E127" s="42" t="s">
        <v>2123</v>
      </c>
      <c r="F127" s="42">
        <v>14221</v>
      </c>
      <c r="G127" s="42"/>
      <c r="H127" s="42">
        <v>200</v>
      </c>
      <c r="I127" s="42">
        <v>6</v>
      </c>
      <c r="J127" s="42"/>
      <c r="K127" s="43">
        <f t="shared" ref="K127" si="286">I127*J127</f>
        <v>0</v>
      </c>
      <c r="L127" s="43">
        <f t="shared" ref="L127" si="287">H127-K127</f>
        <v>200</v>
      </c>
      <c r="M127" s="43"/>
      <c r="N127" s="43">
        <f t="shared" ref="N127" si="288">L127-M127</f>
        <v>200</v>
      </c>
      <c r="O127" s="43">
        <f t="shared" ref="O127" si="289">H127/1000*70</f>
        <v>14</v>
      </c>
      <c r="P127" s="42"/>
      <c r="Q127" s="42"/>
      <c r="R127" s="42">
        <f t="shared" ref="R127" si="290">L127*Q127</f>
        <v>0</v>
      </c>
      <c r="S127" s="42" t="s">
        <v>2124</v>
      </c>
    </row>
    <row r="129" spans="1:19">
      <c r="A129" s="1" t="s">
        <v>2183</v>
      </c>
      <c r="B129" s="42" t="s">
        <v>330</v>
      </c>
      <c r="C129" s="42" t="s">
        <v>331</v>
      </c>
      <c r="D129" s="42" t="s">
        <v>16</v>
      </c>
      <c r="E129" s="42" t="s">
        <v>882</v>
      </c>
      <c r="F129" s="42">
        <v>14278</v>
      </c>
      <c r="G129" s="42"/>
      <c r="H129" s="42">
        <v>1250</v>
      </c>
      <c r="I129" s="42">
        <v>20</v>
      </c>
      <c r="J129" s="42"/>
      <c r="K129" s="43">
        <f t="shared" ref="K129" si="291">I129*J129</f>
        <v>0</v>
      </c>
      <c r="L129" s="43">
        <f t="shared" ref="L129" si="292">H129-K129</f>
        <v>1250</v>
      </c>
      <c r="M129" s="43"/>
      <c r="N129" s="43">
        <f t="shared" ref="N129" si="293">L129-M129</f>
        <v>1250</v>
      </c>
      <c r="O129" s="43">
        <f t="shared" ref="O129" si="294">H129/1000*70</f>
        <v>87.5</v>
      </c>
      <c r="P129" s="42">
        <v>0</v>
      </c>
      <c r="Q129" s="42"/>
      <c r="R129" s="42">
        <f t="shared" ref="R129" si="295">L129*Q129</f>
        <v>0</v>
      </c>
      <c r="S129" s="42" t="s">
        <v>2187</v>
      </c>
    </row>
    <row r="131" spans="1:19">
      <c r="A131" s="1" t="s">
        <v>2188</v>
      </c>
      <c r="B131" s="42" t="s">
        <v>330</v>
      </c>
      <c r="C131" s="42" t="s">
        <v>331</v>
      </c>
      <c r="D131" s="42" t="s">
        <v>16</v>
      </c>
      <c r="E131" s="42" t="s">
        <v>1536</v>
      </c>
      <c r="F131" s="42">
        <v>14293</v>
      </c>
      <c r="G131" s="42"/>
      <c r="H131" s="42">
        <v>1230</v>
      </c>
      <c r="I131" s="42">
        <v>20</v>
      </c>
      <c r="J131" s="42"/>
      <c r="K131" s="43">
        <f t="shared" ref="K131" si="296">I131*J131</f>
        <v>0</v>
      </c>
      <c r="L131" s="43">
        <f t="shared" ref="L131" si="297">H131-K131</f>
        <v>1230</v>
      </c>
      <c r="M131" s="43"/>
      <c r="N131" s="43">
        <f t="shared" ref="N131" si="298">L131-M131</f>
        <v>1230</v>
      </c>
      <c r="O131" s="43">
        <f t="shared" ref="O131" si="299">H131/1000*70</f>
        <v>86.1</v>
      </c>
      <c r="P131" s="42">
        <v>0</v>
      </c>
      <c r="Q131" s="42">
        <v>0</v>
      </c>
      <c r="R131" s="42">
        <f t="shared" ref="R131" si="300">L131*Q131</f>
        <v>0</v>
      </c>
      <c r="S131" s="42" t="s">
        <v>2192</v>
      </c>
    </row>
    <row r="133" spans="1:19">
      <c r="A133" s="1" t="s">
        <v>2235</v>
      </c>
      <c r="B133" s="42" t="s">
        <v>330</v>
      </c>
      <c r="C133" s="42" t="s">
        <v>331</v>
      </c>
      <c r="D133" s="42" t="s">
        <v>16</v>
      </c>
      <c r="E133" s="42" t="s">
        <v>513</v>
      </c>
      <c r="F133" s="42">
        <v>15003</v>
      </c>
      <c r="G133" s="42"/>
      <c r="H133" s="42">
        <v>1140</v>
      </c>
      <c r="I133" s="42">
        <v>21</v>
      </c>
      <c r="J133" s="42"/>
      <c r="K133" s="43">
        <f t="shared" ref="K133" si="301">I133*J133</f>
        <v>0</v>
      </c>
      <c r="L133" s="43">
        <f t="shared" ref="L133" si="302">H133-K133</f>
        <v>1140</v>
      </c>
      <c r="M133" s="43"/>
      <c r="N133" s="43">
        <f t="shared" ref="N133" si="303">L133-M133</f>
        <v>1140</v>
      </c>
      <c r="O133" s="43">
        <f t="shared" ref="O133" si="304">H133/1000*70</f>
        <v>79.8</v>
      </c>
      <c r="P133" s="42">
        <v>0</v>
      </c>
      <c r="Q133" s="42"/>
      <c r="R133" s="42">
        <f t="shared" ref="R133" si="305">L133*Q133</f>
        <v>0</v>
      </c>
      <c r="S133" s="55" t="s">
        <v>2237</v>
      </c>
    </row>
    <row r="135" spans="1:19">
      <c r="A135" s="1" t="s">
        <v>2239</v>
      </c>
      <c r="B135" s="42" t="s">
        <v>330</v>
      </c>
      <c r="C135" s="42" t="s">
        <v>331</v>
      </c>
      <c r="D135" s="42" t="s">
        <v>16</v>
      </c>
      <c r="E135" s="42" t="s">
        <v>882</v>
      </c>
      <c r="F135" s="42">
        <v>15029</v>
      </c>
      <c r="G135" s="42"/>
      <c r="H135" s="42">
        <v>1910</v>
      </c>
      <c r="I135" s="42">
        <v>28</v>
      </c>
      <c r="J135" s="42"/>
      <c r="K135" s="43">
        <f t="shared" ref="K135" si="306">I135*J135</f>
        <v>0</v>
      </c>
      <c r="L135" s="43">
        <f t="shared" ref="L135" si="307">H135-K135</f>
        <v>1910</v>
      </c>
      <c r="M135" s="43"/>
      <c r="N135" s="43">
        <f t="shared" ref="N135" si="308">L135-M135</f>
        <v>1910</v>
      </c>
      <c r="O135" s="43">
        <f t="shared" ref="O135" si="309">H135/1000*70</f>
        <v>133.69999999999999</v>
      </c>
      <c r="P135" s="42">
        <v>0</v>
      </c>
      <c r="Q135" s="42"/>
      <c r="R135" s="42">
        <f t="shared" ref="R135" si="310">L135*Q135</f>
        <v>0</v>
      </c>
      <c r="S135" s="178" t="s">
        <v>2241</v>
      </c>
    </row>
    <row r="137" spans="1:19">
      <c r="A137" s="1" t="s">
        <v>2275</v>
      </c>
      <c r="B137" s="42" t="s">
        <v>330</v>
      </c>
      <c r="C137" s="42" t="s">
        <v>331</v>
      </c>
      <c r="D137" s="42" t="s">
        <v>16</v>
      </c>
      <c r="E137" s="42" t="s">
        <v>2279</v>
      </c>
      <c r="F137" s="42">
        <v>15123</v>
      </c>
      <c r="G137" s="42"/>
      <c r="H137" s="42">
        <v>1090</v>
      </c>
      <c r="I137" s="42">
        <v>19</v>
      </c>
      <c r="J137" s="42"/>
      <c r="K137" s="43">
        <f t="shared" ref="K137" si="311">I137*J137</f>
        <v>0</v>
      </c>
      <c r="L137" s="43">
        <f t="shared" ref="L137" si="312">H137-K137</f>
        <v>1090</v>
      </c>
      <c r="M137" s="43"/>
      <c r="N137" s="43">
        <f t="shared" ref="N137" si="313">L137-M137</f>
        <v>1090</v>
      </c>
      <c r="O137" s="43">
        <f t="shared" ref="O137" si="314">H137/1000*70</f>
        <v>76.300000000000011</v>
      </c>
      <c r="P137" s="42">
        <v>0</v>
      </c>
      <c r="Q137" s="42"/>
      <c r="R137" s="42">
        <f t="shared" ref="R137" si="315">L137*Q137</f>
        <v>0</v>
      </c>
      <c r="S137" s="42" t="s">
        <v>2280</v>
      </c>
    </row>
    <row r="139" spans="1:19">
      <c r="A139" s="1" t="s">
        <v>2288</v>
      </c>
      <c r="B139" s="42" t="s">
        <v>330</v>
      </c>
      <c r="C139" s="42" t="s">
        <v>331</v>
      </c>
      <c r="D139" s="42" t="s">
        <v>16</v>
      </c>
      <c r="E139" s="42" t="s">
        <v>1536</v>
      </c>
      <c r="F139" s="42">
        <v>15136</v>
      </c>
      <c r="G139" s="42"/>
      <c r="H139" s="42">
        <v>430</v>
      </c>
      <c r="I139" s="42">
        <v>9</v>
      </c>
      <c r="J139" s="42"/>
      <c r="K139" s="43">
        <f t="shared" ref="K139" si="316">I139*J139</f>
        <v>0</v>
      </c>
      <c r="L139" s="43">
        <f t="shared" ref="L139" si="317">H139-K139</f>
        <v>430</v>
      </c>
      <c r="M139" s="43"/>
      <c r="N139" s="43">
        <f t="shared" ref="N139" si="318">L139-M139</f>
        <v>430</v>
      </c>
      <c r="O139" s="43">
        <f t="shared" ref="O139" si="319">H139/1000*70</f>
        <v>30.099999999999998</v>
      </c>
      <c r="P139" s="42">
        <v>0</v>
      </c>
      <c r="Q139" s="42"/>
      <c r="R139" s="42">
        <f t="shared" ref="R139" si="320">L139*Q139</f>
        <v>0</v>
      </c>
      <c r="S139" s="42" t="s">
        <v>2294</v>
      </c>
    </row>
    <row r="141" spans="1:19">
      <c r="A141" s="1" t="s">
        <v>2296</v>
      </c>
      <c r="B141" s="42" t="s">
        <v>330</v>
      </c>
      <c r="C141" s="42" t="s">
        <v>331</v>
      </c>
      <c r="D141" s="42" t="s">
        <v>16</v>
      </c>
      <c r="E141" s="42" t="s">
        <v>378</v>
      </c>
      <c r="F141" s="42">
        <v>15148</v>
      </c>
      <c r="G141" s="42"/>
      <c r="H141" s="42">
        <v>1460</v>
      </c>
      <c r="I141" s="42">
        <v>30</v>
      </c>
      <c r="J141" s="42"/>
      <c r="K141" s="43">
        <f t="shared" ref="K141" si="321">I141*J141</f>
        <v>0</v>
      </c>
      <c r="L141" s="43">
        <f t="shared" ref="L141" si="322">H141-K141</f>
        <v>1460</v>
      </c>
      <c r="M141" s="43"/>
      <c r="N141" s="43">
        <f t="shared" ref="N141" si="323">L141-M141</f>
        <v>1460</v>
      </c>
      <c r="O141" s="43">
        <f t="shared" ref="O141" si="324">H141/1000*70</f>
        <v>102.2</v>
      </c>
      <c r="P141" s="42">
        <v>0</v>
      </c>
      <c r="Q141" s="42"/>
      <c r="R141" s="42">
        <f t="shared" ref="R141" si="325">L141*Q141</f>
        <v>0</v>
      </c>
      <c r="S141" s="55" t="s">
        <v>2306</v>
      </c>
    </row>
    <row r="143" spans="1:19">
      <c r="A143" s="1" t="s">
        <v>2355</v>
      </c>
      <c r="B143" s="42" t="s">
        <v>330</v>
      </c>
      <c r="C143" s="42" t="s">
        <v>331</v>
      </c>
      <c r="D143" s="42" t="s">
        <v>16</v>
      </c>
      <c r="E143" s="42" t="s">
        <v>378</v>
      </c>
      <c r="F143" s="42" t="s">
        <v>2358</v>
      </c>
      <c r="G143" s="42"/>
      <c r="H143" s="42">
        <v>1190</v>
      </c>
      <c r="I143" s="42">
        <v>12</v>
      </c>
      <c r="J143" s="42"/>
      <c r="K143" s="43">
        <f t="shared" ref="K143" si="326">I143*J143</f>
        <v>0</v>
      </c>
      <c r="L143" s="43">
        <f t="shared" ref="L143" si="327">H143-K143</f>
        <v>1190</v>
      </c>
      <c r="M143" s="43"/>
      <c r="N143" s="43">
        <f t="shared" ref="N143" si="328">L143-M143</f>
        <v>1190</v>
      </c>
      <c r="O143" s="43">
        <f t="shared" ref="O143" si="329">H143/1000*70</f>
        <v>83.3</v>
      </c>
      <c r="P143" s="42">
        <v>0</v>
      </c>
      <c r="Q143" s="42"/>
      <c r="R143" s="42">
        <f t="shared" ref="R143" si="330">L143*Q143</f>
        <v>0</v>
      </c>
      <c r="S143" s="42" t="s">
        <v>2359</v>
      </c>
    </row>
    <row r="145" spans="1:19">
      <c r="A145" s="1" t="s">
        <v>2363</v>
      </c>
      <c r="B145" s="42" t="s">
        <v>330</v>
      </c>
      <c r="C145" s="42" t="s">
        <v>331</v>
      </c>
      <c r="D145" s="42" t="s">
        <v>16</v>
      </c>
      <c r="E145" s="42" t="s">
        <v>332</v>
      </c>
      <c r="F145" s="42">
        <v>15253</v>
      </c>
      <c r="G145" s="42"/>
      <c r="H145" s="42">
        <v>1800</v>
      </c>
      <c r="I145" s="42">
        <v>28</v>
      </c>
      <c r="J145" s="42"/>
      <c r="K145" s="43">
        <f t="shared" ref="K145" si="331">I145*J145</f>
        <v>0</v>
      </c>
      <c r="L145" s="43">
        <f t="shared" ref="L145" si="332">H145-K145</f>
        <v>1800</v>
      </c>
      <c r="M145" s="43"/>
      <c r="N145" s="43">
        <f t="shared" ref="N145" si="333">L145-M145</f>
        <v>1800</v>
      </c>
      <c r="O145" s="43">
        <f t="shared" ref="O145" si="334">H145/1000*70</f>
        <v>126</v>
      </c>
      <c r="P145" s="42">
        <v>0</v>
      </c>
      <c r="Q145" s="42"/>
      <c r="R145" s="42">
        <f t="shared" ref="R145" si="335">L145*Q145</f>
        <v>0</v>
      </c>
      <c r="S145" s="169" t="s">
        <v>2366</v>
      </c>
    </row>
    <row r="147" spans="1:19">
      <c r="A147" s="1" t="s">
        <v>2368</v>
      </c>
      <c r="B147" s="42" t="s">
        <v>330</v>
      </c>
      <c r="C147" s="42" t="s">
        <v>331</v>
      </c>
      <c r="D147" s="42" t="s">
        <v>16</v>
      </c>
      <c r="E147" s="42" t="s">
        <v>332</v>
      </c>
      <c r="F147" s="42">
        <v>15260</v>
      </c>
      <c r="G147" s="42"/>
      <c r="H147" s="42">
        <v>1050</v>
      </c>
      <c r="I147" s="42">
        <v>14</v>
      </c>
      <c r="J147" s="42"/>
      <c r="K147" s="43">
        <f t="shared" ref="K147" si="336">I147*J147</f>
        <v>0</v>
      </c>
      <c r="L147" s="43">
        <f t="shared" ref="L147" si="337">H147-K147</f>
        <v>1050</v>
      </c>
      <c r="M147" s="43"/>
      <c r="N147" s="43">
        <f t="shared" ref="N147" si="338">L147-M147</f>
        <v>1050</v>
      </c>
      <c r="O147" s="43">
        <f t="shared" ref="O147" si="339">H147/1000*70</f>
        <v>73.5</v>
      </c>
      <c r="P147" s="42">
        <v>0</v>
      </c>
      <c r="Q147" s="42"/>
      <c r="R147" s="42">
        <f t="shared" ref="R147" si="340">L147*Q147</f>
        <v>0</v>
      </c>
      <c r="S147" s="42" t="s">
        <v>2371</v>
      </c>
    </row>
    <row r="149" spans="1:19">
      <c r="A149" s="1" t="s">
        <v>2412</v>
      </c>
      <c r="B149" s="42" t="s">
        <v>330</v>
      </c>
      <c r="C149" s="42" t="s">
        <v>881</v>
      </c>
      <c r="D149" s="42" t="s">
        <v>16</v>
      </c>
      <c r="E149" s="42" t="s">
        <v>937</v>
      </c>
      <c r="F149" s="42">
        <v>15325</v>
      </c>
      <c r="G149" s="42"/>
      <c r="H149" s="42">
        <v>470</v>
      </c>
      <c r="I149" s="42">
        <v>6</v>
      </c>
      <c r="J149" s="42"/>
      <c r="K149" s="43">
        <f t="shared" ref="K149" si="341">I149*J149</f>
        <v>0</v>
      </c>
      <c r="L149" s="43">
        <f t="shared" ref="L149" si="342">H149-K149</f>
        <v>470</v>
      </c>
      <c r="M149" s="43"/>
      <c r="N149" s="43">
        <f t="shared" ref="N149" si="343">L149-M149</f>
        <v>470</v>
      </c>
      <c r="O149" s="43">
        <f t="shared" ref="O149" si="344">H149/1000*70</f>
        <v>32.9</v>
      </c>
      <c r="P149" s="42">
        <v>0</v>
      </c>
      <c r="Q149" s="42"/>
      <c r="R149" s="42">
        <f t="shared" ref="R149" si="345">L149*Q149</f>
        <v>0</v>
      </c>
      <c r="S149" s="42" t="s">
        <v>2414</v>
      </c>
    </row>
    <row r="151" spans="1:19">
      <c r="A151" s="1" t="s">
        <v>2510</v>
      </c>
      <c r="B151" s="42" t="s">
        <v>438</v>
      </c>
      <c r="C151" s="42" t="s">
        <v>881</v>
      </c>
      <c r="D151" s="42" t="s">
        <v>16</v>
      </c>
      <c r="E151" s="42" t="s">
        <v>332</v>
      </c>
      <c r="F151" s="42">
        <v>7252</v>
      </c>
      <c r="G151" s="42"/>
      <c r="H151" s="42">
        <v>1170</v>
      </c>
      <c r="I151" s="42">
        <v>18</v>
      </c>
      <c r="J151" s="42"/>
      <c r="K151" s="43">
        <f t="shared" ref="K151" si="346">I151*J151</f>
        <v>0</v>
      </c>
      <c r="L151" s="43">
        <f t="shared" ref="L151" si="347">H151-K151</f>
        <v>1170</v>
      </c>
      <c r="M151" s="43"/>
      <c r="N151" s="43">
        <f t="shared" ref="N151" si="348">L151-M151</f>
        <v>1170</v>
      </c>
      <c r="O151" s="43">
        <f t="shared" ref="O151" si="349">H151/1000*70</f>
        <v>81.899999999999991</v>
      </c>
      <c r="P151" s="42">
        <v>0</v>
      </c>
      <c r="Q151" s="42"/>
      <c r="R151" s="42">
        <f t="shared" ref="R151" si="350">L151*Q151</f>
        <v>0</v>
      </c>
      <c r="S151" s="42" t="s">
        <v>2514</v>
      </c>
    </row>
    <row r="153" spans="1:19">
      <c r="A153" s="1" t="s">
        <v>2519</v>
      </c>
      <c r="B153" s="42" t="s">
        <v>438</v>
      </c>
      <c r="C153" s="42" t="s">
        <v>881</v>
      </c>
      <c r="D153" s="42" t="s">
        <v>16</v>
      </c>
      <c r="E153" s="42" t="s">
        <v>2528</v>
      </c>
      <c r="F153" s="42">
        <v>15492</v>
      </c>
      <c r="G153" s="42"/>
      <c r="H153" s="42">
        <v>870</v>
      </c>
      <c r="I153" s="42">
        <v>12</v>
      </c>
      <c r="J153" s="42"/>
      <c r="K153" s="43">
        <f t="shared" ref="K153" si="351">I153*J153</f>
        <v>0</v>
      </c>
      <c r="L153" s="43">
        <f t="shared" ref="L153" si="352">H153-K153</f>
        <v>870</v>
      </c>
      <c r="M153" s="43"/>
      <c r="N153" s="43">
        <f t="shared" ref="N153" si="353">L153-M153</f>
        <v>870</v>
      </c>
      <c r="O153" s="43">
        <f t="shared" ref="O153" si="354">H153/1000*70</f>
        <v>60.9</v>
      </c>
      <c r="P153" s="42">
        <v>0</v>
      </c>
      <c r="Q153" s="42"/>
      <c r="R153" s="42">
        <f t="shared" ref="R153" si="355">L153*Q153</f>
        <v>0</v>
      </c>
      <c r="S153" s="42" t="s">
        <v>2529</v>
      </c>
    </row>
    <row r="155" spans="1:19">
      <c r="A155" s="1" t="s">
        <v>2544</v>
      </c>
      <c r="B155" s="42" t="s">
        <v>438</v>
      </c>
      <c r="C155" s="55" t="s">
        <v>881</v>
      </c>
      <c r="D155" s="42" t="s">
        <v>16</v>
      </c>
      <c r="E155" s="42" t="s">
        <v>378</v>
      </c>
      <c r="F155" s="42">
        <v>15513</v>
      </c>
      <c r="G155" s="42"/>
      <c r="H155" s="42">
        <v>740</v>
      </c>
      <c r="I155" s="42">
        <v>10</v>
      </c>
      <c r="J155" s="42"/>
      <c r="K155" s="43">
        <f t="shared" ref="K155" si="356">I155*J155</f>
        <v>0</v>
      </c>
      <c r="L155" s="43">
        <f t="shared" ref="L155" si="357">H155-K155</f>
        <v>740</v>
      </c>
      <c r="M155" s="43"/>
      <c r="N155" s="43">
        <f t="shared" ref="N155" si="358">L155-M155</f>
        <v>740</v>
      </c>
      <c r="O155" s="43">
        <f t="shared" ref="O155" si="359">H155/1000*70</f>
        <v>51.8</v>
      </c>
      <c r="P155" s="42">
        <v>0</v>
      </c>
      <c r="Q155" s="42"/>
      <c r="R155" s="42">
        <f t="shared" ref="R155" si="360">L155*Q155</f>
        <v>0</v>
      </c>
      <c r="S155" s="42" t="s">
        <v>2548</v>
      </c>
    </row>
    <row r="157" spans="1:19">
      <c r="A157" s="1" t="s">
        <v>2551</v>
      </c>
      <c r="B157" s="42" t="s">
        <v>438</v>
      </c>
      <c r="C157" s="42" t="s">
        <v>881</v>
      </c>
      <c r="D157" s="42" t="s">
        <v>16</v>
      </c>
      <c r="E157" s="42" t="s">
        <v>937</v>
      </c>
      <c r="F157" s="42">
        <v>15540</v>
      </c>
      <c r="G157" s="42"/>
      <c r="H157" s="42">
        <v>1170</v>
      </c>
      <c r="I157" s="42">
        <v>19</v>
      </c>
      <c r="J157" s="42"/>
      <c r="K157" s="43">
        <f t="shared" ref="K157" si="361">I157*J157</f>
        <v>0</v>
      </c>
      <c r="L157" s="43">
        <f t="shared" ref="L157" si="362">H157-K157</f>
        <v>1170</v>
      </c>
      <c r="M157" s="43"/>
      <c r="N157" s="43">
        <f t="shared" ref="N157" si="363">L157-M157</f>
        <v>1170</v>
      </c>
      <c r="O157" s="43">
        <f t="shared" ref="O157" si="364">H157/1000*70</f>
        <v>81.899999999999991</v>
      </c>
      <c r="P157" s="42">
        <v>0</v>
      </c>
      <c r="Q157" s="42"/>
      <c r="R157" s="42">
        <f t="shared" ref="R157" si="365">L157*Q157</f>
        <v>0</v>
      </c>
      <c r="S157" s="42" t="s">
        <v>2552</v>
      </c>
    </row>
    <row r="159" spans="1:19">
      <c r="A159" s="1" t="s">
        <v>2569</v>
      </c>
      <c r="B159" s="42" t="s">
        <v>438</v>
      </c>
      <c r="C159" s="42" t="s">
        <v>881</v>
      </c>
      <c r="D159" s="42" t="s">
        <v>16</v>
      </c>
      <c r="E159" s="42" t="s">
        <v>882</v>
      </c>
      <c r="F159" s="42">
        <v>15587</v>
      </c>
      <c r="G159" s="42"/>
      <c r="H159" s="42">
        <v>1120</v>
      </c>
      <c r="I159" s="42">
        <v>18</v>
      </c>
      <c r="J159" s="42"/>
      <c r="K159" s="43">
        <f t="shared" ref="K159" si="366">I159*J159</f>
        <v>0</v>
      </c>
      <c r="L159" s="43">
        <f t="shared" ref="L159" si="367">H159-K159</f>
        <v>1120</v>
      </c>
      <c r="M159" s="43"/>
      <c r="N159" s="43">
        <f t="shared" ref="N159" si="368">L159-M159</f>
        <v>1120</v>
      </c>
      <c r="O159" s="43">
        <f t="shared" ref="O159" si="369">H159/1000*70</f>
        <v>78.400000000000006</v>
      </c>
      <c r="P159" s="42">
        <v>0</v>
      </c>
      <c r="Q159" s="42"/>
      <c r="R159" s="42">
        <f t="shared" ref="R159" si="370">L159*Q159</f>
        <v>0</v>
      </c>
      <c r="S159" s="42" t="s">
        <v>2571</v>
      </c>
    </row>
    <row r="161" spans="1:19">
      <c r="A161" s="1" t="s">
        <v>2674</v>
      </c>
      <c r="B161" s="42" t="s">
        <v>1788</v>
      </c>
      <c r="C161" s="42" t="s">
        <v>881</v>
      </c>
      <c r="D161" s="42" t="s">
        <v>16</v>
      </c>
      <c r="E161" s="42" t="s">
        <v>2111</v>
      </c>
      <c r="F161" s="42">
        <v>15712</v>
      </c>
      <c r="G161" s="42"/>
      <c r="H161" s="42">
        <v>810</v>
      </c>
      <c r="I161" s="42">
        <v>11</v>
      </c>
      <c r="J161" s="42"/>
      <c r="K161" s="43">
        <f t="shared" ref="K161" si="371">I161*J161</f>
        <v>0</v>
      </c>
      <c r="L161" s="43">
        <f t="shared" ref="L161" si="372">H161-K161</f>
        <v>810</v>
      </c>
      <c r="M161" s="43"/>
      <c r="N161" s="43">
        <f t="shared" ref="N161" si="373">L161-M161</f>
        <v>810</v>
      </c>
      <c r="O161" s="43">
        <f t="shared" ref="O161" si="374">H161/1000*70</f>
        <v>56.7</v>
      </c>
      <c r="P161" s="42"/>
      <c r="Q161" s="42"/>
      <c r="R161" s="42">
        <f t="shared" ref="R161" si="375">L161*Q161</f>
        <v>0</v>
      </c>
      <c r="S161" s="42" t="s">
        <v>2679</v>
      </c>
    </row>
    <row r="163" spans="1:19" ht="15.6">
      <c r="A163" s="1" t="s">
        <v>2695</v>
      </c>
      <c r="B163" s="42" t="s">
        <v>1788</v>
      </c>
      <c r="C163" s="42" t="s">
        <v>881</v>
      </c>
      <c r="D163" s="42" t="s">
        <v>16</v>
      </c>
      <c r="E163" s="42" t="s">
        <v>513</v>
      </c>
      <c r="F163" s="42">
        <v>15752</v>
      </c>
      <c r="G163" s="42"/>
      <c r="H163" s="42">
        <v>3160</v>
      </c>
      <c r="I163" s="42">
        <v>47</v>
      </c>
      <c r="J163" s="42"/>
      <c r="K163" s="43">
        <f t="shared" ref="K163" si="376">I163*J163</f>
        <v>0</v>
      </c>
      <c r="L163" s="43">
        <f t="shared" ref="L163" si="377">H163-K163</f>
        <v>3160</v>
      </c>
      <c r="M163" s="43"/>
      <c r="N163" s="43">
        <f t="shared" ref="N163" si="378">L163-M163</f>
        <v>3160</v>
      </c>
      <c r="O163" s="43">
        <f t="shared" ref="O163" si="379">H163/1000*70</f>
        <v>221.20000000000002</v>
      </c>
      <c r="P163" s="42">
        <v>0</v>
      </c>
      <c r="Q163" s="42">
        <v>0</v>
      </c>
      <c r="R163" s="42">
        <f t="shared" ref="R163" si="380">L163*Q163</f>
        <v>0</v>
      </c>
      <c r="S163" s="85" t="s">
        <v>2697</v>
      </c>
    </row>
    <row r="165" spans="1:19">
      <c r="A165" s="1" t="s">
        <v>2706</v>
      </c>
      <c r="B165" s="42" t="s">
        <v>1788</v>
      </c>
      <c r="C165" s="42" t="s">
        <v>881</v>
      </c>
      <c r="D165" s="42" t="s">
        <v>16</v>
      </c>
      <c r="E165" s="42" t="s">
        <v>835</v>
      </c>
      <c r="F165" s="42">
        <v>15766</v>
      </c>
      <c r="G165" s="42"/>
      <c r="H165" s="42">
        <v>140</v>
      </c>
      <c r="I165" s="42">
        <v>2</v>
      </c>
      <c r="J165" s="42"/>
      <c r="K165" s="43">
        <f t="shared" ref="K165" si="381">I165*J165</f>
        <v>0</v>
      </c>
      <c r="L165" s="43">
        <f t="shared" ref="L165" si="382">H165-K165</f>
        <v>140</v>
      </c>
      <c r="M165" s="43"/>
      <c r="N165" s="43">
        <f t="shared" ref="N165" si="383">L165-M165</f>
        <v>140</v>
      </c>
      <c r="O165" s="43">
        <f t="shared" ref="O165" si="384">H165/1000*70</f>
        <v>9.8000000000000007</v>
      </c>
      <c r="P165" s="42">
        <v>0</v>
      </c>
      <c r="Q165" s="42"/>
      <c r="R165" s="42">
        <f t="shared" ref="R165" si="385">L165*Q165</f>
        <v>0</v>
      </c>
      <c r="S165" s="42" t="s">
        <v>2708</v>
      </c>
    </row>
    <row r="167" spans="1:19">
      <c r="A167" s="1" t="s">
        <v>2710</v>
      </c>
      <c r="B167" s="42" t="s">
        <v>1788</v>
      </c>
      <c r="C167" s="42" t="s">
        <v>881</v>
      </c>
      <c r="D167" s="42" t="s">
        <v>16</v>
      </c>
      <c r="E167" s="42" t="s">
        <v>882</v>
      </c>
      <c r="F167" s="42">
        <v>15776</v>
      </c>
      <c r="G167" s="42"/>
      <c r="H167" s="42">
        <v>1060</v>
      </c>
      <c r="I167" s="42">
        <v>15</v>
      </c>
      <c r="J167" s="42"/>
      <c r="K167" s="43">
        <f t="shared" ref="K167" si="386">I167*J167</f>
        <v>0</v>
      </c>
      <c r="L167" s="43">
        <f t="shared" ref="L167" si="387">H167-K167</f>
        <v>1060</v>
      </c>
      <c r="M167" s="43"/>
      <c r="N167" s="43">
        <f t="shared" ref="N167" si="388">L167-M167</f>
        <v>1060</v>
      </c>
      <c r="O167" s="43">
        <f t="shared" ref="O167" si="389">H167/1000*70</f>
        <v>74.2</v>
      </c>
      <c r="P167" s="42">
        <v>0</v>
      </c>
      <c r="Q167" s="42"/>
      <c r="R167" s="42">
        <f t="shared" ref="R167" si="390">L167*Q167</f>
        <v>0</v>
      </c>
      <c r="S167" s="42" t="s">
        <v>2713</v>
      </c>
    </row>
    <row r="169" spans="1:19">
      <c r="A169" s="1" t="s">
        <v>2743</v>
      </c>
      <c r="B169" s="42" t="s">
        <v>330</v>
      </c>
      <c r="C169" s="42" t="s">
        <v>881</v>
      </c>
      <c r="D169" s="42" t="s">
        <v>16</v>
      </c>
      <c r="E169" s="42" t="s">
        <v>937</v>
      </c>
      <c r="F169" s="42">
        <v>15838</v>
      </c>
      <c r="G169" s="42"/>
      <c r="H169" s="42">
        <v>900</v>
      </c>
      <c r="I169" s="42">
        <v>12</v>
      </c>
      <c r="J169" s="42"/>
      <c r="K169" s="43">
        <f t="shared" ref="K169" si="391">I169*J169</f>
        <v>0</v>
      </c>
      <c r="L169" s="43">
        <f t="shared" ref="L169" si="392">H169-K169</f>
        <v>900</v>
      </c>
      <c r="M169" s="43"/>
      <c r="N169" s="43">
        <f t="shared" ref="N169" si="393">L169-M169</f>
        <v>900</v>
      </c>
      <c r="O169" s="43">
        <f t="shared" ref="O169" si="394">H169/1000*70</f>
        <v>63</v>
      </c>
      <c r="P169" s="42"/>
      <c r="Q169" s="42"/>
      <c r="R169" s="42">
        <f t="shared" ref="R169" si="395">L169*Q169</f>
        <v>0</v>
      </c>
      <c r="S169" s="42" t="s">
        <v>2744</v>
      </c>
    </row>
    <row r="171" spans="1:19">
      <c r="A171" s="1" t="s">
        <v>2843</v>
      </c>
      <c r="B171" s="42" t="s">
        <v>330</v>
      </c>
      <c r="C171" s="42" t="s">
        <v>881</v>
      </c>
      <c r="D171" s="42" t="s">
        <v>16</v>
      </c>
      <c r="E171" s="42" t="s">
        <v>378</v>
      </c>
      <c r="F171" s="42">
        <v>15932</v>
      </c>
      <c r="G171" s="42"/>
      <c r="H171" s="42">
        <v>820</v>
      </c>
      <c r="I171" s="42">
        <v>11</v>
      </c>
      <c r="J171" s="42"/>
      <c r="K171" s="43">
        <f t="shared" ref="K171" si="396">I171*J171</f>
        <v>0</v>
      </c>
      <c r="L171" s="43">
        <f t="shared" ref="L171" si="397">H171-K171</f>
        <v>820</v>
      </c>
      <c r="M171" s="43"/>
      <c r="N171" s="43">
        <f t="shared" ref="N171" si="398">L171-M171</f>
        <v>820</v>
      </c>
      <c r="O171" s="43">
        <f t="shared" ref="O171" si="399">H171/1000*70</f>
        <v>57.4</v>
      </c>
      <c r="P171" s="42">
        <v>0</v>
      </c>
      <c r="Q171" s="42">
        <v>0</v>
      </c>
      <c r="R171" s="42">
        <f t="shared" ref="R171" si="400">L171*Q171</f>
        <v>0</v>
      </c>
      <c r="S171" s="42" t="s">
        <v>2847</v>
      </c>
    </row>
    <row r="173" spans="1:19">
      <c r="A173" s="1" t="s">
        <v>2863</v>
      </c>
      <c r="B173" s="42" t="s">
        <v>330</v>
      </c>
      <c r="C173" s="42" t="s">
        <v>881</v>
      </c>
      <c r="D173" s="42" t="s">
        <v>16</v>
      </c>
      <c r="E173" s="42" t="s">
        <v>882</v>
      </c>
      <c r="F173" s="42">
        <v>16224</v>
      </c>
      <c r="G173" s="42"/>
      <c r="H173" s="42">
        <v>1920</v>
      </c>
      <c r="I173" s="42">
        <v>26</v>
      </c>
      <c r="J173" s="42"/>
      <c r="K173" s="43">
        <f t="shared" ref="K173" si="401">I173*J173</f>
        <v>0</v>
      </c>
      <c r="L173" s="43">
        <f t="shared" ref="L173" si="402">H173-K173</f>
        <v>1920</v>
      </c>
      <c r="M173" s="43"/>
      <c r="N173" s="43">
        <f t="shared" ref="N173" si="403">L173-M173</f>
        <v>1920</v>
      </c>
      <c r="O173" s="43">
        <f t="shared" ref="O173" si="404">H173/1000*70</f>
        <v>134.4</v>
      </c>
      <c r="P173" s="42">
        <v>0</v>
      </c>
      <c r="Q173" s="42"/>
      <c r="R173" s="42">
        <f t="shared" ref="R173" si="405">L173*Q173</f>
        <v>0</v>
      </c>
      <c r="S173" s="42" t="s">
        <v>2865</v>
      </c>
    </row>
    <row r="175" spans="1:19">
      <c r="A175" s="1" t="s">
        <v>2918</v>
      </c>
      <c r="B175" s="42" t="s">
        <v>330</v>
      </c>
      <c r="C175" s="42" t="s">
        <v>331</v>
      </c>
      <c r="D175" s="42" t="s">
        <v>16</v>
      </c>
      <c r="E175" s="42" t="s">
        <v>882</v>
      </c>
      <c r="F175" s="42">
        <v>16298</v>
      </c>
      <c r="G175" s="42"/>
      <c r="H175" s="42">
        <v>920</v>
      </c>
      <c r="I175" s="42">
        <v>20</v>
      </c>
      <c r="J175" s="42"/>
      <c r="K175" s="43">
        <f t="shared" ref="K175" si="406">I175*J175</f>
        <v>0</v>
      </c>
      <c r="L175" s="43">
        <f t="shared" ref="L175" si="407">H175-K175</f>
        <v>920</v>
      </c>
      <c r="M175" s="43"/>
      <c r="N175" s="43">
        <f t="shared" ref="N175" si="408">L175-M175</f>
        <v>920</v>
      </c>
      <c r="O175" s="43">
        <f t="shared" ref="O175" si="409">H175/1000*70</f>
        <v>64.400000000000006</v>
      </c>
      <c r="P175" s="42">
        <v>0</v>
      </c>
      <c r="Q175" s="42"/>
      <c r="R175" s="42">
        <f t="shared" ref="R175" si="410">L175*Q175</f>
        <v>0</v>
      </c>
      <c r="S175" s="42" t="s">
        <v>2925</v>
      </c>
    </row>
    <row r="177" spans="1:19">
      <c r="A177" s="1" t="s">
        <v>2990</v>
      </c>
      <c r="B177" s="42" t="s">
        <v>330</v>
      </c>
      <c r="C177" s="42" t="s">
        <v>331</v>
      </c>
      <c r="D177" s="42" t="s">
        <v>16</v>
      </c>
      <c r="E177" s="42" t="s">
        <v>882</v>
      </c>
      <c r="F177" s="42">
        <v>16388</v>
      </c>
      <c r="G177" s="42"/>
      <c r="H177" s="42">
        <v>690</v>
      </c>
      <c r="I177" s="42">
        <v>9</v>
      </c>
      <c r="J177" s="42"/>
      <c r="K177" s="43">
        <f t="shared" ref="K177" si="411">I177*J177</f>
        <v>0</v>
      </c>
      <c r="L177" s="43">
        <f t="shared" ref="L177" si="412">H177-K177</f>
        <v>690</v>
      </c>
      <c r="M177" s="43"/>
      <c r="N177" s="43">
        <f t="shared" ref="N177" si="413">L177-M177</f>
        <v>690</v>
      </c>
      <c r="O177" s="43">
        <f t="shared" ref="O177" si="414">H177/1000*70</f>
        <v>48.3</v>
      </c>
      <c r="P177" s="42"/>
      <c r="Q177" s="42"/>
      <c r="R177" s="42">
        <f t="shared" ref="R177" si="415">L177*Q177</f>
        <v>0</v>
      </c>
      <c r="S177" s="42" t="s">
        <v>2994</v>
      </c>
    </row>
    <row r="179" spans="1:19">
      <c r="A179" s="1" t="s">
        <v>3003</v>
      </c>
      <c r="B179" s="42" t="s">
        <v>330</v>
      </c>
      <c r="C179" s="42" t="s">
        <v>331</v>
      </c>
      <c r="D179" s="42" t="s">
        <v>16</v>
      </c>
      <c r="E179" s="42" t="s">
        <v>882</v>
      </c>
      <c r="F179" s="42">
        <v>16405</v>
      </c>
      <c r="G179" s="42"/>
      <c r="H179" s="42">
        <v>620</v>
      </c>
      <c r="I179" s="42">
        <v>10</v>
      </c>
      <c r="J179" s="42"/>
      <c r="K179" s="43">
        <f t="shared" ref="K179" si="416">I179*J179</f>
        <v>0</v>
      </c>
      <c r="L179" s="43">
        <f t="shared" ref="L179" si="417">H179-K179</f>
        <v>620</v>
      </c>
      <c r="M179" s="43"/>
      <c r="N179" s="43">
        <f t="shared" ref="N179" si="418">L179-M179</f>
        <v>620</v>
      </c>
      <c r="O179" s="43">
        <f t="shared" ref="O179" si="419">H179/1000*70</f>
        <v>43.4</v>
      </c>
      <c r="P179" s="42">
        <v>0</v>
      </c>
      <c r="Q179" s="42"/>
      <c r="R179" s="42">
        <f t="shared" ref="R179" si="420">L179*Q179</f>
        <v>0</v>
      </c>
      <c r="S179" s="42" t="s">
        <v>3006</v>
      </c>
    </row>
    <row r="181" spans="1:19">
      <c r="A181" s="1" t="s">
        <v>3033</v>
      </c>
      <c r="B181" s="42" t="s">
        <v>330</v>
      </c>
      <c r="C181" s="42" t="s">
        <v>881</v>
      </c>
      <c r="D181" s="42" t="s">
        <v>16</v>
      </c>
      <c r="E181" s="42" t="s">
        <v>332</v>
      </c>
      <c r="F181" s="42">
        <v>16468</v>
      </c>
      <c r="G181" s="42"/>
      <c r="H181" s="42">
        <v>710</v>
      </c>
      <c r="I181" s="42">
        <v>16</v>
      </c>
      <c r="J181" s="42"/>
      <c r="K181" s="43">
        <f t="shared" ref="K181" si="421">I181*J181</f>
        <v>0</v>
      </c>
      <c r="L181" s="43">
        <f t="shared" ref="L181" si="422">H181-K181</f>
        <v>710</v>
      </c>
      <c r="M181" s="43"/>
      <c r="N181" s="43">
        <f t="shared" ref="N181" si="423">L181-M181</f>
        <v>710</v>
      </c>
      <c r="O181" s="43">
        <f t="shared" ref="O181" si="424">H181/1000*70</f>
        <v>49.699999999999996</v>
      </c>
      <c r="P181" s="42"/>
      <c r="Q181" s="42"/>
      <c r="R181" s="42">
        <f t="shared" ref="R181" si="425">L181*Q181</f>
        <v>0</v>
      </c>
      <c r="S181" s="55" t="s">
        <v>3035</v>
      </c>
    </row>
    <row r="183" spans="1:19">
      <c r="A183" s="1" t="s">
        <v>3036</v>
      </c>
      <c r="B183" s="42" t="s">
        <v>330</v>
      </c>
      <c r="C183" s="42" t="s">
        <v>881</v>
      </c>
      <c r="D183" s="42" t="s">
        <v>16</v>
      </c>
      <c r="E183" s="42" t="s">
        <v>835</v>
      </c>
      <c r="F183" s="42">
        <v>16476</v>
      </c>
      <c r="G183" s="42"/>
      <c r="H183" s="42">
        <v>160</v>
      </c>
      <c r="I183" s="42">
        <v>2</v>
      </c>
      <c r="J183" s="42"/>
      <c r="K183" s="43">
        <f t="shared" ref="K183" si="426">I183*J183</f>
        <v>0</v>
      </c>
      <c r="L183" s="43">
        <f t="shared" ref="L183" si="427">H183-K183</f>
        <v>160</v>
      </c>
      <c r="M183" s="43"/>
      <c r="N183" s="43">
        <f t="shared" ref="N183" si="428">L183-M183</f>
        <v>160</v>
      </c>
      <c r="O183" s="43">
        <f t="shared" ref="O183" si="429">H183/1000*70</f>
        <v>11.200000000000001</v>
      </c>
      <c r="P183" s="42">
        <v>0</v>
      </c>
      <c r="Q183" s="42"/>
      <c r="R183" s="42">
        <f t="shared" ref="R183" si="430">L183*Q183</f>
        <v>0</v>
      </c>
      <c r="S183" s="42" t="s">
        <v>3039</v>
      </c>
    </row>
    <row r="185" spans="1:19">
      <c r="A185" s="1" t="s">
        <v>3044</v>
      </c>
      <c r="B185" s="42" t="s">
        <v>330</v>
      </c>
      <c r="C185" s="42" t="s">
        <v>881</v>
      </c>
      <c r="D185" s="42" t="s">
        <v>16</v>
      </c>
      <c r="E185" s="42" t="s">
        <v>882</v>
      </c>
      <c r="F185" s="42">
        <v>16492</v>
      </c>
      <c r="G185" s="42"/>
      <c r="H185" s="42">
        <v>910</v>
      </c>
      <c r="I185" s="42">
        <v>13</v>
      </c>
      <c r="J185" s="42"/>
      <c r="K185" s="43">
        <f t="shared" ref="K185" si="431">I185*J185</f>
        <v>0</v>
      </c>
      <c r="L185" s="43">
        <f t="shared" ref="L185" si="432">H185-K185</f>
        <v>910</v>
      </c>
      <c r="M185" s="43"/>
      <c r="N185" s="43">
        <f t="shared" ref="N185" si="433">L185-M185</f>
        <v>910</v>
      </c>
      <c r="O185" s="43">
        <f t="shared" ref="O185" si="434">H185/1000*70</f>
        <v>63.7</v>
      </c>
      <c r="P185" s="42">
        <v>0</v>
      </c>
      <c r="Q185" s="42"/>
      <c r="R185" s="42">
        <f t="shared" ref="R185" si="435">L185*Q185</f>
        <v>0</v>
      </c>
      <c r="S185" s="42" t="s">
        <v>3051</v>
      </c>
    </row>
    <row r="187" spans="1:19">
      <c r="A187" s="1" t="s">
        <v>3084</v>
      </c>
      <c r="B187" s="42" t="s">
        <v>330</v>
      </c>
      <c r="C187" s="42" t="s">
        <v>881</v>
      </c>
      <c r="D187" s="42" t="s">
        <v>16</v>
      </c>
      <c r="E187" s="42" t="s">
        <v>882</v>
      </c>
      <c r="F187" s="42">
        <v>16574</v>
      </c>
      <c r="G187" s="42"/>
      <c r="H187" s="42">
        <v>430</v>
      </c>
      <c r="I187" s="42">
        <v>7</v>
      </c>
      <c r="J187" s="42"/>
      <c r="K187" s="43">
        <f t="shared" ref="K187" si="436">I187*J187</f>
        <v>0</v>
      </c>
      <c r="L187" s="43">
        <f t="shared" ref="L187" si="437">H187-K187</f>
        <v>430</v>
      </c>
      <c r="M187" s="43"/>
      <c r="N187" s="43">
        <f t="shared" ref="N187" si="438">L187-M187</f>
        <v>430</v>
      </c>
      <c r="O187" s="43">
        <f t="shared" ref="O187" si="439">H187/1000*70</f>
        <v>30.099999999999998</v>
      </c>
      <c r="P187" s="42">
        <v>0</v>
      </c>
      <c r="Q187" s="42"/>
      <c r="R187" s="42">
        <f t="shared" ref="R187" si="440">L187*Q187</f>
        <v>0</v>
      </c>
      <c r="S187" s="42" t="s">
        <v>3090</v>
      </c>
    </row>
    <row r="189" spans="1:19">
      <c r="A189" s="1" t="s">
        <v>3101</v>
      </c>
      <c r="B189" s="42" t="s">
        <v>330</v>
      </c>
      <c r="C189" s="42" t="s">
        <v>881</v>
      </c>
      <c r="D189" s="42" t="s">
        <v>16</v>
      </c>
      <c r="E189" s="42" t="s">
        <v>513</v>
      </c>
      <c r="F189" s="42">
        <v>16585</v>
      </c>
      <c r="G189" s="42"/>
      <c r="H189" s="42">
        <v>1630</v>
      </c>
      <c r="I189" s="42">
        <v>30</v>
      </c>
      <c r="J189" s="42"/>
      <c r="K189" s="43">
        <f t="shared" ref="K189" si="441">I189*J189</f>
        <v>0</v>
      </c>
      <c r="L189" s="43">
        <f t="shared" ref="L189" si="442">H189-K189</f>
        <v>1630</v>
      </c>
      <c r="M189" s="43"/>
      <c r="N189" s="43">
        <f t="shared" ref="N189" si="443">L189-M189</f>
        <v>1630</v>
      </c>
      <c r="O189" s="43">
        <f t="shared" ref="O189" si="444">H189/1000*70</f>
        <v>114.1</v>
      </c>
      <c r="P189" s="42">
        <v>0</v>
      </c>
      <c r="Q189" s="42"/>
      <c r="R189" s="42">
        <f t="shared" ref="R189" si="445">L189*Q189</f>
        <v>0</v>
      </c>
      <c r="S189" s="306" t="s">
        <v>3102</v>
      </c>
    </row>
    <row r="191" spans="1:19">
      <c r="A191" s="1" t="s">
        <v>3133</v>
      </c>
      <c r="B191" s="42" t="s">
        <v>330</v>
      </c>
      <c r="C191" s="42" t="s">
        <v>881</v>
      </c>
      <c r="D191" s="42" t="s">
        <v>16</v>
      </c>
      <c r="E191" s="42" t="s">
        <v>882</v>
      </c>
      <c r="F191" s="42">
        <v>16670</v>
      </c>
      <c r="G191" s="42"/>
      <c r="H191" s="42">
        <v>820</v>
      </c>
      <c r="I191" s="42">
        <v>12</v>
      </c>
      <c r="J191" s="42"/>
      <c r="K191" s="43">
        <f t="shared" ref="K191" si="446">I191*J191</f>
        <v>0</v>
      </c>
      <c r="L191" s="43">
        <f t="shared" ref="L191" si="447">H191-K191</f>
        <v>820</v>
      </c>
      <c r="M191" s="43"/>
      <c r="N191" s="43">
        <f t="shared" ref="N191" si="448">L191-M191</f>
        <v>820</v>
      </c>
      <c r="O191" s="43">
        <f t="shared" ref="O191" si="449">H191/1000*70</f>
        <v>57.4</v>
      </c>
      <c r="P191" s="42">
        <v>0</v>
      </c>
      <c r="Q191" s="42"/>
      <c r="R191" s="42">
        <f t="shared" ref="R191" si="450">L191*Q191</f>
        <v>0</v>
      </c>
      <c r="S191" s="42" t="s">
        <v>3135</v>
      </c>
    </row>
    <row r="193" spans="1:19">
      <c r="A193" s="1" t="s">
        <v>3157</v>
      </c>
      <c r="B193" s="42" t="s">
        <v>330</v>
      </c>
      <c r="C193" s="42" t="s">
        <v>881</v>
      </c>
      <c r="D193" s="42" t="s">
        <v>16</v>
      </c>
      <c r="E193" s="42" t="s">
        <v>1536</v>
      </c>
      <c r="F193" s="42">
        <v>16696</v>
      </c>
      <c r="G193" s="42"/>
      <c r="H193" s="42">
        <v>1810</v>
      </c>
      <c r="I193" s="42">
        <v>26</v>
      </c>
      <c r="J193" s="42"/>
      <c r="K193" s="43">
        <f t="shared" ref="K193" si="451">I193*J193</f>
        <v>0</v>
      </c>
      <c r="L193" s="43">
        <f t="shared" ref="L193" si="452">H193-K193</f>
        <v>1810</v>
      </c>
      <c r="M193" s="43"/>
      <c r="N193" s="43">
        <f t="shared" ref="N193" si="453">L193-M193</f>
        <v>1810</v>
      </c>
      <c r="O193" s="43">
        <f t="shared" ref="O193" si="454">H193/1000*70</f>
        <v>126.7</v>
      </c>
      <c r="P193" s="42">
        <v>0</v>
      </c>
      <c r="Q193" s="42"/>
      <c r="R193" s="42">
        <f t="shared" ref="R193" si="455">L193*Q193</f>
        <v>0</v>
      </c>
      <c r="S193" s="55" t="s">
        <v>3159</v>
      </c>
    </row>
    <row r="195" spans="1:19">
      <c r="A195" s="1" t="s">
        <v>3164</v>
      </c>
      <c r="B195" s="42" t="s">
        <v>330</v>
      </c>
      <c r="C195" s="42" t="s">
        <v>881</v>
      </c>
      <c r="D195" s="42" t="s">
        <v>16</v>
      </c>
      <c r="E195" s="42" t="s">
        <v>378</v>
      </c>
      <c r="F195" s="42">
        <v>16719</v>
      </c>
      <c r="G195" s="42"/>
      <c r="H195" s="42">
        <v>1440</v>
      </c>
      <c r="I195" s="42">
        <v>20</v>
      </c>
      <c r="J195" s="42"/>
      <c r="K195" s="43">
        <f t="shared" ref="K195" si="456">I195*J195</f>
        <v>0</v>
      </c>
      <c r="L195" s="43">
        <f t="shared" ref="L195" si="457">H195-K195</f>
        <v>1440</v>
      </c>
      <c r="M195" s="43"/>
      <c r="N195" s="43">
        <f t="shared" ref="N195" si="458">L195-M195</f>
        <v>1440</v>
      </c>
      <c r="O195" s="43">
        <f t="shared" ref="O195" si="459">H195/1000*70</f>
        <v>100.8</v>
      </c>
      <c r="P195" s="42"/>
      <c r="Q195" s="42"/>
      <c r="R195" s="42">
        <f t="shared" ref="R195" si="460">L195*Q195</f>
        <v>0</v>
      </c>
      <c r="S195" s="42" t="s">
        <v>3171</v>
      </c>
    </row>
    <row r="197" spans="1:19">
      <c r="A197" s="1" t="s">
        <v>3229</v>
      </c>
      <c r="B197" s="42" t="s">
        <v>330</v>
      </c>
      <c r="C197" s="42" t="s">
        <v>881</v>
      </c>
      <c r="D197" s="42" t="s">
        <v>16</v>
      </c>
      <c r="E197" s="42" t="s">
        <v>1536</v>
      </c>
      <c r="F197" s="42">
        <v>16854</v>
      </c>
      <c r="G197" s="42"/>
      <c r="H197" s="42">
        <v>990</v>
      </c>
      <c r="I197" s="42">
        <v>21</v>
      </c>
      <c r="J197" s="42"/>
      <c r="K197" s="43">
        <f t="shared" ref="K197" si="461">I197*J197</f>
        <v>0</v>
      </c>
      <c r="L197" s="43">
        <f t="shared" ref="L197" si="462">H197-K197</f>
        <v>990</v>
      </c>
      <c r="M197" s="43"/>
      <c r="N197" s="43">
        <f t="shared" ref="N197" si="463">L197-M197</f>
        <v>990</v>
      </c>
      <c r="O197" s="43">
        <f t="shared" ref="O197" si="464">H197/1000*70</f>
        <v>69.3</v>
      </c>
      <c r="P197" s="42">
        <v>0</v>
      </c>
      <c r="Q197" s="42"/>
      <c r="R197" s="42">
        <f t="shared" ref="R197" si="465">L197*Q197</f>
        <v>0</v>
      </c>
      <c r="S197" s="306" t="s">
        <v>3234</v>
      </c>
    </row>
    <row r="199" spans="1:19">
      <c r="A199" s="1" t="s">
        <v>3404</v>
      </c>
      <c r="B199" s="42" t="s">
        <v>330</v>
      </c>
      <c r="C199" s="42" t="s">
        <v>2122</v>
      </c>
      <c r="D199" s="42" t="s">
        <v>16</v>
      </c>
      <c r="E199" s="47" t="s">
        <v>332</v>
      </c>
      <c r="F199" s="47">
        <v>17490</v>
      </c>
      <c r="G199" s="47"/>
      <c r="H199" s="47">
        <v>360</v>
      </c>
      <c r="I199" s="47">
        <v>9</v>
      </c>
      <c r="J199" s="47"/>
      <c r="K199" s="43">
        <f t="shared" ref="K199" si="466">I199*J199</f>
        <v>0</v>
      </c>
      <c r="L199" s="43">
        <f t="shared" ref="L199" si="467">H199-K199</f>
        <v>360</v>
      </c>
      <c r="M199" s="43"/>
      <c r="N199" s="43">
        <f t="shared" ref="N199" si="468">L199-M199</f>
        <v>360</v>
      </c>
      <c r="O199" s="43">
        <f t="shared" ref="O199" si="469">H199/1000*70</f>
        <v>25.2</v>
      </c>
      <c r="P199" s="42">
        <v>0</v>
      </c>
      <c r="Q199" s="42"/>
      <c r="R199" s="42">
        <f t="shared" ref="R199" si="470">L199*Q199</f>
        <v>0</v>
      </c>
      <c r="S199" s="42" t="s">
        <v>3406</v>
      </c>
    </row>
    <row r="201" spans="1:19">
      <c r="A201" s="1" t="s">
        <v>3454</v>
      </c>
      <c r="B201" s="42" t="s">
        <v>330</v>
      </c>
      <c r="C201" s="42" t="s">
        <v>331</v>
      </c>
      <c r="D201" s="42" t="s">
        <v>16</v>
      </c>
      <c r="E201" s="47" t="s">
        <v>332</v>
      </c>
      <c r="F201" s="47">
        <v>17570</v>
      </c>
      <c r="G201" s="47"/>
      <c r="H201" s="47">
        <v>1040</v>
      </c>
      <c r="I201" s="47">
        <v>18</v>
      </c>
      <c r="J201" s="47"/>
      <c r="K201" s="43">
        <f t="shared" ref="K201" si="471">I201*J201</f>
        <v>0</v>
      </c>
      <c r="L201" s="43">
        <f t="shared" ref="L201" si="472">H201-K201</f>
        <v>1040</v>
      </c>
      <c r="M201" s="43"/>
      <c r="N201" s="43">
        <f t="shared" ref="N201" si="473">L201-M201</f>
        <v>1040</v>
      </c>
      <c r="O201" s="43">
        <f t="shared" ref="O201" si="474">H201/1000*70</f>
        <v>72.8</v>
      </c>
      <c r="P201" s="42">
        <v>0</v>
      </c>
      <c r="Q201" s="42"/>
      <c r="R201" s="42">
        <f t="shared" ref="R201" si="475">L201*Q201</f>
        <v>0</v>
      </c>
      <c r="S201" s="48" t="s">
        <v>3460</v>
      </c>
    </row>
    <row r="203" spans="1:19">
      <c r="A203" s="1" t="s">
        <v>3787</v>
      </c>
      <c r="B203" s="42" t="s">
        <v>330</v>
      </c>
      <c r="C203" s="42" t="s">
        <v>881</v>
      </c>
      <c r="D203" s="42" t="s">
        <v>16</v>
      </c>
      <c r="E203" s="47" t="s">
        <v>835</v>
      </c>
      <c r="F203" s="47">
        <v>18135</v>
      </c>
      <c r="G203" s="47"/>
      <c r="H203" s="47">
        <v>90</v>
      </c>
      <c r="I203" s="47">
        <v>2</v>
      </c>
      <c r="J203" s="47"/>
      <c r="K203" s="43">
        <f t="shared" ref="K203" si="476">I203*J203</f>
        <v>0</v>
      </c>
      <c r="L203" s="43">
        <f t="shared" ref="L203" si="477">H203-K203</f>
        <v>90</v>
      </c>
      <c r="M203" s="43"/>
      <c r="N203" s="43">
        <f t="shared" ref="N203" si="478">L203-M203</f>
        <v>90</v>
      </c>
      <c r="O203" s="43">
        <f t="shared" ref="O203" si="479">H203/1000*70</f>
        <v>6.3</v>
      </c>
      <c r="P203" s="42">
        <v>0</v>
      </c>
      <c r="Q203" s="42"/>
      <c r="R203" s="42">
        <f t="shared" ref="R203" si="480">L203*Q203</f>
        <v>0</v>
      </c>
      <c r="S203" s="85" t="s">
        <v>3789</v>
      </c>
    </row>
    <row r="205" spans="1:19">
      <c r="A205" s="1" t="s">
        <v>3790</v>
      </c>
      <c r="B205" s="42" t="s">
        <v>330</v>
      </c>
      <c r="C205" s="42" t="s">
        <v>881</v>
      </c>
      <c r="D205" s="42" t="s">
        <v>16</v>
      </c>
      <c r="E205" s="47" t="s">
        <v>882</v>
      </c>
      <c r="F205" s="47">
        <v>18136</v>
      </c>
      <c r="G205" s="47"/>
      <c r="H205" s="47">
        <v>410</v>
      </c>
      <c r="I205" s="47">
        <v>9</v>
      </c>
      <c r="J205" s="47"/>
      <c r="K205" s="43">
        <f t="shared" ref="K205" si="481">I205*J205</f>
        <v>0</v>
      </c>
      <c r="L205" s="43">
        <f t="shared" ref="L205" si="482">H205-K205</f>
        <v>410</v>
      </c>
      <c r="M205" s="43"/>
      <c r="N205" s="43">
        <f t="shared" ref="N205" si="483">L205-M205</f>
        <v>410</v>
      </c>
      <c r="O205" s="43">
        <f t="shared" ref="O205" si="484">H205/1000*70</f>
        <v>28.7</v>
      </c>
      <c r="P205" s="42"/>
      <c r="Q205" s="42"/>
      <c r="R205" s="42">
        <f t="shared" ref="R205" si="485">L205*Q205</f>
        <v>0</v>
      </c>
      <c r="S205" s="85" t="s">
        <v>3794</v>
      </c>
    </row>
    <row r="207" spans="1:19">
      <c r="A207" s="1" t="s">
        <v>3896</v>
      </c>
      <c r="B207" s="325" t="s">
        <v>3897</v>
      </c>
      <c r="C207" s="325" t="s">
        <v>881</v>
      </c>
      <c r="D207" s="42" t="s">
        <v>16</v>
      </c>
      <c r="E207" s="325" t="s">
        <v>1720</v>
      </c>
      <c r="F207" s="325">
        <v>18279</v>
      </c>
      <c r="G207" s="325">
        <v>2809</v>
      </c>
      <c r="H207" s="325">
        <v>390</v>
      </c>
      <c r="I207" s="325">
        <v>8</v>
      </c>
      <c r="J207" s="325"/>
      <c r="K207" s="43">
        <f t="shared" ref="K207" si="486">I207*J207</f>
        <v>0</v>
      </c>
      <c r="L207" s="43">
        <f t="shared" ref="L207" si="487">H207-K207</f>
        <v>390</v>
      </c>
      <c r="M207" s="43"/>
      <c r="N207" s="43">
        <f t="shared" ref="N207" si="488">L207-M207</f>
        <v>390</v>
      </c>
      <c r="O207" s="43">
        <f t="shared" ref="O207" si="489">H207/1000*70</f>
        <v>27.3</v>
      </c>
      <c r="P207" s="42">
        <v>1000</v>
      </c>
      <c r="Q207" s="42"/>
      <c r="R207" s="42">
        <f t="shared" ref="R207" si="490">L207*Q207</f>
        <v>0</v>
      </c>
      <c r="S207" s="325" t="s">
        <v>3898</v>
      </c>
    </row>
    <row r="209" spans="1:20">
      <c r="A209" s="1" t="s">
        <v>3970</v>
      </c>
      <c r="B209" s="342" t="s">
        <v>330</v>
      </c>
      <c r="C209" s="342" t="s">
        <v>881</v>
      </c>
      <c r="D209" s="42" t="s">
        <v>16</v>
      </c>
      <c r="E209" s="342" t="s">
        <v>378</v>
      </c>
      <c r="F209" s="342">
        <v>18341</v>
      </c>
      <c r="G209" s="342"/>
      <c r="H209" s="342">
        <v>910</v>
      </c>
      <c r="I209" s="342">
        <v>20</v>
      </c>
      <c r="J209" s="342"/>
      <c r="K209" s="43">
        <f t="shared" ref="K209" si="491">I209*J209</f>
        <v>0</v>
      </c>
      <c r="L209" s="43">
        <f t="shared" ref="L209" si="492">H209-K209</f>
        <v>910</v>
      </c>
      <c r="M209" s="43"/>
      <c r="N209" s="43">
        <f t="shared" ref="N209" si="493">L209-M209</f>
        <v>910</v>
      </c>
      <c r="O209" s="43">
        <f t="shared" ref="O209" si="494">H209/1000*70</f>
        <v>63.7</v>
      </c>
      <c r="P209" s="42">
        <v>0</v>
      </c>
      <c r="Q209" s="42"/>
      <c r="R209" s="42">
        <f t="shared" ref="R209" si="495">L209*Q209</f>
        <v>0</v>
      </c>
      <c r="S209" s="85" t="s">
        <v>3974</v>
      </c>
    </row>
    <row r="211" spans="1:20">
      <c r="A211" s="1" t="s">
        <v>4045</v>
      </c>
      <c r="B211" s="357" t="s">
        <v>330</v>
      </c>
      <c r="C211" s="357" t="s">
        <v>881</v>
      </c>
      <c r="D211" s="42" t="s">
        <v>16</v>
      </c>
      <c r="E211" s="357" t="s">
        <v>378</v>
      </c>
      <c r="F211" s="357">
        <v>18437</v>
      </c>
      <c r="G211" s="357"/>
      <c r="H211" s="357">
        <v>720</v>
      </c>
      <c r="I211" s="357">
        <v>15</v>
      </c>
      <c r="J211" s="357"/>
      <c r="K211" s="43">
        <f t="shared" ref="K211:K213" si="496">I211*J211</f>
        <v>0</v>
      </c>
      <c r="L211" s="43">
        <f t="shared" ref="L211:L213" si="497">H211-K211</f>
        <v>720</v>
      </c>
      <c r="M211" s="43"/>
      <c r="N211" s="43">
        <f t="shared" ref="N211:N213" si="498">L211-M211</f>
        <v>720</v>
      </c>
      <c r="O211" s="43">
        <f t="shared" ref="O211:O213" si="499">H211/1000*70</f>
        <v>50.4</v>
      </c>
      <c r="P211" s="42">
        <v>0</v>
      </c>
      <c r="Q211" s="42"/>
      <c r="R211" s="42">
        <f t="shared" ref="R211:R213" si="500">L211*Q211</f>
        <v>0</v>
      </c>
      <c r="S211" s="85" t="s">
        <v>4048</v>
      </c>
      <c r="T211" s="44"/>
    </row>
    <row r="212" spans="1:20">
      <c r="A212" s="21" t="s">
        <v>4062</v>
      </c>
      <c r="B212" s="359" t="s">
        <v>330</v>
      </c>
      <c r="C212" s="359" t="s">
        <v>881</v>
      </c>
      <c r="D212" s="42" t="s">
        <v>16</v>
      </c>
      <c r="E212" s="359" t="s">
        <v>4067</v>
      </c>
      <c r="F212" s="359">
        <v>18467</v>
      </c>
      <c r="G212" s="359"/>
      <c r="H212" s="359">
        <v>630</v>
      </c>
      <c r="I212" s="359">
        <v>13</v>
      </c>
      <c r="J212" s="359"/>
      <c r="K212" s="43">
        <f t="shared" si="496"/>
        <v>0</v>
      </c>
      <c r="L212" s="43">
        <f t="shared" si="497"/>
        <v>630</v>
      </c>
      <c r="M212" s="43"/>
      <c r="N212" s="43">
        <f t="shared" si="498"/>
        <v>630</v>
      </c>
      <c r="O212" s="43">
        <f t="shared" si="499"/>
        <v>44.1</v>
      </c>
      <c r="P212" s="42">
        <v>1500</v>
      </c>
      <c r="Q212" s="42"/>
      <c r="R212" s="42">
        <f t="shared" si="500"/>
        <v>0</v>
      </c>
    </row>
    <row r="213" spans="1:20">
      <c r="A213" s="21" t="s">
        <v>4070</v>
      </c>
      <c r="B213" s="360" t="s">
        <v>330</v>
      </c>
      <c r="C213" s="360" t="s">
        <v>881</v>
      </c>
      <c r="D213" s="42" t="s">
        <v>16</v>
      </c>
      <c r="E213" s="360" t="s">
        <v>4067</v>
      </c>
      <c r="F213" s="360">
        <v>18497</v>
      </c>
      <c r="G213" s="360"/>
      <c r="H213" s="360">
        <v>930</v>
      </c>
      <c r="I213" s="360">
        <v>19</v>
      </c>
      <c r="J213" s="360"/>
      <c r="K213" s="43">
        <f t="shared" si="496"/>
        <v>0</v>
      </c>
      <c r="L213" s="43">
        <f t="shared" si="497"/>
        <v>930</v>
      </c>
      <c r="M213" s="43"/>
      <c r="N213" s="43">
        <f t="shared" si="498"/>
        <v>930</v>
      </c>
      <c r="O213" s="43">
        <f t="shared" si="499"/>
        <v>65.100000000000009</v>
      </c>
      <c r="P213" s="42"/>
      <c r="Q213" s="42"/>
      <c r="R213" s="42">
        <f t="shared" si="500"/>
        <v>0</v>
      </c>
      <c r="S213" s="360" t="s">
        <v>4074</v>
      </c>
    </row>
  </sheetData>
  <pageMargins left="0.7" right="0.7" top="0.75" bottom="0.75" header="0.3" footer="0.3"/>
  <pageSetup paperSize="9" orientation="portrait" verticalDpi="0" r:id="rId1"/>
</worksheet>
</file>

<file path=xl/worksheets/sheet246.xml><?xml version="1.0" encoding="utf-8"?>
<worksheet xmlns="http://schemas.openxmlformats.org/spreadsheetml/2006/main" xmlns:r="http://schemas.openxmlformats.org/officeDocument/2006/relationships">
  <dimension ref="A5:T32"/>
  <sheetViews>
    <sheetView topLeftCell="A10" workbookViewId="0">
      <selection activeCell="A33" sqref="A33"/>
    </sheetView>
  </sheetViews>
  <sheetFormatPr defaultRowHeight="14.4"/>
  <cols>
    <col min="1" max="1" width="8.88671875" style="1"/>
    <col min="2" max="2" width="17.77734375" style="1" customWidth="1"/>
    <col min="3" max="3" width="8.88671875" style="1"/>
    <col min="4" max="4" width="5.5546875" style="1" customWidth="1"/>
    <col min="5" max="5" width="8.88671875" style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0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0">
      <c r="A6" s="7" t="s">
        <v>28</v>
      </c>
      <c r="B6" s="2" t="s">
        <v>29</v>
      </c>
      <c r="C6" s="2" t="s">
        <v>30</v>
      </c>
      <c r="D6" s="2" t="s">
        <v>16</v>
      </c>
      <c r="E6" s="2" t="s">
        <v>55</v>
      </c>
      <c r="F6" s="2">
        <v>1925</v>
      </c>
      <c r="G6" s="2">
        <v>345</v>
      </c>
      <c r="H6" s="2">
        <v>1050</v>
      </c>
      <c r="I6" s="2">
        <v>15</v>
      </c>
      <c r="J6" s="2">
        <v>0.13</v>
      </c>
      <c r="K6" s="2">
        <f t="shared" ref="K6" si="0">I6*J6</f>
        <v>1.9500000000000002</v>
      </c>
      <c r="L6" s="5">
        <f t="shared" ref="L6" si="1">H6-K6</f>
        <v>1048.05</v>
      </c>
      <c r="M6" s="5">
        <f t="shared" ref="M6" si="2">H6/1000*70</f>
        <v>73.5</v>
      </c>
      <c r="N6" s="2">
        <v>0</v>
      </c>
    </row>
    <row r="7" spans="1:20">
      <c r="A7" s="8"/>
      <c r="B7" s="2"/>
      <c r="C7" s="2"/>
      <c r="D7" s="2"/>
      <c r="E7" s="2"/>
      <c r="F7" s="2"/>
      <c r="G7" s="2"/>
      <c r="H7" s="2"/>
      <c r="I7" s="2"/>
      <c r="J7" s="2"/>
      <c r="K7" s="2"/>
      <c r="L7" s="5"/>
      <c r="M7" s="5"/>
      <c r="N7" s="2"/>
    </row>
    <row r="8" spans="1:20">
      <c r="A8" s="8" t="s">
        <v>129</v>
      </c>
      <c r="B8" s="2" t="s">
        <v>29</v>
      </c>
      <c r="C8" s="2" t="s">
        <v>30</v>
      </c>
      <c r="D8" s="2" t="s">
        <v>16</v>
      </c>
      <c r="E8" s="2" t="s">
        <v>138</v>
      </c>
      <c r="F8" s="2">
        <v>1954</v>
      </c>
      <c r="G8" s="2"/>
      <c r="H8" s="2">
        <v>1020</v>
      </c>
      <c r="I8" s="2">
        <v>14</v>
      </c>
      <c r="J8" s="2">
        <v>0.13</v>
      </c>
      <c r="K8" s="5">
        <f t="shared" ref="K8" si="3">I8*J8</f>
        <v>1.82</v>
      </c>
      <c r="L8" s="5">
        <f t="shared" ref="L8" si="4">H8-K8</f>
        <v>1018.18</v>
      </c>
      <c r="M8" s="5">
        <f t="shared" ref="M8" si="5">H8/1000*70</f>
        <v>71.400000000000006</v>
      </c>
      <c r="N8" s="2">
        <v>0</v>
      </c>
      <c r="O8" s="2" t="s">
        <v>139</v>
      </c>
    </row>
    <row r="9" spans="1:20">
      <c r="A9" s="9"/>
      <c r="B9" s="2"/>
      <c r="C9" s="2"/>
      <c r="D9" s="2"/>
      <c r="E9" s="2"/>
      <c r="F9" s="2"/>
      <c r="G9" s="2"/>
      <c r="H9" s="2"/>
      <c r="I9" s="2"/>
      <c r="J9" s="2"/>
      <c r="K9" s="2"/>
      <c r="L9" s="5"/>
      <c r="M9" s="5"/>
      <c r="N9" s="2"/>
    </row>
    <row r="10" spans="1:20">
      <c r="A10" s="10" t="s">
        <v>177</v>
      </c>
      <c r="B10" s="2" t="s">
        <v>195</v>
      </c>
      <c r="C10" s="2" t="s">
        <v>30</v>
      </c>
      <c r="D10" s="2" t="s">
        <v>16</v>
      </c>
      <c r="E10" s="2" t="s">
        <v>196</v>
      </c>
      <c r="F10" s="2">
        <v>1959</v>
      </c>
      <c r="G10" s="2"/>
      <c r="H10" s="2">
        <v>1092</v>
      </c>
      <c r="I10" s="2">
        <v>14</v>
      </c>
      <c r="J10" s="2">
        <v>0.13</v>
      </c>
      <c r="K10" s="5">
        <f t="shared" ref="K10" si="6">I10*J10</f>
        <v>1.82</v>
      </c>
      <c r="L10" s="19">
        <f t="shared" ref="L10" si="7">H10-K10</f>
        <v>1090.18</v>
      </c>
      <c r="M10" s="5">
        <f t="shared" ref="M10" si="8">H10/1000*70</f>
        <v>76.440000000000012</v>
      </c>
      <c r="N10" s="2"/>
    </row>
    <row r="11" spans="1:20">
      <c r="A11" s="11"/>
      <c r="B11" s="2"/>
      <c r="C11" s="2"/>
      <c r="D11" s="2"/>
      <c r="E11" s="2"/>
      <c r="F11" s="2"/>
      <c r="G11" s="2"/>
      <c r="H11" s="2"/>
      <c r="I11" s="2"/>
      <c r="J11" s="2"/>
      <c r="K11" s="2"/>
      <c r="L11" s="5"/>
      <c r="M11" s="5"/>
      <c r="N11" s="2"/>
    </row>
    <row r="12" spans="1:20">
      <c r="A12" s="1" t="s">
        <v>291</v>
      </c>
      <c r="B12" s="2" t="s">
        <v>298</v>
      </c>
      <c r="C12" s="2" t="s">
        <v>30</v>
      </c>
      <c r="D12" s="2" t="s">
        <v>16</v>
      </c>
      <c r="E12" s="2" t="s">
        <v>296</v>
      </c>
      <c r="F12" s="2">
        <v>1999</v>
      </c>
      <c r="G12" s="2"/>
      <c r="H12" s="2">
        <v>1030</v>
      </c>
      <c r="I12" s="2">
        <v>15</v>
      </c>
      <c r="J12" s="2">
        <v>0.13</v>
      </c>
      <c r="K12" s="5">
        <f t="shared" ref="K12" si="9">I12*J12</f>
        <v>1.9500000000000002</v>
      </c>
      <c r="L12" s="19">
        <f t="shared" ref="L12" si="10">H12-K12</f>
        <v>1028.05</v>
      </c>
      <c r="M12" s="5">
        <f t="shared" ref="M12" si="11">H12/1000*70</f>
        <v>72.100000000000009</v>
      </c>
      <c r="N12" s="2"/>
      <c r="O12" s="2"/>
      <c r="P12" s="2">
        <f t="shared" ref="P12" si="12">L12*O12</f>
        <v>0</v>
      </c>
    </row>
    <row r="15" spans="1:20">
      <c r="A15" s="1" t="s">
        <v>317</v>
      </c>
      <c r="B15" s="42" t="s">
        <v>215</v>
      </c>
      <c r="C15" s="42" t="s">
        <v>30</v>
      </c>
      <c r="D15" s="42" t="s">
        <v>16</v>
      </c>
      <c r="E15" s="42" t="s">
        <v>324</v>
      </c>
      <c r="F15" s="42">
        <v>647</v>
      </c>
      <c r="G15" s="42"/>
      <c r="H15" s="42">
        <v>1030</v>
      </c>
      <c r="I15" s="42">
        <v>14</v>
      </c>
      <c r="J15" s="42">
        <v>0.13</v>
      </c>
      <c r="K15" s="42">
        <f t="shared" ref="K15" si="13">I15*J15</f>
        <v>1.82</v>
      </c>
      <c r="L15" s="43">
        <f t="shared" ref="L15" si="14">H15-K15</f>
        <v>1028.18</v>
      </c>
      <c r="M15" s="43">
        <f t="shared" ref="M15" si="15">H15/1000*70</f>
        <v>72.100000000000009</v>
      </c>
      <c r="N15" s="42">
        <v>0</v>
      </c>
    </row>
    <row r="17" spans="1:18">
      <c r="A17" s="1" t="s">
        <v>380</v>
      </c>
      <c r="B17" s="42" t="s">
        <v>388</v>
      </c>
      <c r="C17" s="42" t="s">
        <v>30</v>
      </c>
      <c r="D17" s="42" t="s">
        <v>16</v>
      </c>
      <c r="E17" s="42" t="s">
        <v>337</v>
      </c>
      <c r="F17" s="42">
        <v>142</v>
      </c>
      <c r="G17" s="42"/>
      <c r="H17" s="42">
        <v>980</v>
      </c>
      <c r="I17" s="42"/>
      <c r="J17" s="42"/>
      <c r="K17" s="43">
        <f t="shared" ref="K17" si="16">I17*J17</f>
        <v>0</v>
      </c>
      <c r="L17" s="43">
        <f t="shared" ref="L17" si="17">H17-K17</f>
        <v>980</v>
      </c>
      <c r="M17" s="43">
        <f t="shared" ref="M17" si="18">H17/1000*70</f>
        <v>68.599999999999994</v>
      </c>
      <c r="N17" s="42"/>
      <c r="O17" s="42">
        <f>17800/980</f>
        <v>18.163265306122447</v>
      </c>
      <c r="P17" s="42">
        <f t="shared" ref="P17" si="19">L17*O17</f>
        <v>17800</v>
      </c>
    </row>
    <row r="19" spans="1:18">
      <c r="A19" s="1" t="s">
        <v>434</v>
      </c>
      <c r="B19" s="42" t="s">
        <v>436</v>
      </c>
      <c r="C19" s="42" t="s">
        <v>30</v>
      </c>
      <c r="D19" s="42" t="s">
        <v>16</v>
      </c>
      <c r="E19" s="42" t="s">
        <v>437</v>
      </c>
      <c r="F19" s="42">
        <v>185</v>
      </c>
      <c r="G19" s="42"/>
      <c r="H19" s="42">
        <v>1050</v>
      </c>
      <c r="I19" s="42">
        <v>14</v>
      </c>
      <c r="J19" s="42">
        <v>0.13</v>
      </c>
      <c r="K19" s="42">
        <f t="shared" ref="K19" si="20">I19*J19</f>
        <v>1.82</v>
      </c>
      <c r="L19" s="43">
        <f t="shared" ref="L19" si="21">H19-K19</f>
        <v>1048.18</v>
      </c>
      <c r="M19" s="43">
        <f t="shared" ref="M19" si="22">H19/1000*70</f>
        <v>73.5</v>
      </c>
      <c r="N19" s="42">
        <v>0</v>
      </c>
      <c r="O19" s="42"/>
      <c r="P19" s="42">
        <f t="shared" ref="P19" si="23">L19*O19</f>
        <v>0</v>
      </c>
    </row>
    <row r="21" spans="1:18">
      <c r="A21" s="1" t="s">
        <v>475</v>
      </c>
      <c r="B21" s="42" t="s">
        <v>436</v>
      </c>
      <c r="C21" s="42" t="s">
        <v>30</v>
      </c>
      <c r="D21" s="42" t="s">
        <v>16</v>
      </c>
      <c r="E21" s="42" t="s">
        <v>482</v>
      </c>
      <c r="F21" s="42">
        <v>219</v>
      </c>
      <c r="G21" s="42"/>
      <c r="H21" s="42">
        <v>1050</v>
      </c>
      <c r="I21" s="42">
        <v>15</v>
      </c>
      <c r="J21" s="42">
        <v>0.13</v>
      </c>
      <c r="K21" s="43">
        <f t="shared" ref="K21" si="24">I21*J21</f>
        <v>1.9500000000000002</v>
      </c>
      <c r="L21" s="43">
        <f t="shared" ref="L21" si="25">H21-K21</f>
        <v>1048.05</v>
      </c>
      <c r="M21" s="43">
        <f t="shared" ref="M21" si="26">H21/1000*70</f>
        <v>73.5</v>
      </c>
      <c r="N21" s="42">
        <v>0</v>
      </c>
    </row>
    <row r="23" spans="1:18">
      <c r="A23" s="1" t="s">
        <v>601</v>
      </c>
      <c r="B23" s="42" t="s">
        <v>29</v>
      </c>
      <c r="C23" s="42" t="s">
        <v>30</v>
      </c>
      <c r="D23" s="42" t="s">
        <v>16</v>
      </c>
      <c r="E23" s="42" t="s">
        <v>602</v>
      </c>
      <c r="F23" s="42">
        <v>296</v>
      </c>
      <c r="G23" s="42"/>
      <c r="H23" s="42">
        <v>1050</v>
      </c>
      <c r="I23" s="42">
        <v>15</v>
      </c>
      <c r="J23" s="42">
        <v>0.13</v>
      </c>
      <c r="K23" s="42">
        <f t="shared" ref="K23" si="27">I23*J23</f>
        <v>1.9500000000000002</v>
      </c>
      <c r="L23" s="43">
        <f t="shared" ref="L23" si="28">H23-K23</f>
        <v>1048.05</v>
      </c>
      <c r="M23" s="43">
        <f t="shared" ref="M23" si="29">H23/1000*70</f>
        <v>73.5</v>
      </c>
      <c r="N23" s="42">
        <v>0</v>
      </c>
      <c r="O23" s="90">
        <f>19500/1048</f>
        <v>18.606870229007633</v>
      </c>
      <c r="P23" s="43">
        <f t="shared" ref="P23" si="30">L23*O23</f>
        <v>19500.930343511449</v>
      </c>
    </row>
    <row r="25" spans="1:18">
      <c r="A25" s="1" t="s">
        <v>665</v>
      </c>
      <c r="B25" s="42" t="s">
        <v>436</v>
      </c>
      <c r="C25" s="42" t="s">
        <v>30</v>
      </c>
      <c r="D25" s="42" t="s">
        <v>16</v>
      </c>
      <c r="E25" s="42" t="s">
        <v>667</v>
      </c>
      <c r="F25" s="42">
        <v>629</v>
      </c>
      <c r="G25" s="42"/>
      <c r="H25" s="42">
        <v>1750</v>
      </c>
      <c r="I25" s="42">
        <v>25</v>
      </c>
      <c r="J25" s="42">
        <v>0.13</v>
      </c>
      <c r="K25" s="43">
        <f t="shared" ref="K25" si="31">I25*J25</f>
        <v>3.25</v>
      </c>
      <c r="L25" s="43">
        <f t="shared" ref="L25" si="32">H25-K25</f>
        <v>1746.75</v>
      </c>
      <c r="M25" s="43">
        <f t="shared" ref="M25" si="33">H25/1000*70</f>
        <v>122.5</v>
      </c>
      <c r="N25" s="42"/>
      <c r="O25" s="42"/>
      <c r="P25" s="42">
        <f t="shared" ref="P25" si="34">L25*O25</f>
        <v>0</v>
      </c>
    </row>
    <row r="27" spans="1:18">
      <c r="A27" s="1" t="s">
        <v>1419</v>
      </c>
      <c r="B27" s="42" t="s">
        <v>1422</v>
      </c>
      <c r="C27" s="42" t="s">
        <v>30</v>
      </c>
      <c r="D27" s="42" t="s">
        <v>16</v>
      </c>
      <c r="E27" s="42" t="s">
        <v>1127</v>
      </c>
      <c r="F27" s="42">
        <v>0</v>
      </c>
      <c r="G27" s="42"/>
      <c r="H27" s="42">
        <v>60</v>
      </c>
      <c r="I27" s="42">
        <v>1</v>
      </c>
      <c r="J27" s="42"/>
      <c r="K27" s="42">
        <f t="shared" ref="K27" si="35">I27*J27</f>
        <v>0</v>
      </c>
      <c r="L27" s="43">
        <f t="shared" ref="L27" si="36">H27-K27</f>
        <v>60</v>
      </c>
      <c r="M27" s="43"/>
      <c r="N27" s="43">
        <f t="shared" ref="N27" si="37">L27-M27</f>
        <v>60</v>
      </c>
      <c r="O27" s="43">
        <f t="shared" ref="O27" si="38">H27/1000*70</f>
        <v>4.2</v>
      </c>
      <c r="P27" s="42">
        <v>0</v>
      </c>
      <c r="Q27" s="50">
        <f>770/60</f>
        <v>12.833333333333334</v>
      </c>
      <c r="R27" s="42">
        <f t="shared" ref="R27" si="39">L27*Q27</f>
        <v>770</v>
      </c>
    </row>
    <row r="29" spans="1:18">
      <c r="A29" s="1" t="s">
        <v>3160</v>
      </c>
      <c r="B29" s="42" t="s">
        <v>3162</v>
      </c>
      <c r="C29" s="42" t="s">
        <v>30</v>
      </c>
      <c r="D29" s="42" t="s">
        <v>16</v>
      </c>
      <c r="E29" s="42" t="s">
        <v>3163</v>
      </c>
      <c r="F29" s="42">
        <v>180</v>
      </c>
      <c r="G29" s="42"/>
      <c r="H29" s="42">
        <v>2030</v>
      </c>
      <c r="I29" s="42">
        <v>29</v>
      </c>
      <c r="J29" s="42"/>
      <c r="K29" s="43">
        <f t="shared" ref="K29" si="40">I29*J29</f>
        <v>0</v>
      </c>
      <c r="L29" s="43">
        <f t="shared" ref="L29" si="41">H29-K29</f>
        <v>2030</v>
      </c>
      <c r="M29" s="43"/>
      <c r="N29" s="43">
        <f t="shared" ref="N29" si="42">L29-M29</f>
        <v>2030</v>
      </c>
      <c r="O29" s="43">
        <v>0</v>
      </c>
      <c r="P29" s="42">
        <v>0</v>
      </c>
      <c r="Q29" s="42">
        <f>25730/2030</f>
        <v>12.674876847290641</v>
      </c>
      <c r="R29" s="42">
        <f t="shared" ref="R29" si="43">L29*Q29</f>
        <v>25730</v>
      </c>
    </row>
    <row r="31" spans="1:18">
      <c r="A31" s="1" t="s">
        <v>3235</v>
      </c>
      <c r="B31" s="42" t="s">
        <v>3162</v>
      </c>
      <c r="C31" s="42" t="s">
        <v>30</v>
      </c>
      <c r="D31" s="42" t="s">
        <v>16</v>
      </c>
      <c r="E31" s="42" t="s">
        <v>1078</v>
      </c>
      <c r="F31" s="42">
        <v>50</v>
      </c>
      <c r="G31" s="42"/>
      <c r="H31" s="42">
        <v>1040</v>
      </c>
      <c r="I31" s="42">
        <v>15</v>
      </c>
      <c r="J31" s="42"/>
      <c r="K31" s="43">
        <f t="shared" ref="K31:K32" si="44">I31*J31</f>
        <v>0</v>
      </c>
      <c r="L31" s="43">
        <f t="shared" ref="L31:L32" si="45">H31-K31</f>
        <v>1040</v>
      </c>
      <c r="M31" s="43"/>
      <c r="N31" s="43">
        <f t="shared" ref="N31:N32" si="46">L31-M31</f>
        <v>1040</v>
      </c>
      <c r="O31" s="43">
        <v>0</v>
      </c>
      <c r="P31" s="42">
        <v>0</v>
      </c>
      <c r="Q31" s="42">
        <f>11750/1040</f>
        <v>11.298076923076923</v>
      </c>
      <c r="R31" s="42">
        <f t="shared" ref="R31:R32" si="47">L31*Q31</f>
        <v>11750</v>
      </c>
    </row>
    <row r="32" spans="1:18">
      <c r="A32" s="21" t="s">
        <v>3260</v>
      </c>
      <c r="B32" s="42" t="s">
        <v>3162</v>
      </c>
      <c r="C32" s="42" t="s">
        <v>30</v>
      </c>
      <c r="D32" s="42" t="s">
        <v>16</v>
      </c>
      <c r="E32" s="42" t="s">
        <v>337</v>
      </c>
      <c r="F32" s="42">
        <v>79</v>
      </c>
      <c r="G32" s="42"/>
      <c r="H32" s="42">
        <v>2030</v>
      </c>
      <c r="I32" s="42">
        <v>29</v>
      </c>
      <c r="J32" s="42"/>
      <c r="K32" s="43">
        <f t="shared" si="44"/>
        <v>0</v>
      </c>
      <c r="L32" s="43">
        <f t="shared" si="45"/>
        <v>2030</v>
      </c>
      <c r="M32" s="43"/>
      <c r="N32" s="43">
        <f t="shared" si="46"/>
        <v>2030</v>
      </c>
      <c r="O32" s="43">
        <v>0</v>
      </c>
      <c r="P32" s="42"/>
      <c r="Q32" s="50">
        <f>23702/2030</f>
        <v>11.675862068965516</v>
      </c>
      <c r="R32" s="42">
        <f t="shared" si="47"/>
        <v>23702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>
  <dimension ref="A5:T29"/>
  <sheetViews>
    <sheetView topLeftCell="A13" workbookViewId="0">
      <selection activeCell="B31" sqref="B31"/>
    </sheetView>
  </sheetViews>
  <sheetFormatPr defaultRowHeight="14.4"/>
  <cols>
    <col min="1" max="1" width="8.88671875" style="1"/>
    <col min="2" max="2" width="17.77734375" style="1" customWidth="1"/>
    <col min="3" max="3" width="8.88671875" style="1"/>
    <col min="4" max="4" width="5.5546875" style="1" customWidth="1"/>
    <col min="5" max="5" width="8.88671875" style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0" ht="20.399999999999999">
      <c r="A5" s="58" t="s">
        <v>3</v>
      </c>
      <c r="B5" s="58" t="s">
        <v>4</v>
      </c>
      <c r="C5" s="58" t="s">
        <v>5</v>
      </c>
      <c r="D5" s="58" t="s">
        <v>6</v>
      </c>
      <c r="E5" s="58" t="s">
        <v>37</v>
      </c>
      <c r="F5" s="59" t="s">
        <v>7</v>
      </c>
      <c r="G5" s="58" t="s">
        <v>8</v>
      </c>
      <c r="H5" s="58" t="s">
        <v>9</v>
      </c>
      <c r="I5" s="58" t="s">
        <v>10</v>
      </c>
      <c r="J5" s="59" t="s">
        <v>18</v>
      </c>
      <c r="K5" s="59" t="s">
        <v>17</v>
      </c>
      <c r="L5" s="58" t="s">
        <v>11</v>
      </c>
      <c r="M5" s="59" t="s">
        <v>36</v>
      </c>
      <c r="N5" s="58" t="s">
        <v>12</v>
      </c>
      <c r="O5" s="58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0">
      <c r="A6" s="69"/>
      <c r="B6" s="151"/>
      <c r="C6" s="151"/>
      <c r="D6" s="151"/>
      <c r="E6" s="151"/>
      <c r="F6" s="151"/>
      <c r="G6" s="151"/>
      <c r="H6" s="151"/>
      <c r="I6" s="151"/>
      <c r="J6" s="151"/>
      <c r="K6" s="151"/>
      <c r="L6" s="61"/>
      <c r="M6" s="61"/>
      <c r="N6" s="151"/>
      <c r="O6" s="62"/>
      <c r="P6" s="62"/>
      <c r="Q6" s="62"/>
      <c r="R6" s="62"/>
      <c r="S6" s="62"/>
    </row>
    <row r="7" spans="1:20">
      <c r="A7" s="69" t="s">
        <v>1159</v>
      </c>
      <c r="B7" s="42" t="s">
        <v>1160</v>
      </c>
      <c r="C7" s="42" t="s">
        <v>1077</v>
      </c>
      <c r="D7" s="42" t="s">
        <v>16</v>
      </c>
      <c r="E7" s="42" t="s">
        <v>1045</v>
      </c>
      <c r="F7" s="42">
        <v>3423</v>
      </c>
      <c r="G7" s="42"/>
      <c r="H7" s="42">
        <v>1850</v>
      </c>
      <c r="I7" s="42">
        <v>10</v>
      </c>
      <c r="J7" s="42"/>
      <c r="K7" s="42">
        <f t="shared" ref="K7" si="0">I7*J7</f>
        <v>0</v>
      </c>
      <c r="L7" s="43">
        <f t="shared" ref="L7" si="1">H7-K7</f>
        <v>1850</v>
      </c>
      <c r="M7" s="43"/>
      <c r="N7" s="43">
        <f t="shared" ref="N7" si="2">L7-M7</f>
        <v>1850</v>
      </c>
      <c r="O7" s="43">
        <f t="shared" ref="O7" si="3">H7/1000*70</f>
        <v>129.5</v>
      </c>
      <c r="P7" s="42">
        <v>0</v>
      </c>
      <c r="Q7" s="50">
        <f>161800/1850</f>
        <v>87.459459459459453</v>
      </c>
      <c r="R7" s="42">
        <f t="shared" ref="R7" si="4">L7*Q7</f>
        <v>161800</v>
      </c>
      <c r="S7" s="62"/>
    </row>
    <row r="8" spans="1:20">
      <c r="A8" s="69"/>
      <c r="B8" s="151"/>
      <c r="C8" s="151"/>
      <c r="D8" s="151"/>
      <c r="E8" s="151"/>
      <c r="F8" s="151"/>
      <c r="G8" s="151"/>
      <c r="H8" s="151"/>
      <c r="I8" s="151"/>
      <c r="J8" s="151"/>
      <c r="K8" s="61"/>
      <c r="L8" s="61"/>
      <c r="M8" s="61"/>
      <c r="N8" s="151"/>
      <c r="O8" s="151"/>
      <c r="P8" s="62"/>
      <c r="Q8" s="62"/>
      <c r="R8" s="62"/>
      <c r="S8" s="62"/>
    </row>
    <row r="9" spans="1:20">
      <c r="A9" s="69" t="s">
        <v>1170</v>
      </c>
      <c r="B9" s="42" t="s">
        <v>0</v>
      </c>
      <c r="C9" s="42" t="s">
        <v>1077</v>
      </c>
      <c r="D9" s="42" t="s">
        <v>16</v>
      </c>
      <c r="E9" s="42" t="s">
        <v>555</v>
      </c>
      <c r="F9" s="42">
        <v>3434</v>
      </c>
      <c r="G9" s="42"/>
      <c r="H9" s="42">
        <v>558</v>
      </c>
      <c r="I9" s="42">
        <v>3</v>
      </c>
      <c r="J9" s="42"/>
      <c r="K9" s="42">
        <f t="shared" ref="K9" si="5">I9*J9</f>
        <v>0</v>
      </c>
      <c r="L9" s="43">
        <f t="shared" ref="L9" si="6">H9-K9</f>
        <v>558</v>
      </c>
      <c r="M9" s="43"/>
      <c r="N9" s="43">
        <f t="shared" ref="N9" si="7">L9-M9</f>
        <v>558</v>
      </c>
      <c r="O9" s="43">
        <f t="shared" ref="O9" si="8">H9/1000*70</f>
        <v>39.06</v>
      </c>
      <c r="P9" s="42">
        <v>0</v>
      </c>
      <c r="Q9" s="50">
        <f>48600/558</f>
        <v>87.096774193548384</v>
      </c>
      <c r="R9" s="42">
        <f t="shared" ref="R9" si="9">L9*Q9</f>
        <v>48600</v>
      </c>
      <c r="S9" s="62"/>
    </row>
    <row r="10" spans="1:20">
      <c r="A10" s="63"/>
      <c r="B10" s="151"/>
      <c r="C10" s="151"/>
      <c r="D10" s="151"/>
      <c r="E10" s="151"/>
      <c r="F10" s="151"/>
      <c r="G10" s="151"/>
      <c r="H10" s="151"/>
      <c r="I10" s="151"/>
      <c r="J10" s="151"/>
      <c r="K10" s="61"/>
      <c r="L10" s="65"/>
      <c r="M10" s="61"/>
      <c r="N10" s="151"/>
      <c r="O10" s="62"/>
      <c r="P10" s="62"/>
      <c r="Q10" s="62"/>
      <c r="R10" s="62"/>
      <c r="S10" s="62"/>
    </row>
    <row r="11" spans="1:20">
      <c r="A11" s="63" t="s">
        <v>1179</v>
      </c>
      <c r="B11" s="42" t="s">
        <v>1180</v>
      </c>
      <c r="C11" s="42" t="s">
        <v>1077</v>
      </c>
      <c r="D11" s="42" t="s">
        <v>16</v>
      </c>
      <c r="E11" s="42" t="s">
        <v>1078</v>
      </c>
      <c r="F11" s="42">
        <v>457</v>
      </c>
      <c r="G11" s="42"/>
      <c r="H11" s="42">
        <v>1850</v>
      </c>
      <c r="I11" s="42">
        <v>10</v>
      </c>
      <c r="J11" s="42"/>
      <c r="K11" s="42">
        <f t="shared" ref="K11:K12" si="10">I11*J11</f>
        <v>0</v>
      </c>
      <c r="L11" s="43">
        <f t="shared" ref="L11:L12" si="11">H11-K11</f>
        <v>1850</v>
      </c>
      <c r="M11" s="43"/>
      <c r="N11" s="43">
        <f t="shared" ref="N11:N12" si="12">L11-M11</f>
        <v>1850</v>
      </c>
      <c r="O11" s="43">
        <f t="shared" ref="O11:O12" si="13">H11/1000*70</f>
        <v>129.5</v>
      </c>
      <c r="P11" s="42">
        <v>0</v>
      </c>
      <c r="Q11" s="50">
        <f>161700/1850</f>
        <v>87.405405405405403</v>
      </c>
      <c r="R11" s="42">
        <f t="shared" ref="R11" si="14">L11*Q11</f>
        <v>161700</v>
      </c>
      <c r="S11" s="62"/>
    </row>
    <row r="12" spans="1:20">
      <c r="A12" s="78" t="s">
        <v>1184</v>
      </c>
      <c r="B12" s="42" t="s">
        <v>1160</v>
      </c>
      <c r="C12" s="42" t="s">
        <v>1077</v>
      </c>
      <c r="D12" s="42" t="s">
        <v>16</v>
      </c>
      <c r="E12" s="42" t="s">
        <v>1045</v>
      </c>
      <c r="F12" s="42">
        <v>3450</v>
      </c>
      <c r="G12" s="42"/>
      <c r="H12" s="42">
        <v>1790</v>
      </c>
      <c r="I12" s="42">
        <v>10</v>
      </c>
      <c r="J12" s="42"/>
      <c r="K12" s="42">
        <f t="shared" si="10"/>
        <v>0</v>
      </c>
      <c r="L12" s="43">
        <f t="shared" si="11"/>
        <v>1790</v>
      </c>
      <c r="M12" s="43"/>
      <c r="N12" s="43">
        <f t="shared" si="12"/>
        <v>1790</v>
      </c>
      <c r="O12" s="43">
        <f t="shared" si="13"/>
        <v>125.3</v>
      </c>
      <c r="P12" s="42">
        <v>0</v>
      </c>
      <c r="Q12" s="42"/>
      <c r="R12" s="62"/>
      <c r="S12" s="62"/>
    </row>
    <row r="13" spans="1:20">
      <c r="A13" s="62"/>
      <c r="B13" s="62"/>
      <c r="C13" s="62"/>
      <c r="D13" s="62"/>
      <c r="E13" s="62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</row>
    <row r="14" spans="1:20">
      <c r="A14" s="21" t="s">
        <v>1191</v>
      </c>
      <c r="B14" s="92" t="s">
        <v>1192</v>
      </c>
      <c r="C14" s="42" t="s">
        <v>1077</v>
      </c>
      <c r="D14" s="42" t="s">
        <v>16</v>
      </c>
      <c r="E14" s="42" t="s">
        <v>1045</v>
      </c>
      <c r="F14" s="42">
        <v>0</v>
      </c>
      <c r="G14" s="42"/>
      <c r="H14" s="42">
        <v>1640</v>
      </c>
      <c r="I14" s="42">
        <v>9</v>
      </c>
      <c r="J14" s="42"/>
      <c r="K14" s="42">
        <f t="shared" ref="K14:K15" si="15">I14*J14</f>
        <v>0</v>
      </c>
      <c r="L14" s="43">
        <f t="shared" ref="L14:L15" si="16">H14-K14</f>
        <v>1640</v>
      </c>
      <c r="M14" s="43"/>
      <c r="N14" s="43">
        <f t="shared" ref="N14:N15" si="17">L14-M14</f>
        <v>1640</v>
      </c>
      <c r="O14" s="43">
        <f t="shared" ref="O14:O15" si="18">H14/1000*70</f>
        <v>114.8</v>
      </c>
      <c r="P14" s="42"/>
      <c r="Q14" s="50">
        <f>145590/1640</f>
        <v>88.774390243902445</v>
      </c>
      <c r="R14" s="42">
        <f t="shared" ref="R14:R15" si="19">L14*Q14</f>
        <v>145590</v>
      </c>
      <c r="S14" s="62"/>
    </row>
    <row r="15" spans="1:20">
      <c r="A15" s="21" t="s">
        <v>1202</v>
      </c>
      <c r="B15" s="42" t="s">
        <v>1160</v>
      </c>
      <c r="C15" s="42" t="s">
        <v>1077</v>
      </c>
      <c r="D15" s="42" t="s">
        <v>16</v>
      </c>
      <c r="E15" s="42" t="s">
        <v>555</v>
      </c>
      <c r="F15" s="42">
        <v>3475</v>
      </c>
      <c r="G15" s="42"/>
      <c r="H15" s="42">
        <v>1290</v>
      </c>
      <c r="I15" s="42">
        <v>7</v>
      </c>
      <c r="J15" s="42"/>
      <c r="K15" s="42">
        <f t="shared" si="15"/>
        <v>0</v>
      </c>
      <c r="L15" s="43">
        <f t="shared" si="16"/>
        <v>1290</v>
      </c>
      <c r="M15" s="43"/>
      <c r="N15" s="43">
        <f t="shared" si="17"/>
        <v>1290</v>
      </c>
      <c r="O15" s="43">
        <f t="shared" si="18"/>
        <v>90.3</v>
      </c>
      <c r="P15" s="42"/>
      <c r="Q15" s="50">
        <f>113400/1290</f>
        <v>87.906976744186053</v>
      </c>
      <c r="R15" s="42">
        <f t="shared" si="19"/>
        <v>113400.00000000001</v>
      </c>
      <c r="S15" s="62"/>
    </row>
    <row r="16" spans="1:20">
      <c r="A16" s="62"/>
      <c r="B16" s="62"/>
      <c r="C16" s="62"/>
      <c r="D16" s="62"/>
      <c r="E16" s="62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</row>
    <row r="17" spans="1:19">
      <c r="A17" s="21" t="s">
        <v>1318</v>
      </c>
      <c r="B17" s="42" t="s">
        <v>1160</v>
      </c>
      <c r="C17" s="42" t="s">
        <v>1314</v>
      </c>
      <c r="D17" s="42" t="s">
        <v>16</v>
      </c>
      <c r="E17" s="42"/>
      <c r="F17" s="42"/>
      <c r="G17" s="42"/>
      <c r="H17" s="42">
        <v>1830</v>
      </c>
      <c r="I17" s="42">
        <v>10</v>
      </c>
      <c r="J17" s="42"/>
      <c r="K17" s="42">
        <f t="shared" ref="K17" si="20">I17*J17</f>
        <v>0</v>
      </c>
      <c r="L17" s="43">
        <f t="shared" ref="L17" si="21">H17-K17</f>
        <v>1830</v>
      </c>
      <c r="M17" s="43"/>
      <c r="N17" s="43">
        <f t="shared" ref="N17" si="22">L17-M17</f>
        <v>1830</v>
      </c>
      <c r="O17" s="43">
        <f t="shared" ref="O17" si="23">H17/1000*70</f>
        <v>128.1</v>
      </c>
      <c r="P17" s="42"/>
      <c r="Q17" s="42"/>
      <c r="R17" s="42">
        <f t="shared" ref="R17" si="24">L17*Q17</f>
        <v>0</v>
      </c>
      <c r="S17" s="62"/>
    </row>
    <row r="18" spans="1:19">
      <c r="A18" s="62"/>
      <c r="B18" s="62"/>
      <c r="C18" s="62"/>
      <c r="D18" s="62"/>
      <c r="E18" s="62"/>
      <c r="F18" s="62"/>
      <c r="G18" s="62"/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</row>
    <row r="19" spans="1:19">
      <c r="A19" s="21" t="s">
        <v>1384</v>
      </c>
      <c r="B19" s="92" t="s">
        <v>1338</v>
      </c>
      <c r="C19" s="42" t="s">
        <v>1314</v>
      </c>
      <c r="D19" s="42" t="s">
        <v>16</v>
      </c>
      <c r="E19" s="42" t="s">
        <v>1386</v>
      </c>
      <c r="F19" s="42"/>
      <c r="G19" s="42"/>
      <c r="H19" s="42">
        <v>1860</v>
      </c>
      <c r="I19" s="42">
        <v>10</v>
      </c>
      <c r="J19" s="42"/>
      <c r="K19" s="42">
        <f t="shared" ref="K19" si="25">I19*J19</f>
        <v>0</v>
      </c>
      <c r="L19" s="43">
        <f t="shared" ref="L19" si="26">H19-K19</f>
        <v>1860</v>
      </c>
      <c r="M19" s="43"/>
      <c r="N19" s="43">
        <f t="shared" ref="N19" si="27">L19-M19</f>
        <v>1860</v>
      </c>
      <c r="O19" s="43">
        <f t="shared" ref="O19" si="28">H19/1000*70</f>
        <v>130.20000000000002</v>
      </c>
      <c r="P19" s="42">
        <v>0</v>
      </c>
      <c r="Q19" s="50">
        <f>162500/1860</f>
        <v>87.365591397849457</v>
      </c>
      <c r="R19" s="42">
        <f t="shared" ref="R19" si="29">L19*Q19</f>
        <v>162500</v>
      </c>
      <c r="S19" s="62"/>
    </row>
    <row r="20" spans="1:19">
      <c r="A20" s="62"/>
      <c r="B20" s="62"/>
      <c r="C20" s="62"/>
      <c r="D20" s="62"/>
      <c r="E20" s="62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</row>
    <row r="21" spans="1:19">
      <c r="A21" s="62" t="s">
        <v>1394</v>
      </c>
      <c r="B21" s="42" t="s">
        <v>1338</v>
      </c>
      <c r="C21" s="42" t="s">
        <v>1314</v>
      </c>
      <c r="D21" s="42" t="s">
        <v>16</v>
      </c>
      <c r="E21" s="42"/>
      <c r="F21" s="42">
        <v>1427</v>
      </c>
      <c r="G21" s="42"/>
      <c r="H21" s="42">
        <v>1850</v>
      </c>
      <c r="I21" s="42">
        <v>10</v>
      </c>
      <c r="J21" s="42"/>
      <c r="K21" s="42">
        <f t="shared" ref="K21" si="30">I21*J21</f>
        <v>0</v>
      </c>
      <c r="L21" s="43">
        <f t="shared" ref="L21" si="31">H21-K21</f>
        <v>1850</v>
      </c>
      <c r="M21" s="43"/>
      <c r="N21" s="43">
        <f t="shared" ref="N21" si="32">L21-M21</f>
        <v>1850</v>
      </c>
      <c r="O21" s="43">
        <f t="shared" ref="O21" si="33">H21/1000*70</f>
        <v>129.5</v>
      </c>
      <c r="P21" s="42">
        <v>0</v>
      </c>
      <c r="Q21" s="50">
        <f>162450/1850</f>
        <v>87.810810810810807</v>
      </c>
      <c r="R21" s="42">
        <f t="shared" ref="R21" si="34">L21*Q21</f>
        <v>162450</v>
      </c>
      <c r="S21" s="62"/>
    </row>
    <row r="22" spans="1:19">
      <c r="A22" s="62"/>
      <c r="B22" s="62"/>
      <c r="C22" s="62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</row>
    <row r="23" spans="1:19">
      <c r="A23" s="62" t="s">
        <v>1425</v>
      </c>
      <c r="B23" s="42" t="s">
        <v>1338</v>
      </c>
      <c r="C23" s="42" t="s">
        <v>1314</v>
      </c>
      <c r="D23" s="42" t="s">
        <v>16</v>
      </c>
      <c r="E23" s="42" t="s">
        <v>555</v>
      </c>
      <c r="F23" s="42">
        <v>1451</v>
      </c>
      <c r="G23" s="42"/>
      <c r="H23" s="42">
        <v>1860</v>
      </c>
      <c r="I23" s="42">
        <v>10</v>
      </c>
      <c r="J23" s="42"/>
      <c r="K23" s="42">
        <f t="shared" ref="K23" si="35">I23*J23</f>
        <v>0</v>
      </c>
      <c r="L23" s="43">
        <f t="shared" ref="L23" si="36">H23-K23</f>
        <v>1860</v>
      </c>
      <c r="M23" s="43"/>
      <c r="N23" s="43">
        <f t="shared" ref="N23" si="37">L23-M23</f>
        <v>1860</v>
      </c>
      <c r="O23" s="43">
        <f t="shared" ref="O23" si="38">H23/1000*70</f>
        <v>130.20000000000002</v>
      </c>
      <c r="P23" s="42"/>
      <c r="Q23" s="50">
        <f>162300/1860</f>
        <v>87.258064516129039</v>
      </c>
      <c r="R23" s="42">
        <f t="shared" ref="R23" si="39">L23*Q23</f>
        <v>162300</v>
      </c>
      <c r="S23" s="62"/>
    </row>
    <row r="24" spans="1:19">
      <c r="A24" s="62"/>
      <c r="B24" s="62"/>
      <c r="C24" s="62"/>
      <c r="D24" s="62"/>
      <c r="E24" s="6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</row>
    <row r="25" spans="1:19">
      <c r="A25" s="62" t="s">
        <v>1587</v>
      </c>
      <c r="B25" s="42" t="s">
        <v>1160</v>
      </c>
      <c r="C25" s="42" t="s">
        <v>1077</v>
      </c>
      <c r="D25" s="42" t="s">
        <v>16</v>
      </c>
      <c r="E25" s="42" t="s">
        <v>1592</v>
      </c>
      <c r="F25" s="42">
        <v>1792</v>
      </c>
      <c r="G25" s="42"/>
      <c r="H25" s="42">
        <v>900</v>
      </c>
      <c r="I25" s="42">
        <v>5</v>
      </c>
      <c r="J25" s="42"/>
      <c r="K25" s="42">
        <f t="shared" ref="K25" si="40">I25*J25</f>
        <v>0</v>
      </c>
      <c r="L25" s="43">
        <f t="shared" ref="L25" si="41">H25-K25</f>
        <v>900</v>
      </c>
      <c r="M25" s="43"/>
      <c r="N25" s="43">
        <f t="shared" ref="N25" si="42">L25-M25</f>
        <v>900</v>
      </c>
      <c r="O25" s="43">
        <f t="shared" ref="O25" si="43">H25/1000*70</f>
        <v>63</v>
      </c>
      <c r="P25" s="42">
        <v>0</v>
      </c>
      <c r="Q25" s="50">
        <f>81950/900</f>
        <v>91.055555555555557</v>
      </c>
      <c r="R25" s="42">
        <f t="shared" ref="R25" si="44">L25*Q25</f>
        <v>81950</v>
      </c>
      <c r="S25" s="62"/>
    </row>
    <row r="26" spans="1:19">
      <c r="A26" s="62"/>
      <c r="B26" s="62"/>
      <c r="C26" s="62"/>
      <c r="D26" s="62"/>
      <c r="E26" s="62"/>
      <c r="F26" s="62"/>
      <c r="G26" s="62"/>
      <c r="H26" s="62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</row>
    <row r="27" spans="1:19">
      <c r="A27" s="1" t="s">
        <v>1672</v>
      </c>
      <c r="B27" s="42" t="s">
        <v>1674</v>
      </c>
      <c r="C27" s="42" t="s">
        <v>1077</v>
      </c>
      <c r="D27" s="42" t="s">
        <v>16</v>
      </c>
      <c r="E27" s="42" t="s">
        <v>1675</v>
      </c>
      <c r="F27" s="42">
        <v>373</v>
      </c>
      <c r="G27" s="42"/>
      <c r="H27" s="42">
        <v>1840</v>
      </c>
      <c r="I27" s="42">
        <v>10</v>
      </c>
      <c r="J27" s="42"/>
      <c r="K27" s="42">
        <f t="shared" ref="K27" si="45">I27*J27</f>
        <v>0</v>
      </c>
      <c r="L27" s="43">
        <f t="shared" ref="L27" si="46">H27-K27</f>
        <v>1840</v>
      </c>
      <c r="M27" s="43"/>
      <c r="N27" s="43">
        <f t="shared" ref="N27" si="47">L27-M27</f>
        <v>1840</v>
      </c>
      <c r="O27" s="43">
        <f t="shared" ref="O27" si="48">H27/1000*70</f>
        <v>128.80000000000001</v>
      </c>
      <c r="P27" s="197">
        <v>0</v>
      </c>
      <c r="Q27" s="197">
        <f>161000/1840</f>
        <v>87.5</v>
      </c>
      <c r="R27" s="42">
        <f t="shared" ref="R27" si="49">L27*Q27</f>
        <v>161000</v>
      </c>
    </row>
    <row r="29" spans="1:19">
      <c r="A29" s="1" t="s">
        <v>1964</v>
      </c>
      <c r="B29" s="42" t="s">
        <v>1674</v>
      </c>
      <c r="C29" s="42" t="s">
        <v>1077</v>
      </c>
      <c r="D29" s="42" t="s">
        <v>16</v>
      </c>
      <c r="E29" s="42" t="s">
        <v>1675</v>
      </c>
      <c r="F29" s="42">
        <v>2426</v>
      </c>
      <c r="G29" s="42"/>
      <c r="H29" s="42">
        <v>1850</v>
      </c>
      <c r="I29" s="42">
        <v>10</v>
      </c>
      <c r="J29" s="42"/>
      <c r="K29" s="43">
        <f t="shared" ref="K29" si="50">I29*J29</f>
        <v>0</v>
      </c>
      <c r="L29" s="43">
        <f t="shared" ref="L29" si="51">H29-K29</f>
        <v>1850</v>
      </c>
      <c r="M29" s="43"/>
      <c r="N29" s="43">
        <f t="shared" ref="N29" si="52">L29-M29</f>
        <v>1850</v>
      </c>
      <c r="O29" s="43">
        <f t="shared" ref="O29" si="53">H29/1000*70</f>
        <v>129.5</v>
      </c>
      <c r="P29" s="42">
        <v>0</v>
      </c>
      <c r="Q29" s="42">
        <f>156900/1850</f>
        <v>84.810810810810807</v>
      </c>
      <c r="R29" s="42">
        <f t="shared" ref="R29" si="54">L29*Q29</f>
        <v>156900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>
  <dimension ref="A5:T25"/>
  <sheetViews>
    <sheetView topLeftCell="A4" workbookViewId="0">
      <selection activeCell="A17" sqref="A17"/>
    </sheetView>
  </sheetViews>
  <sheetFormatPr defaultRowHeight="14.4"/>
  <cols>
    <col min="1" max="1" width="8.88671875" style="1"/>
    <col min="2" max="2" width="17.77734375" style="1" customWidth="1"/>
    <col min="3" max="3" width="8.88671875" style="1"/>
    <col min="4" max="4" width="5.5546875" style="1" customWidth="1"/>
    <col min="5" max="5" width="8.88671875" style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0" ht="20.399999999999999">
      <c r="A5" s="58" t="s">
        <v>3</v>
      </c>
      <c r="B5" s="58" t="s">
        <v>4</v>
      </c>
      <c r="C5" s="58" t="s">
        <v>5</v>
      </c>
      <c r="D5" s="58" t="s">
        <v>6</v>
      </c>
      <c r="E5" s="58" t="s">
        <v>37</v>
      </c>
      <c r="F5" s="59" t="s">
        <v>7</v>
      </c>
      <c r="G5" s="58" t="s">
        <v>8</v>
      </c>
      <c r="H5" s="58" t="s">
        <v>9</v>
      </c>
      <c r="I5" s="58" t="s">
        <v>10</v>
      </c>
      <c r="J5" s="59" t="s">
        <v>18</v>
      </c>
      <c r="K5" s="59" t="s">
        <v>17</v>
      </c>
      <c r="L5" s="58" t="s">
        <v>11</v>
      </c>
      <c r="M5" s="59" t="s">
        <v>36</v>
      </c>
      <c r="N5" s="58" t="s">
        <v>12</v>
      </c>
      <c r="O5" s="58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0">
      <c r="A6" s="69"/>
      <c r="B6" s="60"/>
      <c r="C6" s="60"/>
      <c r="D6" s="60"/>
      <c r="E6" s="60"/>
      <c r="F6" s="60"/>
      <c r="G6" s="60"/>
      <c r="H6" s="60"/>
      <c r="I6" s="60"/>
      <c r="J6" s="60"/>
      <c r="K6" s="60"/>
      <c r="L6" s="61"/>
      <c r="M6" s="61"/>
      <c r="N6" s="60"/>
      <c r="O6" s="62"/>
      <c r="P6" s="62"/>
    </row>
    <row r="7" spans="1:20">
      <c r="A7" s="69"/>
      <c r="B7" s="60"/>
      <c r="C7" s="60"/>
      <c r="D7" s="60"/>
      <c r="E7" s="60"/>
      <c r="F7" s="60"/>
      <c r="G7" s="60"/>
      <c r="H7" s="60"/>
      <c r="I7" s="60"/>
      <c r="J7" s="60"/>
      <c r="K7" s="60"/>
      <c r="L7" s="61"/>
      <c r="M7" s="61"/>
      <c r="N7" s="60"/>
      <c r="O7" s="62"/>
      <c r="P7" s="62"/>
    </row>
    <row r="8" spans="1:20">
      <c r="A8" s="69" t="s">
        <v>750</v>
      </c>
      <c r="B8" s="42" t="s">
        <v>752</v>
      </c>
      <c r="C8" s="42" t="s">
        <v>30</v>
      </c>
      <c r="D8" s="42" t="s">
        <v>16</v>
      </c>
      <c r="E8" s="42" t="s">
        <v>661</v>
      </c>
      <c r="F8" s="42">
        <v>342</v>
      </c>
      <c r="G8" s="42"/>
      <c r="H8" s="42">
        <v>17050</v>
      </c>
      <c r="I8" s="42">
        <v>227</v>
      </c>
      <c r="J8" s="42">
        <v>0.13</v>
      </c>
      <c r="K8" s="42">
        <v>30</v>
      </c>
      <c r="L8" s="43">
        <f t="shared" ref="L8" si="0">H8-K8</f>
        <v>17020</v>
      </c>
      <c r="M8" s="43"/>
      <c r="N8" s="43">
        <f t="shared" ref="N8" si="1">L8-M8</f>
        <v>17020</v>
      </c>
      <c r="O8" s="43">
        <f t="shared" ref="O8" si="2">H8/1000*70</f>
        <v>1193.5</v>
      </c>
      <c r="P8" s="42">
        <v>26000</v>
      </c>
      <c r="Q8" s="42">
        <v>13.87</v>
      </c>
      <c r="R8" s="42">
        <f t="shared" ref="R8" si="3">L8*Q8</f>
        <v>236067.4</v>
      </c>
    </row>
    <row r="9" spans="1:20">
      <c r="A9" s="69"/>
      <c r="B9" s="60"/>
      <c r="C9" s="60"/>
      <c r="D9" s="60"/>
      <c r="E9" s="60"/>
      <c r="F9" s="60"/>
      <c r="G9" s="60"/>
      <c r="H9" s="60"/>
      <c r="I9" s="60"/>
      <c r="J9" s="60"/>
      <c r="K9" s="60"/>
      <c r="L9" s="61"/>
      <c r="M9" s="61"/>
      <c r="N9" s="60"/>
      <c r="O9" s="62"/>
      <c r="P9" s="62"/>
    </row>
    <row r="10" spans="1:20">
      <c r="A10" s="63" t="s">
        <v>2721</v>
      </c>
      <c r="B10" s="284" t="s">
        <v>2725</v>
      </c>
      <c r="C10" s="284" t="s">
        <v>30</v>
      </c>
      <c r="D10" s="42" t="s">
        <v>16</v>
      </c>
      <c r="E10" s="284" t="s">
        <v>323</v>
      </c>
      <c r="F10" s="284">
        <v>113</v>
      </c>
      <c r="G10" s="284"/>
      <c r="H10" s="284">
        <v>13150</v>
      </c>
      <c r="I10" s="284">
        <v>174</v>
      </c>
      <c r="J10" s="284">
        <v>0.13</v>
      </c>
      <c r="K10" s="43">
        <f t="shared" ref="K10" si="4">I10*J10</f>
        <v>22.62</v>
      </c>
      <c r="L10" s="43">
        <f t="shared" ref="L10" si="5">H10-K10</f>
        <v>13127.38</v>
      </c>
      <c r="M10" s="43"/>
      <c r="N10" s="43">
        <f t="shared" ref="N10" si="6">L10-M10</f>
        <v>13127.38</v>
      </c>
      <c r="O10" s="43">
        <f t="shared" ref="O10" si="7">H10/1000*70</f>
        <v>920.5</v>
      </c>
      <c r="P10" s="42">
        <v>20000</v>
      </c>
      <c r="Q10" s="42">
        <v>10.74</v>
      </c>
      <c r="R10" s="42">
        <f t="shared" ref="R10" si="8">L10*Q10</f>
        <v>140988.0612</v>
      </c>
    </row>
    <row r="11" spans="1:20">
      <c r="A11" s="62"/>
      <c r="B11" s="60"/>
      <c r="C11" s="60"/>
      <c r="D11" s="60"/>
      <c r="E11" s="60"/>
      <c r="F11" s="60"/>
      <c r="G11" s="60"/>
      <c r="H11" s="60"/>
      <c r="I11" s="60"/>
      <c r="J11" s="60"/>
      <c r="K11" s="61"/>
      <c r="L11" s="65"/>
      <c r="M11" s="61"/>
      <c r="N11" s="60"/>
      <c r="O11" s="60"/>
      <c r="P11" s="60"/>
    </row>
    <row r="12" spans="1:20">
      <c r="A12" s="62"/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</row>
    <row r="13" spans="1:20">
      <c r="A13" s="62" t="s">
        <v>3308</v>
      </c>
      <c r="B13" s="42" t="s">
        <v>3311</v>
      </c>
      <c r="C13" s="42" t="s">
        <v>30</v>
      </c>
      <c r="D13" s="42" t="s">
        <v>16</v>
      </c>
      <c r="E13" s="47" t="s">
        <v>3312</v>
      </c>
      <c r="F13" s="47">
        <v>885</v>
      </c>
      <c r="G13" s="47"/>
      <c r="H13" s="47">
        <v>13480</v>
      </c>
      <c r="I13" s="47">
        <v>193</v>
      </c>
      <c r="J13" s="47">
        <v>0.13</v>
      </c>
      <c r="K13" s="43">
        <f t="shared" ref="K13" si="9">I13*J13</f>
        <v>25.09</v>
      </c>
      <c r="L13" s="43">
        <f t="shared" ref="L13" si="10">H13-K13</f>
        <v>13454.91</v>
      </c>
      <c r="M13" s="43"/>
      <c r="N13" s="43">
        <f t="shared" ref="N13" si="11">L13-M13</f>
        <v>13454.91</v>
      </c>
      <c r="O13" s="43">
        <f t="shared" ref="O13" si="12">H13/1000*70</f>
        <v>943.6</v>
      </c>
      <c r="P13" s="42">
        <v>20000</v>
      </c>
      <c r="Q13" s="42"/>
      <c r="R13" s="42">
        <f t="shared" ref="R13" si="13">L13*Q13</f>
        <v>0</v>
      </c>
    </row>
    <row r="14" spans="1:20">
      <c r="A14" s="62"/>
      <c r="B14" s="67"/>
      <c r="C14" s="67"/>
      <c r="D14" s="67"/>
      <c r="E14" s="67"/>
      <c r="F14" s="67"/>
      <c r="G14" s="67"/>
      <c r="H14" s="67"/>
      <c r="I14" s="67"/>
      <c r="J14" s="67"/>
      <c r="K14" s="67"/>
      <c r="L14" s="68"/>
      <c r="M14" s="68"/>
      <c r="N14" s="67"/>
      <c r="O14" s="62"/>
      <c r="P14" s="62"/>
    </row>
    <row r="15" spans="1:20">
      <c r="A15" s="62"/>
      <c r="B15" s="62"/>
      <c r="C15" s="62"/>
      <c r="D15" s="62"/>
      <c r="E15" s="62"/>
      <c r="F15" s="62"/>
      <c r="G15" s="62"/>
      <c r="H15" s="62"/>
      <c r="I15" s="62"/>
      <c r="J15" s="62"/>
      <c r="K15" s="62"/>
      <c r="L15" s="62"/>
      <c r="M15" s="62"/>
      <c r="N15" s="62"/>
      <c r="O15" s="62"/>
      <c r="P15" s="62"/>
    </row>
    <row r="16" spans="1:20">
      <c r="A16" s="62" t="s">
        <v>3632</v>
      </c>
      <c r="B16" s="42" t="s">
        <v>3628</v>
      </c>
      <c r="C16" s="42" t="s">
        <v>30</v>
      </c>
      <c r="D16" s="42" t="s">
        <v>16</v>
      </c>
      <c r="E16" s="47" t="s">
        <v>3624</v>
      </c>
      <c r="F16" s="47">
        <v>941</v>
      </c>
      <c r="G16" s="47">
        <v>2623</v>
      </c>
      <c r="H16" s="47">
        <v>21000</v>
      </c>
      <c r="I16" s="47">
        <v>280</v>
      </c>
      <c r="J16" s="47">
        <v>0.13</v>
      </c>
      <c r="K16" s="43">
        <f t="shared" ref="K16" si="14">I16*J16</f>
        <v>36.4</v>
      </c>
      <c r="L16" s="43">
        <f t="shared" ref="L16" si="15">H16-K16</f>
        <v>20963.599999999999</v>
      </c>
      <c r="M16" s="43"/>
      <c r="N16" s="43">
        <f t="shared" ref="N16" si="16">L16-M16</f>
        <v>20963.599999999999</v>
      </c>
      <c r="O16" s="43">
        <f t="shared" ref="O16" si="17">H16/1000*70</f>
        <v>1470</v>
      </c>
      <c r="P16" s="42">
        <v>28700</v>
      </c>
      <c r="Q16" s="42">
        <v>9.27</v>
      </c>
      <c r="R16" s="42">
        <f t="shared" ref="R16" si="18">L16*Q16</f>
        <v>194332.57199999999</v>
      </c>
    </row>
    <row r="17" spans="1:16">
      <c r="A17" s="62"/>
      <c r="B17" s="62"/>
      <c r="C17" s="62"/>
      <c r="D17" s="62"/>
      <c r="E17" s="62"/>
      <c r="F17" s="62"/>
      <c r="G17" s="62"/>
      <c r="H17" s="62"/>
      <c r="I17" s="62"/>
      <c r="J17" s="62"/>
      <c r="K17" s="62"/>
      <c r="L17" s="62"/>
      <c r="M17" s="62"/>
      <c r="N17" s="62"/>
      <c r="O17" s="62"/>
      <c r="P17" s="62"/>
    </row>
    <row r="18" spans="1:16">
      <c r="A18" s="62"/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8"/>
      <c r="M18" s="68"/>
      <c r="N18" s="67"/>
      <c r="O18" s="67"/>
      <c r="P18" s="67"/>
    </row>
    <row r="19" spans="1:16">
      <c r="A19" s="62"/>
      <c r="B19" s="62"/>
      <c r="C19" s="62"/>
      <c r="D19" s="62"/>
      <c r="E19" s="62"/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</row>
    <row r="20" spans="1:16">
      <c r="A20" s="62"/>
      <c r="B20" s="67"/>
      <c r="C20" s="67"/>
      <c r="D20" s="67"/>
      <c r="E20" s="67"/>
      <c r="F20" s="67"/>
      <c r="G20" s="67"/>
      <c r="H20" s="67"/>
      <c r="I20" s="67"/>
      <c r="J20" s="67"/>
      <c r="K20" s="68"/>
      <c r="L20" s="68"/>
      <c r="M20" s="68"/>
      <c r="N20" s="67"/>
      <c r="O20" s="62"/>
      <c r="P20" s="62"/>
    </row>
    <row r="21" spans="1:16">
      <c r="A21" s="62"/>
      <c r="B21" s="62"/>
      <c r="C21" s="62"/>
      <c r="D21" s="62"/>
      <c r="E21" s="62"/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</row>
    <row r="22" spans="1:16">
      <c r="A22" s="62"/>
      <c r="B22" s="67"/>
      <c r="C22" s="67"/>
      <c r="D22" s="67"/>
      <c r="E22" s="67"/>
      <c r="F22" s="67"/>
      <c r="G22" s="67"/>
      <c r="H22" s="67"/>
      <c r="I22" s="67"/>
      <c r="J22" s="67"/>
      <c r="K22" s="67"/>
      <c r="L22" s="68"/>
      <c r="M22" s="68"/>
      <c r="N22" s="67"/>
      <c r="O22" s="100"/>
      <c r="P22" s="68"/>
    </row>
    <row r="23" spans="1:16">
      <c r="A23" s="62"/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</row>
    <row r="24" spans="1:16">
      <c r="A24" s="62"/>
      <c r="B24" s="67"/>
      <c r="C24" s="67"/>
      <c r="D24" s="67"/>
      <c r="E24" s="67"/>
      <c r="F24" s="67"/>
      <c r="G24" s="67"/>
      <c r="H24" s="67"/>
      <c r="I24" s="67"/>
      <c r="J24" s="67"/>
      <c r="K24" s="68"/>
      <c r="L24" s="68"/>
      <c r="M24" s="68"/>
      <c r="N24" s="67"/>
      <c r="O24" s="67"/>
      <c r="P24" s="67"/>
    </row>
    <row r="25" spans="1:16">
      <c r="A25" s="62"/>
      <c r="B25" s="62"/>
      <c r="C25" s="62"/>
      <c r="D25" s="62"/>
      <c r="E25" s="62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>
  <dimension ref="A5:T25"/>
  <sheetViews>
    <sheetView topLeftCell="A4" workbookViewId="0">
      <selection activeCell="A18" sqref="A18"/>
    </sheetView>
  </sheetViews>
  <sheetFormatPr defaultRowHeight="14.4"/>
  <cols>
    <col min="1" max="1" width="8.88671875" style="1"/>
    <col min="2" max="2" width="23" style="1" customWidth="1"/>
    <col min="3" max="3" width="8.88671875" style="1"/>
    <col min="4" max="4" width="5.5546875" style="1" customWidth="1"/>
    <col min="5" max="5" width="8.88671875" style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0" ht="20.399999999999999">
      <c r="A5" s="58" t="s">
        <v>3</v>
      </c>
      <c r="B5" s="58" t="s">
        <v>4</v>
      </c>
      <c r="C5" s="58" t="s">
        <v>5</v>
      </c>
      <c r="D5" s="58" t="s">
        <v>6</v>
      </c>
      <c r="E5" s="58" t="s">
        <v>37</v>
      </c>
      <c r="F5" s="59" t="s">
        <v>7</v>
      </c>
      <c r="G5" s="58" t="s">
        <v>8</v>
      </c>
      <c r="H5" s="58" t="s">
        <v>9</v>
      </c>
      <c r="I5" s="58" t="s">
        <v>10</v>
      </c>
      <c r="J5" s="59" t="s">
        <v>18</v>
      </c>
      <c r="K5" s="59" t="s">
        <v>17</v>
      </c>
      <c r="L5" s="58" t="s">
        <v>11</v>
      </c>
      <c r="M5" s="59" t="s">
        <v>36</v>
      </c>
      <c r="N5" s="58" t="s">
        <v>12</v>
      </c>
      <c r="O5" s="58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0">
      <c r="A6" s="69"/>
      <c r="B6" s="170"/>
      <c r="C6" s="170"/>
      <c r="D6" s="170"/>
      <c r="E6" s="170"/>
      <c r="F6" s="170"/>
      <c r="G6" s="170"/>
      <c r="H6" s="170"/>
      <c r="I6" s="170"/>
      <c r="J6" s="170"/>
      <c r="K6" s="170"/>
      <c r="L6" s="61"/>
      <c r="M6" s="61"/>
      <c r="N6" s="170"/>
      <c r="O6" s="62"/>
      <c r="P6" s="62"/>
    </row>
    <row r="7" spans="1:20">
      <c r="A7" s="69"/>
      <c r="B7" s="170"/>
      <c r="C7" s="170"/>
      <c r="D7" s="170"/>
      <c r="E7" s="170"/>
      <c r="F7" s="170"/>
      <c r="G7" s="170"/>
      <c r="H7" s="170"/>
      <c r="I7" s="170"/>
      <c r="J7" s="170"/>
      <c r="K7" s="170"/>
      <c r="L7" s="61"/>
      <c r="M7" s="61"/>
      <c r="N7" s="170"/>
      <c r="O7" s="62"/>
      <c r="P7" s="62"/>
    </row>
    <row r="8" spans="1:20">
      <c r="A8" s="69"/>
      <c r="B8" s="170"/>
      <c r="C8" s="170"/>
      <c r="D8" s="170"/>
      <c r="E8" s="170"/>
      <c r="F8" s="170"/>
      <c r="G8" s="170"/>
      <c r="H8" s="170"/>
      <c r="I8" s="170"/>
      <c r="J8" s="170"/>
      <c r="K8" s="170"/>
      <c r="L8" s="61"/>
      <c r="M8" s="61"/>
      <c r="N8" s="170"/>
      <c r="O8" s="62"/>
      <c r="P8" s="62"/>
    </row>
    <row r="9" spans="1:20">
      <c r="A9" s="63" t="s">
        <v>1425</v>
      </c>
      <c r="B9" s="42" t="s">
        <v>0</v>
      </c>
      <c r="C9" s="42" t="s">
        <v>30</v>
      </c>
      <c r="D9" s="42" t="s">
        <v>16</v>
      </c>
      <c r="E9" s="42" t="s">
        <v>323</v>
      </c>
      <c r="F9" s="42">
        <v>451</v>
      </c>
      <c r="G9" s="42"/>
      <c r="H9" s="42">
        <v>6936</v>
      </c>
      <c r="I9" s="42">
        <v>94</v>
      </c>
      <c r="J9" s="42">
        <v>0.13</v>
      </c>
      <c r="K9" s="42">
        <f t="shared" ref="K9" si="0">I9*J9</f>
        <v>12.22</v>
      </c>
      <c r="L9" s="43">
        <f t="shared" ref="L9" si="1">H9-K9</f>
        <v>6923.78</v>
      </c>
      <c r="M9" s="43"/>
      <c r="N9" s="43">
        <f t="shared" ref="N9" si="2">L9-M9</f>
        <v>6923.78</v>
      </c>
      <c r="O9" s="43">
        <f t="shared" ref="O9" si="3">H9/1000*70</f>
        <v>485.52</v>
      </c>
      <c r="P9" s="42">
        <v>14123</v>
      </c>
      <c r="Q9" s="42"/>
      <c r="R9" s="42">
        <f t="shared" ref="R9" si="4">L9*Q9</f>
        <v>0</v>
      </c>
    </row>
    <row r="10" spans="1:20">
      <c r="A10" s="63"/>
      <c r="B10" s="170"/>
      <c r="C10" s="170"/>
      <c r="D10" s="170"/>
      <c r="E10" s="170"/>
      <c r="F10" s="170"/>
      <c r="G10" s="170"/>
      <c r="H10" s="170"/>
      <c r="I10" s="170"/>
      <c r="J10" s="170"/>
      <c r="K10" s="170"/>
      <c r="L10" s="61"/>
      <c r="M10" s="61"/>
      <c r="N10" s="170"/>
      <c r="O10" s="62"/>
      <c r="P10" s="62"/>
    </row>
    <row r="11" spans="1:20">
      <c r="A11" s="62" t="s">
        <v>1644</v>
      </c>
      <c r="B11" s="42" t="s">
        <v>1648</v>
      </c>
      <c r="C11" s="42" t="s">
        <v>30</v>
      </c>
      <c r="D11" s="42" t="s">
        <v>16</v>
      </c>
      <c r="E11" s="42" t="s">
        <v>661</v>
      </c>
      <c r="F11" s="42">
        <v>114</v>
      </c>
      <c r="G11" s="42"/>
      <c r="H11" s="42">
        <v>13000</v>
      </c>
      <c r="I11" s="42">
        <f>H11/50</f>
        <v>260</v>
      </c>
      <c r="J11" s="42">
        <v>0.13</v>
      </c>
      <c r="K11" s="42">
        <v>34</v>
      </c>
      <c r="L11" s="43">
        <f t="shared" ref="L11" si="5">H11-K11</f>
        <v>12966</v>
      </c>
      <c r="M11" s="43"/>
      <c r="N11" s="43">
        <f t="shared" ref="N11" si="6">L11-M11</f>
        <v>12966</v>
      </c>
      <c r="O11" s="43">
        <f t="shared" ref="O11" si="7">H11/1000*70</f>
        <v>910</v>
      </c>
      <c r="P11" s="191">
        <v>20000</v>
      </c>
      <c r="Q11" s="191">
        <v>10.33</v>
      </c>
      <c r="R11" s="42">
        <f t="shared" ref="R11" si="8">L11*Q11</f>
        <v>133938.78</v>
      </c>
    </row>
    <row r="12" spans="1:20">
      <c r="A12" s="62"/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</row>
    <row r="13" spans="1:20">
      <c r="A13" s="62" t="s">
        <v>1672</v>
      </c>
      <c r="B13" s="42" t="s">
        <v>1673</v>
      </c>
      <c r="C13" s="42" t="s">
        <v>30</v>
      </c>
      <c r="D13" s="42" t="s">
        <v>16</v>
      </c>
      <c r="E13" s="42" t="s">
        <v>666</v>
      </c>
      <c r="F13" s="42">
        <v>362</v>
      </c>
      <c r="G13" s="42"/>
      <c r="H13" s="42">
        <v>13000</v>
      </c>
      <c r="I13" s="42">
        <v>174</v>
      </c>
      <c r="J13" s="42">
        <v>0.13</v>
      </c>
      <c r="K13" s="42">
        <v>23</v>
      </c>
      <c r="L13" s="43">
        <f t="shared" ref="L13" si="9">H13-K13</f>
        <v>12977</v>
      </c>
      <c r="M13" s="43"/>
      <c r="N13" s="43">
        <f t="shared" ref="N13" si="10">L13-M13</f>
        <v>12977</v>
      </c>
      <c r="O13" s="43">
        <f t="shared" ref="O13" si="11">H13/1000*70</f>
        <v>910</v>
      </c>
      <c r="P13" s="197">
        <v>20000</v>
      </c>
      <c r="Q13" s="197">
        <v>10.26</v>
      </c>
      <c r="R13" s="42">
        <f t="shared" ref="R13" si="12">L13*Q13</f>
        <v>133144.01999999999</v>
      </c>
    </row>
    <row r="14" spans="1:20">
      <c r="A14" s="62"/>
      <c r="B14" s="67"/>
      <c r="C14" s="67"/>
      <c r="D14" s="67"/>
      <c r="E14" s="67"/>
      <c r="F14" s="67"/>
      <c r="G14" s="67"/>
      <c r="H14" s="67"/>
      <c r="I14" s="67"/>
      <c r="J14" s="67"/>
      <c r="K14" s="67"/>
      <c r="L14" s="68"/>
      <c r="M14" s="68"/>
      <c r="N14" s="67"/>
      <c r="O14" s="62"/>
      <c r="P14" s="62"/>
    </row>
    <row r="15" spans="1:20">
      <c r="A15" s="62" t="s">
        <v>2352</v>
      </c>
      <c r="B15" s="42" t="s">
        <v>2353</v>
      </c>
      <c r="C15" s="42" t="s">
        <v>30</v>
      </c>
      <c r="D15" s="42" t="s">
        <v>16</v>
      </c>
      <c r="E15" s="42" t="s">
        <v>359</v>
      </c>
      <c r="F15" s="42">
        <v>501</v>
      </c>
      <c r="G15" s="42"/>
      <c r="H15" s="42">
        <v>12560</v>
      </c>
      <c r="I15" s="42">
        <v>167</v>
      </c>
      <c r="J15" s="42">
        <v>0.13</v>
      </c>
      <c r="K15" s="43">
        <f t="shared" ref="K15" si="13">I15*J15</f>
        <v>21.71</v>
      </c>
      <c r="L15" s="43">
        <f t="shared" ref="L15" si="14">H15-K15</f>
        <v>12538.29</v>
      </c>
      <c r="M15" s="43">
        <f>L15*4%</f>
        <v>501.53160000000003</v>
      </c>
      <c r="N15" s="43">
        <f t="shared" ref="N15" si="15">L15-M15</f>
        <v>12036.758400000001</v>
      </c>
      <c r="O15" s="43">
        <f t="shared" ref="O15" si="16">H15/1000*70</f>
        <v>879.2</v>
      </c>
      <c r="P15" s="42">
        <v>20000</v>
      </c>
      <c r="Q15" s="42">
        <v>12.42</v>
      </c>
      <c r="R15" s="42">
        <f t="shared" ref="R15" si="17">L15*Q15</f>
        <v>155725.5618</v>
      </c>
      <c r="S15" s="42" t="s">
        <v>2354</v>
      </c>
    </row>
    <row r="16" spans="1:20">
      <c r="A16" s="62"/>
      <c r="B16" s="67"/>
      <c r="C16" s="67"/>
      <c r="D16" s="67"/>
      <c r="E16" s="67"/>
      <c r="F16" s="67"/>
      <c r="G16" s="67"/>
      <c r="H16" s="67"/>
      <c r="I16" s="67"/>
      <c r="J16" s="67"/>
      <c r="K16" s="68"/>
      <c r="L16" s="68"/>
      <c r="M16" s="68"/>
      <c r="N16" s="67"/>
      <c r="O16" s="67"/>
      <c r="P16" s="67"/>
    </row>
    <row r="17" spans="1:19">
      <c r="A17" s="62" t="s">
        <v>3097</v>
      </c>
      <c r="B17" s="42" t="s">
        <v>29</v>
      </c>
      <c r="C17" s="42" t="s">
        <v>30</v>
      </c>
      <c r="D17" s="42" t="s">
        <v>16</v>
      </c>
      <c r="E17" s="42" t="s">
        <v>1078</v>
      </c>
      <c r="F17" s="42">
        <v>104</v>
      </c>
      <c r="G17" s="42"/>
      <c r="H17" s="42">
        <v>1990</v>
      </c>
      <c r="I17" s="42">
        <v>29</v>
      </c>
      <c r="J17" s="42"/>
      <c r="K17" s="43">
        <f t="shared" ref="K17" si="18">I17*J17</f>
        <v>0</v>
      </c>
      <c r="L17" s="43">
        <f t="shared" ref="L17" si="19">H17-K17</f>
        <v>1990</v>
      </c>
      <c r="M17" s="43"/>
      <c r="N17" s="43">
        <f t="shared" ref="N17" si="20">L17-M17</f>
        <v>1990</v>
      </c>
      <c r="O17" s="43">
        <v>0</v>
      </c>
      <c r="P17" s="42">
        <v>0</v>
      </c>
      <c r="Q17" s="50">
        <f>25000/1990</f>
        <v>12.562814070351759</v>
      </c>
      <c r="R17" s="42">
        <f t="shared" ref="R17" si="21">L17*Q17</f>
        <v>25000</v>
      </c>
      <c r="S17" s="42"/>
    </row>
    <row r="18" spans="1:19">
      <c r="A18" s="62"/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8"/>
      <c r="M18" s="68"/>
      <c r="N18" s="67"/>
      <c r="O18" s="67"/>
      <c r="P18" s="67"/>
    </row>
    <row r="19" spans="1:19">
      <c r="A19" s="62"/>
      <c r="B19" s="62"/>
      <c r="C19" s="62"/>
      <c r="D19" s="62"/>
      <c r="E19" s="62"/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</row>
    <row r="20" spans="1:19">
      <c r="A20" s="62"/>
      <c r="B20" s="67"/>
      <c r="C20" s="67"/>
      <c r="D20" s="67"/>
      <c r="E20" s="67"/>
      <c r="F20" s="67"/>
      <c r="G20" s="67"/>
      <c r="H20" s="67"/>
      <c r="I20" s="67"/>
      <c r="J20" s="67"/>
      <c r="K20" s="68"/>
      <c r="L20" s="68"/>
      <c r="M20" s="68"/>
      <c r="N20" s="67"/>
      <c r="O20" s="62"/>
      <c r="P20" s="62"/>
    </row>
    <row r="21" spans="1:19">
      <c r="A21" s="62"/>
      <c r="B21" s="62"/>
      <c r="C21" s="62"/>
      <c r="D21" s="62"/>
      <c r="E21" s="62"/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</row>
    <row r="22" spans="1:19">
      <c r="A22" s="62"/>
      <c r="B22" s="67"/>
      <c r="C22" s="67"/>
      <c r="D22" s="67"/>
      <c r="E22" s="67"/>
      <c r="F22" s="67"/>
      <c r="G22" s="67"/>
      <c r="H22" s="67"/>
      <c r="I22" s="67"/>
      <c r="J22" s="67"/>
      <c r="K22" s="67"/>
      <c r="L22" s="68"/>
      <c r="M22" s="68"/>
      <c r="N22" s="67"/>
      <c r="O22" s="100"/>
      <c r="P22" s="68"/>
    </row>
    <row r="23" spans="1:19">
      <c r="A23" s="62"/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</row>
    <row r="24" spans="1:19">
      <c r="A24" s="62"/>
      <c r="B24" s="67"/>
      <c r="C24" s="67"/>
      <c r="D24" s="67"/>
      <c r="E24" s="67"/>
      <c r="F24" s="67"/>
      <c r="G24" s="67"/>
      <c r="H24" s="67"/>
      <c r="I24" s="67"/>
      <c r="J24" s="67"/>
      <c r="K24" s="68"/>
      <c r="L24" s="68"/>
      <c r="M24" s="68"/>
      <c r="N24" s="67"/>
      <c r="O24" s="67"/>
      <c r="P24" s="67"/>
    </row>
    <row r="25" spans="1:19">
      <c r="A25" s="62"/>
      <c r="B25" s="62"/>
      <c r="C25" s="62"/>
      <c r="D25" s="62"/>
      <c r="E25" s="62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>
  <dimension ref="A5:T26"/>
  <sheetViews>
    <sheetView topLeftCell="A4" workbookViewId="0">
      <selection activeCell="A13" sqref="A13"/>
    </sheetView>
  </sheetViews>
  <sheetFormatPr defaultRowHeight="14.4"/>
  <cols>
    <col min="1" max="1" width="8.88671875" style="1"/>
    <col min="2" max="2" width="17.77734375" style="1" customWidth="1"/>
    <col min="3" max="3" width="8.88671875" style="1"/>
    <col min="4" max="4" width="5.5546875" style="1" customWidth="1"/>
    <col min="5" max="5" width="8.88671875" style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0" ht="20.399999999999999">
      <c r="A5" s="58" t="s">
        <v>3</v>
      </c>
      <c r="B5" s="58" t="s">
        <v>4</v>
      </c>
      <c r="C5" s="58" t="s">
        <v>5</v>
      </c>
      <c r="D5" s="58" t="s">
        <v>6</v>
      </c>
      <c r="E5" s="58" t="s">
        <v>37</v>
      </c>
      <c r="F5" s="59" t="s">
        <v>7</v>
      </c>
      <c r="G5" s="58" t="s">
        <v>8</v>
      </c>
      <c r="H5" s="58" t="s">
        <v>9</v>
      </c>
      <c r="I5" s="58" t="s">
        <v>10</v>
      </c>
      <c r="J5" s="59" t="s">
        <v>18</v>
      </c>
      <c r="K5" s="59" t="s">
        <v>17</v>
      </c>
      <c r="L5" s="58" t="s">
        <v>11</v>
      </c>
      <c r="M5" s="59" t="s">
        <v>36</v>
      </c>
      <c r="N5" s="58" t="s">
        <v>12</v>
      </c>
      <c r="O5" s="58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0">
      <c r="A6" s="69"/>
      <c r="B6" s="170"/>
      <c r="C6" s="170"/>
      <c r="D6" s="170"/>
      <c r="E6" s="170"/>
      <c r="F6" s="170"/>
      <c r="G6" s="170"/>
      <c r="H6" s="170"/>
      <c r="I6" s="170"/>
      <c r="J6" s="170"/>
      <c r="K6" s="170"/>
      <c r="L6" s="61"/>
      <c r="M6" s="61"/>
      <c r="N6" s="170"/>
      <c r="O6" s="62"/>
      <c r="P6" s="62"/>
    </row>
    <row r="7" spans="1:20">
      <c r="A7" s="69"/>
      <c r="B7" s="170"/>
      <c r="C7" s="170"/>
      <c r="D7" s="170"/>
      <c r="E7" s="170"/>
      <c r="F7" s="170"/>
      <c r="G7" s="170"/>
      <c r="H7" s="170"/>
      <c r="I7" s="170"/>
      <c r="J7" s="170"/>
      <c r="K7" s="170"/>
      <c r="L7" s="61"/>
      <c r="M7" s="61"/>
      <c r="N7" s="170"/>
      <c r="O7" s="62"/>
      <c r="P7" s="62"/>
    </row>
    <row r="8" spans="1:20">
      <c r="A8" s="69"/>
      <c r="B8" s="42"/>
      <c r="C8" s="42"/>
      <c r="D8" s="42"/>
      <c r="E8" s="42"/>
      <c r="F8" s="42"/>
      <c r="G8" s="42"/>
      <c r="H8" s="42"/>
      <c r="I8" s="42"/>
      <c r="J8" s="42"/>
      <c r="K8" s="42"/>
      <c r="L8" s="43"/>
      <c r="M8" s="43"/>
      <c r="N8" s="43"/>
      <c r="O8" s="43"/>
      <c r="P8" s="42"/>
      <c r="Q8" s="42"/>
      <c r="R8" s="42"/>
    </row>
    <row r="9" spans="1:20">
      <c r="A9" s="69"/>
      <c r="B9" s="170"/>
      <c r="C9" s="170"/>
      <c r="D9" s="170"/>
      <c r="E9" s="170"/>
      <c r="F9" s="170"/>
      <c r="G9" s="170"/>
      <c r="H9" s="170"/>
      <c r="I9" s="170"/>
      <c r="J9" s="170"/>
      <c r="K9" s="170"/>
      <c r="L9" s="61"/>
      <c r="M9" s="61"/>
      <c r="N9" s="170"/>
      <c r="O9" s="62"/>
      <c r="P9" s="62"/>
    </row>
    <row r="10" spans="1:20">
      <c r="A10" s="63" t="s">
        <v>1425</v>
      </c>
      <c r="B10" s="42" t="s">
        <v>1429</v>
      </c>
      <c r="C10" s="42" t="s">
        <v>1430</v>
      </c>
      <c r="D10" s="42" t="s">
        <v>16</v>
      </c>
      <c r="E10" s="42" t="s">
        <v>323</v>
      </c>
      <c r="F10" s="42">
        <v>1205</v>
      </c>
      <c r="G10" s="42"/>
      <c r="H10" s="42">
        <v>6324</v>
      </c>
      <c r="I10" s="42">
        <v>127</v>
      </c>
      <c r="J10" s="42">
        <v>0.13</v>
      </c>
      <c r="K10" s="42">
        <v>17</v>
      </c>
      <c r="L10" s="43">
        <f t="shared" ref="L10" si="0">H10-K10</f>
        <v>6307</v>
      </c>
      <c r="M10" s="43"/>
      <c r="N10" s="43">
        <f t="shared" ref="N10" si="1">L10-M10</f>
        <v>6307</v>
      </c>
      <c r="O10" s="43">
        <f t="shared" ref="O10" si="2">H10/1000*70</f>
        <v>442.68</v>
      </c>
      <c r="P10" s="42">
        <v>12877</v>
      </c>
      <c r="Q10" s="42"/>
      <c r="R10" s="42">
        <f t="shared" ref="R10" si="3">L10*Q10</f>
        <v>0</v>
      </c>
    </row>
    <row r="11" spans="1:20">
      <c r="A11" s="63"/>
      <c r="B11" s="170"/>
      <c r="C11" s="170"/>
      <c r="D11" s="170"/>
      <c r="E11" s="170"/>
      <c r="F11" s="170"/>
      <c r="G11" s="170"/>
      <c r="H11" s="170"/>
      <c r="I11" s="170"/>
      <c r="J11" s="170"/>
      <c r="K11" s="170"/>
      <c r="L11" s="61"/>
      <c r="M11" s="61"/>
      <c r="N11" s="170"/>
      <c r="O11" s="62"/>
      <c r="P11" s="62"/>
    </row>
    <row r="12" spans="1:20">
      <c r="A12" s="62" t="s">
        <v>3825</v>
      </c>
      <c r="B12" s="42" t="s">
        <v>632</v>
      </c>
      <c r="C12" s="42" t="s">
        <v>1430</v>
      </c>
      <c r="D12" s="42" t="s">
        <v>16</v>
      </c>
      <c r="E12" s="47" t="s">
        <v>3829</v>
      </c>
      <c r="F12" s="47">
        <v>2670</v>
      </c>
      <c r="G12" s="47"/>
      <c r="H12" s="47">
        <v>14130</v>
      </c>
      <c r="I12" s="47">
        <v>428</v>
      </c>
      <c r="J12" s="47">
        <v>0.13</v>
      </c>
      <c r="K12" s="43">
        <f t="shared" ref="K12" si="4">I12*J12</f>
        <v>55.64</v>
      </c>
      <c r="L12" s="43">
        <f t="shared" ref="L12" si="5">H12-K12</f>
        <v>14074.36</v>
      </c>
      <c r="M12" s="43"/>
      <c r="N12" s="43">
        <f t="shared" ref="N12" si="6">L12-M12</f>
        <v>14074.36</v>
      </c>
      <c r="O12" s="43">
        <f t="shared" ref="O12" si="7">H12/1000*70</f>
        <v>989.1</v>
      </c>
      <c r="P12" s="42">
        <v>26500</v>
      </c>
      <c r="Q12" s="42"/>
      <c r="R12" s="42">
        <f t="shared" ref="R12" si="8">L12*Q12</f>
        <v>0</v>
      </c>
    </row>
    <row r="13" spans="1:20">
      <c r="A13" s="62"/>
      <c r="B13" s="62"/>
      <c r="C13" s="62"/>
      <c r="D13" s="62"/>
      <c r="E13" s="62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</row>
    <row r="14" spans="1:20">
      <c r="A14" s="62"/>
      <c r="B14" s="62"/>
      <c r="C14" s="62"/>
      <c r="D14" s="62"/>
      <c r="E14" s="62"/>
      <c r="F14" s="62"/>
      <c r="G14" s="62"/>
      <c r="H14" s="62"/>
      <c r="I14" s="62"/>
      <c r="J14" s="62"/>
      <c r="K14" s="62"/>
      <c r="L14" s="62"/>
      <c r="M14" s="62"/>
      <c r="N14" s="62"/>
      <c r="O14" s="62"/>
      <c r="P14" s="62"/>
    </row>
    <row r="15" spans="1:20">
      <c r="A15" s="62"/>
      <c r="B15" s="67"/>
      <c r="C15" s="67"/>
      <c r="D15" s="67"/>
      <c r="E15" s="67"/>
      <c r="F15" s="67"/>
      <c r="G15" s="67"/>
      <c r="H15" s="67"/>
      <c r="I15" s="67"/>
      <c r="J15" s="67"/>
      <c r="K15" s="67"/>
      <c r="L15" s="68"/>
      <c r="M15" s="68"/>
      <c r="N15" s="67"/>
      <c r="O15" s="62"/>
      <c r="P15" s="62"/>
    </row>
    <row r="16" spans="1:20">
      <c r="A16" s="62"/>
      <c r="B16" s="62"/>
      <c r="C16" s="62"/>
      <c r="D16" s="62"/>
      <c r="E16" s="62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</row>
    <row r="17" spans="1:16">
      <c r="A17" s="62"/>
      <c r="B17" s="67"/>
      <c r="C17" s="67"/>
      <c r="D17" s="67"/>
      <c r="E17" s="67"/>
      <c r="F17" s="67"/>
      <c r="G17" s="67"/>
      <c r="H17" s="67"/>
      <c r="I17" s="67"/>
      <c r="J17" s="67"/>
      <c r="K17" s="68"/>
      <c r="L17" s="68"/>
      <c r="M17" s="68"/>
      <c r="N17" s="67"/>
      <c r="O17" s="67"/>
      <c r="P17" s="67"/>
    </row>
    <row r="18" spans="1:16">
      <c r="A18" s="62"/>
      <c r="B18" s="62"/>
      <c r="C18" s="62"/>
      <c r="D18" s="62"/>
      <c r="E18" s="62"/>
      <c r="F18" s="62"/>
      <c r="G18" s="62"/>
      <c r="H18" s="62"/>
      <c r="I18" s="62"/>
      <c r="J18" s="62"/>
      <c r="K18" s="62"/>
      <c r="L18" s="62"/>
      <c r="M18" s="62"/>
      <c r="N18" s="62"/>
      <c r="O18" s="62"/>
      <c r="P18" s="62"/>
    </row>
    <row r="19" spans="1:16">
      <c r="A19" s="62"/>
      <c r="B19" s="67"/>
      <c r="C19" s="67"/>
      <c r="D19" s="67"/>
      <c r="E19" s="67"/>
      <c r="F19" s="67"/>
      <c r="G19" s="67"/>
      <c r="H19" s="67"/>
      <c r="I19" s="67"/>
      <c r="J19" s="67"/>
      <c r="K19" s="67"/>
      <c r="L19" s="68"/>
      <c r="M19" s="68"/>
      <c r="N19" s="67"/>
      <c r="O19" s="67"/>
      <c r="P19" s="67"/>
    </row>
    <row r="20" spans="1:16">
      <c r="A20" s="62"/>
      <c r="B20" s="62"/>
      <c r="C20" s="62"/>
      <c r="D20" s="62"/>
      <c r="E20" s="62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</row>
    <row r="21" spans="1:16">
      <c r="A21" s="62"/>
      <c r="B21" s="67"/>
      <c r="C21" s="67"/>
      <c r="D21" s="67"/>
      <c r="E21" s="67"/>
      <c r="F21" s="67"/>
      <c r="G21" s="67"/>
      <c r="H21" s="67"/>
      <c r="I21" s="67"/>
      <c r="J21" s="67"/>
      <c r="K21" s="68"/>
      <c r="L21" s="68"/>
      <c r="M21" s="68"/>
      <c r="N21" s="67"/>
      <c r="O21" s="62"/>
      <c r="P21" s="62"/>
    </row>
    <row r="22" spans="1:16">
      <c r="A22" s="62"/>
      <c r="B22" s="62"/>
      <c r="C22" s="62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</row>
    <row r="23" spans="1:16">
      <c r="A23" s="62"/>
      <c r="B23" s="67"/>
      <c r="C23" s="67"/>
      <c r="D23" s="67"/>
      <c r="E23" s="67"/>
      <c r="F23" s="67"/>
      <c r="G23" s="67"/>
      <c r="H23" s="67"/>
      <c r="I23" s="67"/>
      <c r="J23" s="67"/>
      <c r="K23" s="67"/>
      <c r="L23" s="68"/>
      <c r="M23" s="68"/>
      <c r="N23" s="67"/>
      <c r="O23" s="100"/>
      <c r="P23" s="68"/>
    </row>
    <row r="24" spans="1:16">
      <c r="A24" s="62"/>
      <c r="B24" s="62"/>
      <c r="C24" s="62"/>
      <c r="D24" s="62"/>
      <c r="E24" s="6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</row>
    <row r="25" spans="1:16">
      <c r="A25" s="62"/>
      <c r="B25" s="67"/>
      <c r="C25" s="67"/>
      <c r="D25" s="67"/>
      <c r="E25" s="67"/>
      <c r="F25" s="67"/>
      <c r="G25" s="67"/>
      <c r="H25" s="67"/>
      <c r="I25" s="67"/>
      <c r="J25" s="67"/>
      <c r="K25" s="68"/>
      <c r="L25" s="68"/>
      <c r="M25" s="68"/>
      <c r="N25" s="67"/>
      <c r="O25" s="67"/>
      <c r="P25" s="67"/>
    </row>
    <row r="26" spans="1:16">
      <c r="A26" s="62"/>
      <c r="B26" s="62"/>
      <c r="C26" s="62"/>
      <c r="D26" s="62"/>
      <c r="E26" s="62"/>
      <c r="F26" s="62"/>
      <c r="G26" s="62"/>
      <c r="H26" s="62"/>
      <c r="I26" s="62"/>
      <c r="J26" s="62"/>
      <c r="K26" s="62"/>
      <c r="L26" s="62"/>
      <c r="M26" s="62"/>
      <c r="N26" s="62"/>
      <c r="O26" s="62"/>
      <c r="P26" s="62"/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>
  <dimension ref="A5:T124"/>
  <sheetViews>
    <sheetView topLeftCell="A113" workbookViewId="0">
      <selection activeCell="A125" sqref="A125"/>
    </sheetView>
  </sheetViews>
  <sheetFormatPr defaultRowHeight="14.4"/>
  <cols>
    <col min="1" max="1" width="8.88671875" style="1"/>
    <col min="2" max="2" width="18.88671875" style="1" customWidth="1"/>
    <col min="3" max="3" width="8.88671875" style="1"/>
    <col min="4" max="4" width="5.5546875" style="1" customWidth="1"/>
    <col min="5" max="5" width="8.88671875" style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0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0">
      <c r="A6" s="7"/>
      <c r="B6" s="2"/>
      <c r="C6" s="2"/>
      <c r="D6" s="2"/>
      <c r="E6" s="2"/>
      <c r="F6" s="2"/>
      <c r="G6" s="2"/>
      <c r="H6" s="2"/>
      <c r="I6" s="2"/>
      <c r="J6" s="2"/>
      <c r="K6" s="2"/>
      <c r="L6" s="5"/>
      <c r="M6" s="5"/>
      <c r="N6" s="2"/>
    </row>
    <row r="7" spans="1:20">
      <c r="A7" s="8" t="s">
        <v>317</v>
      </c>
      <c r="B7" s="42" t="s">
        <v>215</v>
      </c>
      <c r="C7" s="42" t="s">
        <v>325</v>
      </c>
      <c r="D7" s="42" t="s">
        <v>16</v>
      </c>
      <c r="E7" s="42" t="s">
        <v>324</v>
      </c>
      <c r="F7" s="42">
        <v>1368</v>
      </c>
      <c r="G7" s="42"/>
      <c r="H7" s="42">
        <v>500</v>
      </c>
      <c r="I7" s="42">
        <v>10</v>
      </c>
      <c r="J7" s="42">
        <v>0.13</v>
      </c>
      <c r="K7" s="42">
        <f t="shared" ref="K7" si="0">I7*J7</f>
        <v>1.3</v>
      </c>
      <c r="L7" s="43">
        <f t="shared" ref="L7" si="1">H7-K7</f>
        <v>498.7</v>
      </c>
      <c r="M7" s="43">
        <f t="shared" ref="M7" si="2">H7/1000*70</f>
        <v>35</v>
      </c>
      <c r="N7" s="42">
        <v>0</v>
      </c>
    </row>
    <row r="8" spans="1:20">
      <c r="A8" s="8"/>
      <c r="B8" s="2"/>
      <c r="C8" s="2"/>
      <c r="D8" s="2"/>
      <c r="E8" s="2"/>
      <c r="F8" s="2"/>
      <c r="G8" s="2"/>
      <c r="H8" s="2"/>
      <c r="I8" s="2"/>
      <c r="J8" s="2"/>
      <c r="K8" s="5"/>
      <c r="L8" s="5"/>
      <c r="M8" s="5"/>
      <c r="N8" s="2"/>
      <c r="O8" s="2" t="s">
        <v>139</v>
      </c>
    </row>
    <row r="9" spans="1:20">
      <c r="A9" s="9" t="s">
        <v>380</v>
      </c>
      <c r="B9" s="42" t="s">
        <v>388</v>
      </c>
      <c r="C9" s="42" t="s">
        <v>325</v>
      </c>
      <c r="D9" s="42" t="s">
        <v>16</v>
      </c>
      <c r="E9" s="42" t="s">
        <v>337</v>
      </c>
      <c r="F9" s="42">
        <v>141</v>
      </c>
      <c r="G9" s="42"/>
      <c r="H9" s="42">
        <v>500</v>
      </c>
      <c r="I9" s="43"/>
      <c r="J9" s="42"/>
      <c r="K9" s="43">
        <f t="shared" ref="K9" si="3">I9*J9</f>
        <v>0</v>
      </c>
      <c r="L9" s="43">
        <f t="shared" ref="L9" si="4">H9-K9</f>
        <v>500</v>
      </c>
      <c r="M9" s="43">
        <f t="shared" ref="M9" si="5">H9/1000*70</f>
        <v>35</v>
      </c>
      <c r="N9" s="42"/>
      <c r="O9" s="42">
        <v>16.7</v>
      </c>
      <c r="P9" s="42">
        <f t="shared" ref="P9" si="6">L9*O9</f>
        <v>8350</v>
      </c>
    </row>
    <row r="10" spans="1:20">
      <c r="A10" s="10"/>
      <c r="B10" s="2"/>
      <c r="C10" s="2"/>
      <c r="D10" s="2"/>
      <c r="E10" s="2"/>
      <c r="F10" s="2"/>
      <c r="G10" s="2"/>
      <c r="H10" s="2"/>
      <c r="I10" s="2"/>
      <c r="J10" s="2"/>
      <c r="K10" s="5"/>
      <c r="L10" s="19"/>
      <c r="M10" s="5"/>
      <c r="N10" s="2"/>
    </row>
    <row r="11" spans="1:20">
      <c r="A11" s="11" t="s">
        <v>475</v>
      </c>
      <c r="B11" s="42" t="s">
        <v>436</v>
      </c>
      <c r="C11" s="42" t="s">
        <v>481</v>
      </c>
      <c r="D11" s="42" t="s">
        <v>16</v>
      </c>
      <c r="E11" s="42" t="s">
        <v>482</v>
      </c>
      <c r="F11" s="42">
        <v>220</v>
      </c>
      <c r="G11" s="42"/>
      <c r="H11" s="42">
        <v>1000</v>
      </c>
      <c r="I11" s="42">
        <v>20</v>
      </c>
      <c r="J11" s="42">
        <v>0.13</v>
      </c>
      <c r="K11" s="42">
        <f t="shared" ref="K11" si="7">I11*J11</f>
        <v>2.6</v>
      </c>
      <c r="L11" s="43">
        <f t="shared" ref="L11" si="8">H11-K11</f>
        <v>997.4</v>
      </c>
      <c r="M11" s="43">
        <f t="shared" ref="M11" si="9">H11/1000*70</f>
        <v>70</v>
      </c>
      <c r="N11" s="42">
        <v>0</v>
      </c>
      <c r="O11" s="42"/>
    </row>
    <row r="12" spans="1:20">
      <c r="B12" s="2"/>
      <c r="C12" s="2"/>
      <c r="D12" s="2"/>
      <c r="E12" s="2"/>
      <c r="F12" s="2"/>
      <c r="G12" s="2"/>
      <c r="H12" s="2"/>
      <c r="I12" s="2"/>
      <c r="J12" s="2"/>
      <c r="K12" s="5"/>
      <c r="L12" s="19"/>
      <c r="M12" s="5"/>
      <c r="N12" s="2"/>
      <c r="O12" s="2"/>
      <c r="P12" s="2">
        <f t="shared" ref="P12" si="10">L12*O12</f>
        <v>0</v>
      </c>
    </row>
    <row r="13" spans="1:20">
      <c r="A13" s="1" t="s">
        <v>916</v>
      </c>
      <c r="B13" s="42" t="s">
        <v>29</v>
      </c>
      <c r="C13" s="42" t="s">
        <v>481</v>
      </c>
      <c r="D13" s="42" t="s">
        <v>16</v>
      </c>
      <c r="E13" s="42" t="s">
        <v>917</v>
      </c>
      <c r="F13" s="42">
        <v>312</v>
      </c>
      <c r="G13" s="42"/>
      <c r="H13" s="42">
        <v>1500</v>
      </c>
      <c r="I13" s="42">
        <v>30</v>
      </c>
      <c r="J13" s="42">
        <v>0.13</v>
      </c>
      <c r="K13" s="42">
        <v>4</v>
      </c>
      <c r="L13" s="43">
        <f t="shared" ref="L13" si="11">H13-K13</f>
        <v>1496</v>
      </c>
      <c r="M13" s="43"/>
      <c r="N13" s="43">
        <f t="shared" ref="N13" si="12">L13-M13</f>
        <v>1496</v>
      </c>
      <c r="O13" s="43">
        <f t="shared" ref="O13" si="13">H13/1000*70</f>
        <v>105</v>
      </c>
      <c r="P13" s="42">
        <v>0</v>
      </c>
      <c r="Q13" s="42">
        <v>16.399999999999999</v>
      </c>
      <c r="R13" s="42">
        <f t="shared" ref="R13" si="14">L13*Q13</f>
        <v>24534.399999999998</v>
      </c>
    </row>
    <row r="15" spans="1:20">
      <c r="A15" s="1" t="s">
        <v>1170</v>
      </c>
      <c r="B15" s="42" t="s">
        <v>0</v>
      </c>
      <c r="C15" s="42" t="s">
        <v>481</v>
      </c>
      <c r="D15" s="42" t="s">
        <v>16</v>
      </c>
      <c r="E15" s="42" t="s">
        <v>1127</v>
      </c>
      <c r="F15" s="42">
        <v>668</v>
      </c>
      <c r="G15" s="42"/>
      <c r="H15" s="42">
        <v>200</v>
      </c>
      <c r="I15" s="42">
        <v>4</v>
      </c>
      <c r="J15" s="42"/>
      <c r="K15" s="42">
        <f t="shared" ref="K15" si="15">I15*J15</f>
        <v>0</v>
      </c>
      <c r="L15" s="43">
        <f t="shared" ref="L15" si="16">H15-K15</f>
        <v>200</v>
      </c>
      <c r="M15" s="43"/>
      <c r="N15" s="43">
        <f t="shared" ref="N15" si="17">L15-M15</f>
        <v>200</v>
      </c>
      <c r="O15" s="43">
        <f t="shared" ref="O15" si="18">H15/1000*70</f>
        <v>14</v>
      </c>
      <c r="P15" s="42">
        <v>0</v>
      </c>
      <c r="Q15" s="42">
        <f>3520/200</f>
        <v>17.600000000000001</v>
      </c>
      <c r="R15" s="42">
        <f t="shared" ref="R15" si="19">L15*Q15</f>
        <v>3520.0000000000005</v>
      </c>
    </row>
    <row r="17" spans="1:19">
      <c r="A17" s="1" t="s">
        <v>1303</v>
      </c>
      <c r="B17" s="42" t="s">
        <v>1180</v>
      </c>
      <c r="C17" s="42" t="s">
        <v>481</v>
      </c>
      <c r="D17" s="42" t="s">
        <v>16</v>
      </c>
      <c r="E17" s="42" t="s">
        <v>1127</v>
      </c>
      <c r="F17" s="42"/>
      <c r="G17" s="42"/>
      <c r="H17" s="42">
        <v>100</v>
      </c>
      <c r="I17" s="42"/>
      <c r="J17" s="42"/>
      <c r="K17" s="42">
        <f t="shared" ref="K17" si="20">I17*J17</f>
        <v>0</v>
      </c>
      <c r="L17" s="43">
        <f t="shared" ref="L17" si="21">H17-K17</f>
        <v>100</v>
      </c>
      <c r="M17" s="43"/>
      <c r="N17" s="43">
        <f t="shared" ref="N17" si="22">L17-M17</f>
        <v>100</v>
      </c>
      <c r="O17" s="43">
        <f t="shared" ref="O17" si="23">H17/1000*70</f>
        <v>7</v>
      </c>
      <c r="P17" s="42"/>
      <c r="Q17" s="42"/>
      <c r="R17" s="42">
        <f t="shared" ref="R17" si="24">L17*Q17</f>
        <v>0</v>
      </c>
    </row>
    <row r="19" spans="1:19">
      <c r="A19" s="1" t="s">
        <v>1342</v>
      </c>
      <c r="B19" s="42" t="s">
        <v>1343</v>
      </c>
      <c r="C19" s="56" t="s">
        <v>481</v>
      </c>
      <c r="D19" s="42" t="s">
        <v>16</v>
      </c>
      <c r="E19" s="42" t="s">
        <v>1045</v>
      </c>
      <c r="F19" s="42">
        <v>50</v>
      </c>
      <c r="G19" s="42"/>
      <c r="H19" s="42">
        <v>1000</v>
      </c>
      <c r="I19" s="42">
        <v>20</v>
      </c>
      <c r="J19" s="42"/>
      <c r="K19" s="42">
        <f t="shared" ref="K19" si="25">I19*J19</f>
        <v>0</v>
      </c>
      <c r="L19" s="43">
        <f t="shared" ref="L19" si="26">H19-K19</f>
        <v>1000</v>
      </c>
      <c r="M19" s="43"/>
      <c r="N19" s="43">
        <f t="shared" ref="N19" si="27">L19-M19</f>
        <v>1000</v>
      </c>
      <c r="O19" s="43">
        <f t="shared" ref="O19" si="28">H19/1000*70</f>
        <v>70</v>
      </c>
      <c r="P19" s="42">
        <v>0</v>
      </c>
      <c r="Q19" s="42">
        <f>16400/1000</f>
        <v>16.399999999999999</v>
      </c>
      <c r="R19" s="42">
        <f t="shared" ref="R19" si="29">L19*Q19</f>
        <v>16400</v>
      </c>
    </row>
    <row r="21" spans="1:19">
      <c r="A21" s="1" t="s">
        <v>1636</v>
      </c>
      <c r="B21" s="42" t="s">
        <v>1642</v>
      </c>
      <c r="C21" s="42" t="s">
        <v>30</v>
      </c>
      <c r="D21" s="42" t="s">
        <v>16</v>
      </c>
      <c r="E21" s="42" t="s">
        <v>1127</v>
      </c>
      <c r="F21" s="42" t="s">
        <v>1643</v>
      </c>
      <c r="G21" s="42"/>
      <c r="H21" s="42">
        <f>55+60</f>
        <v>115</v>
      </c>
      <c r="I21" s="42">
        <v>2</v>
      </c>
      <c r="J21" s="42"/>
      <c r="K21" s="42">
        <f t="shared" ref="K21" si="30">I21*J21</f>
        <v>0</v>
      </c>
      <c r="L21" s="43">
        <f t="shared" ref="L21" si="31">H21-K21</f>
        <v>115</v>
      </c>
      <c r="M21" s="43"/>
      <c r="N21" s="43">
        <f t="shared" ref="N21" si="32">L21-M21</f>
        <v>115</v>
      </c>
      <c r="O21" s="43">
        <f t="shared" ref="O21" si="33">H21/1000*70</f>
        <v>8.0500000000000007</v>
      </c>
      <c r="P21" s="189">
        <v>0</v>
      </c>
      <c r="Q21" s="190">
        <f>1890/115</f>
        <v>16.434782608695652</v>
      </c>
      <c r="R21" s="42">
        <f t="shared" ref="R21" si="34">L21*Q21</f>
        <v>1890</v>
      </c>
    </row>
    <row r="23" spans="1:19">
      <c r="A23" s="1" t="s">
        <v>1756</v>
      </c>
      <c r="B23" s="42" t="s">
        <v>1759</v>
      </c>
      <c r="C23" s="42" t="s">
        <v>481</v>
      </c>
      <c r="D23" s="42" t="s">
        <v>16</v>
      </c>
      <c r="E23" s="42" t="s">
        <v>1760</v>
      </c>
      <c r="F23" s="42">
        <v>0</v>
      </c>
      <c r="G23" s="42"/>
      <c r="H23" s="42">
        <v>100</v>
      </c>
      <c r="I23" s="42">
        <v>2</v>
      </c>
      <c r="J23" s="42"/>
      <c r="K23" s="42">
        <f t="shared" ref="K23" si="35">I23*J23</f>
        <v>0</v>
      </c>
      <c r="L23" s="43">
        <f t="shared" ref="L23" si="36">H23-K23</f>
        <v>100</v>
      </c>
      <c r="M23" s="43"/>
      <c r="N23" s="43">
        <f t="shared" ref="N23" si="37">L23-M23</f>
        <v>100</v>
      </c>
      <c r="O23" s="43">
        <v>0</v>
      </c>
      <c r="P23" s="211">
        <v>0</v>
      </c>
      <c r="Q23" s="211">
        <f>1900/100</f>
        <v>19</v>
      </c>
      <c r="R23" s="42">
        <f t="shared" ref="R23" si="38">L23*Q23</f>
        <v>1900</v>
      </c>
    </row>
    <row r="25" spans="1:19">
      <c r="A25" s="1" t="s">
        <v>1764</v>
      </c>
      <c r="B25" s="42" t="s">
        <v>1767</v>
      </c>
      <c r="C25" s="42" t="s">
        <v>1077</v>
      </c>
      <c r="D25" s="42" t="s">
        <v>16</v>
      </c>
      <c r="E25" s="42" t="s">
        <v>1078</v>
      </c>
      <c r="F25" s="42">
        <v>330</v>
      </c>
      <c r="G25" s="42"/>
      <c r="H25" s="42">
        <v>1840</v>
      </c>
      <c r="I25" s="42">
        <v>10</v>
      </c>
      <c r="J25" s="42"/>
      <c r="K25" s="42">
        <f t="shared" ref="K25" si="39">I25*J25</f>
        <v>0</v>
      </c>
      <c r="L25" s="43">
        <f t="shared" ref="L25" si="40">H25-K25</f>
        <v>1840</v>
      </c>
      <c r="M25" s="43"/>
      <c r="N25" s="43">
        <f t="shared" ref="N25" si="41">L25-M25</f>
        <v>1840</v>
      </c>
      <c r="O25" s="43">
        <v>0</v>
      </c>
      <c r="P25" s="212">
        <v>0</v>
      </c>
      <c r="Q25" s="190">
        <f>133300/1840</f>
        <v>72.445652173913047</v>
      </c>
      <c r="R25" s="42">
        <f t="shared" ref="R25" si="42">L25*Q25</f>
        <v>133300</v>
      </c>
      <c r="S25" s="42"/>
    </row>
    <row r="27" spans="1:19">
      <c r="A27" s="1" t="s">
        <v>1772</v>
      </c>
      <c r="B27" s="42" t="s">
        <v>1776</v>
      </c>
      <c r="C27" s="42" t="s">
        <v>481</v>
      </c>
      <c r="D27" s="42" t="s">
        <v>16</v>
      </c>
      <c r="E27" s="42" t="s">
        <v>1777</v>
      </c>
      <c r="F27" s="42"/>
      <c r="G27" s="42"/>
      <c r="H27" s="42">
        <v>1000</v>
      </c>
      <c r="I27" s="42">
        <v>20</v>
      </c>
      <c r="J27" s="42"/>
      <c r="K27" s="42">
        <f t="shared" ref="K27" si="43">I27*J27</f>
        <v>0</v>
      </c>
      <c r="L27" s="43">
        <f t="shared" ref="L27" si="44">H27-K27</f>
        <v>1000</v>
      </c>
      <c r="M27" s="43"/>
      <c r="N27" s="43">
        <f t="shared" ref="N27" si="45">L27-M27</f>
        <v>1000</v>
      </c>
      <c r="O27" s="43">
        <v>0</v>
      </c>
      <c r="P27" s="42">
        <v>0</v>
      </c>
      <c r="Q27" s="42">
        <f>16000/1000</f>
        <v>16</v>
      </c>
      <c r="R27" s="42">
        <f t="shared" ref="R27" si="46">L27*Q27</f>
        <v>16000</v>
      </c>
    </row>
    <row r="29" spans="1:19">
      <c r="A29" s="1" t="s">
        <v>2087</v>
      </c>
      <c r="B29" s="42" t="s">
        <v>2091</v>
      </c>
      <c r="C29" s="42" t="s">
        <v>481</v>
      </c>
      <c r="D29" s="42" t="s">
        <v>16</v>
      </c>
      <c r="E29" s="42" t="s">
        <v>1127</v>
      </c>
      <c r="F29" s="42">
        <v>513</v>
      </c>
      <c r="G29" s="42"/>
      <c r="H29" s="42">
        <v>50</v>
      </c>
      <c r="I29" s="42">
        <v>1</v>
      </c>
      <c r="J29" s="42"/>
      <c r="K29" s="43">
        <f t="shared" ref="K29" si="47">I29*J29</f>
        <v>0</v>
      </c>
      <c r="L29" s="43">
        <f t="shared" ref="L29" si="48">H29-K29</f>
        <v>50</v>
      </c>
      <c r="M29" s="43"/>
      <c r="N29" s="43">
        <f t="shared" ref="N29" si="49">L29-M29</f>
        <v>50</v>
      </c>
      <c r="O29" s="43">
        <f t="shared" ref="O29" si="50">H29/1000*70</f>
        <v>3.5</v>
      </c>
      <c r="P29" s="42">
        <v>0</v>
      </c>
      <c r="Q29" s="42">
        <f>850/50</f>
        <v>17</v>
      </c>
      <c r="R29" s="42">
        <f t="shared" ref="R29" si="51">L29*Q29</f>
        <v>850</v>
      </c>
    </row>
    <row r="31" spans="1:19">
      <c r="A31" s="1" t="s">
        <v>2099</v>
      </c>
      <c r="B31" s="42" t="s">
        <v>2098</v>
      </c>
      <c r="C31" s="42" t="s">
        <v>481</v>
      </c>
      <c r="D31" s="42" t="s">
        <v>16</v>
      </c>
      <c r="E31" s="42" t="s">
        <v>437</v>
      </c>
      <c r="F31" s="42">
        <v>1722</v>
      </c>
      <c r="G31" s="42"/>
      <c r="H31" s="42">
        <v>500</v>
      </c>
      <c r="I31" s="42">
        <v>10</v>
      </c>
      <c r="J31" s="42"/>
      <c r="K31" s="43">
        <f t="shared" ref="K31" si="52">I31*J31</f>
        <v>0</v>
      </c>
      <c r="L31" s="43">
        <f t="shared" ref="L31" si="53">H31-K31</f>
        <v>500</v>
      </c>
      <c r="M31" s="43"/>
      <c r="N31" s="43">
        <f t="shared" ref="N31" si="54">L31-M31</f>
        <v>500</v>
      </c>
      <c r="O31" s="43">
        <f t="shared" ref="O31" si="55">H31/1000*70</f>
        <v>35</v>
      </c>
      <c r="P31" s="42">
        <v>0</v>
      </c>
      <c r="Q31" s="42">
        <f>8400/500</f>
        <v>16.8</v>
      </c>
      <c r="R31" s="42">
        <f t="shared" ref="R31" si="56">L31*Q31</f>
        <v>8400</v>
      </c>
    </row>
    <row r="33" spans="1:18">
      <c r="A33" s="1" t="s">
        <v>2174</v>
      </c>
      <c r="B33" s="42" t="s">
        <v>215</v>
      </c>
      <c r="C33" s="42" t="s">
        <v>481</v>
      </c>
      <c r="D33" s="42" t="s">
        <v>16</v>
      </c>
      <c r="E33" s="42" t="s">
        <v>835</v>
      </c>
      <c r="F33" s="42">
        <v>1665</v>
      </c>
      <c r="G33" s="42"/>
      <c r="H33" s="42">
        <v>500</v>
      </c>
      <c r="I33" s="42">
        <v>10</v>
      </c>
      <c r="J33" s="42"/>
      <c r="K33" s="43">
        <f t="shared" ref="K33" si="57">I33*J33</f>
        <v>0</v>
      </c>
      <c r="L33" s="43">
        <f t="shared" ref="L33" si="58">H33-K33</f>
        <v>500</v>
      </c>
      <c r="M33" s="43"/>
      <c r="N33" s="43">
        <f t="shared" ref="N33" si="59">L33-M33</f>
        <v>500</v>
      </c>
      <c r="O33" s="43">
        <v>0</v>
      </c>
      <c r="P33" s="42">
        <v>0</v>
      </c>
      <c r="Q33" s="42">
        <f>8200/500</f>
        <v>16.399999999999999</v>
      </c>
      <c r="R33" s="42">
        <f t="shared" ref="R33" si="60">L33*Q33</f>
        <v>8200</v>
      </c>
    </row>
    <row r="35" spans="1:18">
      <c r="A35" s="1" t="s">
        <v>2209</v>
      </c>
      <c r="B35" s="42" t="s">
        <v>1343</v>
      </c>
      <c r="C35" s="42" t="s">
        <v>481</v>
      </c>
      <c r="D35" s="42" t="s">
        <v>16</v>
      </c>
      <c r="E35" s="42" t="s">
        <v>835</v>
      </c>
      <c r="F35" s="42">
        <v>1670</v>
      </c>
      <c r="G35" s="42"/>
      <c r="H35" s="42">
        <v>500</v>
      </c>
      <c r="I35" s="42">
        <v>10</v>
      </c>
      <c r="J35" s="42"/>
      <c r="K35" s="43">
        <f t="shared" ref="K35" si="61">I35*J35</f>
        <v>0</v>
      </c>
      <c r="L35" s="43">
        <f t="shared" ref="L35" si="62">H35-K35</f>
        <v>500</v>
      </c>
      <c r="M35" s="43"/>
      <c r="N35" s="43">
        <f t="shared" ref="N35" si="63">L35-M35</f>
        <v>500</v>
      </c>
      <c r="O35" s="43">
        <f t="shared" ref="O35" si="64">H35/1000*70</f>
        <v>35</v>
      </c>
      <c r="P35" s="42">
        <v>0</v>
      </c>
      <c r="Q35" s="42">
        <f>8200/500</f>
        <v>16.399999999999999</v>
      </c>
      <c r="R35" s="42">
        <f t="shared" ref="R35" si="65">L35*Q35</f>
        <v>8200</v>
      </c>
    </row>
    <row r="37" spans="1:18">
      <c r="A37" s="1" t="s">
        <v>2231</v>
      </c>
      <c r="B37" s="42" t="s">
        <v>1343</v>
      </c>
      <c r="C37" s="42" t="s">
        <v>481</v>
      </c>
      <c r="D37" s="42" t="s">
        <v>16</v>
      </c>
      <c r="E37" s="42" t="s">
        <v>835</v>
      </c>
      <c r="F37" s="42">
        <v>1674</v>
      </c>
      <c r="G37" s="42"/>
      <c r="H37" s="42">
        <v>500</v>
      </c>
      <c r="I37" s="42">
        <v>10</v>
      </c>
      <c r="J37" s="42"/>
      <c r="K37" s="43">
        <f t="shared" ref="K37" si="66">I37*J37</f>
        <v>0</v>
      </c>
      <c r="L37" s="43">
        <f t="shared" ref="L37" si="67">H37-K37</f>
        <v>500</v>
      </c>
      <c r="M37" s="43"/>
      <c r="N37" s="43">
        <f t="shared" ref="N37" si="68">L37-M37</f>
        <v>500</v>
      </c>
      <c r="O37" s="43">
        <f t="shared" ref="O37" si="69">H37/1000*70</f>
        <v>35</v>
      </c>
      <c r="P37" s="42">
        <v>0</v>
      </c>
      <c r="Q37" s="42">
        <f>8200/500</f>
        <v>16.399999999999999</v>
      </c>
      <c r="R37" s="42">
        <f t="shared" ref="R37" si="70">L37*Q37</f>
        <v>8200</v>
      </c>
    </row>
    <row r="39" spans="1:18">
      <c r="A39" s="1" t="s">
        <v>2243</v>
      </c>
      <c r="B39" s="42" t="s">
        <v>1343</v>
      </c>
      <c r="C39" s="42" t="s">
        <v>481</v>
      </c>
      <c r="D39" s="42" t="s">
        <v>16</v>
      </c>
      <c r="E39" s="42" t="s">
        <v>835</v>
      </c>
      <c r="F39" s="42">
        <v>1682</v>
      </c>
      <c r="G39" s="42"/>
      <c r="H39" s="42">
        <v>250</v>
      </c>
      <c r="I39" s="42">
        <v>5</v>
      </c>
      <c r="J39" s="42"/>
      <c r="K39" s="43">
        <f t="shared" ref="K39" si="71">I39*J39</f>
        <v>0</v>
      </c>
      <c r="L39" s="43">
        <f t="shared" ref="L39" si="72">H39-K39</f>
        <v>250</v>
      </c>
      <c r="M39" s="43"/>
      <c r="N39" s="43">
        <f t="shared" ref="N39" si="73">L39-M39</f>
        <v>250</v>
      </c>
      <c r="O39" s="43">
        <f t="shared" ref="O39" si="74">H39/1000*70</f>
        <v>17.5</v>
      </c>
      <c r="P39" s="42">
        <v>0</v>
      </c>
      <c r="Q39" s="42">
        <f>4200/250</f>
        <v>16.8</v>
      </c>
      <c r="R39" s="42">
        <f t="shared" ref="R39" si="75">L39*Q39</f>
        <v>4200</v>
      </c>
    </row>
    <row r="41" spans="1:18">
      <c r="A41" s="1" t="s">
        <v>2262</v>
      </c>
      <c r="B41" s="42" t="s">
        <v>2261</v>
      </c>
      <c r="C41" s="42" t="s">
        <v>481</v>
      </c>
      <c r="D41" s="42" t="s">
        <v>16</v>
      </c>
      <c r="E41" s="42" t="s">
        <v>835</v>
      </c>
      <c r="F41" s="42">
        <v>0</v>
      </c>
      <c r="G41" s="42"/>
      <c r="H41" s="42">
        <v>250</v>
      </c>
      <c r="I41" s="42">
        <v>5</v>
      </c>
      <c r="J41" s="42"/>
      <c r="K41" s="43">
        <f t="shared" ref="K41" si="76">I41*J41</f>
        <v>0</v>
      </c>
      <c r="L41" s="43">
        <f t="shared" ref="L41" si="77">H41-K41</f>
        <v>250</v>
      </c>
      <c r="M41" s="43"/>
      <c r="N41" s="43">
        <f t="shared" ref="N41" si="78">L41-M41</f>
        <v>250</v>
      </c>
      <c r="O41" s="43">
        <f t="shared" ref="O41" si="79">H41/1000*70</f>
        <v>17.5</v>
      </c>
      <c r="P41" s="42"/>
      <c r="Q41" s="42">
        <f>4170/250</f>
        <v>16.68</v>
      </c>
      <c r="R41" s="42">
        <f t="shared" ref="R41" si="80">L41*Q41</f>
        <v>4170</v>
      </c>
    </row>
    <row r="43" spans="1:18">
      <c r="A43" s="1" t="s">
        <v>2271</v>
      </c>
      <c r="B43" s="42" t="s">
        <v>1343</v>
      </c>
      <c r="C43" s="42" t="s">
        <v>481</v>
      </c>
      <c r="D43" s="42" t="s">
        <v>16</v>
      </c>
      <c r="E43" s="42" t="s">
        <v>835</v>
      </c>
      <c r="F43" s="42">
        <v>1688</v>
      </c>
      <c r="G43" s="42"/>
      <c r="H43" s="42">
        <v>500</v>
      </c>
      <c r="I43" s="42">
        <v>10</v>
      </c>
      <c r="J43" s="42"/>
      <c r="K43" s="43">
        <f t="shared" ref="K43" si="81">I43*J43</f>
        <v>0</v>
      </c>
      <c r="L43" s="43">
        <f t="shared" ref="L43" si="82">H43-K43</f>
        <v>500</v>
      </c>
      <c r="M43" s="43"/>
      <c r="N43" s="43">
        <f t="shared" ref="N43" si="83">L43-M43</f>
        <v>500</v>
      </c>
      <c r="O43" s="43">
        <f t="shared" ref="O43" si="84">H43/1000*70</f>
        <v>35</v>
      </c>
      <c r="P43" s="42"/>
      <c r="Q43" s="42">
        <f>8400/500</f>
        <v>16.8</v>
      </c>
      <c r="R43" s="42">
        <f t="shared" ref="R43" si="85">L43*Q43</f>
        <v>8400</v>
      </c>
    </row>
    <row r="45" spans="1:18">
      <c r="A45" s="1" t="s">
        <v>2328</v>
      </c>
      <c r="B45" s="42" t="s">
        <v>2261</v>
      </c>
      <c r="C45" s="42" t="s">
        <v>481</v>
      </c>
      <c r="D45" s="42" t="s">
        <v>16</v>
      </c>
      <c r="E45" s="42" t="s">
        <v>835</v>
      </c>
      <c r="F45" s="42"/>
      <c r="G45" s="42"/>
      <c r="H45" s="42">
        <v>200</v>
      </c>
      <c r="I45" s="42">
        <v>4</v>
      </c>
      <c r="J45" s="42"/>
      <c r="K45" s="43">
        <f t="shared" ref="K45" si="86">I45*J45</f>
        <v>0</v>
      </c>
      <c r="L45" s="43">
        <f t="shared" ref="L45" si="87">H45-K45</f>
        <v>200</v>
      </c>
      <c r="M45" s="43"/>
      <c r="N45" s="43">
        <f t="shared" ref="N45" si="88">L45-M45</f>
        <v>200</v>
      </c>
      <c r="O45" s="43">
        <v>0</v>
      </c>
      <c r="P45" s="42">
        <v>0</v>
      </c>
      <c r="Q45" s="42">
        <f>3420/200</f>
        <v>17.100000000000001</v>
      </c>
      <c r="R45" s="42">
        <f t="shared" ref="R45" si="89">L45*Q45</f>
        <v>3420.0000000000005</v>
      </c>
    </row>
    <row r="47" spans="1:18">
      <c r="A47" s="1" t="s">
        <v>2346</v>
      </c>
      <c r="B47" s="42" t="s">
        <v>2261</v>
      </c>
      <c r="C47" s="42" t="s">
        <v>481</v>
      </c>
      <c r="D47" s="42" t="s">
        <v>16</v>
      </c>
      <c r="E47" s="42" t="s">
        <v>835</v>
      </c>
      <c r="F47" s="42"/>
      <c r="G47" s="42"/>
      <c r="H47" s="42">
        <v>500</v>
      </c>
      <c r="I47" s="42">
        <v>10</v>
      </c>
      <c r="J47" s="42"/>
      <c r="K47" s="43">
        <f t="shared" ref="K47" si="90">I47*J47</f>
        <v>0</v>
      </c>
      <c r="L47" s="43">
        <f t="shared" ref="L47" si="91">H47-K47</f>
        <v>500</v>
      </c>
      <c r="M47" s="43"/>
      <c r="N47" s="43">
        <f t="shared" ref="N47" si="92">L47-M47</f>
        <v>500</v>
      </c>
      <c r="O47" s="43">
        <f t="shared" ref="O47" si="93">H47/1000*70</f>
        <v>35</v>
      </c>
      <c r="P47" s="42"/>
      <c r="Q47" s="42">
        <f>8200/500</f>
        <v>16.399999999999999</v>
      </c>
      <c r="R47" s="42">
        <f t="shared" ref="R47" si="94">L47*Q47</f>
        <v>8200</v>
      </c>
    </row>
    <row r="49" spans="1:19">
      <c r="A49" s="1" t="s">
        <v>2367</v>
      </c>
      <c r="B49" s="42" t="s">
        <v>2261</v>
      </c>
      <c r="C49" s="42" t="s">
        <v>481</v>
      </c>
      <c r="D49" s="42" t="s">
        <v>16</v>
      </c>
      <c r="E49" s="42" t="s">
        <v>835</v>
      </c>
      <c r="F49" s="42">
        <v>0</v>
      </c>
      <c r="G49" s="42"/>
      <c r="H49" s="42">
        <v>500</v>
      </c>
      <c r="I49" s="42">
        <v>10</v>
      </c>
      <c r="J49" s="42"/>
      <c r="K49" s="43">
        <f t="shared" ref="K49" si="95">I49*J49</f>
        <v>0</v>
      </c>
      <c r="L49" s="43">
        <f t="shared" ref="L49" si="96">H49-K49</f>
        <v>500</v>
      </c>
      <c r="M49" s="43"/>
      <c r="N49" s="43">
        <f t="shared" ref="N49" si="97">L49-M49</f>
        <v>500</v>
      </c>
      <c r="O49" s="43">
        <f t="shared" ref="O49" si="98">H49/1000*70</f>
        <v>35</v>
      </c>
      <c r="P49" s="42">
        <v>0</v>
      </c>
      <c r="Q49" s="42">
        <f>8300/500</f>
        <v>16.600000000000001</v>
      </c>
      <c r="R49" s="42">
        <f t="shared" ref="R49" si="99">L49*Q49</f>
        <v>8300</v>
      </c>
    </row>
    <row r="51" spans="1:19">
      <c r="A51" s="1" t="s">
        <v>2389</v>
      </c>
      <c r="B51" s="42" t="s">
        <v>2261</v>
      </c>
      <c r="C51" s="42" t="s">
        <v>481</v>
      </c>
      <c r="D51" s="42" t="s">
        <v>16</v>
      </c>
      <c r="E51" s="42" t="s">
        <v>2390</v>
      </c>
      <c r="F51" s="42">
        <v>0</v>
      </c>
      <c r="G51" s="42"/>
      <c r="H51" s="42">
        <v>1000</v>
      </c>
      <c r="I51" s="42">
        <v>20</v>
      </c>
      <c r="J51" s="42"/>
      <c r="K51" s="43">
        <f t="shared" ref="K51" si="100">I51*J51</f>
        <v>0</v>
      </c>
      <c r="L51" s="43">
        <f t="shared" ref="L51" si="101">H51-K51</f>
        <v>1000</v>
      </c>
      <c r="M51" s="43"/>
      <c r="N51" s="43">
        <f t="shared" ref="N51" si="102">L51-M51</f>
        <v>1000</v>
      </c>
      <c r="O51" s="43">
        <f t="shared" ref="O51" si="103">H51/1000*70</f>
        <v>70</v>
      </c>
      <c r="P51" s="42">
        <v>0</v>
      </c>
      <c r="Q51" s="42">
        <f>16600/1000</f>
        <v>16.600000000000001</v>
      </c>
      <c r="R51" s="42">
        <f t="shared" ref="R51" si="104">L51*Q51</f>
        <v>16600</v>
      </c>
    </row>
    <row r="53" spans="1:19">
      <c r="A53" s="1" t="s">
        <v>2441</v>
      </c>
      <c r="B53" s="42" t="s">
        <v>2448</v>
      </c>
      <c r="C53" s="42" t="s">
        <v>481</v>
      </c>
      <c r="D53" s="42" t="s">
        <v>16</v>
      </c>
      <c r="E53" s="42" t="s">
        <v>2449</v>
      </c>
      <c r="F53" s="42">
        <v>1950</v>
      </c>
      <c r="G53" s="42"/>
      <c r="H53" s="42">
        <v>300</v>
      </c>
      <c r="I53" s="42">
        <v>6</v>
      </c>
      <c r="J53" s="42"/>
      <c r="K53" s="43">
        <f t="shared" ref="K53" si="105">I53*J53</f>
        <v>0</v>
      </c>
      <c r="L53" s="43">
        <f t="shared" ref="L53" si="106">H53-K53</f>
        <v>300</v>
      </c>
      <c r="M53" s="43"/>
      <c r="N53" s="43">
        <f t="shared" ref="N53" si="107">L53-M53</f>
        <v>300</v>
      </c>
      <c r="O53" s="43">
        <f t="shared" ref="O53" si="108">H53/1000*70</f>
        <v>21</v>
      </c>
      <c r="P53" s="42">
        <v>0</v>
      </c>
      <c r="Q53" s="42">
        <f>4800/300</f>
        <v>16</v>
      </c>
      <c r="R53" s="42">
        <f t="shared" ref="R53" si="109">L53*Q53</f>
        <v>4800</v>
      </c>
    </row>
    <row r="55" spans="1:19">
      <c r="A55" s="1" t="s">
        <v>2472</v>
      </c>
      <c r="B55" s="42" t="s">
        <v>2477</v>
      </c>
      <c r="C55" s="42" t="s">
        <v>481</v>
      </c>
      <c r="D55" s="42" t="s">
        <v>16</v>
      </c>
      <c r="E55" s="42" t="s">
        <v>1127</v>
      </c>
      <c r="F55" s="42">
        <v>157</v>
      </c>
      <c r="G55" s="42"/>
      <c r="H55" s="42">
        <v>100</v>
      </c>
      <c r="I55" s="42">
        <v>2</v>
      </c>
      <c r="J55" s="42"/>
      <c r="K55" s="43">
        <f t="shared" ref="K55" si="110">I55*J55</f>
        <v>0</v>
      </c>
      <c r="L55" s="43">
        <f t="shared" ref="L55" si="111">H55-K55</f>
        <v>100</v>
      </c>
      <c r="M55" s="43"/>
      <c r="N55" s="43">
        <f t="shared" ref="N55" si="112">L55-M55</f>
        <v>100</v>
      </c>
      <c r="O55" s="43">
        <f t="shared" ref="O55" si="113">H55/1000*70</f>
        <v>7</v>
      </c>
      <c r="P55" s="42">
        <v>0</v>
      </c>
      <c r="Q55" s="42">
        <v>21.6</v>
      </c>
      <c r="R55" s="42">
        <f t="shared" ref="R55" si="114">L55*Q55</f>
        <v>2160</v>
      </c>
    </row>
    <row r="57" spans="1:19">
      <c r="A57" s="1" t="s">
        <v>2478</v>
      </c>
      <c r="B57" s="42" t="s">
        <v>1343</v>
      </c>
      <c r="C57" s="42" t="s">
        <v>481</v>
      </c>
      <c r="D57" s="42" t="s">
        <v>16</v>
      </c>
      <c r="E57" s="42" t="s">
        <v>2481</v>
      </c>
      <c r="F57" s="42">
        <v>1700</v>
      </c>
      <c r="G57" s="42"/>
      <c r="H57" s="42">
        <v>2000</v>
      </c>
      <c r="I57" s="42">
        <v>40</v>
      </c>
      <c r="J57" s="42"/>
      <c r="K57" s="43">
        <f t="shared" ref="K57:K58" si="115">I57*J57</f>
        <v>0</v>
      </c>
      <c r="L57" s="43">
        <f t="shared" ref="L57:L58" si="116">H57-K57</f>
        <v>2000</v>
      </c>
      <c r="M57" s="43"/>
      <c r="N57" s="43">
        <f t="shared" ref="N57:N58" si="117">L57-M57</f>
        <v>2000</v>
      </c>
      <c r="O57" s="43">
        <f t="shared" ref="O57:O58" si="118">H57/1000*70</f>
        <v>140</v>
      </c>
      <c r="P57" s="42">
        <v>0</v>
      </c>
      <c r="Q57" s="42">
        <f>32160/2000</f>
        <v>16.079999999999998</v>
      </c>
      <c r="R57" s="42">
        <f t="shared" ref="R57:R58" si="119">L57*Q57</f>
        <v>32159.999999999996</v>
      </c>
    </row>
    <row r="58" spans="1:19">
      <c r="A58" s="21" t="s">
        <v>2567</v>
      </c>
      <c r="B58" s="42" t="s">
        <v>1343</v>
      </c>
      <c r="C58" s="42" t="s">
        <v>481</v>
      </c>
      <c r="D58" s="42" t="s">
        <v>16</v>
      </c>
      <c r="E58" s="42" t="s">
        <v>835</v>
      </c>
      <c r="F58" s="42">
        <v>2302</v>
      </c>
      <c r="G58" s="42"/>
      <c r="H58" s="42">
        <v>500</v>
      </c>
      <c r="I58" s="42">
        <v>10</v>
      </c>
      <c r="J58" s="42"/>
      <c r="K58" s="43">
        <f t="shared" si="115"/>
        <v>0</v>
      </c>
      <c r="L58" s="43">
        <f t="shared" si="116"/>
        <v>500</v>
      </c>
      <c r="M58" s="43"/>
      <c r="N58" s="43">
        <f t="shared" si="117"/>
        <v>500</v>
      </c>
      <c r="O58" s="43">
        <f t="shared" si="118"/>
        <v>35</v>
      </c>
      <c r="P58" s="42">
        <v>0</v>
      </c>
      <c r="Q58" s="42">
        <f>8200/500</f>
        <v>16.399999999999999</v>
      </c>
      <c r="R58" s="42">
        <f t="shared" si="119"/>
        <v>8200</v>
      </c>
      <c r="S58" s="42"/>
    </row>
    <row r="60" spans="1:19">
      <c r="A60" s="21" t="s">
        <v>2600</v>
      </c>
      <c r="B60" s="42" t="s">
        <v>1343</v>
      </c>
      <c r="C60" s="42" t="s">
        <v>481</v>
      </c>
      <c r="D60" s="42" t="s">
        <v>16</v>
      </c>
      <c r="E60" s="42" t="s">
        <v>835</v>
      </c>
      <c r="F60" s="42">
        <v>2304</v>
      </c>
      <c r="G60" s="42"/>
      <c r="H60" s="42">
        <v>500</v>
      </c>
      <c r="I60" s="42">
        <v>10</v>
      </c>
      <c r="J60" s="42"/>
      <c r="K60" s="43">
        <f t="shared" ref="K60" si="120">I60*J60</f>
        <v>0</v>
      </c>
      <c r="L60" s="43">
        <f t="shared" ref="L60" si="121">H60-K60</f>
        <v>500</v>
      </c>
      <c r="M60" s="43"/>
      <c r="N60" s="43">
        <f t="shared" ref="N60" si="122">L60-M60</f>
        <v>500</v>
      </c>
      <c r="O60" s="43">
        <v>0</v>
      </c>
      <c r="P60" s="42">
        <v>0</v>
      </c>
      <c r="Q60" s="42">
        <f>8200/500</f>
        <v>16.399999999999999</v>
      </c>
      <c r="R60" s="42">
        <f t="shared" ref="R60" si="123">L60*Q60</f>
        <v>8200</v>
      </c>
    </row>
    <row r="62" spans="1:19">
      <c r="A62" s="21" t="s">
        <v>2645</v>
      </c>
      <c r="B62" s="42" t="s">
        <v>1343</v>
      </c>
      <c r="C62" s="42" t="s">
        <v>481</v>
      </c>
      <c r="D62" s="42" t="s">
        <v>16</v>
      </c>
      <c r="E62" s="42" t="s">
        <v>835</v>
      </c>
      <c r="F62" s="42">
        <v>2305</v>
      </c>
      <c r="G62" s="42"/>
      <c r="H62" s="42">
        <v>1000</v>
      </c>
      <c r="I62" s="42">
        <v>20</v>
      </c>
      <c r="J62" s="42"/>
      <c r="K62" s="43">
        <f t="shared" ref="K62" si="124">I62*J62</f>
        <v>0</v>
      </c>
      <c r="L62" s="43">
        <f t="shared" ref="L62" si="125">H62-K62</f>
        <v>1000</v>
      </c>
      <c r="M62" s="43"/>
      <c r="N62" s="43">
        <f t="shared" ref="N62" si="126">L62-M62</f>
        <v>1000</v>
      </c>
      <c r="O62" s="43">
        <v>0</v>
      </c>
      <c r="P62" s="42">
        <v>0</v>
      </c>
      <c r="Q62" s="42">
        <f>16400/1000</f>
        <v>16.399999999999999</v>
      </c>
      <c r="R62" s="42">
        <f t="shared" ref="R62" si="127">L62*Q62</f>
        <v>16400</v>
      </c>
      <c r="S62" s="48"/>
    </row>
    <row r="64" spans="1:19">
      <c r="A64" s="1" t="s">
        <v>2687</v>
      </c>
      <c r="B64" s="42" t="s">
        <v>1076</v>
      </c>
      <c r="C64" s="42" t="s">
        <v>2689</v>
      </c>
      <c r="D64" s="42" t="s">
        <v>16</v>
      </c>
      <c r="E64" s="42" t="s">
        <v>337</v>
      </c>
      <c r="F64" s="42">
        <v>103</v>
      </c>
      <c r="G64" s="42"/>
      <c r="H64" s="42">
        <v>1000</v>
      </c>
      <c r="I64" s="42">
        <v>20</v>
      </c>
      <c r="J64" s="42"/>
      <c r="K64" s="43">
        <f t="shared" ref="K64" si="128">I64*J64</f>
        <v>0</v>
      </c>
      <c r="L64" s="43">
        <f t="shared" ref="L64" si="129">H64-K64</f>
        <v>1000</v>
      </c>
      <c r="M64" s="43"/>
      <c r="N64" s="43">
        <f t="shared" ref="N64" si="130">L64-M64</f>
        <v>1000</v>
      </c>
      <c r="O64" s="43">
        <v>0</v>
      </c>
      <c r="P64" s="42">
        <v>0</v>
      </c>
      <c r="Q64" s="42">
        <v>49</v>
      </c>
      <c r="R64" s="42">
        <f t="shared" ref="R64" si="131">L64*Q64</f>
        <v>49000</v>
      </c>
    </row>
    <row r="66" spans="1:18">
      <c r="A66" s="1" t="s">
        <v>2714</v>
      </c>
      <c r="B66" s="42" t="s">
        <v>1343</v>
      </c>
      <c r="C66" s="42" t="s">
        <v>481</v>
      </c>
      <c r="D66" s="42" t="s">
        <v>16</v>
      </c>
      <c r="E66" s="42" t="s">
        <v>835</v>
      </c>
      <c r="F66" s="42">
        <v>2308</v>
      </c>
      <c r="G66" s="42"/>
      <c r="H66" s="42">
        <v>1000</v>
      </c>
      <c r="I66" s="42">
        <v>20</v>
      </c>
      <c r="J66" s="42"/>
      <c r="K66" s="43">
        <f t="shared" ref="K66:K67" si="132">I66*J66</f>
        <v>0</v>
      </c>
      <c r="L66" s="43">
        <f t="shared" ref="L66:L67" si="133">H66-K66</f>
        <v>1000</v>
      </c>
      <c r="M66" s="43"/>
      <c r="N66" s="43">
        <f t="shared" ref="N66:N67" si="134">L66-M66</f>
        <v>1000</v>
      </c>
      <c r="O66" s="43">
        <f t="shared" ref="O66:O67" si="135">H66/1000*70</f>
        <v>70</v>
      </c>
      <c r="P66" s="42">
        <v>0</v>
      </c>
      <c r="Q66" s="42">
        <f>16420/1000</f>
        <v>16.420000000000002</v>
      </c>
      <c r="R66" s="42">
        <f t="shared" ref="R66:R67" si="136">L66*Q66</f>
        <v>16420</v>
      </c>
    </row>
    <row r="67" spans="1:18">
      <c r="A67" s="21" t="s">
        <v>2848</v>
      </c>
      <c r="B67" s="42" t="s">
        <v>215</v>
      </c>
      <c r="C67" s="42" t="s">
        <v>2689</v>
      </c>
      <c r="D67" s="42" t="s">
        <v>16</v>
      </c>
      <c r="E67" s="42" t="s">
        <v>1078</v>
      </c>
      <c r="F67" s="42">
        <v>128</v>
      </c>
      <c r="G67" s="42"/>
      <c r="H67" s="42">
        <v>1000</v>
      </c>
      <c r="I67" s="42">
        <v>20</v>
      </c>
      <c r="J67" s="42"/>
      <c r="K67" s="43">
        <f t="shared" si="132"/>
        <v>0</v>
      </c>
      <c r="L67" s="43">
        <f t="shared" si="133"/>
        <v>1000</v>
      </c>
      <c r="M67" s="43"/>
      <c r="N67" s="43">
        <f t="shared" si="134"/>
        <v>1000</v>
      </c>
      <c r="O67" s="43">
        <f t="shared" si="135"/>
        <v>70</v>
      </c>
      <c r="P67" s="42">
        <v>0</v>
      </c>
      <c r="Q67" s="42">
        <f>49320/1000</f>
        <v>49.32</v>
      </c>
      <c r="R67" s="42">
        <f t="shared" si="136"/>
        <v>49320</v>
      </c>
    </row>
    <row r="69" spans="1:18">
      <c r="A69" s="21" t="s">
        <v>2874</v>
      </c>
      <c r="B69" s="42" t="s">
        <v>1343</v>
      </c>
      <c r="C69" s="42" t="s">
        <v>481</v>
      </c>
      <c r="D69" s="42" t="s">
        <v>16</v>
      </c>
      <c r="E69" s="42" t="s">
        <v>835</v>
      </c>
      <c r="F69" s="42">
        <v>2321</v>
      </c>
      <c r="G69" s="42"/>
      <c r="H69" s="42">
        <v>2000</v>
      </c>
      <c r="I69" s="42">
        <v>40</v>
      </c>
      <c r="J69" s="42"/>
      <c r="K69" s="43">
        <f t="shared" ref="K69" si="137">I69*J69</f>
        <v>0</v>
      </c>
      <c r="L69" s="43">
        <f t="shared" ref="L69" si="138">H69-K69</f>
        <v>2000</v>
      </c>
      <c r="M69" s="43"/>
      <c r="N69" s="43">
        <f t="shared" ref="N69" si="139">L69-M69</f>
        <v>2000</v>
      </c>
      <c r="O69" s="43">
        <v>0</v>
      </c>
      <c r="P69" s="42">
        <v>0</v>
      </c>
      <c r="Q69" s="42">
        <f>32700/2000</f>
        <v>16.350000000000001</v>
      </c>
      <c r="R69" s="42">
        <f t="shared" ref="R69" si="140">L69*Q69</f>
        <v>32700.000000000004</v>
      </c>
    </row>
    <row r="71" spans="1:18">
      <c r="A71" s="21" t="s">
        <v>2918</v>
      </c>
      <c r="B71" s="42" t="s">
        <v>1343</v>
      </c>
      <c r="C71" s="42" t="s">
        <v>481</v>
      </c>
      <c r="D71" s="42" t="s">
        <v>16</v>
      </c>
      <c r="E71" s="42" t="s">
        <v>835</v>
      </c>
      <c r="F71" s="42">
        <v>2329</v>
      </c>
      <c r="G71" s="42"/>
      <c r="H71" s="42">
        <v>500</v>
      </c>
      <c r="I71" s="42">
        <v>10</v>
      </c>
      <c r="J71" s="42"/>
      <c r="K71" s="43">
        <f t="shared" ref="K71" si="141">I71*J71</f>
        <v>0</v>
      </c>
      <c r="L71" s="43">
        <f t="shared" ref="L71" si="142">H71-K71</f>
        <v>500</v>
      </c>
      <c r="M71" s="43"/>
      <c r="N71" s="43">
        <f t="shared" ref="N71" si="143">L71-M71</f>
        <v>500</v>
      </c>
      <c r="O71" s="43">
        <f t="shared" ref="O71" si="144">H71/1000*70</f>
        <v>35</v>
      </c>
      <c r="P71" s="42">
        <v>0</v>
      </c>
      <c r="Q71" s="42">
        <f>8200/500</f>
        <v>16.399999999999999</v>
      </c>
      <c r="R71" s="42">
        <f t="shared" ref="R71" si="145">L71*Q71</f>
        <v>8200</v>
      </c>
    </row>
    <row r="73" spans="1:18">
      <c r="A73" s="1" t="s">
        <v>2964</v>
      </c>
      <c r="B73" s="42" t="s">
        <v>215</v>
      </c>
      <c r="C73" s="42" t="s">
        <v>2689</v>
      </c>
      <c r="D73" s="42" t="s">
        <v>16</v>
      </c>
      <c r="E73" s="42" t="s">
        <v>835</v>
      </c>
      <c r="F73" s="42">
        <v>140</v>
      </c>
      <c r="G73" s="42"/>
      <c r="H73" s="42">
        <v>1000</v>
      </c>
      <c r="I73" s="42">
        <v>20</v>
      </c>
      <c r="J73" s="42"/>
      <c r="K73" s="43">
        <f t="shared" ref="K73" si="146">I73*J73</f>
        <v>0</v>
      </c>
      <c r="L73" s="43">
        <f t="shared" ref="L73" si="147">H73-K73</f>
        <v>1000</v>
      </c>
      <c r="M73" s="43"/>
      <c r="N73" s="43">
        <f t="shared" ref="N73" si="148">L73-M73</f>
        <v>1000</v>
      </c>
      <c r="O73" s="43">
        <f t="shared" ref="O73" si="149">H73/1000*70</f>
        <v>70</v>
      </c>
      <c r="P73" s="42">
        <v>0</v>
      </c>
      <c r="Q73" s="42">
        <f>49060/1000</f>
        <v>49.06</v>
      </c>
      <c r="R73" s="42">
        <f t="shared" ref="R73" si="150">L73*Q73</f>
        <v>49060</v>
      </c>
    </row>
    <row r="75" spans="1:18">
      <c r="A75" s="1" t="s">
        <v>2990</v>
      </c>
      <c r="B75" s="42" t="s">
        <v>2261</v>
      </c>
      <c r="C75" s="42" t="s">
        <v>481</v>
      </c>
      <c r="D75" s="42" t="s">
        <v>16</v>
      </c>
      <c r="E75" s="42" t="s">
        <v>2993</v>
      </c>
      <c r="F75" s="42">
        <v>0</v>
      </c>
      <c r="G75" s="42"/>
      <c r="H75" s="42">
        <v>2000</v>
      </c>
      <c r="I75" s="42">
        <v>40</v>
      </c>
      <c r="J75" s="42"/>
      <c r="K75" s="43">
        <f t="shared" ref="K75" si="151">I75*J75</f>
        <v>0</v>
      </c>
      <c r="L75" s="43">
        <f t="shared" ref="L75" si="152">H75-K75</f>
        <v>2000</v>
      </c>
      <c r="M75" s="43"/>
      <c r="N75" s="43">
        <f t="shared" ref="N75" si="153">L75-M75</f>
        <v>2000</v>
      </c>
      <c r="O75" s="43">
        <v>0</v>
      </c>
      <c r="P75" s="42">
        <v>0</v>
      </c>
      <c r="Q75" s="42">
        <f>34070/2000</f>
        <v>17.035</v>
      </c>
      <c r="R75" s="42">
        <f t="shared" ref="R75" si="154">L75*Q75</f>
        <v>34070</v>
      </c>
    </row>
    <row r="77" spans="1:18">
      <c r="A77" s="1" t="s">
        <v>3091</v>
      </c>
      <c r="B77" s="42" t="s">
        <v>1343</v>
      </c>
      <c r="C77" s="42" t="s">
        <v>481</v>
      </c>
      <c r="D77" s="42" t="s">
        <v>16</v>
      </c>
      <c r="E77" s="42" t="s">
        <v>835</v>
      </c>
      <c r="F77" s="42">
        <v>2333</v>
      </c>
      <c r="G77" s="42"/>
      <c r="H77" s="42">
        <v>2000</v>
      </c>
      <c r="I77" s="42">
        <v>80</v>
      </c>
      <c r="J77" s="42"/>
      <c r="K77" s="43">
        <f t="shared" ref="K77" si="155">I77*J77</f>
        <v>0</v>
      </c>
      <c r="L77" s="43">
        <f t="shared" ref="L77" si="156">H77-K77</f>
        <v>2000</v>
      </c>
      <c r="M77" s="43"/>
      <c r="N77" s="43">
        <f t="shared" ref="N77" si="157">L77-M77</f>
        <v>2000</v>
      </c>
      <c r="O77" s="43">
        <v>0</v>
      </c>
      <c r="P77" s="42">
        <v>0</v>
      </c>
      <c r="Q77" s="42">
        <f>32600/2000</f>
        <v>16.3</v>
      </c>
      <c r="R77" s="42">
        <f t="shared" ref="R77" si="158">L77*Q77</f>
        <v>32600</v>
      </c>
    </row>
    <row r="79" spans="1:18">
      <c r="A79" s="1" t="s">
        <v>3229</v>
      </c>
      <c r="B79" s="42" t="s">
        <v>1343</v>
      </c>
      <c r="C79" s="42" t="s">
        <v>481</v>
      </c>
      <c r="D79" s="42" t="s">
        <v>16</v>
      </c>
      <c r="E79" s="42" t="s">
        <v>835</v>
      </c>
      <c r="F79" s="42">
        <v>233</v>
      </c>
      <c r="G79" s="42"/>
      <c r="H79" s="42">
        <v>1000</v>
      </c>
      <c r="I79" s="42">
        <v>20</v>
      </c>
      <c r="J79" s="42"/>
      <c r="K79" s="43">
        <f t="shared" ref="K79" si="159">I79*J79</f>
        <v>0</v>
      </c>
      <c r="L79" s="43">
        <f t="shared" ref="L79" si="160">H79-K79</f>
        <v>1000</v>
      </c>
      <c r="M79" s="43"/>
      <c r="N79" s="43">
        <f t="shared" ref="N79" si="161">L79-M79</f>
        <v>1000</v>
      </c>
      <c r="O79" s="43">
        <v>0</v>
      </c>
      <c r="P79" s="42"/>
      <c r="Q79" s="42">
        <f>16800/1000</f>
        <v>16.8</v>
      </c>
      <c r="R79" s="42">
        <f t="shared" ref="R79" si="162">L79*Q79</f>
        <v>16800</v>
      </c>
    </row>
    <row r="81" spans="1:18">
      <c r="A81" s="1" t="s">
        <v>3239</v>
      </c>
      <c r="B81" s="42" t="s">
        <v>215</v>
      </c>
      <c r="C81" s="42" t="s">
        <v>2689</v>
      </c>
      <c r="D81" s="42" t="s">
        <v>16</v>
      </c>
      <c r="E81" s="42" t="s">
        <v>3243</v>
      </c>
      <c r="F81" s="42">
        <v>151</v>
      </c>
      <c r="G81" s="42"/>
      <c r="H81" s="42">
        <v>1000</v>
      </c>
      <c r="I81" s="42">
        <v>20</v>
      </c>
      <c r="J81" s="42"/>
      <c r="K81" s="43">
        <f t="shared" ref="K81" si="163">I81*J81</f>
        <v>0</v>
      </c>
      <c r="L81" s="43">
        <f t="shared" ref="L81" si="164">H81-K81</f>
        <v>1000</v>
      </c>
      <c r="M81" s="43"/>
      <c r="N81" s="43">
        <f t="shared" ref="N81" si="165">L81-M81</f>
        <v>1000</v>
      </c>
      <c r="O81" s="43">
        <v>0</v>
      </c>
      <c r="P81" s="42">
        <v>0</v>
      </c>
      <c r="Q81" s="42">
        <f>49260/1000</f>
        <v>49.26</v>
      </c>
      <c r="R81" s="42">
        <f t="shared" ref="R81" si="166">L81*Q81</f>
        <v>49260</v>
      </c>
    </row>
    <row r="83" spans="1:18">
      <c r="A83" s="1" t="s">
        <v>3263</v>
      </c>
      <c r="B83" s="42" t="s">
        <v>1343</v>
      </c>
      <c r="C83" s="42" t="s">
        <v>481</v>
      </c>
      <c r="D83" s="42" t="s">
        <v>16</v>
      </c>
      <c r="E83" s="42" t="s">
        <v>835</v>
      </c>
      <c r="F83" s="42">
        <v>2337</v>
      </c>
      <c r="G83" s="42"/>
      <c r="H83" s="42">
        <v>1000</v>
      </c>
      <c r="I83" s="42">
        <v>20</v>
      </c>
      <c r="J83" s="42"/>
      <c r="K83" s="43">
        <f t="shared" ref="K83" si="167">I83*J83</f>
        <v>0</v>
      </c>
      <c r="L83" s="43">
        <f t="shared" ref="L83" si="168">H83-K83</f>
        <v>1000</v>
      </c>
      <c r="M83" s="43"/>
      <c r="N83" s="43">
        <f t="shared" ref="N83" si="169">L83-M83</f>
        <v>1000</v>
      </c>
      <c r="O83" s="43">
        <v>0</v>
      </c>
      <c r="P83" s="42">
        <v>0</v>
      </c>
      <c r="Q83" s="42">
        <f>16800/1000</f>
        <v>16.8</v>
      </c>
      <c r="R83" s="42">
        <f t="shared" ref="R83" si="170">L83*Q83</f>
        <v>16800</v>
      </c>
    </row>
    <row r="85" spans="1:18">
      <c r="A85" s="1" t="s">
        <v>3280</v>
      </c>
      <c r="B85" s="42" t="s">
        <v>215</v>
      </c>
      <c r="C85" s="42" t="s">
        <v>2689</v>
      </c>
      <c r="D85" s="42" t="s">
        <v>16</v>
      </c>
      <c r="E85" s="47" t="s">
        <v>1078</v>
      </c>
      <c r="F85" s="47">
        <v>156</v>
      </c>
      <c r="G85" s="47"/>
      <c r="H85" s="47">
        <v>1000</v>
      </c>
      <c r="I85" s="47">
        <v>20</v>
      </c>
      <c r="J85" s="47"/>
      <c r="K85" s="43">
        <f t="shared" ref="K85" si="171">I85*J85</f>
        <v>0</v>
      </c>
      <c r="L85" s="43">
        <f t="shared" ref="L85" si="172">H85-K85</f>
        <v>1000</v>
      </c>
      <c r="M85" s="43"/>
      <c r="N85" s="43">
        <f t="shared" ref="N85" si="173">L85-M85</f>
        <v>1000</v>
      </c>
      <c r="O85" s="43">
        <v>0</v>
      </c>
      <c r="P85" s="42">
        <v>0</v>
      </c>
      <c r="Q85" s="42">
        <f>49240/1000</f>
        <v>49.24</v>
      </c>
      <c r="R85" s="42">
        <f t="shared" ref="R85" si="174">L85*Q85</f>
        <v>49240</v>
      </c>
    </row>
    <row r="87" spans="1:18">
      <c r="A87" s="1" t="s">
        <v>3287</v>
      </c>
      <c r="B87" s="42" t="s">
        <v>3291</v>
      </c>
      <c r="C87" s="42" t="s">
        <v>481</v>
      </c>
      <c r="D87" s="42" t="s">
        <v>16</v>
      </c>
      <c r="E87" s="47" t="s">
        <v>835</v>
      </c>
      <c r="F87" s="47">
        <v>2333</v>
      </c>
      <c r="G87" s="47"/>
      <c r="H87" s="47">
        <v>2000</v>
      </c>
      <c r="I87" s="47">
        <v>40</v>
      </c>
      <c r="J87" s="47"/>
      <c r="K87" s="43">
        <f t="shared" ref="K87" si="175">I87*J87</f>
        <v>0</v>
      </c>
      <c r="L87" s="43">
        <f t="shared" ref="L87" si="176">H87-K87</f>
        <v>2000</v>
      </c>
      <c r="M87" s="43"/>
      <c r="N87" s="43">
        <f t="shared" ref="N87" si="177">L87-M87</f>
        <v>2000</v>
      </c>
      <c r="O87" s="43">
        <v>0</v>
      </c>
      <c r="P87" s="42">
        <v>0</v>
      </c>
      <c r="Q87" s="42">
        <f>33600/2000</f>
        <v>16.8</v>
      </c>
      <c r="R87" s="42">
        <f t="shared" ref="R87" si="178">L87*Q87</f>
        <v>33600</v>
      </c>
    </row>
    <row r="89" spans="1:18">
      <c r="A89" s="1" t="s">
        <v>3316</v>
      </c>
      <c r="B89" s="42" t="s">
        <v>215</v>
      </c>
      <c r="C89" s="42" t="s">
        <v>2689</v>
      </c>
      <c r="D89" s="42" t="s">
        <v>16</v>
      </c>
      <c r="E89" s="47" t="s">
        <v>3317</v>
      </c>
      <c r="F89" s="47">
        <v>160</v>
      </c>
      <c r="G89" s="47"/>
      <c r="H89" s="47">
        <v>1000</v>
      </c>
      <c r="I89" s="47">
        <v>20</v>
      </c>
      <c r="J89" s="47"/>
      <c r="K89" s="43">
        <f t="shared" ref="K89" si="179">I89*J89</f>
        <v>0</v>
      </c>
      <c r="L89" s="43">
        <f t="shared" ref="L89" si="180">H89-K89</f>
        <v>1000</v>
      </c>
      <c r="M89" s="43"/>
      <c r="N89" s="43">
        <f t="shared" ref="N89" si="181">L89-M89</f>
        <v>1000</v>
      </c>
      <c r="O89" s="43">
        <v>0</v>
      </c>
      <c r="P89" s="42">
        <v>0</v>
      </c>
      <c r="Q89" s="42">
        <f>50230/1000</f>
        <v>50.23</v>
      </c>
      <c r="R89" s="42">
        <f t="shared" ref="R89" si="182">L89*Q89</f>
        <v>50230</v>
      </c>
    </row>
    <row r="91" spans="1:18">
      <c r="A91" s="1" t="s">
        <v>3343</v>
      </c>
      <c r="B91" s="42" t="s">
        <v>215</v>
      </c>
      <c r="C91" s="42" t="s">
        <v>2689</v>
      </c>
      <c r="D91" s="42" t="s">
        <v>16</v>
      </c>
      <c r="E91" s="47" t="s">
        <v>3330</v>
      </c>
      <c r="F91" s="47">
        <v>164</v>
      </c>
      <c r="G91" s="47"/>
      <c r="H91" s="47">
        <v>1000</v>
      </c>
      <c r="I91" s="47">
        <v>20</v>
      </c>
      <c r="J91" s="47"/>
      <c r="K91" s="43">
        <f t="shared" ref="K91:K94" si="183">I91*J91</f>
        <v>0</v>
      </c>
      <c r="L91" s="43">
        <f t="shared" ref="L91:L94" si="184">H91-K91</f>
        <v>1000</v>
      </c>
      <c r="M91" s="43"/>
      <c r="N91" s="43">
        <f t="shared" ref="N91:N94" si="185">L91-M91</f>
        <v>1000</v>
      </c>
      <c r="O91" s="43">
        <v>0</v>
      </c>
      <c r="P91" s="42">
        <v>0</v>
      </c>
      <c r="Q91" s="42">
        <f>50240/1000</f>
        <v>50.24</v>
      </c>
      <c r="R91" s="42">
        <f t="shared" ref="R91:R94" si="186">L91*Q91</f>
        <v>50240</v>
      </c>
    </row>
    <row r="92" spans="1:18">
      <c r="A92" s="21" t="s">
        <v>3345</v>
      </c>
      <c r="B92" s="42" t="s">
        <v>1343</v>
      </c>
      <c r="C92" s="42" t="s">
        <v>481</v>
      </c>
      <c r="D92" s="42" t="s">
        <v>16</v>
      </c>
      <c r="E92" s="47" t="s">
        <v>835</v>
      </c>
      <c r="F92" s="47">
        <v>2341</v>
      </c>
      <c r="G92" s="47"/>
      <c r="H92" s="47">
        <v>500</v>
      </c>
      <c r="I92" s="47">
        <v>10</v>
      </c>
      <c r="J92" s="47"/>
      <c r="K92" s="43">
        <f t="shared" si="183"/>
        <v>0</v>
      </c>
      <c r="L92" s="43">
        <f t="shared" si="184"/>
        <v>500</v>
      </c>
      <c r="M92" s="43"/>
      <c r="N92" s="43">
        <f t="shared" si="185"/>
        <v>500</v>
      </c>
      <c r="O92" s="43">
        <v>0</v>
      </c>
      <c r="P92" s="42">
        <v>0</v>
      </c>
      <c r="Q92" s="42">
        <f>8400/500</f>
        <v>16.8</v>
      </c>
      <c r="R92" s="42">
        <f t="shared" si="186"/>
        <v>8400</v>
      </c>
    </row>
    <row r="93" spans="1:18">
      <c r="A93" s="374" t="s">
        <v>3366</v>
      </c>
      <c r="B93" s="42" t="s">
        <v>1343</v>
      </c>
      <c r="C93" s="42" t="s">
        <v>481</v>
      </c>
      <c r="D93" s="42" t="s">
        <v>16</v>
      </c>
      <c r="E93" s="47" t="s">
        <v>1720</v>
      </c>
      <c r="F93" s="47">
        <v>2343</v>
      </c>
      <c r="G93" s="47"/>
      <c r="H93" s="47">
        <v>1000</v>
      </c>
      <c r="I93" s="47">
        <v>20</v>
      </c>
      <c r="J93" s="47"/>
      <c r="K93" s="43">
        <f t="shared" si="183"/>
        <v>0</v>
      </c>
      <c r="L93" s="43">
        <f t="shared" si="184"/>
        <v>1000</v>
      </c>
      <c r="M93" s="43"/>
      <c r="N93" s="43">
        <f t="shared" si="185"/>
        <v>1000</v>
      </c>
      <c r="O93" s="43">
        <v>0</v>
      </c>
      <c r="P93" s="42">
        <v>0</v>
      </c>
      <c r="Q93" s="42">
        <f>16380/1000</f>
        <v>16.38</v>
      </c>
      <c r="R93" s="42">
        <f t="shared" si="186"/>
        <v>16379.999999999998</v>
      </c>
    </row>
    <row r="94" spans="1:18">
      <c r="A94" s="374"/>
      <c r="B94" s="42" t="s">
        <v>215</v>
      </c>
      <c r="C94" s="42" t="s">
        <v>2689</v>
      </c>
      <c r="D94" s="42" t="s">
        <v>16</v>
      </c>
      <c r="E94" s="47" t="s">
        <v>3317</v>
      </c>
      <c r="F94" s="47">
        <v>166</v>
      </c>
      <c r="G94" s="47"/>
      <c r="H94" s="47">
        <v>1000</v>
      </c>
      <c r="I94" s="47">
        <v>20</v>
      </c>
      <c r="J94" s="47"/>
      <c r="K94" s="43">
        <f t="shared" si="183"/>
        <v>0</v>
      </c>
      <c r="L94" s="43">
        <f t="shared" si="184"/>
        <v>1000</v>
      </c>
      <c r="M94" s="43"/>
      <c r="N94" s="43">
        <f t="shared" si="185"/>
        <v>1000</v>
      </c>
      <c r="O94" s="43">
        <v>0</v>
      </c>
      <c r="P94" s="42">
        <v>0</v>
      </c>
      <c r="Q94" s="42">
        <f>50240/1000</f>
        <v>50.24</v>
      </c>
      <c r="R94" s="42">
        <f t="shared" si="186"/>
        <v>50240</v>
      </c>
    </row>
    <row r="96" spans="1:18">
      <c r="A96" s="1" t="s">
        <v>3407</v>
      </c>
      <c r="B96" s="42" t="s">
        <v>215</v>
      </c>
      <c r="C96" s="42" t="s">
        <v>2689</v>
      </c>
      <c r="D96" s="42" t="s">
        <v>16</v>
      </c>
      <c r="E96" s="47" t="s">
        <v>3409</v>
      </c>
      <c r="F96" s="47">
        <v>169</v>
      </c>
      <c r="G96" s="47"/>
      <c r="H96" s="47">
        <v>1000</v>
      </c>
      <c r="I96" s="47">
        <v>20</v>
      </c>
      <c r="J96" s="47"/>
      <c r="K96" s="43">
        <f t="shared" ref="K96" si="187">I96*J96</f>
        <v>0</v>
      </c>
      <c r="L96" s="43">
        <f t="shared" ref="L96" si="188">H96-K96</f>
        <v>1000</v>
      </c>
      <c r="M96" s="43"/>
      <c r="N96" s="43">
        <f t="shared" ref="N96" si="189">L96-M96</f>
        <v>1000</v>
      </c>
      <c r="O96" s="43">
        <v>0</v>
      </c>
      <c r="P96" s="42">
        <v>0</v>
      </c>
      <c r="Q96" s="42">
        <f>52240/1000</f>
        <v>52.24</v>
      </c>
      <c r="R96" s="42">
        <f t="shared" ref="R96" si="190">L96*Q96</f>
        <v>52240</v>
      </c>
    </row>
    <row r="98" spans="1:18">
      <c r="A98" s="1" t="s">
        <v>3435</v>
      </c>
      <c r="B98" s="42" t="s">
        <v>215</v>
      </c>
      <c r="C98" s="42" t="s">
        <v>2689</v>
      </c>
      <c r="D98" s="42" t="s">
        <v>16</v>
      </c>
      <c r="E98" s="47" t="s">
        <v>3409</v>
      </c>
      <c r="F98" s="47">
        <v>173</v>
      </c>
      <c r="G98" s="47"/>
      <c r="H98" s="47">
        <v>1000</v>
      </c>
      <c r="I98" s="47">
        <v>20</v>
      </c>
      <c r="J98" s="47"/>
      <c r="K98" s="43">
        <f t="shared" ref="K98" si="191">I98*J98</f>
        <v>0</v>
      </c>
      <c r="L98" s="43">
        <f t="shared" ref="L98" si="192">H98-K98</f>
        <v>1000</v>
      </c>
      <c r="M98" s="43"/>
      <c r="N98" s="43">
        <f t="shared" ref="N98" si="193">L98-M98</f>
        <v>1000</v>
      </c>
      <c r="O98" s="43">
        <v>0</v>
      </c>
      <c r="P98" s="42">
        <v>0</v>
      </c>
      <c r="Q98" s="42">
        <f>52040/1000</f>
        <v>52.04</v>
      </c>
      <c r="R98" s="42">
        <f t="shared" ref="R98" si="194">L98*Q98</f>
        <v>52040</v>
      </c>
    </row>
    <row r="100" spans="1:18">
      <c r="A100" s="1" t="s">
        <v>3438</v>
      </c>
      <c r="B100" s="42" t="s">
        <v>3442</v>
      </c>
      <c r="C100" s="42" t="s">
        <v>481</v>
      </c>
      <c r="D100" s="42" t="s">
        <v>16</v>
      </c>
      <c r="E100" s="47" t="s">
        <v>1078</v>
      </c>
      <c r="F100" s="47"/>
      <c r="G100" s="47"/>
      <c r="H100" s="47">
        <v>1000</v>
      </c>
      <c r="I100" s="47">
        <v>20</v>
      </c>
      <c r="J100" s="47"/>
      <c r="K100" s="43">
        <f t="shared" ref="K100" si="195">I100*J100</f>
        <v>0</v>
      </c>
      <c r="L100" s="43">
        <f t="shared" ref="L100" si="196">H100-K100</f>
        <v>1000</v>
      </c>
      <c r="M100" s="43"/>
      <c r="N100" s="43">
        <f t="shared" ref="N100" si="197">L100-M100</f>
        <v>1000</v>
      </c>
      <c r="O100" s="43">
        <v>0</v>
      </c>
      <c r="P100" s="42">
        <v>0</v>
      </c>
      <c r="Q100" s="42">
        <f>16390/1000</f>
        <v>16.39</v>
      </c>
      <c r="R100" s="42">
        <f t="shared" ref="R100" si="198">L100*Q100</f>
        <v>16390</v>
      </c>
    </row>
    <row r="102" spans="1:18">
      <c r="A102" s="1" t="s">
        <v>3468</v>
      </c>
      <c r="B102" s="42" t="s">
        <v>3469</v>
      </c>
      <c r="C102" s="42" t="s">
        <v>2689</v>
      </c>
      <c r="D102" s="42" t="s">
        <v>16</v>
      </c>
      <c r="E102" s="47" t="s">
        <v>1078</v>
      </c>
      <c r="F102" s="47">
        <v>177</v>
      </c>
      <c r="G102" s="47"/>
      <c r="H102" s="47">
        <v>1000</v>
      </c>
      <c r="I102" s="47">
        <v>20</v>
      </c>
      <c r="J102" s="47"/>
      <c r="K102" s="43">
        <f t="shared" ref="K102" si="199">I102*J102</f>
        <v>0</v>
      </c>
      <c r="L102" s="43">
        <f t="shared" ref="L102" si="200">H102-K102</f>
        <v>1000</v>
      </c>
      <c r="M102" s="43"/>
      <c r="N102" s="43">
        <f t="shared" ref="N102" si="201">L102-M102</f>
        <v>1000</v>
      </c>
      <c r="O102" s="43">
        <v>0</v>
      </c>
      <c r="P102" s="42">
        <v>0</v>
      </c>
      <c r="Q102" s="42">
        <f>52040/1000</f>
        <v>52.04</v>
      </c>
      <c r="R102" s="42">
        <f t="shared" ref="R102" si="202">L102*Q102</f>
        <v>52040</v>
      </c>
    </row>
    <row r="104" spans="1:18">
      <c r="A104" s="1" t="s">
        <v>3477</v>
      </c>
      <c r="B104" s="42" t="s">
        <v>3481</v>
      </c>
      <c r="C104" s="42" t="s">
        <v>481</v>
      </c>
      <c r="D104" s="42" t="s">
        <v>16</v>
      </c>
      <c r="E104" s="47" t="s">
        <v>835</v>
      </c>
      <c r="F104" s="47">
        <v>406</v>
      </c>
      <c r="G104" s="47"/>
      <c r="H104" s="47">
        <v>990</v>
      </c>
      <c r="I104" s="47">
        <v>20</v>
      </c>
      <c r="J104" s="47"/>
      <c r="K104" s="43">
        <f t="shared" ref="K104" si="203">I104*J104</f>
        <v>0</v>
      </c>
      <c r="L104" s="43">
        <f t="shared" ref="L104" si="204">H104-K104</f>
        <v>990</v>
      </c>
      <c r="M104" s="43"/>
      <c r="N104" s="43">
        <f t="shared" ref="N104" si="205">L104-M104</f>
        <v>990</v>
      </c>
      <c r="O104" s="43">
        <v>0</v>
      </c>
      <c r="P104" s="42">
        <v>0</v>
      </c>
      <c r="Q104" s="42">
        <f>16900/990</f>
        <v>17.070707070707069</v>
      </c>
      <c r="R104" s="42">
        <f t="shared" ref="R104" si="206">L104*Q104</f>
        <v>16900</v>
      </c>
    </row>
    <row r="106" spans="1:18">
      <c r="A106" s="1" t="s">
        <v>3532</v>
      </c>
      <c r="B106" s="42" t="s">
        <v>1343</v>
      </c>
      <c r="C106" s="42" t="s">
        <v>481</v>
      </c>
      <c r="D106" s="42" t="s">
        <v>16</v>
      </c>
      <c r="E106" s="47" t="s">
        <v>835</v>
      </c>
      <c r="F106" s="47">
        <v>2352</v>
      </c>
      <c r="G106" s="47"/>
      <c r="H106" s="47">
        <v>1000</v>
      </c>
      <c r="I106" s="47">
        <v>20</v>
      </c>
      <c r="J106" s="47"/>
      <c r="K106" s="43">
        <f t="shared" ref="K106" si="207">I106*J106</f>
        <v>0</v>
      </c>
      <c r="L106" s="43">
        <f t="shared" ref="L106" si="208">H106-K106</f>
        <v>1000</v>
      </c>
      <c r="M106" s="43"/>
      <c r="N106" s="43">
        <f t="shared" ref="N106" si="209">L106-M106</f>
        <v>1000</v>
      </c>
      <c r="O106" s="43">
        <v>0</v>
      </c>
      <c r="P106" s="42">
        <v>0</v>
      </c>
      <c r="Q106" s="42">
        <f>16800/1000</f>
        <v>16.8</v>
      </c>
      <c r="R106" s="42">
        <f t="shared" ref="R106" si="210">L106*Q106</f>
        <v>16800</v>
      </c>
    </row>
    <row r="108" spans="1:18">
      <c r="A108" s="1" t="s">
        <v>3562</v>
      </c>
      <c r="B108" s="42" t="s">
        <v>1343</v>
      </c>
      <c r="C108" s="42" t="s">
        <v>481</v>
      </c>
      <c r="D108" s="42" t="s">
        <v>16</v>
      </c>
      <c r="E108" s="47" t="s">
        <v>835</v>
      </c>
      <c r="F108" s="47">
        <v>2353</v>
      </c>
      <c r="G108" s="47"/>
      <c r="H108" s="47">
        <v>2000</v>
      </c>
      <c r="I108" s="47">
        <v>40</v>
      </c>
      <c r="J108" s="47">
        <v>0</v>
      </c>
      <c r="K108" s="43">
        <f t="shared" ref="K108" si="211">I108*J108</f>
        <v>0</v>
      </c>
      <c r="L108" s="43">
        <f t="shared" ref="L108" si="212">H108-K108</f>
        <v>2000</v>
      </c>
      <c r="M108" s="43"/>
      <c r="N108" s="43">
        <f t="shared" ref="N108" si="213">L108-M108</f>
        <v>2000</v>
      </c>
      <c r="O108" s="43">
        <v>0</v>
      </c>
      <c r="P108" s="42">
        <v>0</v>
      </c>
      <c r="Q108" s="42">
        <f>33600/2000</f>
        <v>16.8</v>
      </c>
      <c r="R108" s="42">
        <f t="shared" ref="R108" si="214">L108*Q108</f>
        <v>33600</v>
      </c>
    </row>
    <row r="110" spans="1:18">
      <c r="A110" s="1" t="s">
        <v>3604</v>
      </c>
      <c r="B110" s="42" t="s">
        <v>29</v>
      </c>
      <c r="C110" s="42" t="s">
        <v>30</v>
      </c>
      <c r="D110" s="42" t="s">
        <v>16</v>
      </c>
      <c r="E110" s="47" t="s">
        <v>1078</v>
      </c>
      <c r="F110" s="47">
        <v>1282</v>
      </c>
      <c r="G110" s="47"/>
      <c r="H110" s="47">
        <v>2020</v>
      </c>
      <c r="I110" s="47">
        <v>29</v>
      </c>
      <c r="J110" s="47"/>
      <c r="K110" s="43">
        <f t="shared" ref="K110" si="215">I110*J110</f>
        <v>0</v>
      </c>
      <c r="L110" s="43">
        <f t="shared" ref="L110" si="216">H110-K110</f>
        <v>2020</v>
      </c>
      <c r="M110" s="43"/>
      <c r="N110" s="43">
        <f t="shared" ref="N110" si="217">L110-M110</f>
        <v>2020</v>
      </c>
      <c r="O110" s="43">
        <v>0</v>
      </c>
      <c r="P110" s="42">
        <v>0</v>
      </c>
      <c r="Q110" s="42"/>
      <c r="R110" s="42">
        <f t="shared" ref="R110" si="218">L110*Q110</f>
        <v>0</v>
      </c>
    </row>
    <row r="112" spans="1:18">
      <c r="A112" s="1" t="s">
        <v>3633</v>
      </c>
      <c r="B112" s="42" t="s">
        <v>29</v>
      </c>
      <c r="C112" s="42" t="s">
        <v>481</v>
      </c>
      <c r="D112" s="42" t="s">
        <v>16</v>
      </c>
      <c r="E112" s="47" t="s">
        <v>3432</v>
      </c>
      <c r="F112" s="47">
        <v>1310</v>
      </c>
      <c r="G112" s="47"/>
      <c r="H112" s="47">
        <v>2000</v>
      </c>
      <c r="I112" s="47">
        <v>40</v>
      </c>
      <c r="J112" s="47"/>
      <c r="K112" s="43">
        <f t="shared" ref="K112" si="219">I112*J112</f>
        <v>0</v>
      </c>
      <c r="L112" s="43">
        <f t="shared" ref="L112" si="220">H112-K112</f>
        <v>2000</v>
      </c>
      <c r="M112" s="43"/>
      <c r="N112" s="43">
        <f t="shared" ref="N112" si="221">L112-M112</f>
        <v>2000</v>
      </c>
      <c r="O112" s="43">
        <v>0</v>
      </c>
      <c r="P112" s="42">
        <v>0</v>
      </c>
      <c r="Q112" s="42">
        <f>33300/2000</f>
        <v>16.649999999999999</v>
      </c>
      <c r="R112" s="42">
        <f t="shared" ref="R112" si="222">L112*Q112</f>
        <v>33300</v>
      </c>
    </row>
    <row r="114" spans="1:19">
      <c r="A114" s="1" t="s">
        <v>3702</v>
      </c>
      <c r="B114" s="42" t="s">
        <v>1343</v>
      </c>
      <c r="C114" s="42" t="s">
        <v>481</v>
      </c>
      <c r="D114" s="42" t="s">
        <v>16</v>
      </c>
      <c r="E114" s="47" t="s">
        <v>835</v>
      </c>
      <c r="F114" s="47">
        <v>2366</v>
      </c>
      <c r="G114" s="47"/>
      <c r="H114" s="47">
        <f>990+1000</f>
        <v>1990</v>
      </c>
      <c r="I114" s="47">
        <v>40</v>
      </c>
      <c r="J114" s="47"/>
      <c r="K114" s="43">
        <f t="shared" ref="K114" si="223">I114*J114</f>
        <v>0</v>
      </c>
      <c r="L114" s="43">
        <f t="shared" ref="L114" si="224">H114-K114</f>
        <v>1990</v>
      </c>
      <c r="M114" s="43"/>
      <c r="N114" s="43">
        <f t="shared" ref="N114" si="225">L114-M114</f>
        <v>1990</v>
      </c>
      <c r="O114" s="43">
        <v>0</v>
      </c>
      <c r="P114" s="42">
        <v>0</v>
      </c>
      <c r="Q114" s="50">
        <f>33600/1990</f>
        <v>16.884422110552762</v>
      </c>
      <c r="R114" s="42">
        <f t="shared" ref="R114" si="226">L114*Q114</f>
        <v>33600</v>
      </c>
    </row>
    <row r="116" spans="1:19">
      <c r="A116" s="1" t="s">
        <v>3757</v>
      </c>
      <c r="B116" s="42" t="s">
        <v>1343</v>
      </c>
      <c r="C116" s="42" t="s">
        <v>481</v>
      </c>
      <c r="D116" s="42" t="s">
        <v>16</v>
      </c>
      <c r="E116" s="47" t="s">
        <v>835</v>
      </c>
      <c r="F116" s="47">
        <v>2369</v>
      </c>
      <c r="G116" s="47"/>
      <c r="H116" s="47">
        <v>2000</v>
      </c>
      <c r="I116" s="47">
        <v>40</v>
      </c>
      <c r="J116" s="47"/>
      <c r="K116" s="43">
        <f t="shared" ref="K116" si="227">I116*J116</f>
        <v>0</v>
      </c>
      <c r="L116" s="43">
        <f t="shared" ref="L116" si="228">H116-K116</f>
        <v>2000</v>
      </c>
      <c r="M116" s="43"/>
      <c r="N116" s="43">
        <f t="shared" ref="N116" si="229">L116-M116</f>
        <v>2000</v>
      </c>
      <c r="O116" s="43">
        <v>0</v>
      </c>
      <c r="P116" s="42">
        <v>0</v>
      </c>
      <c r="Q116" s="42">
        <f>33600/2000</f>
        <v>16.8</v>
      </c>
      <c r="R116" s="42">
        <f t="shared" ref="R116" si="230">L116*Q116</f>
        <v>33600</v>
      </c>
      <c r="S116" s="85"/>
    </row>
    <row r="118" spans="1:19">
      <c r="A118" s="1" t="s">
        <v>3824</v>
      </c>
      <c r="B118" s="42" t="s">
        <v>1343</v>
      </c>
      <c r="C118" s="42" t="s">
        <v>481</v>
      </c>
      <c r="D118" s="42" t="s">
        <v>16</v>
      </c>
      <c r="E118" s="47" t="s">
        <v>835</v>
      </c>
      <c r="F118" s="47">
        <v>2372</v>
      </c>
      <c r="G118" s="47"/>
      <c r="H118" s="47">
        <v>2000</v>
      </c>
      <c r="I118" s="47">
        <v>40</v>
      </c>
      <c r="J118" s="47"/>
      <c r="K118" s="43">
        <f t="shared" ref="K118" si="231">I118*J118</f>
        <v>0</v>
      </c>
      <c r="L118" s="43">
        <f t="shared" ref="L118" si="232">H118-K118</f>
        <v>2000</v>
      </c>
      <c r="M118" s="43"/>
      <c r="N118" s="43">
        <f t="shared" ref="N118" si="233">L118-M118</f>
        <v>2000</v>
      </c>
      <c r="O118" s="43">
        <f t="shared" ref="O118" si="234">H118/1000*70</f>
        <v>140</v>
      </c>
      <c r="P118" s="42">
        <v>0</v>
      </c>
      <c r="Q118" s="42">
        <f>33600/2000</f>
        <v>16.8</v>
      </c>
      <c r="R118" s="42">
        <f t="shared" ref="R118" si="235">L118*Q118</f>
        <v>33600</v>
      </c>
      <c r="S118" s="85"/>
    </row>
    <row r="120" spans="1:19">
      <c r="A120" s="1" t="s">
        <v>3945</v>
      </c>
      <c r="B120" s="334" t="s">
        <v>2261</v>
      </c>
      <c r="C120" s="334" t="s">
        <v>481</v>
      </c>
      <c r="D120" s="42" t="s">
        <v>16</v>
      </c>
      <c r="E120" s="334" t="s">
        <v>3952</v>
      </c>
      <c r="F120" s="334">
        <v>0</v>
      </c>
      <c r="G120" s="334"/>
      <c r="H120" s="334">
        <v>2000</v>
      </c>
      <c r="I120" s="334">
        <v>40</v>
      </c>
      <c r="J120" s="334"/>
      <c r="K120" s="43">
        <f t="shared" ref="K120" si="236">I120*J120</f>
        <v>0</v>
      </c>
      <c r="L120" s="43">
        <f t="shared" ref="L120" si="237">H120-K120</f>
        <v>2000</v>
      </c>
      <c r="M120" s="43"/>
      <c r="N120" s="43">
        <f t="shared" ref="N120" si="238">L120-M120</f>
        <v>2000</v>
      </c>
      <c r="O120" s="43">
        <v>0</v>
      </c>
      <c r="P120" s="42">
        <v>0</v>
      </c>
      <c r="Q120" s="42">
        <f>32800/2000</f>
        <v>16.399999999999999</v>
      </c>
      <c r="R120" s="42">
        <f t="shared" ref="R120" si="239">L120*Q120</f>
        <v>32800</v>
      </c>
      <c r="S120" s="85"/>
    </row>
    <row r="122" spans="1:19">
      <c r="A122" s="1" t="s">
        <v>3988</v>
      </c>
      <c r="B122" s="347" t="s">
        <v>2261</v>
      </c>
      <c r="C122" s="347" t="s">
        <v>481</v>
      </c>
      <c r="D122" s="42" t="s">
        <v>16</v>
      </c>
      <c r="E122" s="347" t="s">
        <v>3990</v>
      </c>
      <c r="F122" s="347">
        <v>0</v>
      </c>
      <c r="G122" s="347"/>
      <c r="H122" s="347">
        <v>2000</v>
      </c>
      <c r="I122" s="347">
        <v>40</v>
      </c>
      <c r="J122" s="347"/>
      <c r="K122" s="43">
        <f t="shared" ref="K122:K124" si="240">I122*J122</f>
        <v>0</v>
      </c>
      <c r="L122" s="43">
        <f t="shared" ref="L122:L124" si="241">H122-K122</f>
        <v>2000</v>
      </c>
      <c r="M122" s="43"/>
      <c r="N122" s="43">
        <f t="shared" ref="N122:N124" si="242">L122-M122</f>
        <v>2000</v>
      </c>
      <c r="O122" s="43">
        <v>0</v>
      </c>
      <c r="P122" s="42">
        <v>0</v>
      </c>
      <c r="Q122" s="42">
        <f>32800/2000</f>
        <v>16.399999999999999</v>
      </c>
      <c r="R122" s="42">
        <f t="shared" ref="R122:R124" si="243">L122*Q122</f>
        <v>32800</v>
      </c>
    </row>
    <row r="123" spans="1:19">
      <c r="A123" s="21" t="s">
        <v>4023</v>
      </c>
      <c r="B123" s="351" t="s">
        <v>1343</v>
      </c>
      <c r="C123" s="351" t="s">
        <v>481</v>
      </c>
      <c r="D123" s="42" t="s">
        <v>16</v>
      </c>
      <c r="E123" s="351" t="s">
        <v>1720</v>
      </c>
      <c r="F123" s="351">
        <v>2374</v>
      </c>
      <c r="G123" s="351"/>
      <c r="H123" s="351">
        <v>2100</v>
      </c>
      <c r="I123" s="351">
        <v>84</v>
      </c>
      <c r="J123" s="351"/>
      <c r="K123" s="43">
        <f t="shared" si="240"/>
        <v>0</v>
      </c>
      <c r="L123" s="43">
        <f t="shared" si="241"/>
        <v>2100</v>
      </c>
      <c r="M123" s="43"/>
      <c r="N123" s="43">
        <f t="shared" si="242"/>
        <v>2100</v>
      </c>
      <c r="O123" s="43">
        <v>0</v>
      </c>
      <c r="P123" s="42">
        <v>0</v>
      </c>
      <c r="Q123" s="42"/>
      <c r="R123" s="42">
        <f t="shared" si="243"/>
        <v>0</v>
      </c>
    </row>
    <row r="124" spans="1:19">
      <c r="A124" s="21" t="s">
        <v>4070</v>
      </c>
      <c r="B124" s="361" t="s">
        <v>1343</v>
      </c>
      <c r="C124" s="361" t="s">
        <v>481</v>
      </c>
      <c r="D124" s="42" t="s">
        <v>16</v>
      </c>
      <c r="E124" s="361" t="s">
        <v>1720</v>
      </c>
      <c r="F124" s="361">
        <v>2378</v>
      </c>
      <c r="G124" s="361"/>
      <c r="H124" s="361">
        <v>3000</v>
      </c>
      <c r="I124" s="361">
        <v>60</v>
      </c>
      <c r="J124" s="361"/>
      <c r="K124" s="361">
        <f t="shared" si="240"/>
        <v>0</v>
      </c>
      <c r="L124" s="364">
        <f t="shared" si="241"/>
        <v>3000</v>
      </c>
      <c r="M124" s="364"/>
      <c r="N124" s="364">
        <f t="shared" si="242"/>
        <v>3000</v>
      </c>
      <c r="O124" s="361">
        <v>0</v>
      </c>
      <c r="P124" s="361">
        <v>0</v>
      </c>
      <c r="Q124" s="190">
        <f>48800/3000</f>
        <v>16.266666666666666</v>
      </c>
      <c r="R124" s="361">
        <f t="shared" si="243"/>
        <v>48800</v>
      </c>
    </row>
  </sheetData>
  <mergeCells count="1">
    <mergeCell ref="A93:A94"/>
  </mergeCells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>
  <dimension ref="A5:T11"/>
  <sheetViews>
    <sheetView workbookViewId="0">
      <selection activeCell="A12" sqref="A12"/>
    </sheetView>
  </sheetViews>
  <sheetFormatPr defaultRowHeight="14.4"/>
  <cols>
    <col min="1" max="1" width="8.88671875" style="1"/>
    <col min="2" max="2" width="13.88671875" style="1" customWidth="1"/>
    <col min="3" max="3" width="8.88671875" style="1"/>
    <col min="4" max="4" width="5.5546875" style="1" customWidth="1"/>
    <col min="5" max="5" width="8.88671875" style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0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0">
      <c r="A6" s="7" t="s">
        <v>177</v>
      </c>
      <c r="B6" s="2" t="s">
        <v>197</v>
      </c>
      <c r="C6" s="2" t="s">
        <v>15</v>
      </c>
      <c r="D6" s="2" t="s">
        <v>16</v>
      </c>
      <c r="E6" s="2" t="s">
        <v>198</v>
      </c>
      <c r="F6" s="2"/>
      <c r="G6" s="2"/>
      <c r="H6" s="2">
        <v>1950</v>
      </c>
      <c r="I6" s="2">
        <v>10</v>
      </c>
      <c r="J6" s="2">
        <v>10</v>
      </c>
      <c r="K6" s="5">
        <f t="shared" ref="K6" si="0">I6*J6</f>
        <v>100</v>
      </c>
      <c r="L6" s="19">
        <f t="shared" ref="L6" si="1">H6-K6</f>
        <v>1850</v>
      </c>
      <c r="M6" s="5">
        <f t="shared" ref="M6" si="2">H6/1000*70</f>
        <v>136.5</v>
      </c>
      <c r="N6" s="2"/>
    </row>
    <row r="7" spans="1:20">
      <c r="A7" s="8"/>
      <c r="B7" s="2"/>
      <c r="C7" s="2"/>
      <c r="D7" s="2"/>
      <c r="E7" s="2"/>
      <c r="F7" s="2"/>
      <c r="G7" s="2"/>
      <c r="H7" s="2"/>
      <c r="I7" s="2"/>
      <c r="J7" s="2"/>
      <c r="K7" s="2"/>
      <c r="L7" s="5"/>
      <c r="M7" s="5"/>
      <c r="N7" s="2"/>
    </row>
    <row r="8" spans="1:20">
      <c r="A8" s="8" t="s">
        <v>779</v>
      </c>
      <c r="B8" s="42" t="s">
        <v>786</v>
      </c>
      <c r="C8" s="42" t="s">
        <v>787</v>
      </c>
      <c r="D8" s="42" t="s">
        <v>16</v>
      </c>
      <c r="E8" s="42" t="s">
        <v>324</v>
      </c>
      <c r="F8" s="42">
        <v>0</v>
      </c>
      <c r="G8" s="42"/>
      <c r="H8" s="42">
        <v>1480</v>
      </c>
      <c r="I8" s="42"/>
      <c r="J8" s="42"/>
      <c r="K8" s="43">
        <f t="shared" ref="K8" si="3">I8*J8</f>
        <v>0</v>
      </c>
      <c r="L8" s="43">
        <f t="shared" ref="L8" si="4">H8-K8</f>
        <v>1480</v>
      </c>
      <c r="M8" s="43"/>
      <c r="N8" s="43">
        <f t="shared" ref="N8" si="5">L8-M8</f>
        <v>1480</v>
      </c>
      <c r="O8" s="43">
        <f t="shared" ref="O8" si="6">H8/1000*70</f>
        <v>103.6</v>
      </c>
      <c r="P8" s="42">
        <v>0</v>
      </c>
      <c r="Q8" s="50">
        <f>107060/1480</f>
        <v>72.337837837837839</v>
      </c>
      <c r="R8" s="42">
        <f t="shared" ref="R8" si="7">L8*Q8</f>
        <v>107060</v>
      </c>
    </row>
    <row r="9" spans="1:20">
      <c r="A9" s="9"/>
      <c r="B9" s="2"/>
      <c r="C9" s="2"/>
      <c r="D9" s="2"/>
      <c r="E9" s="2"/>
      <c r="F9" s="2"/>
      <c r="G9" s="2"/>
      <c r="H9" s="2"/>
      <c r="I9" s="2"/>
      <c r="J9" s="2"/>
      <c r="K9" s="2"/>
      <c r="L9" s="5"/>
      <c r="M9" s="5"/>
      <c r="N9" s="2"/>
    </row>
    <row r="10" spans="1:20">
      <c r="A10" s="10"/>
      <c r="B10" s="2"/>
      <c r="C10" s="2"/>
      <c r="D10" s="2"/>
      <c r="E10" s="2"/>
      <c r="F10" s="2"/>
      <c r="G10" s="2"/>
      <c r="H10" s="2"/>
      <c r="I10" s="2"/>
      <c r="J10" s="2"/>
      <c r="K10" s="5"/>
      <c r="L10" s="19"/>
      <c r="M10" s="5"/>
      <c r="N10" s="2"/>
    </row>
    <row r="11" spans="1:20">
      <c r="A11" s="11" t="s">
        <v>3596</v>
      </c>
      <c r="B11" s="42" t="s">
        <v>3589</v>
      </c>
      <c r="C11" s="42" t="s">
        <v>787</v>
      </c>
      <c r="D11" s="42" t="s">
        <v>16</v>
      </c>
      <c r="E11" s="47" t="s">
        <v>3601</v>
      </c>
      <c r="F11" s="47">
        <v>93</v>
      </c>
      <c r="G11" s="47"/>
      <c r="H11" s="47">
        <v>430</v>
      </c>
      <c r="I11" s="47">
        <v>2</v>
      </c>
      <c r="J11" s="47"/>
      <c r="K11" s="43">
        <f>I11*J11</f>
        <v>0</v>
      </c>
      <c r="L11" s="43">
        <f>H11-K11</f>
        <v>430</v>
      </c>
      <c r="M11" s="43"/>
      <c r="N11" s="43">
        <f>L11-M11</f>
        <v>430</v>
      </c>
      <c r="O11" s="43">
        <v>0</v>
      </c>
      <c r="P11" s="42"/>
      <c r="Q11" s="50">
        <f>18223/430</f>
        <v>42.379069767441862</v>
      </c>
      <c r="R11" s="42">
        <f>L11*Q11</f>
        <v>18223</v>
      </c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>
  <dimension ref="A5:U85"/>
  <sheetViews>
    <sheetView topLeftCell="A64" workbookViewId="0">
      <selection activeCell="A86" sqref="A86"/>
    </sheetView>
  </sheetViews>
  <sheetFormatPr defaultRowHeight="14.4"/>
  <cols>
    <col min="1" max="1" width="8.88671875" style="1"/>
    <col min="2" max="2" width="18.33203125" style="1" customWidth="1"/>
    <col min="3" max="3" width="10.77734375" style="1" customWidth="1"/>
    <col min="4" max="4" width="5.5546875" style="1" customWidth="1"/>
    <col min="5" max="5" width="8.88671875" style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  <c r="U5" s="15" t="s">
        <v>128</v>
      </c>
    </row>
    <row r="6" spans="1:21">
      <c r="A6" s="7" t="s">
        <v>243</v>
      </c>
      <c r="B6" s="28" t="s">
        <v>247</v>
      </c>
      <c r="C6" s="28" t="s">
        <v>15</v>
      </c>
      <c r="D6" s="2" t="s">
        <v>16</v>
      </c>
      <c r="E6" s="2" t="s">
        <v>248</v>
      </c>
      <c r="F6" s="2">
        <v>772</v>
      </c>
      <c r="G6" s="2"/>
      <c r="H6" s="2">
        <v>10980</v>
      </c>
      <c r="I6" s="2"/>
      <c r="J6" s="2"/>
      <c r="K6" s="5">
        <f t="shared" ref="K6" si="0">I6*J6</f>
        <v>0</v>
      </c>
      <c r="L6" s="19">
        <f t="shared" ref="L6" si="1">H6-K6</f>
        <v>10980</v>
      </c>
      <c r="M6" s="5">
        <f t="shared" ref="M6" si="2">H6/1000*70</f>
        <v>768.6</v>
      </c>
      <c r="N6" s="28">
        <v>0</v>
      </c>
      <c r="Q6" s="1" t="s">
        <v>210</v>
      </c>
      <c r="R6" s="1">
        <v>139</v>
      </c>
      <c r="S6" s="1">
        <v>11160</v>
      </c>
      <c r="T6" s="1" t="s">
        <v>210</v>
      </c>
      <c r="U6" s="17">
        <v>73</v>
      </c>
    </row>
    <row r="7" spans="1:21">
      <c r="A7" s="8"/>
      <c r="B7" s="2"/>
      <c r="C7" s="2"/>
      <c r="D7" s="2"/>
      <c r="E7" s="2"/>
      <c r="F7" s="2"/>
      <c r="G7" s="2"/>
      <c r="H7" s="2"/>
      <c r="I7" s="2"/>
      <c r="J7" s="2"/>
      <c r="K7" s="2"/>
      <c r="L7" s="5"/>
      <c r="M7" s="5"/>
      <c r="N7" s="2"/>
    </row>
    <row r="8" spans="1:21">
      <c r="A8" s="8" t="s">
        <v>338</v>
      </c>
      <c r="B8" s="42" t="s">
        <v>247</v>
      </c>
      <c r="C8" s="42" t="s">
        <v>15</v>
      </c>
      <c r="D8" s="42" t="s">
        <v>16</v>
      </c>
      <c r="E8" s="42" t="s">
        <v>248</v>
      </c>
      <c r="F8" s="42">
        <v>6376</v>
      </c>
      <c r="G8" s="42"/>
      <c r="H8" s="42">
        <v>11080</v>
      </c>
      <c r="I8" s="42">
        <v>60</v>
      </c>
      <c r="J8" s="42"/>
      <c r="K8" s="42">
        <f t="shared" ref="K8" si="3">I8*J8</f>
        <v>0</v>
      </c>
      <c r="L8" s="43">
        <f t="shared" ref="L8" si="4">H8-K8</f>
        <v>11080</v>
      </c>
      <c r="M8" s="43">
        <f t="shared" ref="M8" si="5">H8/1000*70</f>
        <v>775.6</v>
      </c>
      <c r="N8" s="42">
        <v>0</v>
      </c>
      <c r="O8" s="42">
        <v>73</v>
      </c>
      <c r="P8" s="42">
        <f t="shared" ref="P8" si="6">L8*O8</f>
        <v>808840</v>
      </c>
    </row>
    <row r="9" spans="1:21">
      <c r="A9" s="9"/>
      <c r="B9" s="2"/>
      <c r="C9" s="2"/>
      <c r="D9" s="2"/>
      <c r="E9" s="2"/>
      <c r="F9" s="2"/>
      <c r="G9" s="2"/>
      <c r="H9" s="2"/>
      <c r="I9" s="2"/>
      <c r="J9" s="2"/>
      <c r="K9" s="2"/>
      <c r="L9" s="5"/>
      <c r="M9" s="5"/>
      <c r="N9" s="2"/>
    </row>
    <row r="10" spans="1:21">
      <c r="A10" s="10" t="s">
        <v>1110</v>
      </c>
      <c r="B10" s="42" t="s">
        <v>14</v>
      </c>
      <c r="C10" s="92" t="s">
        <v>1095</v>
      </c>
      <c r="D10" s="42" t="s">
        <v>16</v>
      </c>
      <c r="E10" s="42" t="s">
        <v>248</v>
      </c>
      <c r="F10" s="42">
        <v>372</v>
      </c>
      <c r="G10" s="42"/>
      <c r="H10" s="42">
        <v>11160</v>
      </c>
      <c r="I10" s="42">
        <v>60</v>
      </c>
      <c r="J10" s="42"/>
      <c r="K10" s="42">
        <f t="shared" ref="K10" si="7">I10*J10</f>
        <v>0</v>
      </c>
      <c r="L10" s="43">
        <f t="shared" ref="L10" si="8">H10-K10</f>
        <v>11160</v>
      </c>
      <c r="M10" s="43"/>
      <c r="N10" s="43">
        <f t="shared" ref="N10" si="9">L10-M10</f>
        <v>11160</v>
      </c>
      <c r="O10" s="43">
        <f t="shared" ref="O10" si="10">H10/1000*70</f>
        <v>781.2</v>
      </c>
      <c r="P10" s="42">
        <v>0</v>
      </c>
      <c r="Q10" s="42">
        <v>88</v>
      </c>
      <c r="R10" s="42">
        <f t="shared" ref="R10" si="11">L10*Q10</f>
        <v>982080</v>
      </c>
    </row>
    <row r="11" spans="1:21">
      <c r="A11" s="11"/>
      <c r="B11" s="2"/>
      <c r="C11" s="2"/>
      <c r="D11" s="2"/>
      <c r="E11" s="2"/>
      <c r="F11" s="2"/>
      <c r="G11" s="2"/>
      <c r="H11" s="2"/>
      <c r="I11" s="2"/>
      <c r="J11" s="2"/>
      <c r="K11" s="2"/>
      <c r="L11" s="5"/>
      <c r="M11" s="5"/>
      <c r="N11" s="2"/>
    </row>
    <row r="12" spans="1:21">
      <c r="A12" s="1" t="s">
        <v>1224</v>
      </c>
      <c r="B12" s="92" t="s">
        <v>14</v>
      </c>
      <c r="C12" s="92" t="s">
        <v>1077</v>
      </c>
      <c r="D12" s="42" t="s">
        <v>16</v>
      </c>
      <c r="E12" s="42" t="s">
        <v>1231</v>
      </c>
      <c r="F12" s="42">
        <v>910</v>
      </c>
      <c r="G12" s="42"/>
      <c r="H12" s="42">
        <v>11040</v>
      </c>
      <c r="I12" s="42">
        <v>60</v>
      </c>
      <c r="J12" s="42"/>
      <c r="K12" s="42">
        <f t="shared" ref="K12" si="12">I12*J12</f>
        <v>0</v>
      </c>
      <c r="L12" s="43">
        <f t="shared" ref="L12" si="13">H12-K12</f>
        <v>11040</v>
      </c>
      <c r="M12" s="43"/>
      <c r="N12" s="43">
        <f t="shared" ref="N12" si="14">L12-M12</f>
        <v>11040</v>
      </c>
      <c r="O12" s="43">
        <f t="shared" ref="O12" si="15">H12/1000*70</f>
        <v>772.8</v>
      </c>
      <c r="P12" s="42">
        <v>0</v>
      </c>
      <c r="Q12" s="42"/>
      <c r="R12" s="42">
        <f t="shared" ref="R12" si="16">L12*Q12</f>
        <v>0</v>
      </c>
    </row>
    <row r="14" spans="1:21">
      <c r="A14" s="1" t="s">
        <v>1255</v>
      </c>
      <c r="B14" s="42" t="s">
        <v>14</v>
      </c>
      <c r="C14" s="42" t="s">
        <v>1077</v>
      </c>
      <c r="D14" s="42" t="s">
        <v>16</v>
      </c>
      <c r="E14" s="42" t="s">
        <v>1258</v>
      </c>
      <c r="F14" s="42">
        <v>423</v>
      </c>
      <c r="G14" s="42"/>
      <c r="H14" s="42">
        <v>11210</v>
      </c>
      <c r="I14" s="42">
        <v>60</v>
      </c>
      <c r="J14" s="42"/>
      <c r="K14" s="42">
        <f t="shared" ref="K14" si="17">I14*J14</f>
        <v>0</v>
      </c>
      <c r="L14" s="43">
        <f t="shared" ref="L14" si="18">H14-K14</f>
        <v>11210</v>
      </c>
      <c r="M14" s="43"/>
      <c r="N14" s="43">
        <f t="shared" ref="N14" si="19">L14-M14</f>
        <v>11210</v>
      </c>
      <c r="O14" s="43">
        <f t="shared" ref="O14" si="20">H14/1000*70</f>
        <v>784.7</v>
      </c>
      <c r="P14" s="42">
        <v>0</v>
      </c>
      <c r="Q14" s="42">
        <v>88</v>
      </c>
      <c r="R14" s="42">
        <f t="shared" ref="R14" si="21">L14*Q14</f>
        <v>986480</v>
      </c>
    </row>
    <row r="16" spans="1:21">
      <c r="A16" s="1" t="s">
        <v>1434</v>
      </c>
      <c r="B16" s="42" t="s">
        <v>14</v>
      </c>
      <c r="C16" s="42" t="s">
        <v>1314</v>
      </c>
      <c r="D16" s="42" t="s">
        <v>16</v>
      </c>
      <c r="E16" s="42" t="s">
        <v>1435</v>
      </c>
      <c r="F16" s="42">
        <v>938</v>
      </c>
      <c r="G16" s="42"/>
      <c r="H16" s="42">
        <v>11160</v>
      </c>
      <c r="I16" s="42">
        <v>60</v>
      </c>
      <c r="J16" s="42"/>
      <c r="K16" s="42">
        <f t="shared" ref="K16" si="22">I16*J16</f>
        <v>0</v>
      </c>
      <c r="L16" s="43">
        <f t="shared" ref="L16" si="23">H16-K16</f>
        <v>11160</v>
      </c>
      <c r="M16" s="43"/>
      <c r="N16" s="43">
        <f t="shared" ref="N16" si="24">L16-M16</f>
        <v>11160</v>
      </c>
      <c r="O16" s="43">
        <f t="shared" ref="O16" si="25">H16/1000*70</f>
        <v>781.2</v>
      </c>
      <c r="P16" s="42"/>
      <c r="Q16" s="42"/>
      <c r="R16" s="42">
        <f t="shared" ref="R16" si="26">L16*Q16</f>
        <v>0</v>
      </c>
    </row>
    <row r="18" spans="1:18">
      <c r="A18" s="1" t="s">
        <v>1499</v>
      </c>
      <c r="B18" s="42" t="s">
        <v>247</v>
      </c>
      <c r="C18" s="42" t="s">
        <v>1077</v>
      </c>
      <c r="D18" s="42" t="s">
        <v>16</v>
      </c>
      <c r="E18" s="42" t="s">
        <v>1435</v>
      </c>
      <c r="F18" s="42">
        <v>987</v>
      </c>
      <c r="G18" s="42"/>
      <c r="H18" s="42">
        <v>11180</v>
      </c>
      <c r="I18" s="42">
        <v>60</v>
      </c>
      <c r="J18" s="42"/>
      <c r="K18" s="42">
        <f t="shared" ref="K18" si="27">I18*J18</f>
        <v>0</v>
      </c>
      <c r="L18" s="43">
        <f t="shared" ref="L18" si="28">H18-K18</f>
        <v>11180</v>
      </c>
      <c r="M18" s="43"/>
      <c r="N18" s="43">
        <f t="shared" ref="N18" si="29">L18-M18</f>
        <v>11180</v>
      </c>
      <c r="O18" s="43">
        <f t="shared" ref="O18" si="30">H18/1000*70</f>
        <v>782.6</v>
      </c>
      <c r="P18" s="42">
        <v>0</v>
      </c>
      <c r="Q18" s="42">
        <v>87</v>
      </c>
      <c r="R18" s="42">
        <f t="shared" ref="R18" si="31">L18*Q18</f>
        <v>972660</v>
      </c>
    </row>
    <row r="20" spans="1:18">
      <c r="A20" s="1" t="s">
        <v>1606</v>
      </c>
      <c r="B20" s="42" t="s">
        <v>14</v>
      </c>
      <c r="C20" s="42" t="s">
        <v>1077</v>
      </c>
      <c r="D20" s="42" t="s">
        <v>16</v>
      </c>
      <c r="E20" s="42" t="s">
        <v>1613</v>
      </c>
      <c r="F20" s="42">
        <v>317</v>
      </c>
      <c r="G20" s="42"/>
      <c r="H20" s="42">
        <v>11160</v>
      </c>
      <c r="I20" s="42">
        <v>60</v>
      </c>
      <c r="J20" s="42"/>
      <c r="K20" s="42">
        <f t="shared" ref="K20" si="32">I20*J20</f>
        <v>0</v>
      </c>
      <c r="L20" s="43">
        <f t="shared" ref="L20" si="33">H20-K20</f>
        <v>11160</v>
      </c>
      <c r="M20" s="43"/>
      <c r="N20" s="43">
        <f t="shared" ref="N20" si="34">L20-M20</f>
        <v>11160</v>
      </c>
      <c r="O20" s="43">
        <f t="shared" ref="O20" si="35">H20/1000*70</f>
        <v>781.2</v>
      </c>
      <c r="P20" s="42">
        <v>13500</v>
      </c>
      <c r="Q20" s="42">
        <v>87</v>
      </c>
      <c r="R20" s="42">
        <f t="shared" ref="R20" si="36">L20*Q20</f>
        <v>970920</v>
      </c>
    </row>
    <row r="22" spans="1:18">
      <c r="A22" s="1" t="s">
        <v>1678</v>
      </c>
      <c r="B22" s="169" t="s">
        <v>14</v>
      </c>
      <c r="C22" s="42" t="s">
        <v>1077</v>
      </c>
      <c r="D22" s="42" t="s">
        <v>16</v>
      </c>
      <c r="E22" s="42" t="s">
        <v>1258</v>
      </c>
      <c r="F22" s="42">
        <v>815</v>
      </c>
      <c r="G22" s="42"/>
      <c r="H22" s="42">
        <v>11140</v>
      </c>
      <c r="I22" s="42">
        <v>60</v>
      </c>
      <c r="J22" s="42"/>
      <c r="K22" s="42">
        <f t="shared" ref="K22" si="37">I22*J22</f>
        <v>0</v>
      </c>
      <c r="L22" s="43">
        <f t="shared" ref="L22" si="38">H22-K22</f>
        <v>11140</v>
      </c>
      <c r="M22" s="43"/>
      <c r="N22" s="43">
        <f t="shared" ref="N22" si="39">L22-M22</f>
        <v>11140</v>
      </c>
      <c r="O22" s="43">
        <f t="shared" ref="O22" si="40">H22/1000*70</f>
        <v>779.80000000000007</v>
      </c>
      <c r="P22" s="198">
        <v>0</v>
      </c>
      <c r="Q22" s="198">
        <v>87</v>
      </c>
      <c r="R22" s="42">
        <f t="shared" ref="R22" si="41">L22*Q22</f>
        <v>969180</v>
      </c>
    </row>
    <row r="24" spans="1:18">
      <c r="A24" s="1" t="s">
        <v>1768</v>
      </c>
      <c r="B24" s="42" t="s">
        <v>14</v>
      </c>
      <c r="C24" s="42" t="s">
        <v>1077</v>
      </c>
      <c r="D24" s="42" t="s">
        <v>16</v>
      </c>
      <c r="E24" s="42" t="s">
        <v>1231</v>
      </c>
      <c r="F24" s="42">
        <v>823</v>
      </c>
      <c r="G24" s="42"/>
      <c r="H24" s="42">
        <v>11130</v>
      </c>
      <c r="I24" s="42">
        <v>60</v>
      </c>
      <c r="J24" s="42"/>
      <c r="K24" s="42">
        <f t="shared" ref="K24" si="42">I24*J24</f>
        <v>0</v>
      </c>
      <c r="L24" s="43">
        <f t="shared" ref="L24" si="43">H24-K24</f>
        <v>11130</v>
      </c>
      <c r="M24" s="43"/>
      <c r="N24" s="43">
        <f t="shared" ref="N24" si="44">L24-M24</f>
        <v>11130</v>
      </c>
      <c r="O24" s="43">
        <f t="shared" ref="O24" si="45">H24/1000*70</f>
        <v>779.1</v>
      </c>
      <c r="P24" s="213">
        <v>0</v>
      </c>
      <c r="Q24" s="213">
        <v>87</v>
      </c>
      <c r="R24" s="42">
        <f t="shared" ref="R24" si="46">L24*Q24</f>
        <v>968310</v>
      </c>
    </row>
    <row r="26" spans="1:18">
      <c r="A26" s="1" t="s">
        <v>1840</v>
      </c>
      <c r="B26" s="42" t="s">
        <v>14</v>
      </c>
      <c r="C26" s="42" t="s">
        <v>1841</v>
      </c>
      <c r="D26" s="42" t="s">
        <v>16</v>
      </c>
      <c r="E26" s="42" t="s">
        <v>1258</v>
      </c>
      <c r="F26" s="42">
        <v>834</v>
      </c>
      <c r="G26" s="42"/>
      <c r="H26" s="42">
        <v>11160</v>
      </c>
      <c r="I26" s="42">
        <v>60</v>
      </c>
      <c r="J26" s="42"/>
      <c r="K26" s="42">
        <f t="shared" ref="K26" si="47">I26*J26</f>
        <v>0</v>
      </c>
      <c r="L26" s="43">
        <f t="shared" ref="L26" si="48">H26-K26</f>
        <v>11160</v>
      </c>
      <c r="M26" s="43"/>
      <c r="N26" s="43">
        <f t="shared" ref="N26" si="49">L26-M26</f>
        <v>11160</v>
      </c>
      <c r="O26" s="43">
        <f t="shared" ref="O26" si="50">H26/1000*70</f>
        <v>781.2</v>
      </c>
      <c r="P26" s="227">
        <v>0</v>
      </c>
      <c r="Q26" s="227">
        <v>87</v>
      </c>
      <c r="R26" s="42">
        <f t="shared" ref="R26" si="51">L26*Q26</f>
        <v>970920</v>
      </c>
    </row>
    <row r="28" spans="1:18">
      <c r="A28" s="1" t="s">
        <v>1964</v>
      </c>
      <c r="B28" s="42" t="s">
        <v>14</v>
      </c>
      <c r="C28" s="42" t="s">
        <v>1077</v>
      </c>
      <c r="D28" s="42" t="s">
        <v>16</v>
      </c>
      <c r="E28" s="42" t="s">
        <v>1435</v>
      </c>
      <c r="F28" s="42">
        <v>657</v>
      </c>
      <c r="G28" s="42"/>
      <c r="H28" s="42">
        <v>11160</v>
      </c>
      <c r="I28" s="42">
        <v>60</v>
      </c>
      <c r="J28" s="42"/>
      <c r="K28" s="43">
        <f t="shared" ref="K28" si="52">I28*J28</f>
        <v>0</v>
      </c>
      <c r="L28" s="43">
        <f t="shared" ref="L28" si="53">H28-K28</f>
        <v>11160</v>
      </c>
      <c r="M28" s="43"/>
      <c r="N28" s="43">
        <f t="shared" ref="N28" si="54">L28-M28</f>
        <v>11160</v>
      </c>
      <c r="O28" s="43">
        <f t="shared" ref="O28" si="55">H28/1000*70</f>
        <v>781.2</v>
      </c>
      <c r="P28" s="42">
        <v>0</v>
      </c>
      <c r="Q28" s="42">
        <v>87</v>
      </c>
      <c r="R28" s="42">
        <f t="shared" ref="R28" si="56">L28*Q28</f>
        <v>970920</v>
      </c>
    </row>
    <row r="30" spans="1:18">
      <c r="A30" s="1" t="s">
        <v>2083</v>
      </c>
      <c r="B30" s="42" t="s">
        <v>14</v>
      </c>
      <c r="C30" s="42" t="s">
        <v>1077</v>
      </c>
      <c r="D30" s="42" t="s">
        <v>16</v>
      </c>
      <c r="E30" s="42" t="s">
        <v>1435</v>
      </c>
      <c r="F30" s="42">
        <v>998</v>
      </c>
      <c r="G30" s="42"/>
      <c r="H30" s="42">
        <v>11100</v>
      </c>
      <c r="I30" s="42">
        <v>60</v>
      </c>
      <c r="J30" s="42"/>
      <c r="K30" s="43">
        <f t="shared" ref="K30" si="57">I30*J30</f>
        <v>0</v>
      </c>
      <c r="L30" s="43">
        <f t="shared" ref="L30" si="58">H30-K30</f>
        <v>11100</v>
      </c>
      <c r="M30" s="43"/>
      <c r="N30" s="43">
        <f t="shared" ref="N30" si="59">L30-M30</f>
        <v>11100</v>
      </c>
      <c r="O30" s="43">
        <f t="shared" ref="O30" si="60">H30/1000*70</f>
        <v>777</v>
      </c>
      <c r="P30" s="42">
        <v>0</v>
      </c>
      <c r="Q30" s="42">
        <v>87</v>
      </c>
      <c r="R30" s="42">
        <f t="shared" ref="R30" si="61">L30*Q30</f>
        <v>965700</v>
      </c>
    </row>
    <row r="32" spans="1:18">
      <c r="A32" s="1" t="s">
        <v>2127</v>
      </c>
      <c r="B32" s="42" t="s">
        <v>14</v>
      </c>
      <c r="C32" s="42" t="s">
        <v>1077</v>
      </c>
      <c r="D32" s="42" t="s">
        <v>16</v>
      </c>
      <c r="E32" s="42" t="s">
        <v>1258</v>
      </c>
      <c r="F32" s="42">
        <v>1055</v>
      </c>
      <c r="G32" s="42"/>
      <c r="H32" s="42">
        <v>11160</v>
      </c>
      <c r="I32" s="42">
        <v>60</v>
      </c>
      <c r="J32" s="42"/>
      <c r="K32" s="43">
        <f t="shared" ref="K32" si="62">I32*J32</f>
        <v>0</v>
      </c>
      <c r="L32" s="43">
        <f t="shared" ref="L32" si="63">H32-K32</f>
        <v>11160</v>
      </c>
      <c r="M32" s="43"/>
      <c r="N32" s="43">
        <f t="shared" ref="N32" si="64">L32-M32</f>
        <v>11160</v>
      </c>
      <c r="O32" s="43">
        <f t="shared" ref="O32" si="65">H32/1000*70</f>
        <v>781.2</v>
      </c>
      <c r="P32" s="42">
        <v>10000</v>
      </c>
      <c r="Q32" s="42">
        <v>87</v>
      </c>
      <c r="R32" s="42">
        <f t="shared" ref="R32" si="66">L32*Q32</f>
        <v>970920</v>
      </c>
    </row>
    <row r="34" spans="1:18">
      <c r="A34" s="1" t="s">
        <v>2183</v>
      </c>
      <c r="B34" s="42" t="s">
        <v>14</v>
      </c>
      <c r="C34" s="42" t="s">
        <v>1077</v>
      </c>
      <c r="D34" s="42" t="s">
        <v>16</v>
      </c>
      <c r="E34" s="42" t="s">
        <v>1231</v>
      </c>
      <c r="F34" s="42">
        <v>60</v>
      </c>
      <c r="G34" s="42"/>
      <c r="H34" s="42">
        <v>11150</v>
      </c>
      <c r="I34" s="42">
        <v>60</v>
      </c>
      <c r="J34" s="42"/>
      <c r="K34" s="43">
        <f t="shared" ref="K34" si="67">I34*J34</f>
        <v>0</v>
      </c>
      <c r="L34" s="43">
        <f t="shared" ref="L34" si="68">H34-K34</f>
        <v>11150</v>
      </c>
      <c r="M34" s="43"/>
      <c r="N34" s="43">
        <f t="shared" ref="N34" si="69">L34-M34</f>
        <v>11150</v>
      </c>
      <c r="O34" s="43">
        <f t="shared" ref="O34" si="70">H34/1000*70</f>
        <v>780.5</v>
      </c>
      <c r="P34" s="42">
        <v>0</v>
      </c>
      <c r="Q34" s="42">
        <v>87</v>
      </c>
      <c r="R34" s="42">
        <f t="shared" ref="R34" si="71">L34*Q34</f>
        <v>970050</v>
      </c>
    </row>
    <row r="36" spans="1:18">
      <c r="A36" s="1" t="s">
        <v>2235</v>
      </c>
      <c r="B36" s="42" t="s">
        <v>14</v>
      </c>
      <c r="C36" s="42" t="s">
        <v>1077</v>
      </c>
      <c r="D36" s="42" t="s">
        <v>16</v>
      </c>
      <c r="E36" s="42" t="s">
        <v>2236</v>
      </c>
      <c r="F36" s="42">
        <v>1037</v>
      </c>
      <c r="G36" s="42"/>
      <c r="H36" s="42">
        <v>11140</v>
      </c>
      <c r="I36" s="42">
        <v>60</v>
      </c>
      <c r="J36" s="42"/>
      <c r="K36" s="43">
        <f t="shared" ref="K36" si="72">I36*J36</f>
        <v>0</v>
      </c>
      <c r="L36" s="43">
        <f t="shared" ref="L36" si="73">H36-K36</f>
        <v>11140</v>
      </c>
      <c r="M36" s="43"/>
      <c r="N36" s="43">
        <f t="shared" ref="N36" si="74">L36-M36</f>
        <v>11140</v>
      </c>
      <c r="O36" s="43">
        <f t="shared" ref="O36" si="75">H36/1000*70</f>
        <v>779.80000000000007</v>
      </c>
      <c r="P36" s="42">
        <v>0</v>
      </c>
      <c r="Q36" s="42">
        <v>87</v>
      </c>
      <c r="R36" s="42">
        <f t="shared" ref="R36" si="76">L36*Q36</f>
        <v>969180</v>
      </c>
    </row>
    <row r="38" spans="1:18">
      <c r="A38" s="1" t="s">
        <v>2275</v>
      </c>
      <c r="B38" s="42" t="s">
        <v>14</v>
      </c>
      <c r="C38" s="42" t="s">
        <v>1077</v>
      </c>
      <c r="D38" s="42" t="s">
        <v>16</v>
      </c>
      <c r="E38" s="42" t="s">
        <v>1435</v>
      </c>
      <c r="F38" s="42">
        <v>1961</v>
      </c>
      <c r="G38" s="42"/>
      <c r="H38" s="42">
        <v>11090</v>
      </c>
      <c r="I38" s="42">
        <v>60</v>
      </c>
      <c r="J38" s="42"/>
      <c r="K38" s="43">
        <f t="shared" ref="K38" si="77">I38*J38</f>
        <v>0</v>
      </c>
      <c r="L38" s="43">
        <f t="shared" ref="L38" si="78">H38-K38</f>
        <v>11090</v>
      </c>
      <c r="M38" s="43"/>
      <c r="N38" s="43">
        <f t="shared" ref="N38" si="79">L38-M38</f>
        <v>11090</v>
      </c>
      <c r="O38" s="43">
        <f t="shared" ref="O38" si="80">H38/1000*70</f>
        <v>776.3</v>
      </c>
      <c r="P38" s="42">
        <v>0</v>
      </c>
      <c r="Q38" s="42">
        <v>85</v>
      </c>
      <c r="R38" s="42">
        <f t="shared" ref="R38" si="81">L38*Q38</f>
        <v>942650</v>
      </c>
    </row>
    <row r="40" spans="1:18">
      <c r="A40" s="1" t="s">
        <v>2346</v>
      </c>
      <c r="B40" s="42" t="s">
        <v>14</v>
      </c>
      <c r="C40" s="42" t="s">
        <v>1077</v>
      </c>
      <c r="D40" s="42" t="s">
        <v>16</v>
      </c>
      <c r="E40" s="42" t="s">
        <v>1435</v>
      </c>
      <c r="F40" s="42">
        <v>1162</v>
      </c>
      <c r="G40" s="42"/>
      <c r="H40" s="42">
        <v>11160</v>
      </c>
      <c r="I40" s="42">
        <v>60</v>
      </c>
      <c r="J40" s="42"/>
      <c r="K40" s="43">
        <f t="shared" ref="K40" si="82">I40*J40</f>
        <v>0</v>
      </c>
      <c r="L40" s="43">
        <f t="shared" ref="L40" si="83">H40-K40</f>
        <v>11160</v>
      </c>
      <c r="M40" s="43"/>
      <c r="N40" s="43">
        <f t="shared" ref="N40" si="84">L40-M40</f>
        <v>11160</v>
      </c>
      <c r="O40" s="43">
        <f t="shared" ref="O40" si="85">H40/1000*70</f>
        <v>781.2</v>
      </c>
      <c r="P40" s="42">
        <v>0</v>
      </c>
      <c r="Q40" s="42">
        <v>85</v>
      </c>
      <c r="R40" s="42">
        <f t="shared" ref="R40" si="86">L40*Q40</f>
        <v>948600</v>
      </c>
    </row>
    <row r="42" spans="1:18">
      <c r="A42" s="1" t="s">
        <v>2367</v>
      </c>
      <c r="B42" s="42" t="s">
        <v>14</v>
      </c>
      <c r="C42" s="42" t="s">
        <v>1077</v>
      </c>
      <c r="D42" s="42" t="s">
        <v>16</v>
      </c>
      <c r="E42" s="42" t="s">
        <v>1231</v>
      </c>
      <c r="F42" s="42">
        <v>615</v>
      </c>
      <c r="G42" s="42"/>
      <c r="H42" s="42">
        <v>11120</v>
      </c>
      <c r="I42" s="42">
        <v>60</v>
      </c>
      <c r="J42" s="42"/>
      <c r="K42" s="43">
        <f t="shared" ref="K42" si="87">I42*J42</f>
        <v>0</v>
      </c>
      <c r="L42" s="43">
        <f t="shared" ref="L42" si="88">H42-K42</f>
        <v>11120</v>
      </c>
      <c r="M42" s="43"/>
      <c r="N42" s="43">
        <f t="shared" ref="N42" si="89">L42-M42</f>
        <v>11120</v>
      </c>
      <c r="O42" s="43">
        <f t="shared" ref="O42" si="90">H42/1000*70</f>
        <v>778.4</v>
      </c>
      <c r="P42" s="42">
        <v>0</v>
      </c>
      <c r="Q42" s="42">
        <v>85</v>
      </c>
      <c r="R42" s="42">
        <f t="shared" ref="R42" si="91">L42*Q42</f>
        <v>945200</v>
      </c>
    </row>
    <row r="44" spans="1:18">
      <c r="A44" s="1" t="s">
        <v>2415</v>
      </c>
      <c r="B44" s="42" t="s">
        <v>14</v>
      </c>
      <c r="C44" s="42" t="s">
        <v>1077</v>
      </c>
      <c r="D44" s="42" t="s">
        <v>16</v>
      </c>
      <c r="E44" s="42" t="s">
        <v>1435</v>
      </c>
      <c r="F44" s="42">
        <v>1818</v>
      </c>
      <c r="G44" s="42"/>
      <c r="H44" s="42">
        <v>11130</v>
      </c>
      <c r="I44" s="42">
        <v>60</v>
      </c>
      <c r="J44" s="42"/>
      <c r="K44" s="43">
        <f t="shared" ref="K44" si="92">I44*J44</f>
        <v>0</v>
      </c>
      <c r="L44" s="43">
        <f t="shared" ref="L44" si="93">H44-K44</f>
        <v>11130</v>
      </c>
      <c r="M44" s="43"/>
      <c r="N44" s="43">
        <f t="shared" ref="N44" si="94">L44-M44</f>
        <v>11130</v>
      </c>
      <c r="O44" s="43">
        <f t="shared" ref="O44" si="95">H44/1000*70</f>
        <v>779.1</v>
      </c>
      <c r="P44" s="42">
        <v>0</v>
      </c>
      <c r="Q44" s="42">
        <v>85</v>
      </c>
      <c r="R44" s="42">
        <f t="shared" ref="R44" si="96">L44*Q44</f>
        <v>946050</v>
      </c>
    </row>
    <row r="46" spans="1:18">
      <c r="A46" s="1" t="s">
        <v>2462</v>
      </c>
      <c r="B46" s="42" t="s">
        <v>14</v>
      </c>
      <c r="C46" s="42" t="s">
        <v>1077</v>
      </c>
      <c r="D46" s="42" t="s">
        <v>16</v>
      </c>
      <c r="E46" s="42" t="s">
        <v>1231</v>
      </c>
      <c r="F46" s="42">
        <v>1829</v>
      </c>
      <c r="G46" s="42"/>
      <c r="H46" s="42">
        <v>11160</v>
      </c>
      <c r="I46" s="42">
        <v>60</v>
      </c>
      <c r="J46" s="42"/>
      <c r="K46" s="43">
        <f t="shared" ref="K46" si="97">I46*J46</f>
        <v>0</v>
      </c>
      <c r="L46" s="43">
        <f t="shared" ref="L46" si="98">H46-K46</f>
        <v>11160</v>
      </c>
      <c r="M46" s="43"/>
      <c r="N46" s="43">
        <f t="shared" ref="N46" si="99">L46-M46</f>
        <v>11160</v>
      </c>
      <c r="O46" s="43">
        <f t="shared" ref="O46" si="100">H46/1000*70</f>
        <v>781.2</v>
      </c>
      <c r="P46" s="42">
        <v>0</v>
      </c>
      <c r="Q46" s="42">
        <v>83</v>
      </c>
      <c r="R46" s="42">
        <f t="shared" ref="R46" si="101">L46*Q46</f>
        <v>926280</v>
      </c>
    </row>
    <row r="48" spans="1:18">
      <c r="A48" s="1" t="s">
        <v>2500</v>
      </c>
      <c r="B48" s="42" t="s">
        <v>14</v>
      </c>
      <c r="C48" s="42" t="s">
        <v>1077</v>
      </c>
      <c r="D48" s="42" t="s">
        <v>16</v>
      </c>
      <c r="E48" s="42" t="s">
        <v>1435</v>
      </c>
      <c r="F48" s="42">
        <v>1842</v>
      </c>
      <c r="G48" s="42"/>
      <c r="H48" s="42">
        <v>11130</v>
      </c>
      <c r="I48" s="42">
        <v>60</v>
      </c>
      <c r="J48" s="42"/>
      <c r="K48" s="43">
        <f t="shared" ref="K48" si="102">I48*J48</f>
        <v>0</v>
      </c>
      <c r="L48" s="43">
        <f t="shared" ref="L48" si="103">H48-K48</f>
        <v>11130</v>
      </c>
      <c r="M48" s="43"/>
      <c r="N48" s="43">
        <f t="shared" ref="N48" si="104">L48-M48</f>
        <v>11130</v>
      </c>
      <c r="O48" s="43">
        <f t="shared" ref="O48" si="105">H48/1000*70</f>
        <v>779.1</v>
      </c>
      <c r="P48" s="42">
        <v>0</v>
      </c>
      <c r="Q48" s="42">
        <v>82</v>
      </c>
      <c r="R48" s="42">
        <f t="shared" ref="R48" si="106">L48*Q48</f>
        <v>912660</v>
      </c>
    </row>
    <row r="50" spans="1:18">
      <c r="A50" s="1" t="s">
        <v>2551</v>
      </c>
      <c r="B50" s="42" t="s">
        <v>14</v>
      </c>
      <c r="C50" s="42" t="s">
        <v>1077</v>
      </c>
      <c r="D50" s="42" t="s">
        <v>16</v>
      </c>
      <c r="E50" s="42" t="s">
        <v>1435</v>
      </c>
      <c r="F50" s="42">
        <v>1171</v>
      </c>
      <c r="G50" s="42"/>
      <c r="H50" s="42">
        <v>11090</v>
      </c>
      <c r="I50" s="42">
        <v>60</v>
      </c>
      <c r="J50" s="42"/>
      <c r="K50" s="43">
        <f t="shared" ref="K50" si="107">I50*J50</f>
        <v>0</v>
      </c>
      <c r="L50" s="43">
        <f t="shared" ref="L50" si="108">H50-K50</f>
        <v>11090</v>
      </c>
      <c r="M50" s="43"/>
      <c r="N50" s="43">
        <f t="shared" ref="N50" si="109">L50-M50</f>
        <v>11090</v>
      </c>
      <c r="O50" s="43">
        <f t="shared" ref="O50" si="110">H50/1000*70</f>
        <v>776.3</v>
      </c>
      <c r="P50" s="42">
        <v>0</v>
      </c>
      <c r="Q50" s="42">
        <v>82</v>
      </c>
      <c r="R50" s="42">
        <f t="shared" ref="R50" si="111">L50*Q50</f>
        <v>909380</v>
      </c>
    </row>
    <row r="52" spans="1:18">
      <c r="A52" s="1" t="s">
        <v>2583</v>
      </c>
      <c r="B52" s="42" t="s">
        <v>14</v>
      </c>
      <c r="C52" s="42" t="s">
        <v>1077</v>
      </c>
      <c r="D52" s="42" t="s">
        <v>16</v>
      </c>
      <c r="E52" s="42" t="s">
        <v>2586</v>
      </c>
      <c r="F52" s="42">
        <v>1215</v>
      </c>
      <c r="G52" s="42"/>
      <c r="H52" s="42">
        <v>11120</v>
      </c>
      <c r="I52" s="42">
        <v>60</v>
      </c>
      <c r="J52" s="42"/>
      <c r="K52" s="43">
        <f t="shared" ref="K52" si="112">I52*J52</f>
        <v>0</v>
      </c>
      <c r="L52" s="43">
        <f t="shared" ref="L52" si="113">H52-K52</f>
        <v>11120</v>
      </c>
      <c r="M52" s="43"/>
      <c r="N52" s="43">
        <f t="shared" ref="N52" si="114">L52-M52</f>
        <v>11120</v>
      </c>
      <c r="O52" s="43">
        <f t="shared" ref="O52" si="115">H52/1000*70</f>
        <v>778.4</v>
      </c>
      <c r="P52" s="42">
        <v>11200</v>
      </c>
      <c r="Q52" s="42">
        <v>82</v>
      </c>
      <c r="R52" s="42">
        <f t="shared" ref="R52" si="116">L52*Q52</f>
        <v>911840</v>
      </c>
    </row>
    <row r="54" spans="1:18">
      <c r="A54" s="1" t="s">
        <v>2645</v>
      </c>
      <c r="B54" s="42" t="s">
        <v>14</v>
      </c>
      <c r="C54" s="42" t="s">
        <v>1077</v>
      </c>
      <c r="D54" s="42" t="s">
        <v>16</v>
      </c>
      <c r="E54" s="42" t="s">
        <v>1258</v>
      </c>
      <c r="F54" s="42">
        <v>710</v>
      </c>
      <c r="G54" s="42"/>
      <c r="H54" s="42">
        <v>11120</v>
      </c>
      <c r="I54" s="42">
        <v>60</v>
      </c>
      <c r="J54" s="42"/>
      <c r="K54" s="43">
        <f t="shared" ref="K54" si="117">I54*J54</f>
        <v>0</v>
      </c>
      <c r="L54" s="43">
        <f t="shared" ref="L54" si="118">H54-K54</f>
        <v>11120</v>
      </c>
      <c r="M54" s="43"/>
      <c r="N54" s="43">
        <f t="shared" ref="N54" si="119">L54-M54</f>
        <v>11120</v>
      </c>
      <c r="O54" s="43">
        <f t="shared" ref="O54" si="120">H54/1000*70</f>
        <v>778.4</v>
      </c>
      <c r="P54" s="42">
        <v>0</v>
      </c>
      <c r="Q54" s="42">
        <v>82</v>
      </c>
      <c r="R54" s="42">
        <f t="shared" ref="R54" si="121">L54*Q54</f>
        <v>911840</v>
      </c>
    </row>
    <row r="56" spans="1:18">
      <c r="A56" s="1" t="s">
        <v>2685</v>
      </c>
      <c r="B56" s="42" t="s">
        <v>14</v>
      </c>
      <c r="C56" s="42" t="s">
        <v>1077</v>
      </c>
      <c r="D56" s="42" t="s">
        <v>16</v>
      </c>
      <c r="E56" s="42" t="s">
        <v>1258</v>
      </c>
      <c r="F56" s="42">
        <v>1084</v>
      </c>
      <c r="G56" s="42"/>
      <c r="H56" s="42">
        <v>11120</v>
      </c>
      <c r="I56" s="42">
        <v>60</v>
      </c>
      <c r="J56" s="42"/>
      <c r="K56" s="43">
        <f t="shared" ref="K56" si="122">I56*J56</f>
        <v>0</v>
      </c>
      <c r="L56" s="43">
        <f t="shared" ref="L56" si="123">H56-K56</f>
        <v>11120</v>
      </c>
      <c r="M56" s="43"/>
      <c r="N56" s="43">
        <f t="shared" ref="N56" si="124">L56-M56</f>
        <v>11120</v>
      </c>
      <c r="O56" s="43">
        <f t="shared" ref="O56" si="125">H56/1000*70</f>
        <v>778.4</v>
      </c>
      <c r="P56" s="42">
        <v>0</v>
      </c>
      <c r="Q56" s="42">
        <v>82</v>
      </c>
      <c r="R56" s="42">
        <f t="shared" ref="R56" si="126">L56*Q56</f>
        <v>911840</v>
      </c>
    </row>
    <row r="58" spans="1:18">
      <c r="A58" s="1" t="s">
        <v>2714</v>
      </c>
      <c r="B58" s="42" t="s">
        <v>14</v>
      </c>
      <c r="C58" s="42" t="s">
        <v>1077</v>
      </c>
      <c r="D58" s="42" t="s">
        <v>16</v>
      </c>
      <c r="E58" s="42" t="s">
        <v>1435</v>
      </c>
      <c r="F58" s="42">
        <v>734</v>
      </c>
      <c r="G58" s="42"/>
      <c r="H58" s="42">
        <v>11160</v>
      </c>
      <c r="I58" s="42">
        <v>60</v>
      </c>
      <c r="J58" s="42"/>
      <c r="K58" s="43">
        <f t="shared" ref="K58" si="127">I58*J58</f>
        <v>0</v>
      </c>
      <c r="L58" s="43">
        <f t="shared" ref="L58" si="128">H58-K58</f>
        <v>11160</v>
      </c>
      <c r="M58" s="43"/>
      <c r="N58" s="43">
        <f t="shared" ref="N58" si="129">L58-M58</f>
        <v>11160</v>
      </c>
      <c r="O58" s="43">
        <f t="shared" ref="O58" si="130">H58/1000*70</f>
        <v>781.2</v>
      </c>
      <c r="P58" s="42">
        <v>0</v>
      </c>
      <c r="Q58" s="42">
        <v>83</v>
      </c>
      <c r="R58" s="42">
        <f t="shared" ref="R58" si="131">L58*Q58</f>
        <v>926280</v>
      </c>
    </row>
    <row r="60" spans="1:18">
      <c r="A60" s="1" t="s">
        <v>2747</v>
      </c>
      <c r="B60" s="42" t="s">
        <v>14</v>
      </c>
      <c r="C60" s="42" t="s">
        <v>1077</v>
      </c>
      <c r="D60" s="42" t="s">
        <v>16</v>
      </c>
      <c r="E60" s="42" t="s">
        <v>1231</v>
      </c>
      <c r="F60" s="42">
        <v>743</v>
      </c>
      <c r="G60" s="42"/>
      <c r="H60" s="42">
        <v>11160</v>
      </c>
      <c r="I60" s="42">
        <v>60</v>
      </c>
      <c r="J60" s="42"/>
      <c r="K60" s="43">
        <f t="shared" ref="K60" si="132">I60*J60</f>
        <v>0</v>
      </c>
      <c r="L60" s="43">
        <f t="shared" ref="L60" si="133">H60-K60</f>
        <v>11160</v>
      </c>
      <c r="M60" s="43"/>
      <c r="N60" s="43">
        <f t="shared" ref="N60" si="134">L60-M60</f>
        <v>11160</v>
      </c>
      <c r="O60" s="43">
        <f t="shared" ref="O60" si="135">H60/1000*70</f>
        <v>781.2</v>
      </c>
      <c r="P60" s="42">
        <v>0</v>
      </c>
      <c r="Q60" s="42">
        <v>83</v>
      </c>
      <c r="R60" s="42">
        <f t="shared" ref="R60" si="136">L60*Q60</f>
        <v>926280</v>
      </c>
    </row>
    <row r="62" spans="1:18">
      <c r="A62" s="1" t="s">
        <v>2866</v>
      </c>
      <c r="B62" s="42" t="s">
        <v>14</v>
      </c>
      <c r="C62" s="42" t="s">
        <v>1077</v>
      </c>
      <c r="D62" s="42" t="s">
        <v>16</v>
      </c>
      <c r="E62" s="42" t="s">
        <v>1231</v>
      </c>
      <c r="F62" s="42">
        <v>1651</v>
      </c>
      <c r="G62" s="42"/>
      <c r="H62" s="42">
        <v>11120</v>
      </c>
      <c r="I62" s="42">
        <v>60</v>
      </c>
      <c r="J62" s="42"/>
      <c r="K62" s="43">
        <f t="shared" ref="K62" si="137">I62*J62</f>
        <v>0</v>
      </c>
      <c r="L62" s="43">
        <f t="shared" ref="L62" si="138">H62-K62</f>
        <v>11120</v>
      </c>
      <c r="M62" s="43"/>
      <c r="N62" s="43">
        <f t="shared" ref="N62" si="139">L62-M62</f>
        <v>11120</v>
      </c>
      <c r="O62" s="43">
        <f t="shared" ref="O62" si="140">H62/1000*70</f>
        <v>778.4</v>
      </c>
      <c r="P62" s="42">
        <v>0</v>
      </c>
      <c r="Q62" s="42">
        <v>83</v>
      </c>
      <c r="R62" s="42">
        <f t="shared" ref="R62" si="141">L62*Q62</f>
        <v>922960</v>
      </c>
    </row>
    <row r="64" spans="1:18">
      <c r="A64" s="1" t="s">
        <v>2918</v>
      </c>
      <c r="B64" s="42" t="s">
        <v>14</v>
      </c>
      <c r="C64" s="42" t="s">
        <v>1077</v>
      </c>
      <c r="D64" s="42" t="s">
        <v>16</v>
      </c>
      <c r="E64" s="42" t="s">
        <v>1258</v>
      </c>
      <c r="F64" s="42">
        <v>1126</v>
      </c>
      <c r="G64" s="42"/>
      <c r="H64" s="42">
        <v>11160</v>
      </c>
      <c r="I64" s="42">
        <v>60</v>
      </c>
      <c r="J64" s="42"/>
      <c r="K64" s="43">
        <f t="shared" ref="K64" si="142">I64*J64</f>
        <v>0</v>
      </c>
      <c r="L64" s="43">
        <f t="shared" ref="L64" si="143">H64-K64</f>
        <v>11160</v>
      </c>
      <c r="M64" s="43"/>
      <c r="N64" s="43">
        <f t="shared" ref="N64" si="144">L64-M64</f>
        <v>11160</v>
      </c>
      <c r="O64" s="43">
        <f t="shared" ref="O64" si="145">H64/1000*70</f>
        <v>781.2</v>
      </c>
      <c r="P64" s="42">
        <v>0</v>
      </c>
      <c r="Q64" s="42">
        <v>84</v>
      </c>
      <c r="R64" s="42">
        <f t="shared" ref="R64" si="146">L64*Q64</f>
        <v>937440</v>
      </c>
    </row>
    <row r="66" spans="1:18">
      <c r="A66" s="1" t="s">
        <v>2972</v>
      </c>
      <c r="B66" s="42" t="s">
        <v>14</v>
      </c>
      <c r="C66" s="42" t="s">
        <v>2975</v>
      </c>
      <c r="D66" s="42" t="s">
        <v>16</v>
      </c>
      <c r="E66" s="42" t="s">
        <v>1231</v>
      </c>
      <c r="F66" s="42">
        <v>1130</v>
      </c>
      <c r="G66" s="42"/>
      <c r="H66" s="42">
        <v>11100</v>
      </c>
      <c r="I66" s="42">
        <v>60</v>
      </c>
      <c r="J66" s="42"/>
      <c r="K66" s="43">
        <f t="shared" ref="K66" si="147">I66*J66</f>
        <v>0</v>
      </c>
      <c r="L66" s="43">
        <f t="shared" ref="L66" si="148">H66-K66</f>
        <v>11100</v>
      </c>
      <c r="M66" s="43"/>
      <c r="N66" s="43">
        <f t="shared" ref="N66" si="149">L66-M66</f>
        <v>11100</v>
      </c>
      <c r="O66" s="43">
        <f t="shared" ref="O66" si="150">H66/1000*70</f>
        <v>777</v>
      </c>
      <c r="P66" s="42">
        <v>0</v>
      </c>
      <c r="Q66" s="42">
        <v>63</v>
      </c>
      <c r="R66" s="42">
        <f t="shared" ref="R66" si="151">L66*Q66</f>
        <v>699300</v>
      </c>
    </row>
    <row r="68" spans="1:18">
      <c r="A68" s="1" t="s">
        <v>3091</v>
      </c>
      <c r="B68" s="92" t="s">
        <v>14</v>
      </c>
      <c r="C68" s="42" t="s">
        <v>1801</v>
      </c>
      <c r="D68" s="42" t="s">
        <v>16</v>
      </c>
      <c r="E68" s="42" t="s">
        <v>1435</v>
      </c>
      <c r="F68" s="42">
        <v>1179</v>
      </c>
      <c r="G68" s="42"/>
      <c r="H68" s="42">
        <v>11070</v>
      </c>
      <c r="I68" s="42">
        <v>60</v>
      </c>
      <c r="J68" s="42"/>
      <c r="K68" s="43">
        <f t="shared" ref="K68" si="152">I68*J68</f>
        <v>0</v>
      </c>
      <c r="L68" s="43">
        <f t="shared" ref="L68" si="153">H68-K68</f>
        <v>11070</v>
      </c>
      <c r="M68" s="43"/>
      <c r="N68" s="43">
        <f t="shared" ref="N68" si="154">L68-M68</f>
        <v>11070</v>
      </c>
      <c r="O68" s="43">
        <f t="shared" ref="O68" si="155">H68/1000*70</f>
        <v>774.9</v>
      </c>
      <c r="P68" s="42">
        <v>0</v>
      </c>
      <c r="Q68" s="42">
        <v>63</v>
      </c>
      <c r="R68" s="42">
        <f t="shared" ref="R68" si="156">L68*Q68</f>
        <v>697410</v>
      </c>
    </row>
    <row r="70" spans="1:18">
      <c r="A70" s="1" t="s">
        <v>3180</v>
      </c>
      <c r="B70" s="42" t="s">
        <v>14</v>
      </c>
      <c r="C70" s="42" t="s">
        <v>1077</v>
      </c>
      <c r="D70" s="42" t="s">
        <v>16</v>
      </c>
      <c r="E70" s="42" t="s">
        <v>1258</v>
      </c>
      <c r="F70" s="42">
        <v>1253</v>
      </c>
      <c r="G70" s="42"/>
      <c r="H70" s="42">
        <v>11110</v>
      </c>
      <c r="I70" s="42">
        <v>60</v>
      </c>
      <c r="J70" s="42"/>
      <c r="K70" s="43">
        <f t="shared" ref="K70" si="157">I70*J70</f>
        <v>0</v>
      </c>
      <c r="L70" s="43">
        <f t="shared" ref="L70" si="158">H70-K70</f>
        <v>11110</v>
      </c>
      <c r="M70" s="43"/>
      <c r="N70" s="43">
        <f t="shared" ref="N70" si="159">L70-M70</f>
        <v>11110</v>
      </c>
      <c r="O70" s="43">
        <f t="shared" ref="O70" si="160">H70/1000*70</f>
        <v>777.69999999999993</v>
      </c>
      <c r="P70" s="42">
        <v>0</v>
      </c>
      <c r="Q70" s="42">
        <v>63</v>
      </c>
      <c r="R70" s="42">
        <f t="shared" ref="R70" si="161">L70*Q70</f>
        <v>699930</v>
      </c>
    </row>
    <row r="72" spans="1:18">
      <c r="A72" s="1" t="s">
        <v>3292</v>
      </c>
      <c r="B72" s="42" t="s">
        <v>14</v>
      </c>
      <c r="C72" s="42" t="s">
        <v>1077</v>
      </c>
      <c r="D72" s="42" t="s">
        <v>16</v>
      </c>
      <c r="E72" s="47" t="s">
        <v>1435</v>
      </c>
      <c r="F72" s="47">
        <v>1404</v>
      </c>
      <c r="G72" s="47"/>
      <c r="H72" s="47">
        <v>11070</v>
      </c>
      <c r="I72" s="47">
        <v>60</v>
      </c>
      <c r="J72" s="47"/>
      <c r="K72" s="43">
        <f t="shared" ref="K72:K74" si="162">I72*J72</f>
        <v>0</v>
      </c>
      <c r="L72" s="43">
        <f t="shared" ref="L72:L74" si="163">H72-K72</f>
        <v>11070</v>
      </c>
      <c r="M72" s="43"/>
      <c r="N72" s="43">
        <f t="shared" ref="N72:N74" si="164">L72-M72</f>
        <v>11070</v>
      </c>
      <c r="O72" s="43">
        <f t="shared" ref="O72:O74" si="165">H72/1000*70</f>
        <v>774.9</v>
      </c>
      <c r="P72" s="42">
        <v>0</v>
      </c>
      <c r="Q72" s="42">
        <v>62</v>
      </c>
      <c r="R72" s="42">
        <f t="shared" ref="R72:R74" si="166">L72*Q72</f>
        <v>686340</v>
      </c>
    </row>
    <row r="73" spans="1:18">
      <c r="A73" s="21" t="s">
        <v>3345</v>
      </c>
      <c r="B73" s="42" t="s">
        <v>14</v>
      </c>
      <c r="C73" s="42" t="s">
        <v>1801</v>
      </c>
      <c r="D73" s="42" t="s">
        <v>16</v>
      </c>
      <c r="E73" s="47" t="s">
        <v>1435</v>
      </c>
      <c r="F73" s="47">
        <v>1192</v>
      </c>
      <c r="G73" s="47"/>
      <c r="H73" s="47">
        <v>11100</v>
      </c>
      <c r="I73" s="47">
        <v>60</v>
      </c>
      <c r="J73" s="47"/>
      <c r="K73" s="43">
        <f t="shared" si="162"/>
        <v>0</v>
      </c>
      <c r="L73" s="43">
        <f t="shared" si="163"/>
        <v>11100</v>
      </c>
      <c r="M73" s="43"/>
      <c r="N73" s="43">
        <f t="shared" si="164"/>
        <v>11100</v>
      </c>
      <c r="O73" s="43">
        <f t="shared" si="165"/>
        <v>777</v>
      </c>
      <c r="P73" s="42">
        <v>0</v>
      </c>
      <c r="Q73" s="42"/>
      <c r="R73" s="42">
        <f t="shared" si="166"/>
        <v>0</v>
      </c>
    </row>
    <row r="74" spans="1:18">
      <c r="A74" s="21" t="s">
        <v>3454</v>
      </c>
      <c r="B74" s="42" t="s">
        <v>14</v>
      </c>
      <c r="C74" s="42" t="s">
        <v>3246</v>
      </c>
      <c r="D74" s="42" t="s">
        <v>16</v>
      </c>
      <c r="E74" s="47" t="s">
        <v>1258</v>
      </c>
      <c r="F74" s="47">
        <v>1339</v>
      </c>
      <c r="G74" s="47"/>
      <c r="H74" s="47">
        <v>11080</v>
      </c>
      <c r="I74" s="47">
        <v>60</v>
      </c>
      <c r="J74" s="47"/>
      <c r="K74" s="43">
        <f t="shared" si="162"/>
        <v>0</v>
      </c>
      <c r="L74" s="43">
        <f t="shared" si="163"/>
        <v>11080</v>
      </c>
      <c r="M74" s="43"/>
      <c r="N74" s="43">
        <f t="shared" si="164"/>
        <v>11080</v>
      </c>
      <c r="O74" s="43">
        <f t="shared" si="165"/>
        <v>775.6</v>
      </c>
      <c r="P74" s="42">
        <v>0</v>
      </c>
      <c r="Q74" s="42"/>
      <c r="R74" s="42">
        <f t="shared" si="166"/>
        <v>0</v>
      </c>
    </row>
    <row r="76" spans="1:18">
      <c r="A76" s="21" t="s">
        <v>3503</v>
      </c>
      <c r="B76" s="42" t="s">
        <v>14</v>
      </c>
      <c r="C76" s="42" t="s">
        <v>1801</v>
      </c>
      <c r="D76" s="42" t="s">
        <v>16</v>
      </c>
      <c r="E76" s="47" t="s">
        <v>1258</v>
      </c>
      <c r="F76" s="47">
        <v>1364</v>
      </c>
      <c r="G76" s="47"/>
      <c r="H76" s="47">
        <v>11150</v>
      </c>
      <c r="I76" s="47">
        <v>60</v>
      </c>
      <c r="J76" s="47"/>
      <c r="K76" s="43">
        <f t="shared" ref="K76:K77" si="167">I76*J76</f>
        <v>0</v>
      </c>
      <c r="L76" s="43">
        <f t="shared" ref="L76:L77" si="168">H76-K76</f>
        <v>11150</v>
      </c>
      <c r="M76" s="43"/>
      <c r="N76" s="43">
        <f t="shared" ref="N76:N77" si="169">L76-M76</f>
        <v>11150</v>
      </c>
      <c r="O76" s="43">
        <f t="shared" ref="O76:O77" si="170">H76/1000*70</f>
        <v>780.5</v>
      </c>
      <c r="P76" s="42">
        <v>0</v>
      </c>
      <c r="Q76" s="42">
        <v>62</v>
      </c>
      <c r="R76" s="42">
        <f t="shared" ref="R76:R77" si="171">L76*Q76</f>
        <v>691300</v>
      </c>
    </row>
    <row r="77" spans="1:18">
      <c r="A77" s="21" t="s">
        <v>3543</v>
      </c>
      <c r="B77" s="42" t="s">
        <v>14</v>
      </c>
      <c r="C77" s="42" t="s">
        <v>3547</v>
      </c>
      <c r="D77" s="42" t="s">
        <v>16</v>
      </c>
      <c r="E77" s="47" t="s">
        <v>1231</v>
      </c>
      <c r="F77" s="47">
        <v>1384</v>
      </c>
      <c r="G77" s="47"/>
      <c r="H77" s="47">
        <v>11160</v>
      </c>
      <c r="I77" s="47">
        <v>60</v>
      </c>
      <c r="J77" s="47"/>
      <c r="K77" s="43">
        <f t="shared" si="167"/>
        <v>0</v>
      </c>
      <c r="L77" s="43">
        <f t="shared" si="168"/>
        <v>11160</v>
      </c>
      <c r="M77" s="43"/>
      <c r="N77" s="43">
        <f t="shared" si="169"/>
        <v>11160</v>
      </c>
      <c r="O77" s="43">
        <f t="shared" si="170"/>
        <v>781.2</v>
      </c>
      <c r="P77" s="42">
        <v>0</v>
      </c>
      <c r="Q77" s="42"/>
      <c r="R77" s="42">
        <f t="shared" si="171"/>
        <v>0</v>
      </c>
    </row>
    <row r="79" spans="1:18">
      <c r="A79" s="21" t="s">
        <v>3652</v>
      </c>
      <c r="B79" s="42" t="s">
        <v>3630</v>
      </c>
      <c r="C79" s="42" t="s">
        <v>787</v>
      </c>
      <c r="D79" s="42" t="s">
        <v>16</v>
      </c>
      <c r="E79" s="47" t="s">
        <v>1435</v>
      </c>
      <c r="F79" s="47">
        <v>786</v>
      </c>
      <c r="G79" s="47"/>
      <c r="H79" s="47">
        <v>11140</v>
      </c>
      <c r="I79" s="47">
        <v>60</v>
      </c>
      <c r="J79" s="47"/>
      <c r="K79" s="43">
        <f t="shared" ref="K79" si="172">I79*J79</f>
        <v>0</v>
      </c>
      <c r="L79" s="43">
        <f t="shared" ref="L79" si="173">H79-K79</f>
        <v>11140</v>
      </c>
      <c r="M79" s="43"/>
      <c r="N79" s="43">
        <f t="shared" ref="N79" si="174">L79-M79</f>
        <v>11140</v>
      </c>
      <c r="O79" s="43">
        <f t="shared" ref="O79" si="175">H79/1000*70</f>
        <v>779.80000000000007</v>
      </c>
      <c r="P79" s="42">
        <v>0</v>
      </c>
      <c r="Q79" s="42">
        <v>64</v>
      </c>
      <c r="R79" s="42">
        <f t="shared" ref="R79" si="176">L79*Q79</f>
        <v>712960</v>
      </c>
    </row>
    <row r="81" spans="1:19">
      <c r="A81" s="21" t="s">
        <v>3724</v>
      </c>
      <c r="B81" s="42" t="s">
        <v>14</v>
      </c>
      <c r="C81" s="42" t="s">
        <v>3725</v>
      </c>
      <c r="D81" s="42" t="s">
        <v>16</v>
      </c>
      <c r="E81" s="47" t="s">
        <v>1435</v>
      </c>
      <c r="F81" s="47">
        <v>1461</v>
      </c>
      <c r="G81" s="47"/>
      <c r="H81" s="47">
        <v>11140</v>
      </c>
      <c r="I81" s="47">
        <v>60</v>
      </c>
      <c r="J81" s="47"/>
      <c r="K81" s="43">
        <f t="shared" ref="K81:K82" si="177">I81*J81</f>
        <v>0</v>
      </c>
      <c r="L81" s="43">
        <f t="shared" ref="L81:L82" si="178">H81-K81</f>
        <v>11140</v>
      </c>
      <c r="M81" s="43"/>
      <c r="N81" s="43">
        <f t="shared" ref="N81:N82" si="179">L81-M81</f>
        <v>11140</v>
      </c>
      <c r="O81" s="43">
        <f t="shared" ref="O81:O82" si="180">H81/1000*70</f>
        <v>779.80000000000007</v>
      </c>
      <c r="P81" s="42">
        <v>0</v>
      </c>
      <c r="Q81" s="42">
        <v>64</v>
      </c>
      <c r="R81" s="42">
        <f t="shared" ref="R81:R82" si="181">L81*Q81</f>
        <v>712960</v>
      </c>
    </row>
    <row r="82" spans="1:19">
      <c r="A82" s="21" t="s">
        <v>3790</v>
      </c>
      <c r="B82" s="42" t="s">
        <v>14</v>
      </c>
      <c r="C82" s="42" t="s">
        <v>3246</v>
      </c>
      <c r="D82" s="42" t="s">
        <v>16</v>
      </c>
      <c r="E82" s="47" t="s">
        <v>3793</v>
      </c>
      <c r="F82" s="47">
        <v>1497</v>
      </c>
      <c r="G82" s="47"/>
      <c r="H82" s="47">
        <v>11100</v>
      </c>
      <c r="I82" s="47">
        <v>60</v>
      </c>
      <c r="J82" s="47"/>
      <c r="K82" s="43">
        <f t="shared" si="177"/>
        <v>0</v>
      </c>
      <c r="L82" s="43">
        <f t="shared" si="178"/>
        <v>11100</v>
      </c>
      <c r="M82" s="43"/>
      <c r="N82" s="43">
        <f t="shared" si="179"/>
        <v>11100</v>
      </c>
      <c r="O82" s="43">
        <f t="shared" si="180"/>
        <v>777</v>
      </c>
      <c r="P82" s="42">
        <v>0</v>
      </c>
      <c r="Q82" s="42"/>
      <c r="R82" s="42">
        <f t="shared" si="181"/>
        <v>0</v>
      </c>
      <c r="S82" s="85"/>
    </row>
    <row r="84" spans="1:19">
      <c r="A84" s="21" t="s">
        <v>3957</v>
      </c>
      <c r="B84" s="337" t="s">
        <v>14</v>
      </c>
      <c r="C84" s="337" t="s">
        <v>1077</v>
      </c>
      <c r="D84" s="42" t="s">
        <v>16</v>
      </c>
      <c r="E84" s="337" t="s">
        <v>1231</v>
      </c>
      <c r="F84" s="337">
        <v>1789</v>
      </c>
      <c r="G84" s="337"/>
      <c r="H84" s="337">
        <v>11030</v>
      </c>
      <c r="I84" s="337">
        <v>60</v>
      </c>
      <c r="J84" s="337"/>
      <c r="K84" s="43">
        <f t="shared" ref="K84:K85" si="182">I84*J84</f>
        <v>0</v>
      </c>
      <c r="L84" s="43">
        <f t="shared" ref="L84:L85" si="183">H84-K84</f>
        <v>11030</v>
      </c>
      <c r="M84" s="43"/>
      <c r="N84" s="43">
        <f t="shared" ref="N84:N85" si="184">L84-M84</f>
        <v>11030</v>
      </c>
      <c r="O84" s="43">
        <f t="shared" ref="O84:O85" si="185">H84/1000*70</f>
        <v>772.09999999999991</v>
      </c>
      <c r="P84" s="42">
        <v>0</v>
      </c>
      <c r="Q84" s="42"/>
      <c r="R84" s="42">
        <f t="shared" ref="R84:R85" si="186">L84*Q84</f>
        <v>0</v>
      </c>
      <c r="S84" s="85"/>
    </row>
    <row r="85" spans="1:19">
      <c r="A85" s="21" t="s">
        <v>4070</v>
      </c>
      <c r="B85" s="360" t="s">
        <v>14</v>
      </c>
      <c r="C85" s="360" t="s">
        <v>1077</v>
      </c>
      <c r="D85" s="42" t="s">
        <v>16</v>
      </c>
      <c r="E85" s="360" t="s">
        <v>1258</v>
      </c>
      <c r="F85" s="360">
        <v>1513</v>
      </c>
      <c r="G85" s="360"/>
      <c r="H85" s="360">
        <v>11100</v>
      </c>
      <c r="I85" s="360">
        <v>60</v>
      </c>
      <c r="J85" s="360"/>
      <c r="K85" s="43">
        <f t="shared" si="182"/>
        <v>0</v>
      </c>
      <c r="L85" s="43">
        <f t="shared" si="183"/>
        <v>11100</v>
      </c>
      <c r="M85" s="43"/>
      <c r="N85" s="43">
        <f t="shared" si="184"/>
        <v>11100</v>
      </c>
      <c r="O85" s="43">
        <f t="shared" si="185"/>
        <v>777</v>
      </c>
      <c r="P85" s="42">
        <v>0</v>
      </c>
      <c r="Q85" s="42">
        <v>82</v>
      </c>
      <c r="R85" s="42">
        <f t="shared" si="186"/>
        <v>910200</v>
      </c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>
  <dimension ref="A5:U16"/>
  <sheetViews>
    <sheetView workbookViewId="0">
      <selection activeCell="A17" sqref="A17"/>
    </sheetView>
  </sheetViews>
  <sheetFormatPr defaultRowHeight="14.4"/>
  <cols>
    <col min="1" max="1" width="8.88671875" style="1"/>
    <col min="2" max="2" width="18.33203125" style="1" customWidth="1"/>
    <col min="3" max="3" width="8.88671875" style="1"/>
    <col min="4" max="4" width="5.5546875" style="1" customWidth="1"/>
    <col min="5" max="5" width="8.88671875" style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  <c r="U5" s="15" t="s">
        <v>128</v>
      </c>
    </row>
    <row r="6" spans="1:21">
      <c r="A6" s="7"/>
      <c r="B6" s="167"/>
      <c r="C6" s="167"/>
      <c r="D6" s="168"/>
      <c r="E6" s="168"/>
      <c r="F6" s="168"/>
      <c r="G6" s="168"/>
      <c r="H6" s="168"/>
      <c r="I6" s="168"/>
      <c r="J6" s="168"/>
      <c r="K6" s="5"/>
      <c r="L6" s="19"/>
      <c r="M6" s="5"/>
      <c r="N6" s="167"/>
      <c r="U6" s="17">
        <v>73</v>
      </c>
    </row>
    <row r="7" spans="1:21">
      <c r="A7" s="8" t="s">
        <v>1404</v>
      </c>
      <c r="B7" s="42" t="s">
        <v>1406</v>
      </c>
      <c r="C7" s="42" t="s">
        <v>1314</v>
      </c>
      <c r="D7" s="42" t="s">
        <v>16</v>
      </c>
      <c r="E7" s="42" t="s">
        <v>555</v>
      </c>
      <c r="F7" s="42">
        <v>110</v>
      </c>
      <c r="G7" s="42"/>
      <c r="H7" s="42">
        <v>1840</v>
      </c>
      <c r="I7" s="42">
        <v>10</v>
      </c>
      <c r="J7" s="42"/>
      <c r="K7" s="42">
        <f t="shared" ref="K7:K8" si="0">I7*J7</f>
        <v>0</v>
      </c>
      <c r="L7" s="43">
        <f t="shared" ref="L7:L8" si="1">H7-K7</f>
        <v>1840</v>
      </c>
      <c r="M7" s="43"/>
      <c r="N7" s="43">
        <f t="shared" ref="N7:N8" si="2">L7-M7</f>
        <v>1840</v>
      </c>
      <c r="O7" s="43">
        <f t="shared" ref="O7:O8" si="3">H7/1000*70</f>
        <v>128.80000000000001</v>
      </c>
      <c r="P7" s="42">
        <v>0</v>
      </c>
      <c r="Q7" s="50">
        <f>160300/1840</f>
        <v>87.119565217391298</v>
      </c>
      <c r="R7" s="42">
        <f t="shared" ref="R7:R8" si="4">L7*Q7</f>
        <v>160300</v>
      </c>
    </row>
    <row r="8" spans="1:21">
      <c r="A8" s="8" t="s">
        <v>1419</v>
      </c>
      <c r="B8" s="42" t="s">
        <v>1423</v>
      </c>
      <c r="C8" s="42" t="s">
        <v>1314</v>
      </c>
      <c r="D8" s="42" t="s">
        <v>16</v>
      </c>
      <c r="E8" s="42" t="s">
        <v>1045</v>
      </c>
      <c r="F8" s="42">
        <v>120</v>
      </c>
      <c r="G8" s="42"/>
      <c r="H8" s="42">
        <v>1850</v>
      </c>
      <c r="I8" s="42">
        <v>10</v>
      </c>
      <c r="J8" s="42"/>
      <c r="K8" s="42">
        <f t="shared" si="0"/>
        <v>0</v>
      </c>
      <c r="L8" s="43">
        <f t="shared" si="1"/>
        <v>1850</v>
      </c>
      <c r="M8" s="43"/>
      <c r="N8" s="43">
        <f t="shared" si="2"/>
        <v>1850</v>
      </c>
      <c r="O8" s="43">
        <f t="shared" si="3"/>
        <v>129.5</v>
      </c>
      <c r="P8" s="42">
        <v>0</v>
      </c>
      <c r="Q8" s="50">
        <f>162300/1850</f>
        <v>87.729729729729726</v>
      </c>
      <c r="R8" s="42">
        <f t="shared" si="4"/>
        <v>162300</v>
      </c>
    </row>
    <row r="9" spans="1:21">
      <c r="A9" s="9"/>
      <c r="B9" s="168"/>
      <c r="C9" s="168"/>
      <c r="D9" s="168"/>
      <c r="E9" s="168"/>
      <c r="F9" s="168"/>
      <c r="G9" s="168"/>
      <c r="H9" s="168"/>
      <c r="I9" s="168"/>
      <c r="J9" s="168"/>
      <c r="K9" s="168"/>
      <c r="L9" s="5"/>
      <c r="M9" s="5"/>
      <c r="N9" s="168"/>
    </row>
    <row r="10" spans="1:21">
      <c r="A10" s="10" t="s">
        <v>3239</v>
      </c>
      <c r="B10" s="42" t="s">
        <v>3245</v>
      </c>
      <c r="C10" s="42" t="s">
        <v>3246</v>
      </c>
      <c r="D10" s="42" t="s">
        <v>16</v>
      </c>
      <c r="E10" s="42" t="s">
        <v>3247</v>
      </c>
      <c r="F10" s="42">
        <v>100</v>
      </c>
      <c r="G10" s="42"/>
      <c r="H10" s="42">
        <v>1840</v>
      </c>
      <c r="I10" s="42">
        <v>10</v>
      </c>
      <c r="J10" s="42"/>
      <c r="K10" s="43">
        <f t="shared" ref="K10" si="5">I10*J10</f>
        <v>0</v>
      </c>
      <c r="L10" s="43">
        <f t="shared" ref="L10" si="6">H10-K10</f>
        <v>1840</v>
      </c>
      <c r="M10" s="43"/>
      <c r="N10" s="43">
        <f t="shared" ref="N10" si="7">L10-M10</f>
        <v>1840</v>
      </c>
      <c r="O10" s="43">
        <v>0</v>
      </c>
      <c r="P10" s="42">
        <v>0</v>
      </c>
      <c r="Q10" s="50">
        <f>109700/1840</f>
        <v>59.619565217391305</v>
      </c>
      <c r="R10" s="42">
        <f t="shared" ref="R10" si="8">L10*Q10</f>
        <v>109700</v>
      </c>
    </row>
    <row r="11" spans="1:21">
      <c r="A11" s="11"/>
      <c r="B11" s="168"/>
      <c r="C11" s="168"/>
      <c r="D11" s="168"/>
      <c r="E11" s="168"/>
      <c r="F11" s="168"/>
      <c r="G11" s="168"/>
      <c r="H11" s="168"/>
      <c r="I11" s="168"/>
      <c r="J11" s="168"/>
      <c r="K11" s="168"/>
      <c r="L11" s="5"/>
      <c r="M11" s="5"/>
      <c r="N11" s="168"/>
    </row>
    <row r="12" spans="1:21">
      <c r="A12" s="249" t="s">
        <v>3252</v>
      </c>
      <c r="B12" s="42" t="s">
        <v>3245</v>
      </c>
      <c r="C12" s="42" t="s">
        <v>3246</v>
      </c>
      <c r="D12" s="42" t="s">
        <v>16</v>
      </c>
      <c r="E12" s="42" t="s">
        <v>3247</v>
      </c>
      <c r="F12" s="42">
        <v>104</v>
      </c>
      <c r="G12" s="42"/>
      <c r="H12" s="42">
        <v>1850</v>
      </c>
      <c r="I12" s="42">
        <v>10</v>
      </c>
      <c r="J12" s="42"/>
      <c r="K12" s="43">
        <f t="shared" ref="K12" si="9">I12*J12</f>
        <v>0</v>
      </c>
      <c r="L12" s="43">
        <f t="shared" ref="L12" si="10">H12-K12</f>
        <v>1850</v>
      </c>
      <c r="M12" s="43"/>
      <c r="N12" s="43">
        <f t="shared" ref="N12" si="11">L12-M12</f>
        <v>1850</v>
      </c>
      <c r="O12" s="43">
        <v>0</v>
      </c>
      <c r="P12" s="42">
        <v>0</v>
      </c>
      <c r="Q12" s="50">
        <f>109200/1850</f>
        <v>59.027027027027025</v>
      </c>
      <c r="R12" s="42">
        <f t="shared" ref="R12" si="12">L12*Q12</f>
        <v>109200</v>
      </c>
    </row>
    <row r="14" spans="1:21">
      <c r="A14" s="1" t="s">
        <v>3270</v>
      </c>
      <c r="B14" s="42" t="s">
        <v>3245</v>
      </c>
      <c r="C14" s="42" t="s">
        <v>3246</v>
      </c>
      <c r="D14" s="42" t="s">
        <v>16</v>
      </c>
      <c r="E14" s="42" t="s">
        <v>3247</v>
      </c>
      <c r="F14" s="42">
        <v>107</v>
      </c>
      <c r="G14" s="42"/>
      <c r="H14" s="42">
        <v>1840</v>
      </c>
      <c r="I14" s="42">
        <v>10</v>
      </c>
      <c r="J14" s="42"/>
      <c r="K14" s="43">
        <f t="shared" ref="K14" si="13">I14*J14</f>
        <v>0</v>
      </c>
      <c r="L14" s="43">
        <f t="shared" ref="L14" si="14">H14-K14</f>
        <v>1840</v>
      </c>
      <c r="M14" s="43"/>
      <c r="N14" s="43">
        <f t="shared" ref="N14" si="15">L14-M14</f>
        <v>1840</v>
      </c>
      <c r="O14" s="43">
        <v>0</v>
      </c>
      <c r="P14" s="42">
        <v>0</v>
      </c>
      <c r="Q14" s="50">
        <f>106200/1840</f>
        <v>57.717391304347828</v>
      </c>
      <c r="R14" s="42">
        <f t="shared" ref="R14" si="16">L14*Q14</f>
        <v>106200</v>
      </c>
    </row>
    <row r="16" spans="1:21">
      <c r="A16" s="1" t="s">
        <v>3275</v>
      </c>
      <c r="B16" s="42" t="s">
        <v>3245</v>
      </c>
      <c r="C16" s="42" t="s">
        <v>1077</v>
      </c>
      <c r="D16" s="42" t="s">
        <v>16</v>
      </c>
      <c r="E16" s="47" t="s">
        <v>3247</v>
      </c>
      <c r="F16" s="47">
        <v>111</v>
      </c>
      <c r="G16" s="47"/>
      <c r="H16" s="47">
        <v>1830</v>
      </c>
      <c r="I16" s="47">
        <v>10</v>
      </c>
      <c r="J16" s="47"/>
      <c r="K16" s="43">
        <f t="shared" ref="K16" si="17">I16*J16</f>
        <v>0</v>
      </c>
      <c r="L16" s="43">
        <f t="shared" ref="L16" si="18">H16-K16</f>
        <v>1830</v>
      </c>
      <c r="M16" s="43"/>
      <c r="N16" s="43">
        <f t="shared" ref="N16" si="19">L16-M16</f>
        <v>1830</v>
      </c>
      <c r="O16" s="43">
        <v>0</v>
      </c>
      <c r="P16" s="42">
        <v>0</v>
      </c>
      <c r="Q16" s="50">
        <f>108040/1830</f>
        <v>59.038251366120221</v>
      </c>
      <c r="R16" s="42">
        <f t="shared" ref="R16" si="20">L16*Q16</f>
        <v>108040</v>
      </c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>
  <dimension ref="A5:U35"/>
  <sheetViews>
    <sheetView topLeftCell="A13" workbookViewId="0">
      <selection activeCell="B35" sqref="B35"/>
    </sheetView>
  </sheetViews>
  <sheetFormatPr defaultRowHeight="14.4"/>
  <cols>
    <col min="1" max="1" width="8.88671875" style="1"/>
    <col min="2" max="2" width="18.33203125" style="1" customWidth="1"/>
    <col min="3" max="3" width="8.88671875" style="1"/>
    <col min="4" max="4" width="5.5546875" style="1" customWidth="1"/>
    <col min="5" max="5" width="8.88671875" style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  <c r="U5" s="15" t="s">
        <v>128</v>
      </c>
    </row>
    <row r="6" spans="1:21">
      <c r="A6" s="7"/>
      <c r="B6" s="51"/>
      <c r="C6" s="51"/>
      <c r="D6" s="2"/>
      <c r="E6" s="2"/>
      <c r="F6" s="2"/>
      <c r="G6" s="2"/>
      <c r="H6" s="2"/>
      <c r="I6" s="2"/>
      <c r="J6" s="2"/>
      <c r="K6" s="5"/>
      <c r="L6" s="19"/>
      <c r="M6" s="5"/>
      <c r="N6" s="51"/>
      <c r="U6" s="17">
        <v>73</v>
      </c>
    </row>
    <row r="7" spans="1:21">
      <c r="A7" s="384" t="s">
        <v>355</v>
      </c>
      <c r="B7" s="42" t="s">
        <v>19</v>
      </c>
      <c r="C7" s="42" t="s">
        <v>360</v>
      </c>
      <c r="D7" s="42" t="s">
        <v>16</v>
      </c>
      <c r="E7" s="42" t="s">
        <v>361</v>
      </c>
      <c r="F7" s="42">
        <v>740</v>
      </c>
      <c r="G7" s="42"/>
      <c r="H7" s="42">
        <v>13000</v>
      </c>
      <c r="I7" s="42">
        <v>13</v>
      </c>
      <c r="J7" s="42"/>
      <c r="K7" s="42">
        <f t="shared" ref="K7:K10" si="0">I7*J7</f>
        <v>0</v>
      </c>
      <c r="L7" s="43">
        <f t="shared" ref="L7:L10" si="1">H7-K7</f>
        <v>13000</v>
      </c>
      <c r="M7" s="43">
        <f t="shared" ref="M7:M10" si="2">H7/1000*70</f>
        <v>910</v>
      </c>
      <c r="N7" s="42">
        <v>32000</v>
      </c>
      <c r="O7" s="42"/>
      <c r="P7" s="42">
        <f t="shared" ref="P7:P10" si="3">L7*O7</f>
        <v>0</v>
      </c>
    </row>
    <row r="8" spans="1:21">
      <c r="A8" s="384"/>
      <c r="B8" s="42" t="s">
        <v>19</v>
      </c>
      <c r="C8" s="42" t="s">
        <v>360</v>
      </c>
      <c r="D8" s="42" t="s">
        <v>16</v>
      </c>
      <c r="E8" s="42" t="s">
        <v>362</v>
      </c>
      <c r="F8" s="42">
        <v>714</v>
      </c>
      <c r="G8" s="42"/>
      <c r="H8" s="42">
        <v>13000</v>
      </c>
      <c r="I8" s="42">
        <v>13</v>
      </c>
      <c r="J8" s="42"/>
      <c r="K8" s="42">
        <f t="shared" si="0"/>
        <v>0</v>
      </c>
      <c r="L8" s="43">
        <f t="shared" si="1"/>
        <v>13000</v>
      </c>
      <c r="M8" s="43">
        <f t="shared" si="2"/>
        <v>910</v>
      </c>
      <c r="N8" s="42">
        <v>32000</v>
      </c>
      <c r="O8" s="42"/>
      <c r="P8" s="42">
        <f t="shared" si="3"/>
        <v>0</v>
      </c>
    </row>
    <row r="9" spans="1:21">
      <c r="A9" s="384" t="s">
        <v>363</v>
      </c>
      <c r="B9" s="42" t="s">
        <v>19</v>
      </c>
      <c r="C9" s="42" t="s">
        <v>360</v>
      </c>
      <c r="D9" s="42" t="s">
        <v>16</v>
      </c>
      <c r="E9" s="42" t="s">
        <v>365</v>
      </c>
      <c r="F9" s="42">
        <v>717</v>
      </c>
      <c r="G9" s="42"/>
      <c r="H9" s="42">
        <v>13000</v>
      </c>
      <c r="I9" s="42">
        <v>13</v>
      </c>
      <c r="J9" s="42"/>
      <c r="K9" s="42">
        <f t="shared" si="0"/>
        <v>0</v>
      </c>
      <c r="L9" s="43">
        <f t="shared" si="1"/>
        <v>13000</v>
      </c>
      <c r="M9" s="43">
        <f t="shared" si="2"/>
        <v>910</v>
      </c>
      <c r="N9" s="42">
        <v>32000</v>
      </c>
      <c r="O9" s="42"/>
      <c r="P9" s="42">
        <f t="shared" si="3"/>
        <v>0</v>
      </c>
    </row>
    <row r="10" spans="1:21">
      <c r="A10" s="384"/>
      <c r="B10" s="42" t="s">
        <v>19</v>
      </c>
      <c r="C10" s="42" t="s">
        <v>360</v>
      </c>
      <c r="D10" s="42" t="s">
        <v>16</v>
      </c>
      <c r="E10" s="42" t="s">
        <v>366</v>
      </c>
      <c r="F10" s="42">
        <v>719</v>
      </c>
      <c r="G10" s="42"/>
      <c r="H10" s="42">
        <v>13000</v>
      </c>
      <c r="I10" s="42">
        <v>13</v>
      </c>
      <c r="J10" s="42"/>
      <c r="K10" s="42">
        <f t="shared" si="0"/>
        <v>0</v>
      </c>
      <c r="L10" s="43">
        <f t="shared" si="1"/>
        <v>13000</v>
      </c>
      <c r="M10" s="43">
        <f t="shared" si="2"/>
        <v>910</v>
      </c>
      <c r="N10" s="42">
        <v>32000</v>
      </c>
      <c r="O10" s="42"/>
      <c r="P10" s="42">
        <f t="shared" si="3"/>
        <v>0</v>
      </c>
    </row>
    <row r="11" spans="1:21">
      <c r="A11" s="11"/>
      <c r="B11" s="2"/>
      <c r="C11" s="2"/>
      <c r="D11" s="2"/>
      <c r="E11" s="2"/>
      <c r="F11" s="2"/>
      <c r="G11" s="2"/>
      <c r="H11" s="2"/>
      <c r="I11" s="2"/>
      <c r="J11" s="2"/>
      <c r="K11" s="2"/>
      <c r="L11" s="5"/>
      <c r="M11" s="5"/>
      <c r="N11" s="2"/>
    </row>
    <row r="14" spans="1:21">
      <c r="A14" s="374" t="s">
        <v>804</v>
      </c>
      <c r="B14" s="42" t="s">
        <v>19</v>
      </c>
      <c r="C14" s="42" t="s">
        <v>360</v>
      </c>
      <c r="D14" s="42" t="s">
        <v>16</v>
      </c>
      <c r="E14" s="45" t="s">
        <v>807</v>
      </c>
      <c r="F14" s="42">
        <v>905</v>
      </c>
      <c r="G14" s="42"/>
      <c r="H14" s="42">
        <v>10000</v>
      </c>
      <c r="I14" s="42">
        <v>10</v>
      </c>
      <c r="J14" s="42"/>
      <c r="K14" s="43">
        <f t="shared" ref="K14:K21" si="4">I14*J14</f>
        <v>0</v>
      </c>
      <c r="L14" s="43">
        <f t="shared" ref="L14:L21" si="5">H14-K14</f>
        <v>10000</v>
      </c>
      <c r="M14" s="43"/>
      <c r="N14" s="43">
        <f t="shared" ref="N14:N21" si="6">L14-M14</f>
        <v>10000</v>
      </c>
      <c r="O14" s="43">
        <f t="shared" ref="O14:O21" si="7">H14/1000*70</f>
        <v>700</v>
      </c>
      <c r="P14" s="42">
        <v>20500</v>
      </c>
      <c r="Q14" s="42"/>
      <c r="R14" s="42">
        <f t="shared" ref="R14:R16" si="8">L14*Q14</f>
        <v>0</v>
      </c>
    </row>
    <row r="15" spans="1:21">
      <c r="A15" s="374"/>
      <c r="B15" s="42" t="s">
        <v>19</v>
      </c>
      <c r="C15" s="42" t="s">
        <v>360</v>
      </c>
      <c r="D15" s="42" t="s">
        <v>16</v>
      </c>
      <c r="E15" s="45" t="s">
        <v>808</v>
      </c>
      <c r="F15" s="42">
        <v>906</v>
      </c>
      <c r="G15" s="42"/>
      <c r="H15" s="42">
        <v>10000</v>
      </c>
      <c r="I15" s="42">
        <v>10</v>
      </c>
      <c r="J15" s="42"/>
      <c r="K15" s="43">
        <f t="shared" si="4"/>
        <v>0</v>
      </c>
      <c r="L15" s="43">
        <f t="shared" si="5"/>
        <v>10000</v>
      </c>
      <c r="M15" s="43"/>
      <c r="N15" s="43">
        <f t="shared" si="6"/>
        <v>10000</v>
      </c>
      <c r="O15" s="43">
        <f t="shared" si="7"/>
        <v>700</v>
      </c>
      <c r="P15" s="42">
        <v>20500</v>
      </c>
      <c r="Q15" s="42"/>
      <c r="R15" s="42">
        <f t="shared" si="8"/>
        <v>0</v>
      </c>
    </row>
    <row r="16" spans="1:21">
      <c r="A16" s="374"/>
      <c r="B16" s="42" t="s">
        <v>19</v>
      </c>
      <c r="C16" s="42" t="s">
        <v>360</v>
      </c>
      <c r="D16" s="42" t="s">
        <v>16</v>
      </c>
      <c r="E16" s="45" t="s">
        <v>809</v>
      </c>
      <c r="F16" s="47">
        <v>903</v>
      </c>
      <c r="G16" s="46"/>
      <c r="H16" s="47">
        <v>11000</v>
      </c>
      <c r="I16" s="47">
        <v>11</v>
      </c>
      <c r="J16" s="47"/>
      <c r="K16" s="43">
        <f t="shared" si="4"/>
        <v>0</v>
      </c>
      <c r="L16" s="43">
        <f t="shared" si="5"/>
        <v>11000</v>
      </c>
      <c r="M16" s="43"/>
      <c r="N16" s="43">
        <f t="shared" si="6"/>
        <v>11000</v>
      </c>
      <c r="O16" s="43">
        <f t="shared" si="7"/>
        <v>770</v>
      </c>
      <c r="P16" s="47">
        <v>22000</v>
      </c>
      <c r="Q16" s="47"/>
      <c r="R16" s="42">
        <f t="shared" si="8"/>
        <v>0</v>
      </c>
    </row>
    <row r="17" spans="1:18">
      <c r="A17" s="374" t="s">
        <v>811</v>
      </c>
      <c r="B17" s="42" t="s">
        <v>19</v>
      </c>
      <c r="C17" s="42" t="s">
        <v>360</v>
      </c>
      <c r="D17" s="42" t="s">
        <v>16</v>
      </c>
      <c r="E17" s="42" t="s">
        <v>815</v>
      </c>
      <c r="F17" s="42">
        <v>500</v>
      </c>
      <c r="G17" s="42"/>
      <c r="H17" s="42">
        <v>9000</v>
      </c>
      <c r="I17" s="42">
        <v>9</v>
      </c>
      <c r="J17" s="42"/>
      <c r="K17" s="43">
        <f t="shared" si="4"/>
        <v>0</v>
      </c>
      <c r="L17" s="43">
        <f t="shared" si="5"/>
        <v>9000</v>
      </c>
      <c r="M17" s="43"/>
      <c r="N17" s="43">
        <f t="shared" si="6"/>
        <v>9000</v>
      </c>
      <c r="O17" s="43">
        <f t="shared" si="7"/>
        <v>630</v>
      </c>
      <c r="P17" s="42">
        <v>20500</v>
      </c>
    </row>
    <row r="18" spans="1:18">
      <c r="A18" s="374"/>
      <c r="B18" s="42" t="s">
        <v>19</v>
      </c>
      <c r="C18" s="42" t="s">
        <v>360</v>
      </c>
      <c r="D18" s="42" t="s">
        <v>16</v>
      </c>
      <c r="E18" s="42" t="s">
        <v>816</v>
      </c>
      <c r="F18" s="42">
        <v>902</v>
      </c>
      <c r="G18" s="42"/>
      <c r="H18" s="42">
        <v>9000</v>
      </c>
      <c r="I18" s="42">
        <v>9</v>
      </c>
      <c r="J18" s="42"/>
      <c r="K18" s="42">
        <f t="shared" si="4"/>
        <v>0</v>
      </c>
      <c r="L18" s="43">
        <f t="shared" si="5"/>
        <v>9000</v>
      </c>
      <c r="M18" s="43"/>
      <c r="N18" s="43">
        <f t="shared" si="6"/>
        <v>9000</v>
      </c>
      <c r="O18" s="43">
        <f t="shared" si="7"/>
        <v>630</v>
      </c>
      <c r="P18" s="42">
        <v>20500</v>
      </c>
    </row>
    <row r="19" spans="1:18">
      <c r="A19" s="374"/>
      <c r="B19" s="42" t="s">
        <v>19</v>
      </c>
      <c r="C19" s="42" t="s">
        <v>360</v>
      </c>
      <c r="D19" s="42" t="s">
        <v>16</v>
      </c>
      <c r="E19" s="42" t="s">
        <v>817</v>
      </c>
      <c r="F19" s="42">
        <v>904</v>
      </c>
      <c r="G19" s="42"/>
      <c r="H19" s="42">
        <v>11000</v>
      </c>
      <c r="I19" s="42">
        <v>11</v>
      </c>
      <c r="J19" s="42"/>
      <c r="K19" s="43">
        <f t="shared" si="4"/>
        <v>0</v>
      </c>
      <c r="L19" s="43">
        <f t="shared" si="5"/>
        <v>11000</v>
      </c>
      <c r="M19" s="43"/>
      <c r="N19" s="43">
        <f t="shared" si="6"/>
        <v>11000</v>
      </c>
      <c r="O19" s="43">
        <f t="shared" si="7"/>
        <v>770</v>
      </c>
      <c r="P19" s="42">
        <v>22000</v>
      </c>
    </row>
    <row r="20" spans="1:18">
      <c r="A20" s="374"/>
      <c r="B20" s="42" t="s">
        <v>19</v>
      </c>
      <c r="C20" s="42" t="s">
        <v>360</v>
      </c>
      <c r="D20" s="42" t="s">
        <v>16</v>
      </c>
      <c r="E20" s="42" t="s">
        <v>818</v>
      </c>
      <c r="F20" s="42">
        <v>901</v>
      </c>
      <c r="G20" s="42"/>
      <c r="H20" s="42">
        <v>10000</v>
      </c>
      <c r="I20" s="42">
        <v>10</v>
      </c>
      <c r="J20" s="42"/>
      <c r="K20" s="43">
        <f t="shared" si="4"/>
        <v>0</v>
      </c>
      <c r="L20" s="43">
        <f t="shared" si="5"/>
        <v>10000</v>
      </c>
      <c r="M20" s="43"/>
      <c r="N20" s="43">
        <f t="shared" si="6"/>
        <v>10000</v>
      </c>
      <c r="O20" s="43">
        <f t="shared" si="7"/>
        <v>700</v>
      </c>
      <c r="P20" s="42">
        <v>20500</v>
      </c>
    </row>
    <row r="21" spans="1:18">
      <c r="A21" s="1" t="s">
        <v>819</v>
      </c>
      <c r="B21" s="42" t="s">
        <v>19</v>
      </c>
      <c r="C21" s="42" t="s">
        <v>360</v>
      </c>
      <c r="D21" s="42" t="s">
        <v>16</v>
      </c>
      <c r="E21" s="42" t="s">
        <v>820</v>
      </c>
      <c r="F21" s="42">
        <v>277</v>
      </c>
      <c r="G21" s="42"/>
      <c r="H21" s="42">
        <v>8000</v>
      </c>
      <c r="I21" s="42">
        <v>8</v>
      </c>
      <c r="J21" s="42"/>
      <c r="K21" s="43">
        <f t="shared" si="4"/>
        <v>0</v>
      </c>
      <c r="L21" s="43">
        <f t="shared" si="5"/>
        <v>8000</v>
      </c>
      <c r="M21" s="43"/>
      <c r="N21" s="43">
        <f t="shared" si="6"/>
        <v>8000</v>
      </c>
      <c r="O21" s="43">
        <f t="shared" si="7"/>
        <v>560</v>
      </c>
      <c r="P21" s="42">
        <v>20500</v>
      </c>
      <c r="Q21" s="42"/>
      <c r="R21" s="42">
        <f t="shared" ref="R21" si="9">L21*Q21</f>
        <v>0</v>
      </c>
    </row>
    <row r="23" spans="1:18">
      <c r="I23" s="1">
        <f>SUM(I14:I22)</f>
        <v>78</v>
      </c>
    </row>
    <row r="24" spans="1:18">
      <c r="A24" s="374" t="s">
        <v>1400</v>
      </c>
      <c r="B24" s="42" t="s">
        <v>19</v>
      </c>
      <c r="C24" s="42" t="s">
        <v>360</v>
      </c>
      <c r="D24" s="42" t="s">
        <v>16</v>
      </c>
      <c r="E24" s="42" t="s">
        <v>1402</v>
      </c>
      <c r="F24" s="42">
        <v>874</v>
      </c>
      <c r="G24" s="42"/>
      <c r="H24" s="42">
        <v>11000</v>
      </c>
      <c r="I24" s="42">
        <v>11</v>
      </c>
      <c r="J24" s="42"/>
      <c r="K24" s="42">
        <f t="shared" ref="K24:K33" si="10">I24*J24</f>
        <v>0</v>
      </c>
      <c r="L24" s="43">
        <f t="shared" ref="L24:L33" si="11">H24-K24</f>
        <v>11000</v>
      </c>
      <c r="M24" s="43"/>
      <c r="N24" s="43">
        <f t="shared" ref="N24:N33" si="12">L24-M24</f>
        <v>11000</v>
      </c>
      <c r="O24" s="43">
        <f t="shared" ref="O24:O33" si="13">H24/1000*70</f>
        <v>770</v>
      </c>
      <c r="P24" s="42">
        <v>29000</v>
      </c>
      <c r="Q24" s="42"/>
      <c r="R24" s="42">
        <f t="shared" ref="R24:R33" si="14">L24*Q24</f>
        <v>0</v>
      </c>
    </row>
    <row r="25" spans="1:18">
      <c r="A25" s="374"/>
      <c r="B25" s="42" t="s">
        <v>19</v>
      </c>
      <c r="C25" s="42" t="s">
        <v>360</v>
      </c>
      <c r="D25" s="42" t="s">
        <v>16</v>
      </c>
      <c r="E25" s="42" t="s">
        <v>1366</v>
      </c>
      <c r="F25" s="42">
        <v>875</v>
      </c>
      <c r="G25" s="42"/>
      <c r="H25" s="42">
        <v>11000</v>
      </c>
      <c r="I25" s="42">
        <v>11</v>
      </c>
      <c r="J25" s="42"/>
      <c r="K25" s="42">
        <f t="shared" si="10"/>
        <v>0</v>
      </c>
      <c r="L25" s="43">
        <f t="shared" si="11"/>
        <v>11000</v>
      </c>
      <c r="M25" s="43"/>
      <c r="N25" s="43">
        <f t="shared" si="12"/>
        <v>11000</v>
      </c>
      <c r="O25" s="43">
        <f t="shared" si="13"/>
        <v>770</v>
      </c>
      <c r="P25" s="42">
        <v>29000</v>
      </c>
      <c r="Q25" s="42"/>
      <c r="R25" s="42">
        <f t="shared" si="14"/>
        <v>0</v>
      </c>
    </row>
    <row r="26" spans="1:18">
      <c r="A26" s="374"/>
      <c r="B26" s="42" t="s">
        <v>19</v>
      </c>
      <c r="C26" s="42" t="s">
        <v>360</v>
      </c>
      <c r="D26" s="42" t="s">
        <v>16</v>
      </c>
      <c r="E26" s="42" t="s">
        <v>1403</v>
      </c>
      <c r="F26" s="42">
        <v>883</v>
      </c>
      <c r="G26" s="42"/>
      <c r="H26" s="42">
        <v>11000</v>
      </c>
      <c r="I26" s="42">
        <v>11</v>
      </c>
      <c r="J26" s="42"/>
      <c r="K26" s="42">
        <f t="shared" si="10"/>
        <v>0</v>
      </c>
      <c r="L26" s="43">
        <f t="shared" si="11"/>
        <v>11000</v>
      </c>
      <c r="M26" s="43"/>
      <c r="N26" s="43">
        <f t="shared" si="12"/>
        <v>11000</v>
      </c>
      <c r="O26" s="43">
        <f t="shared" si="13"/>
        <v>770</v>
      </c>
      <c r="P26" s="42">
        <v>29000</v>
      </c>
      <c r="Q26" s="42"/>
      <c r="R26" s="42">
        <f t="shared" si="14"/>
        <v>0</v>
      </c>
    </row>
    <row r="27" spans="1:18">
      <c r="A27" s="374" t="s">
        <v>1404</v>
      </c>
      <c r="B27" s="42" t="s">
        <v>19</v>
      </c>
      <c r="C27" s="42" t="s">
        <v>360</v>
      </c>
      <c r="D27" s="42" t="s">
        <v>16</v>
      </c>
      <c r="E27" s="42" t="s">
        <v>1408</v>
      </c>
      <c r="F27" s="42">
        <v>1579</v>
      </c>
      <c r="G27" s="42"/>
      <c r="H27" s="42">
        <v>10000</v>
      </c>
      <c r="I27" s="42">
        <v>10</v>
      </c>
      <c r="J27" s="42"/>
      <c r="K27" s="42">
        <f t="shared" si="10"/>
        <v>0</v>
      </c>
      <c r="L27" s="43">
        <f t="shared" si="11"/>
        <v>10000</v>
      </c>
      <c r="M27" s="43"/>
      <c r="N27" s="43">
        <f t="shared" si="12"/>
        <v>10000</v>
      </c>
      <c r="O27" s="43">
        <f t="shared" si="13"/>
        <v>700</v>
      </c>
      <c r="P27" s="42">
        <v>28500</v>
      </c>
      <c r="Q27" s="42"/>
      <c r="R27" s="42">
        <f t="shared" si="14"/>
        <v>0</v>
      </c>
    </row>
    <row r="28" spans="1:18">
      <c r="A28" s="374"/>
      <c r="B28" s="42" t="s">
        <v>19</v>
      </c>
      <c r="C28" s="42" t="s">
        <v>360</v>
      </c>
      <c r="D28" s="42" t="s">
        <v>16</v>
      </c>
      <c r="E28" s="42" t="s">
        <v>1409</v>
      </c>
      <c r="F28" s="42">
        <v>1578</v>
      </c>
      <c r="G28" s="42"/>
      <c r="H28" s="42">
        <v>11000</v>
      </c>
      <c r="I28" s="42">
        <v>11</v>
      </c>
      <c r="J28" s="42"/>
      <c r="K28" s="42">
        <f t="shared" si="10"/>
        <v>0</v>
      </c>
      <c r="L28" s="43">
        <f t="shared" si="11"/>
        <v>11000</v>
      </c>
      <c r="M28" s="43"/>
      <c r="N28" s="43">
        <f t="shared" si="12"/>
        <v>11000</v>
      </c>
      <c r="O28" s="43">
        <f t="shared" si="13"/>
        <v>770</v>
      </c>
      <c r="P28" s="42">
        <v>29000</v>
      </c>
      <c r="Q28" s="42"/>
      <c r="R28" s="42">
        <f t="shared" si="14"/>
        <v>0</v>
      </c>
    </row>
    <row r="29" spans="1:18">
      <c r="A29" s="374"/>
      <c r="B29" s="42" t="s">
        <v>19</v>
      </c>
      <c r="C29" s="42" t="s">
        <v>360</v>
      </c>
      <c r="D29" s="42" t="s">
        <v>16</v>
      </c>
      <c r="E29" s="42" t="s">
        <v>1410</v>
      </c>
      <c r="F29" s="42">
        <v>1582</v>
      </c>
      <c r="G29" s="42"/>
      <c r="H29" s="42">
        <v>10000</v>
      </c>
      <c r="I29" s="42">
        <v>10</v>
      </c>
      <c r="J29" s="42"/>
      <c r="K29" s="42">
        <f t="shared" si="10"/>
        <v>0</v>
      </c>
      <c r="L29" s="43">
        <f t="shared" si="11"/>
        <v>10000</v>
      </c>
      <c r="M29" s="43"/>
      <c r="N29" s="43">
        <f t="shared" si="12"/>
        <v>10000</v>
      </c>
      <c r="O29" s="43">
        <f t="shared" si="13"/>
        <v>700</v>
      </c>
      <c r="P29" s="42">
        <v>28500</v>
      </c>
      <c r="Q29" s="42"/>
      <c r="R29" s="42">
        <f t="shared" si="14"/>
        <v>0</v>
      </c>
    </row>
    <row r="30" spans="1:18">
      <c r="A30" s="374"/>
      <c r="B30" s="42" t="s">
        <v>19</v>
      </c>
      <c r="C30" s="42" t="s">
        <v>360</v>
      </c>
      <c r="D30" s="42" t="s">
        <v>16</v>
      </c>
      <c r="E30" s="42" t="s">
        <v>1411</v>
      </c>
      <c r="F30" s="42">
        <v>1580</v>
      </c>
      <c r="G30" s="42"/>
      <c r="H30" s="42">
        <v>10000</v>
      </c>
      <c r="I30" s="42">
        <v>10</v>
      </c>
      <c r="J30" s="42"/>
      <c r="K30" s="42">
        <f t="shared" si="10"/>
        <v>0</v>
      </c>
      <c r="L30" s="43">
        <f t="shared" si="11"/>
        <v>10000</v>
      </c>
      <c r="M30" s="43"/>
      <c r="N30" s="43">
        <f t="shared" si="12"/>
        <v>10000</v>
      </c>
      <c r="O30" s="43">
        <f t="shared" si="13"/>
        <v>700</v>
      </c>
      <c r="P30" s="42">
        <v>28500</v>
      </c>
      <c r="Q30" s="42"/>
      <c r="R30" s="42">
        <f t="shared" si="14"/>
        <v>0</v>
      </c>
    </row>
    <row r="31" spans="1:18">
      <c r="A31" s="374"/>
      <c r="B31" s="42" t="s">
        <v>19</v>
      </c>
      <c r="C31" s="42" t="s">
        <v>360</v>
      </c>
      <c r="D31" s="42" t="s">
        <v>16</v>
      </c>
      <c r="E31" s="42" t="s">
        <v>1412</v>
      </c>
      <c r="F31" s="42">
        <v>1594</v>
      </c>
      <c r="G31" s="42"/>
      <c r="H31" s="42">
        <v>10000</v>
      </c>
      <c r="I31" s="42">
        <v>10</v>
      </c>
      <c r="J31" s="42"/>
      <c r="K31" s="42">
        <f t="shared" si="10"/>
        <v>0</v>
      </c>
      <c r="L31" s="43">
        <f t="shared" si="11"/>
        <v>10000</v>
      </c>
      <c r="M31" s="43"/>
      <c r="N31" s="43">
        <f t="shared" si="12"/>
        <v>10000</v>
      </c>
      <c r="O31" s="43">
        <f t="shared" si="13"/>
        <v>700</v>
      </c>
      <c r="P31" s="42">
        <v>28500</v>
      </c>
      <c r="Q31" s="42"/>
      <c r="R31" s="42">
        <f t="shared" si="14"/>
        <v>0</v>
      </c>
    </row>
    <row r="32" spans="1:18">
      <c r="A32" s="374"/>
      <c r="B32" s="42" t="s">
        <v>19</v>
      </c>
      <c r="C32" s="42" t="s">
        <v>360</v>
      </c>
      <c r="D32" s="42" t="s">
        <v>16</v>
      </c>
      <c r="E32" s="42" t="s">
        <v>1413</v>
      </c>
      <c r="F32" s="42">
        <v>1583</v>
      </c>
      <c r="G32" s="42"/>
      <c r="H32" s="42">
        <v>10000</v>
      </c>
      <c r="I32" s="42">
        <v>10</v>
      </c>
      <c r="J32" s="42"/>
      <c r="K32" s="42">
        <f t="shared" si="10"/>
        <v>0</v>
      </c>
      <c r="L32" s="43">
        <f t="shared" si="11"/>
        <v>10000</v>
      </c>
      <c r="M32" s="43"/>
      <c r="N32" s="43">
        <f t="shared" si="12"/>
        <v>10000</v>
      </c>
      <c r="O32" s="43">
        <f t="shared" si="13"/>
        <v>700</v>
      </c>
      <c r="P32" s="42">
        <v>28500</v>
      </c>
      <c r="Q32" s="42"/>
      <c r="R32" s="42">
        <f t="shared" si="14"/>
        <v>0</v>
      </c>
    </row>
    <row r="33" spans="1:19">
      <c r="A33" s="1" t="s">
        <v>1414</v>
      </c>
      <c r="B33" s="42" t="s">
        <v>19</v>
      </c>
      <c r="C33" s="42" t="s">
        <v>360</v>
      </c>
      <c r="D33" s="42" t="s">
        <v>16</v>
      </c>
      <c r="E33" s="42" t="s">
        <v>1416</v>
      </c>
      <c r="F33" s="42">
        <v>1581</v>
      </c>
      <c r="G33" s="42"/>
      <c r="H33" s="42">
        <v>10000</v>
      </c>
      <c r="I33" s="42">
        <v>10</v>
      </c>
      <c r="J33" s="42"/>
      <c r="K33" s="42">
        <f t="shared" si="10"/>
        <v>0</v>
      </c>
      <c r="L33" s="43">
        <f t="shared" si="11"/>
        <v>10000</v>
      </c>
      <c r="M33" s="43"/>
      <c r="N33" s="43">
        <f t="shared" si="12"/>
        <v>10000</v>
      </c>
      <c r="O33" s="43">
        <f t="shared" si="13"/>
        <v>700</v>
      </c>
      <c r="P33" s="42">
        <v>28500</v>
      </c>
      <c r="Q33" s="42"/>
      <c r="R33" s="42">
        <f t="shared" si="14"/>
        <v>0</v>
      </c>
      <c r="S33" s="42"/>
    </row>
    <row r="35" spans="1:19">
      <c r="I35" s="1">
        <f>SUM(I24:I34)</f>
        <v>104</v>
      </c>
      <c r="P35" s="1">
        <f>SUM(P24:P34)</f>
        <v>287000</v>
      </c>
    </row>
  </sheetData>
  <mergeCells count="6">
    <mergeCell ref="A27:A32"/>
    <mergeCell ref="A7:A8"/>
    <mergeCell ref="A9:A10"/>
    <mergeCell ref="A14:A16"/>
    <mergeCell ref="A17:A20"/>
    <mergeCell ref="A24:A26"/>
  </mergeCells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>
  <dimension ref="A5:T48"/>
  <sheetViews>
    <sheetView topLeftCell="A34" workbookViewId="0">
      <selection activeCell="A49" sqref="A49"/>
    </sheetView>
  </sheetViews>
  <sheetFormatPr defaultRowHeight="14.4"/>
  <cols>
    <col min="1" max="1" width="8.88671875" style="1"/>
    <col min="2" max="2" width="18.109375" style="1" customWidth="1"/>
    <col min="3" max="3" width="13.109375" style="1" customWidth="1"/>
    <col min="4" max="4" width="5.5546875" style="1" customWidth="1"/>
    <col min="5" max="5" width="8.88671875" style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0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0">
      <c r="A6" s="7" t="s">
        <v>210</v>
      </c>
      <c r="B6" s="2" t="s">
        <v>215</v>
      </c>
      <c r="C6" s="2" t="s">
        <v>15</v>
      </c>
      <c r="D6" s="2" t="s">
        <v>16</v>
      </c>
      <c r="E6" s="2" t="s">
        <v>216</v>
      </c>
      <c r="F6" s="2">
        <v>629</v>
      </c>
      <c r="G6" s="2"/>
      <c r="H6" s="2">
        <v>1950</v>
      </c>
      <c r="I6" s="2">
        <v>10</v>
      </c>
      <c r="J6" s="2">
        <v>10</v>
      </c>
      <c r="K6" s="5">
        <f t="shared" ref="K6" si="0">I6*J6</f>
        <v>100</v>
      </c>
      <c r="L6" s="19">
        <f t="shared" ref="L6" si="1">H6-K6</f>
        <v>1850</v>
      </c>
      <c r="M6" s="5">
        <f t="shared" ref="M6" si="2">H6/1000*70</f>
        <v>136.5</v>
      </c>
      <c r="N6" s="2">
        <v>0</v>
      </c>
    </row>
    <row r="7" spans="1:20">
      <c r="A7" s="8"/>
      <c r="B7" s="2"/>
      <c r="C7" s="2"/>
      <c r="D7" s="2"/>
      <c r="E7" s="2"/>
      <c r="F7" s="2"/>
      <c r="G7" s="2"/>
      <c r="H7" s="2"/>
      <c r="I7" s="2"/>
      <c r="J7" s="2"/>
      <c r="K7" s="2"/>
      <c r="L7" s="5"/>
      <c r="M7" s="5"/>
      <c r="N7" s="2"/>
    </row>
    <row r="8" spans="1:20">
      <c r="A8" s="8" t="s">
        <v>319</v>
      </c>
      <c r="B8" s="42" t="s">
        <v>215</v>
      </c>
      <c r="C8" s="42" t="s">
        <v>15</v>
      </c>
      <c r="D8" s="42" t="s">
        <v>16</v>
      </c>
      <c r="E8" s="42" t="s">
        <v>322</v>
      </c>
      <c r="F8" s="42">
        <v>642</v>
      </c>
      <c r="G8" s="42"/>
      <c r="H8" s="42">
        <v>1480</v>
      </c>
      <c r="I8" s="42">
        <v>8</v>
      </c>
      <c r="J8" s="42"/>
      <c r="K8" s="42">
        <f t="shared" ref="K8" si="3">I8*J8</f>
        <v>0</v>
      </c>
      <c r="L8" s="43">
        <f t="shared" ref="L8" si="4">H8-K8</f>
        <v>1480</v>
      </c>
      <c r="M8" s="43">
        <f t="shared" ref="M8" si="5">H8/1000*70</f>
        <v>103.6</v>
      </c>
      <c r="N8" s="42">
        <v>0</v>
      </c>
      <c r="O8" s="42"/>
      <c r="P8" s="42">
        <f t="shared" ref="P8" si="6">L8*O8</f>
        <v>0</v>
      </c>
    </row>
    <row r="9" spans="1:20">
      <c r="A9" s="9"/>
      <c r="B9" s="2"/>
      <c r="C9" s="2"/>
      <c r="D9" s="2"/>
      <c r="E9" s="2"/>
      <c r="F9" s="2"/>
      <c r="G9" s="2"/>
      <c r="H9" s="2"/>
      <c r="I9" s="2"/>
      <c r="J9" s="2"/>
      <c r="K9" s="2"/>
      <c r="L9" s="5"/>
      <c r="M9" s="5"/>
      <c r="N9" s="2"/>
    </row>
    <row r="10" spans="1:20">
      <c r="A10" s="10" t="s">
        <v>317</v>
      </c>
      <c r="B10" s="42" t="s">
        <v>215</v>
      </c>
      <c r="C10" s="42" t="s">
        <v>15</v>
      </c>
      <c r="D10" s="42" t="s">
        <v>16</v>
      </c>
      <c r="E10" s="42" t="s">
        <v>324</v>
      </c>
      <c r="F10" s="42">
        <v>645</v>
      </c>
      <c r="G10" s="42"/>
      <c r="H10" s="42">
        <v>1480</v>
      </c>
      <c r="I10" s="42">
        <v>8</v>
      </c>
      <c r="J10" s="42"/>
      <c r="K10" s="42">
        <f t="shared" ref="K10" si="7">I10*J10</f>
        <v>0</v>
      </c>
      <c r="L10" s="43">
        <f t="shared" ref="L10" si="8">H10-K10</f>
        <v>1480</v>
      </c>
      <c r="M10" s="43">
        <f t="shared" ref="M10" si="9">H10/1000*70</f>
        <v>103.6</v>
      </c>
      <c r="N10" s="42">
        <v>0</v>
      </c>
    </row>
    <row r="11" spans="1:20">
      <c r="A11" s="11"/>
      <c r="B11" s="2"/>
      <c r="C11" s="2"/>
      <c r="D11" s="2"/>
      <c r="E11" s="2"/>
      <c r="F11" s="2"/>
      <c r="G11" s="2"/>
      <c r="H11" s="2"/>
      <c r="I11" s="2"/>
      <c r="J11" s="2"/>
      <c r="K11" s="2"/>
      <c r="L11" s="5"/>
      <c r="M11" s="5"/>
      <c r="N11" s="2"/>
    </row>
    <row r="12" spans="1:20">
      <c r="A12" s="1" t="s">
        <v>334</v>
      </c>
      <c r="B12" s="42" t="s">
        <v>215</v>
      </c>
      <c r="C12" s="42" t="s">
        <v>15</v>
      </c>
      <c r="D12" s="42" t="s">
        <v>16</v>
      </c>
      <c r="E12" s="42" t="s">
        <v>337</v>
      </c>
      <c r="F12" s="42">
        <v>651</v>
      </c>
      <c r="G12" s="42"/>
      <c r="H12" s="42">
        <v>1490</v>
      </c>
      <c r="I12" s="42">
        <v>8</v>
      </c>
      <c r="J12" s="42"/>
      <c r="K12" s="42">
        <f t="shared" ref="K12" si="10">I12*J12</f>
        <v>0</v>
      </c>
      <c r="L12" s="43">
        <f t="shared" ref="L12" si="11">H12-K12</f>
        <v>1490</v>
      </c>
      <c r="M12" s="43">
        <f t="shared" ref="M12" si="12">H12/1000*70</f>
        <v>104.3</v>
      </c>
      <c r="N12" s="42">
        <v>0</v>
      </c>
      <c r="O12" s="50">
        <f>106300/1490</f>
        <v>71.34228187919463</v>
      </c>
      <c r="P12" s="42">
        <f t="shared" ref="P12" si="13">L12*O12</f>
        <v>106300</v>
      </c>
    </row>
    <row r="14" spans="1:20">
      <c r="A14" s="374" t="s">
        <v>801</v>
      </c>
      <c r="B14" s="42" t="s">
        <v>786</v>
      </c>
      <c r="C14" s="42" t="s">
        <v>787</v>
      </c>
      <c r="D14" s="42" t="s">
        <v>16</v>
      </c>
      <c r="E14" s="42" t="s">
        <v>802</v>
      </c>
      <c r="F14" s="42"/>
      <c r="G14" s="42"/>
      <c r="H14" s="42">
        <v>1460</v>
      </c>
      <c r="I14" s="42">
        <v>8</v>
      </c>
      <c r="J14" s="42"/>
      <c r="K14" s="43">
        <f t="shared" ref="K14:K15" si="14">I14*J14</f>
        <v>0</v>
      </c>
      <c r="L14" s="43">
        <f t="shared" ref="L14:L15" si="15">H14-K14</f>
        <v>1460</v>
      </c>
      <c r="M14" s="43"/>
      <c r="N14" s="43">
        <f t="shared" ref="N14:N15" si="16">L14-M14</f>
        <v>1460</v>
      </c>
      <c r="O14" s="43">
        <f t="shared" ref="O14:O15" si="17">H14/1000*70</f>
        <v>102.2</v>
      </c>
      <c r="P14" s="42">
        <v>0</v>
      </c>
      <c r="Q14" s="42"/>
    </row>
    <row r="15" spans="1:20">
      <c r="A15" s="374"/>
      <c r="B15" s="42" t="s">
        <v>215</v>
      </c>
      <c r="C15" s="42" t="s">
        <v>787</v>
      </c>
      <c r="D15" s="42" t="s">
        <v>16</v>
      </c>
      <c r="E15" s="42" t="s">
        <v>803</v>
      </c>
      <c r="F15" s="42">
        <v>932</v>
      </c>
      <c r="G15" s="42"/>
      <c r="H15" s="42">
        <v>1470</v>
      </c>
      <c r="I15" s="42">
        <v>8</v>
      </c>
      <c r="J15" s="42"/>
      <c r="K15" s="43">
        <f t="shared" si="14"/>
        <v>0</v>
      </c>
      <c r="L15" s="43">
        <f t="shared" si="15"/>
        <v>1470</v>
      </c>
      <c r="M15" s="43"/>
      <c r="N15" s="43">
        <f t="shared" si="16"/>
        <v>1470</v>
      </c>
      <c r="O15" s="43">
        <f t="shared" si="17"/>
        <v>102.89999999999999</v>
      </c>
      <c r="P15" s="42">
        <v>0</v>
      </c>
      <c r="Q15" s="42"/>
    </row>
    <row r="17" spans="1:19">
      <c r="A17" s="1" t="s">
        <v>1071</v>
      </c>
      <c r="B17" s="92" t="s">
        <v>1076</v>
      </c>
      <c r="C17" s="92" t="s">
        <v>1077</v>
      </c>
      <c r="D17" s="42" t="s">
        <v>16</v>
      </c>
      <c r="E17" s="42" t="s">
        <v>1078</v>
      </c>
      <c r="F17" s="42">
        <v>946</v>
      </c>
      <c r="G17" s="42"/>
      <c r="H17" s="42">
        <v>1840</v>
      </c>
      <c r="I17" s="42">
        <v>10</v>
      </c>
      <c r="J17" s="42"/>
      <c r="K17" s="42">
        <f t="shared" ref="K17" si="18">I17*J17</f>
        <v>0</v>
      </c>
      <c r="L17" s="43">
        <f t="shared" ref="L17" si="19">H17-K17</f>
        <v>1840</v>
      </c>
      <c r="M17" s="43"/>
      <c r="N17" s="43">
        <f t="shared" ref="N17" si="20">L17-M17</f>
        <v>1840</v>
      </c>
      <c r="O17" s="43">
        <f t="shared" ref="O17" si="21">H17/1000*70</f>
        <v>128.80000000000001</v>
      </c>
      <c r="P17" s="42"/>
      <c r="Q17" s="50">
        <f>160800/1840</f>
        <v>87.391304347826093</v>
      </c>
      <c r="R17" s="42">
        <f t="shared" ref="R17" si="22">L17*Q17</f>
        <v>160800</v>
      </c>
    </row>
    <row r="19" spans="1:19">
      <c r="A19" s="1" t="s">
        <v>1086</v>
      </c>
      <c r="B19" s="92" t="s">
        <v>1076</v>
      </c>
      <c r="C19" s="92" t="s">
        <v>1087</v>
      </c>
      <c r="D19" s="42" t="s">
        <v>16</v>
      </c>
      <c r="E19" s="42" t="s">
        <v>1088</v>
      </c>
      <c r="F19" s="42">
        <v>948</v>
      </c>
      <c r="G19" s="42"/>
      <c r="H19" s="42">
        <v>1850</v>
      </c>
      <c r="I19" s="42">
        <v>10</v>
      </c>
      <c r="J19" s="42"/>
      <c r="K19" s="42">
        <f t="shared" ref="K19:K20" si="23">I19*J19</f>
        <v>0</v>
      </c>
      <c r="L19" s="43">
        <f t="shared" ref="L19:L20" si="24">H19-K19</f>
        <v>1850</v>
      </c>
      <c r="M19" s="43"/>
      <c r="N19" s="43">
        <f t="shared" ref="N19:N20" si="25">L19-M19</f>
        <v>1850</v>
      </c>
      <c r="O19" s="43">
        <f t="shared" ref="O19:O20" si="26">H19/1000*70</f>
        <v>129.5</v>
      </c>
      <c r="P19" s="42">
        <v>0</v>
      </c>
      <c r="Q19" s="50">
        <f>139600/1850</f>
        <v>75.459459459459453</v>
      </c>
      <c r="R19" s="42">
        <f t="shared" ref="R19:R20" si="27">L19*Q19</f>
        <v>139600</v>
      </c>
      <c r="S19" s="115" t="s">
        <v>1089</v>
      </c>
    </row>
    <row r="20" spans="1:19">
      <c r="A20" s="1" t="s">
        <v>1092</v>
      </c>
      <c r="B20" s="92" t="s">
        <v>1076</v>
      </c>
      <c r="C20" s="92" t="s">
        <v>1095</v>
      </c>
      <c r="D20" s="42" t="s">
        <v>16</v>
      </c>
      <c r="E20" s="42" t="s">
        <v>1096</v>
      </c>
      <c r="F20" s="42">
        <v>441</v>
      </c>
      <c r="G20" s="42"/>
      <c r="H20" s="42">
        <v>1840</v>
      </c>
      <c r="I20" s="42">
        <v>10</v>
      </c>
      <c r="J20" s="42"/>
      <c r="K20" s="42">
        <f t="shared" si="23"/>
        <v>0</v>
      </c>
      <c r="L20" s="43">
        <f t="shared" si="24"/>
        <v>1840</v>
      </c>
      <c r="M20" s="43"/>
      <c r="N20" s="43">
        <f t="shared" si="25"/>
        <v>1840</v>
      </c>
      <c r="O20" s="43">
        <f t="shared" si="26"/>
        <v>128.80000000000001</v>
      </c>
      <c r="P20" s="42">
        <v>0</v>
      </c>
      <c r="Q20" s="50">
        <f>163500/1840</f>
        <v>88.858695652173907</v>
      </c>
      <c r="R20" s="42">
        <f t="shared" si="27"/>
        <v>163500</v>
      </c>
    </row>
    <row r="22" spans="1:19">
      <c r="A22" s="21" t="s">
        <v>1312</v>
      </c>
      <c r="B22" s="42" t="s">
        <v>1313</v>
      </c>
      <c r="C22" s="42" t="s">
        <v>1314</v>
      </c>
      <c r="D22" s="42" t="s">
        <v>16</v>
      </c>
      <c r="E22" s="42" t="s">
        <v>1315</v>
      </c>
      <c r="F22" s="42">
        <v>474</v>
      </c>
      <c r="G22" s="42"/>
      <c r="H22" s="42">
        <v>1850</v>
      </c>
      <c r="I22" s="42">
        <v>10</v>
      </c>
      <c r="J22" s="42"/>
      <c r="K22" s="42">
        <f t="shared" ref="K22" si="28">I22*J22</f>
        <v>0</v>
      </c>
      <c r="L22" s="43">
        <f t="shared" ref="L22" si="29">H22-K22</f>
        <v>1850</v>
      </c>
      <c r="M22" s="43"/>
      <c r="N22" s="43">
        <f t="shared" ref="N22" si="30">L22-M22</f>
        <v>1850</v>
      </c>
      <c r="O22" s="43">
        <f t="shared" ref="O22" si="31">H22/1000*70</f>
        <v>129.5</v>
      </c>
      <c r="P22" s="42">
        <v>0</v>
      </c>
      <c r="Q22" s="50">
        <f>160800/1850</f>
        <v>86.918918918918919</v>
      </c>
      <c r="R22" s="42">
        <f t="shared" ref="R22" si="32">L22*Q22</f>
        <v>160800</v>
      </c>
    </row>
    <row r="24" spans="1:19">
      <c r="A24" s="21" t="s">
        <v>1326</v>
      </c>
      <c r="B24" s="42" t="s">
        <v>1313</v>
      </c>
      <c r="C24" s="42" t="s">
        <v>1314</v>
      </c>
      <c r="D24" s="42" t="s">
        <v>16</v>
      </c>
      <c r="E24" s="42" t="s">
        <v>555</v>
      </c>
      <c r="F24" s="42">
        <v>482</v>
      </c>
      <c r="G24" s="42"/>
      <c r="H24" s="42">
        <v>1830</v>
      </c>
      <c r="I24" s="42">
        <v>10</v>
      </c>
      <c r="J24" s="42"/>
      <c r="K24" s="42">
        <f t="shared" ref="K24" si="33">I24*J24</f>
        <v>0</v>
      </c>
      <c r="L24" s="43">
        <f t="shared" ref="L24" si="34">H24-K24</f>
        <v>1830</v>
      </c>
      <c r="M24" s="43"/>
      <c r="N24" s="43">
        <f t="shared" ref="N24" si="35">L24-M24</f>
        <v>1830</v>
      </c>
      <c r="O24" s="43">
        <f t="shared" ref="O24" si="36">H24/1000*70</f>
        <v>128.1</v>
      </c>
      <c r="P24" s="42">
        <v>0</v>
      </c>
      <c r="Q24" s="50">
        <f>160300/1830</f>
        <v>87.595628415300553</v>
      </c>
      <c r="R24" s="42">
        <f t="shared" ref="R24" si="37">L24*Q24</f>
        <v>160300</v>
      </c>
    </row>
    <row r="26" spans="1:19">
      <c r="A26" s="1" t="s">
        <v>1330</v>
      </c>
      <c r="B26" s="42" t="s">
        <v>1313</v>
      </c>
      <c r="C26" s="42" t="s">
        <v>1314</v>
      </c>
      <c r="D26" s="42" t="s">
        <v>16</v>
      </c>
      <c r="E26" s="42" t="s">
        <v>917</v>
      </c>
      <c r="F26" s="42">
        <v>483</v>
      </c>
      <c r="G26" s="42"/>
      <c r="H26" s="42">
        <v>920</v>
      </c>
      <c r="I26" s="42">
        <v>5</v>
      </c>
      <c r="J26" s="42"/>
      <c r="K26" s="42">
        <f t="shared" ref="K26" si="38">I26*J26</f>
        <v>0</v>
      </c>
      <c r="L26" s="43">
        <f t="shared" ref="L26" si="39">H26-K26</f>
        <v>920</v>
      </c>
      <c r="M26" s="43"/>
      <c r="N26" s="43">
        <f t="shared" ref="N26" si="40">L26-M26</f>
        <v>920</v>
      </c>
      <c r="O26" s="43">
        <f t="shared" ref="O26" si="41">H26/1000*70</f>
        <v>64.400000000000006</v>
      </c>
      <c r="P26" s="42">
        <v>0</v>
      </c>
      <c r="Q26" s="50">
        <f>80600/920</f>
        <v>87.608695652173907</v>
      </c>
      <c r="R26" s="42">
        <f t="shared" ref="R26" si="42">L26*Q26</f>
        <v>80600</v>
      </c>
    </row>
    <row r="28" spans="1:19">
      <c r="A28" s="1" t="s">
        <v>1358</v>
      </c>
      <c r="B28" s="42" t="s">
        <v>1313</v>
      </c>
      <c r="C28" s="42" t="s">
        <v>1361</v>
      </c>
      <c r="D28" s="42" t="s">
        <v>16</v>
      </c>
      <c r="E28" s="42" t="s">
        <v>1078</v>
      </c>
      <c r="F28" s="42">
        <v>486</v>
      </c>
      <c r="G28" s="42"/>
      <c r="H28" s="42">
        <v>1850</v>
      </c>
      <c r="I28" s="42">
        <v>10</v>
      </c>
      <c r="J28" s="42"/>
      <c r="K28" s="42">
        <f t="shared" ref="K28" si="43">I28*J28</f>
        <v>0</v>
      </c>
      <c r="L28" s="43">
        <f t="shared" ref="L28" si="44">H28-K28</f>
        <v>1850</v>
      </c>
      <c r="M28" s="43"/>
      <c r="N28" s="43">
        <f t="shared" ref="N28" si="45">L28-M28</f>
        <v>1850</v>
      </c>
      <c r="O28" s="43">
        <f t="shared" ref="O28" si="46">H28/1000*70</f>
        <v>129.5</v>
      </c>
      <c r="P28" s="42">
        <v>0</v>
      </c>
      <c r="Q28" s="50">
        <f>135300/1850</f>
        <v>73.13513513513513</v>
      </c>
      <c r="R28" s="42">
        <f t="shared" ref="R28" si="47">L28*Q28</f>
        <v>135300</v>
      </c>
    </row>
    <row r="30" spans="1:19">
      <c r="A30" s="1" t="s">
        <v>1372</v>
      </c>
      <c r="B30" s="42" t="s">
        <v>1313</v>
      </c>
      <c r="C30" s="42" t="s">
        <v>1314</v>
      </c>
      <c r="D30" s="42" t="s">
        <v>16</v>
      </c>
      <c r="E30" s="42"/>
      <c r="F30" s="42"/>
      <c r="G30" s="42"/>
      <c r="H30" s="42">
        <v>2740</v>
      </c>
      <c r="I30" s="42">
        <v>15</v>
      </c>
      <c r="J30" s="42"/>
      <c r="K30" s="42">
        <f t="shared" ref="K30" si="48">I30*J30</f>
        <v>0</v>
      </c>
      <c r="L30" s="43">
        <f t="shared" ref="L30" si="49">H30-K30</f>
        <v>2740</v>
      </c>
      <c r="M30" s="43"/>
      <c r="N30" s="43">
        <f t="shared" ref="N30" si="50">L30-M30</f>
        <v>2740</v>
      </c>
      <c r="O30" s="43">
        <f t="shared" ref="O30" si="51">H30/1000*70</f>
        <v>191.8</v>
      </c>
      <c r="P30" s="42"/>
      <c r="Q30" s="42"/>
      <c r="R30" s="42">
        <f t="shared" ref="R30" si="52">L30*Q30</f>
        <v>0</v>
      </c>
    </row>
    <row r="32" spans="1:19">
      <c r="A32" s="1" t="s">
        <v>1431</v>
      </c>
      <c r="B32" s="42" t="s">
        <v>1313</v>
      </c>
      <c r="C32" s="42" t="s">
        <v>1314</v>
      </c>
      <c r="D32" s="42" t="s">
        <v>16</v>
      </c>
      <c r="E32" s="42" t="s">
        <v>1390</v>
      </c>
      <c r="F32" s="42">
        <v>493</v>
      </c>
      <c r="G32" s="42"/>
      <c r="H32" s="42">
        <v>2405</v>
      </c>
      <c r="I32" s="42">
        <v>13</v>
      </c>
      <c r="J32" s="42"/>
      <c r="K32" s="42">
        <f t="shared" ref="K32" si="53">I32*J32</f>
        <v>0</v>
      </c>
      <c r="L32" s="43">
        <f t="shared" ref="L32" si="54">H32-K32</f>
        <v>2405</v>
      </c>
      <c r="M32" s="43"/>
      <c r="N32" s="43">
        <f t="shared" ref="N32" si="55">L32-M32</f>
        <v>2405</v>
      </c>
      <c r="O32" s="43">
        <f t="shared" ref="O32" si="56">H32/1000*70</f>
        <v>168.35</v>
      </c>
      <c r="P32" s="42">
        <v>0</v>
      </c>
      <c r="Q32" s="50">
        <f>208500/2405</f>
        <v>86.694386694386694</v>
      </c>
      <c r="R32" s="42">
        <f t="shared" ref="R32" si="57">L32*Q32</f>
        <v>208500</v>
      </c>
    </row>
    <row r="34" spans="1:18">
      <c r="A34" s="1" t="s">
        <v>1498</v>
      </c>
      <c r="B34" s="42" t="s">
        <v>1313</v>
      </c>
      <c r="C34" s="42" t="s">
        <v>1077</v>
      </c>
      <c r="D34" s="42" t="s">
        <v>16</v>
      </c>
      <c r="E34" s="42"/>
      <c r="F34" s="42">
        <v>305</v>
      </c>
      <c r="G34" s="42"/>
      <c r="H34" s="42">
        <v>1830</v>
      </c>
      <c r="I34" s="42">
        <v>10</v>
      </c>
      <c r="J34" s="42"/>
      <c r="K34" s="42">
        <f t="shared" ref="K34" si="58">I34*J34</f>
        <v>0</v>
      </c>
      <c r="L34" s="43">
        <f t="shared" ref="L34" si="59">H34-K34</f>
        <v>1830</v>
      </c>
      <c r="M34" s="43"/>
      <c r="N34" s="43">
        <f t="shared" ref="N34" si="60">L34-M34</f>
        <v>1830</v>
      </c>
      <c r="O34" s="43">
        <f t="shared" ref="O34" si="61">H34/1000*70</f>
        <v>128.1</v>
      </c>
      <c r="P34" s="42">
        <v>0</v>
      </c>
      <c r="Q34" s="50">
        <f>160800/1830</f>
        <v>87.868852459016395</v>
      </c>
      <c r="R34" s="42">
        <f t="shared" ref="R34" si="62">L34*Q34</f>
        <v>160800</v>
      </c>
    </row>
    <row r="36" spans="1:18">
      <c r="A36" s="1" t="s">
        <v>1569</v>
      </c>
      <c r="B36" s="42" t="s">
        <v>1313</v>
      </c>
      <c r="C36" s="42" t="s">
        <v>1077</v>
      </c>
      <c r="D36" s="42" t="s">
        <v>16</v>
      </c>
      <c r="E36" s="42" t="s">
        <v>1572</v>
      </c>
      <c r="F36" s="42">
        <v>315</v>
      </c>
      <c r="G36" s="42"/>
      <c r="H36" s="42">
        <v>1850</v>
      </c>
      <c r="I36" s="42">
        <v>10</v>
      </c>
      <c r="J36" s="42"/>
      <c r="K36" s="42">
        <f t="shared" ref="K36" si="63">I36*J36</f>
        <v>0</v>
      </c>
      <c r="L36" s="43">
        <f t="shared" ref="L36" si="64">H36-K36</f>
        <v>1850</v>
      </c>
      <c r="M36" s="43"/>
      <c r="N36" s="43">
        <f t="shared" ref="N36" si="65">L36-M36</f>
        <v>1850</v>
      </c>
      <c r="O36" s="43">
        <f t="shared" ref="O36" si="66">H36/1000*70</f>
        <v>129.5</v>
      </c>
      <c r="P36" s="42">
        <v>0</v>
      </c>
      <c r="Q36" s="42">
        <f>162800/1850</f>
        <v>88</v>
      </c>
      <c r="R36" s="42">
        <f t="shared" ref="R36" si="67">L36*Q36</f>
        <v>162800</v>
      </c>
    </row>
    <row r="38" spans="1:18">
      <c r="A38" s="1" t="s">
        <v>1756</v>
      </c>
      <c r="B38" s="42" t="s">
        <v>1674</v>
      </c>
      <c r="C38" s="42" t="s">
        <v>1077</v>
      </c>
      <c r="D38" s="42" t="s">
        <v>16</v>
      </c>
      <c r="E38" s="42" t="s">
        <v>1763</v>
      </c>
      <c r="F38" s="42">
        <v>2861</v>
      </c>
      <c r="G38" s="42"/>
      <c r="H38" s="42">
        <v>1120</v>
      </c>
      <c r="I38" s="42">
        <v>6</v>
      </c>
      <c r="J38" s="42"/>
      <c r="K38" s="42">
        <f t="shared" ref="K38" si="68">I38*J38</f>
        <v>0</v>
      </c>
      <c r="L38" s="43">
        <f t="shared" ref="L38" si="69">H38-K38</f>
        <v>1120</v>
      </c>
      <c r="M38" s="43"/>
      <c r="N38" s="43">
        <f t="shared" ref="N38" si="70">L38-M38</f>
        <v>1120</v>
      </c>
      <c r="O38" s="43">
        <f t="shared" ref="O38" si="71">H38/1000*70</f>
        <v>78.400000000000006</v>
      </c>
      <c r="P38" s="211"/>
      <c r="Q38" s="190">
        <f>88270/1120</f>
        <v>78.8125</v>
      </c>
      <c r="R38" s="42">
        <f t="shared" ref="R38" si="72">L38*Q38</f>
        <v>88270</v>
      </c>
    </row>
    <row r="40" spans="1:18">
      <c r="A40" s="1" t="s">
        <v>1800</v>
      </c>
      <c r="B40" s="42" t="s">
        <v>215</v>
      </c>
      <c r="C40" s="42" t="s">
        <v>1801</v>
      </c>
      <c r="D40" s="42" t="s">
        <v>16</v>
      </c>
      <c r="E40" s="42" t="s">
        <v>437</v>
      </c>
      <c r="F40" s="42">
        <v>338</v>
      </c>
      <c r="G40" s="42"/>
      <c r="H40" s="42">
        <v>1470</v>
      </c>
      <c r="I40" s="42">
        <v>8</v>
      </c>
      <c r="J40" s="42"/>
      <c r="K40" s="42">
        <f t="shared" ref="K40" si="73">I40*J40</f>
        <v>0</v>
      </c>
      <c r="L40" s="43">
        <f t="shared" ref="L40" si="74">H40-K40</f>
        <v>1470</v>
      </c>
      <c r="M40" s="43"/>
      <c r="N40" s="43">
        <f t="shared" ref="N40" si="75">L40-M40</f>
        <v>1470</v>
      </c>
      <c r="O40" s="43">
        <f t="shared" ref="O40" si="76">H40/1000*70</f>
        <v>102.89999999999999</v>
      </c>
      <c r="P40" s="220">
        <v>0</v>
      </c>
      <c r="Q40" s="190">
        <f>106400/1470</f>
        <v>72.38095238095238</v>
      </c>
      <c r="R40" s="42">
        <f t="shared" ref="R40" si="77">L40*Q40</f>
        <v>106400</v>
      </c>
    </row>
    <row r="42" spans="1:18">
      <c r="A42" s="1" t="s">
        <v>1811</v>
      </c>
      <c r="B42" s="42" t="s">
        <v>1313</v>
      </c>
      <c r="C42" s="42" t="s">
        <v>1077</v>
      </c>
      <c r="D42" s="42" t="s">
        <v>16</v>
      </c>
      <c r="E42" s="42" t="s">
        <v>1078</v>
      </c>
      <c r="F42" s="42">
        <v>342</v>
      </c>
      <c r="G42" s="42"/>
      <c r="H42" s="42">
        <v>1840</v>
      </c>
      <c r="I42" s="42">
        <v>10</v>
      </c>
      <c r="J42" s="42"/>
      <c r="K42" s="42">
        <f t="shared" ref="K42" si="78">I42*J42</f>
        <v>0</v>
      </c>
      <c r="L42" s="43">
        <f t="shared" ref="L42" si="79">H42-K42</f>
        <v>1840</v>
      </c>
      <c r="M42" s="43"/>
      <c r="N42" s="43">
        <f t="shared" ref="N42" si="80">L42-M42</f>
        <v>1840</v>
      </c>
      <c r="O42" s="43">
        <f t="shared" ref="O42" si="81">H42/1000*70</f>
        <v>128.80000000000001</v>
      </c>
      <c r="P42" s="222">
        <v>0</v>
      </c>
      <c r="Q42" s="190">
        <f>132800/1840</f>
        <v>72.173913043478265</v>
      </c>
      <c r="R42" s="42">
        <f t="shared" ref="R42" si="82">L42*Q42</f>
        <v>132800</v>
      </c>
    </row>
    <row r="44" spans="1:18">
      <c r="A44" s="1" t="s">
        <v>2110</v>
      </c>
      <c r="B44" s="42" t="s">
        <v>215</v>
      </c>
      <c r="C44" s="42" t="s">
        <v>1077</v>
      </c>
      <c r="D44" s="42" t="s">
        <v>16</v>
      </c>
      <c r="E44" s="42" t="s">
        <v>337</v>
      </c>
      <c r="F44" s="42">
        <v>378</v>
      </c>
      <c r="G44" s="42"/>
      <c r="H44" s="42">
        <f>1290+1490</f>
        <v>2780</v>
      </c>
      <c r="I44" s="42">
        <v>15</v>
      </c>
      <c r="J44" s="42"/>
      <c r="K44" s="43">
        <f t="shared" ref="K44" si="83">I44*J44</f>
        <v>0</v>
      </c>
      <c r="L44" s="43">
        <f t="shared" ref="L44" si="84">H44-K44</f>
        <v>2780</v>
      </c>
      <c r="M44" s="43"/>
      <c r="N44" s="43">
        <f t="shared" ref="N44" si="85">L44-M44</f>
        <v>2780</v>
      </c>
      <c r="O44" s="43">
        <v>0</v>
      </c>
      <c r="P44" s="42">
        <v>0</v>
      </c>
      <c r="Q44" s="50">
        <f>204950/2780</f>
        <v>73.723021582733807</v>
      </c>
      <c r="R44" s="42">
        <f t="shared" ref="R44" si="86">L44*Q44</f>
        <v>204949.99999999997</v>
      </c>
    </row>
    <row r="46" spans="1:18">
      <c r="A46" s="1" t="s">
        <v>3444</v>
      </c>
      <c r="B46" s="42" t="s">
        <v>215</v>
      </c>
      <c r="C46" s="42" t="s">
        <v>787</v>
      </c>
      <c r="D46" s="42" t="s">
        <v>16</v>
      </c>
      <c r="E46" s="47" t="s">
        <v>3409</v>
      </c>
      <c r="F46" s="47">
        <v>175</v>
      </c>
      <c r="G46" s="47"/>
      <c r="H46" s="47">
        <v>920</v>
      </c>
      <c r="I46" s="47">
        <v>5</v>
      </c>
      <c r="J46" s="47"/>
      <c r="K46" s="43">
        <f t="shared" ref="K46" si="87">I46*J46</f>
        <v>0</v>
      </c>
      <c r="L46" s="43">
        <f t="shared" ref="L46" si="88">H46-K46</f>
        <v>920</v>
      </c>
      <c r="M46" s="43"/>
      <c r="N46" s="43">
        <f t="shared" ref="N46" si="89">L46-M46</f>
        <v>920</v>
      </c>
      <c r="O46" s="43">
        <v>0</v>
      </c>
      <c r="P46" s="42">
        <v>0</v>
      </c>
      <c r="Q46" s="50">
        <f>52160/920</f>
        <v>56.695652173913047</v>
      </c>
      <c r="R46" s="42">
        <f t="shared" ref="R46" si="90">L46*Q46</f>
        <v>52160</v>
      </c>
    </row>
    <row r="48" spans="1:18">
      <c r="A48" s="1" t="s">
        <v>3452</v>
      </c>
      <c r="B48" s="42" t="s">
        <v>215</v>
      </c>
      <c r="C48" s="42" t="s">
        <v>787</v>
      </c>
      <c r="D48" s="42" t="s">
        <v>16</v>
      </c>
      <c r="E48" s="47" t="s">
        <v>3409</v>
      </c>
      <c r="F48" s="47">
        <v>176</v>
      </c>
      <c r="G48" s="47"/>
      <c r="H48" s="47">
        <v>1860</v>
      </c>
      <c r="I48" s="47">
        <v>10</v>
      </c>
      <c r="J48" s="47"/>
      <c r="K48" s="43">
        <f t="shared" ref="K48" si="91">I48*J48</f>
        <v>0</v>
      </c>
      <c r="L48" s="43">
        <f t="shared" ref="L48" si="92">H48-K48</f>
        <v>1860</v>
      </c>
      <c r="M48" s="43"/>
      <c r="N48" s="43">
        <f t="shared" ref="N48" si="93">L48-M48</f>
        <v>1860</v>
      </c>
      <c r="O48" s="43">
        <v>0</v>
      </c>
      <c r="P48" s="42">
        <v>0</v>
      </c>
      <c r="Q48" s="50">
        <f>110300/1860</f>
        <v>59.301075268817208</v>
      </c>
      <c r="R48" s="42">
        <f t="shared" ref="R48" si="94">L48*Q48</f>
        <v>110300</v>
      </c>
    </row>
  </sheetData>
  <mergeCells count="1">
    <mergeCell ref="A14:A15"/>
  </mergeCells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>
  <dimension ref="A5:T12"/>
  <sheetViews>
    <sheetView workbookViewId="0">
      <selection activeCell="B13" sqref="B13"/>
    </sheetView>
  </sheetViews>
  <sheetFormatPr defaultRowHeight="14.4"/>
  <cols>
    <col min="1" max="1" width="8.88671875" style="1"/>
    <col min="2" max="2" width="13.88671875" style="1" customWidth="1"/>
    <col min="3" max="3" width="8.88671875" style="1"/>
    <col min="4" max="4" width="5.5546875" style="1" customWidth="1"/>
    <col min="5" max="5" width="8.88671875" style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0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0">
      <c r="A6" s="7"/>
      <c r="B6" s="2"/>
      <c r="C6" s="2"/>
      <c r="D6" s="2"/>
      <c r="E6" s="2"/>
      <c r="F6" s="2"/>
      <c r="G6" s="2"/>
      <c r="H6" s="2"/>
      <c r="I6" s="2"/>
      <c r="J6" s="2"/>
      <c r="K6" s="5"/>
      <c r="L6" s="19"/>
      <c r="M6" s="5"/>
      <c r="N6" s="2"/>
    </row>
    <row r="7" spans="1:20">
      <c r="A7" s="8" t="s">
        <v>380</v>
      </c>
      <c r="B7" s="42" t="s">
        <v>384</v>
      </c>
      <c r="C7" s="42" t="s">
        <v>385</v>
      </c>
      <c r="D7" s="42" t="s">
        <v>16</v>
      </c>
      <c r="E7" s="42" t="s">
        <v>386</v>
      </c>
      <c r="F7" s="42">
        <v>8692</v>
      </c>
      <c r="G7" s="42"/>
      <c r="H7" s="42">
        <v>790</v>
      </c>
      <c r="I7" s="43"/>
      <c r="J7" s="42"/>
      <c r="K7" s="43">
        <f t="shared" ref="K7" si="0">I7*J7</f>
        <v>0</v>
      </c>
      <c r="L7" s="43">
        <f t="shared" ref="L7" si="1">H7-K7</f>
        <v>790</v>
      </c>
      <c r="M7" s="43">
        <f t="shared" ref="M7" si="2">H7/1000*70</f>
        <v>55.300000000000004</v>
      </c>
      <c r="N7" s="42"/>
      <c r="O7" s="42"/>
      <c r="P7" s="42">
        <f t="shared" ref="P7" si="3">L7*O7</f>
        <v>0</v>
      </c>
      <c r="Q7" s="42" t="s">
        <v>387</v>
      </c>
    </row>
    <row r="8" spans="1:20">
      <c r="A8" s="8"/>
      <c r="B8" s="42"/>
      <c r="C8" s="42"/>
      <c r="D8" s="42"/>
      <c r="E8" s="42"/>
      <c r="F8" s="42"/>
      <c r="G8" s="42"/>
      <c r="H8" s="42"/>
      <c r="I8" s="42"/>
      <c r="J8" s="42"/>
      <c r="K8" s="42"/>
      <c r="L8" s="43"/>
      <c r="M8" s="43"/>
      <c r="N8" s="42"/>
      <c r="O8" s="42"/>
      <c r="P8" s="42"/>
    </row>
    <row r="9" spans="1:20">
      <c r="A9" s="9" t="s">
        <v>2110</v>
      </c>
      <c r="B9" s="42" t="s">
        <v>2118</v>
      </c>
      <c r="C9" s="42" t="s">
        <v>2119</v>
      </c>
      <c r="D9" s="42" t="s">
        <v>16</v>
      </c>
      <c r="E9" s="42" t="s">
        <v>386</v>
      </c>
      <c r="F9" s="42">
        <v>9138</v>
      </c>
      <c r="G9" s="42"/>
      <c r="H9" s="42">
        <v>590</v>
      </c>
      <c r="I9" s="42"/>
      <c r="J9" s="42"/>
      <c r="K9" s="43">
        <f t="shared" ref="K9" si="4">I9*J9</f>
        <v>0</v>
      </c>
      <c r="L9" s="43">
        <f t="shared" ref="L9" si="5">H9-K9</f>
        <v>590</v>
      </c>
      <c r="M9" s="43"/>
      <c r="N9" s="43">
        <f t="shared" ref="N9" si="6">L9-M9</f>
        <v>590</v>
      </c>
      <c r="O9" s="43">
        <f t="shared" ref="O9" si="7">H9/1000*70</f>
        <v>41.3</v>
      </c>
      <c r="P9" s="42"/>
      <c r="Q9" s="42"/>
      <c r="R9" s="42">
        <f t="shared" ref="R9" si="8">L9*Q9</f>
        <v>0</v>
      </c>
      <c r="S9" s="42" t="s">
        <v>2120</v>
      </c>
    </row>
    <row r="10" spans="1:20">
      <c r="A10" s="10"/>
      <c r="B10" s="42"/>
      <c r="C10" s="42"/>
      <c r="D10" s="42"/>
      <c r="E10" s="42"/>
      <c r="F10" s="42"/>
      <c r="G10" s="42"/>
      <c r="H10" s="42"/>
      <c r="I10" s="42"/>
      <c r="J10" s="42"/>
      <c r="K10" s="42"/>
      <c r="L10" s="43"/>
      <c r="M10" s="43"/>
      <c r="N10" s="42"/>
    </row>
    <row r="11" spans="1:20">
      <c r="A11" s="11" t="s">
        <v>2209</v>
      </c>
      <c r="B11" s="42" t="s">
        <v>2118</v>
      </c>
      <c r="C11" s="42" t="s">
        <v>2210</v>
      </c>
      <c r="D11" s="42" t="s">
        <v>16</v>
      </c>
      <c r="E11" s="42" t="s">
        <v>2211</v>
      </c>
      <c r="F11" s="42">
        <v>9159</v>
      </c>
      <c r="G11" s="42"/>
      <c r="H11" s="42">
        <v>180</v>
      </c>
      <c r="I11" s="42">
        <v>1</v>
      </c>
      <c r="J11" s="42"/>
      <c r="K11" s="43">
        <f t="shared" ref="K11" si="9">I11*J11</f>
        <v>0</v>
      </c>
      <c r="L11" s="43">
        <f t="shared" ref="L11" si="10">H11-K11</f>
        <v>180</v>
      </c>
      <c r="M11" s="43"/>
      <c r="N11" s="43">
        <f t="shared" ref="N11" si="11">L11-M11</f>
        <v>180</v>
      </c>
      <c r="O11" s="43">
        <f t="shared" ref="O11" si="12">H11/1000*70</f>
        <v>12.6</v>
      </c>
      <c r="P11" s="42"/>
      <c r="Q11" s="42"/>
      <c r="R11" s="42">
        <f t="shared" ref="R11" si="13">L11*Q11</f>
        <v>0</v>
      </c>
    </row>
    <row r="12" spans="1:20">
      <c r="B12" s="42"/>
      <c r="C12" s="42"/>
      <c r="D12" s="42"/>
      <c r="E12" s="42"/>
      <c r="F12" s="42"/>
      <c r="G12" s="42"/>
      <c r="H12" s="42"/>
      <c r="I12" s="42"/>
      <c r="J12" s="42"/>
      <c r="K12" s="42"/>
      <c r="L12" s="43"/>
      <c r="M12" s="43"/>
      <c r="N12" s="42"/>
      <c r="O12" s="50"/>
      <c r="P12" s="42"/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>
  <dimension ref="A5:T12"/>
  <sheetViews>
    <sheetView workbookViewId="0">
      <selection activeCell="B12" sqref="B12"/>
    </sheetView>
  </sheetViews>
  <sheetFormatPr defaultRowHeight="14.4"/>
  <cols>
    <col min="1" max="1" width="8.88671875" style="1"/>
    <col min="2" max="2" width="17.109375" style="1" customWidth="1"/>
    <col min="3" max="3" width="9.6640625" style="1" customWidth="1"/>
    <col min="4" max="4" width="5.5546875" style="1" customWidth="1"/>
    <col min="5" max="5" width="8.88671875" style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0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0">
      <c r="A6" s="7"/>
      <c r="B6" s="2"/>
      <c r="C6" s="2"/>
      <c r="D6" s="2"/>
      <c r="E6" s="2"/>
      <c r="F6" s="2"/>
      <c r="G6" s="2"/>
      <c r="H6" s="2"/>
      <c r="I6" s="2"/>
      <c r="J6" s="2"/>
      <c r="K6" s="5"/>
      <c r="L6" s="19"/>
      <c r="M6" s="5"/>
      <c r="N6" s="2"/>
    </row>
    <row r="7" spans="1:20">
      <c r="A7" s="8" t="s">
        <v>735</v>
      </c>
      <c r="B7" s="42" t="s">
        <v>736</v>
      </c>
      <c r="C7" s="42" t="s">
        <v>737</v>
      </c>
      <c r="D7" s="42" t="s">
        <v>16</v>
      </c>
      <c r="E7" s="42" t="s">
        <v>666</v>
      </c>
      <c r="F7" s="42">
        <v>1819</v>
      </c>
      <c r="G7" s="42"/>
      <c r="H7" s="42">
        <v>430</v>
      </c>
      <c r="I7" s="42"/>
      <c r="J7" s="42"/>
      <c r="K7" s="42">
        <f t="shared" ref="K7" si="0">I7*J7</f>
        <v>0</v>
      </c>
      <c r="L7" s="43">
        <f t="shared" ref="L7" si="1">H7-K7</f>
        <v>430</v>
      </c>
      <c r="M7" s="43"/>
      <c r="N7" s="43">
        <f t="shared" ref="N7" si="2">L7-M7</f>
        <v>430</v>
      </c>
      <c r="O7" s="43">
        <f t="shared" ref="O7" si="3">H7/1000*70</f>
        <v>30.099999999999998</v>
      </c>
      <c r="P7" s="42"/>
      <c r="Q7" s="42"/>
      <c r="R7" s="42">
        <f t="shared" ref="R7" si="4">L7*Q7</f>
        <v>0</v>
      </c>
      <c r="S7" s="42" t="s">
        <v>738</v>
      </c>
    </row>
    <row r="8" spans="1:20">
      <c r="A8" s="8"/>
      <c r="B8" s="42"/>
      <c r="C8" s="42"/>
      <c r="D8" s="42"/>
      <c r="E8" s="42"/>
      <c r="F8" s="42"/>
      <c r="G8" s="42"/>
      <c r="H8" s="42"/>
      <c r="I8" s="42"/>
      <c r="J8" s="42"/>
      <c r="K8" s="42"/>
      <c r="L8" s="43"/>
      <c r="M8" s="43"/>
      <c r="N8" s="42"/>
      <c r="O8" s="42"/>
      <c r="P8" s="42"/>
    </row>
    <row r="9" spans="1:20">
      <c r="A9" s="9" t="s">
        <v>2755</v>
      </c>
      <c r="B9" s="42" t="s">
        <v>2772</v>
      </c>
      <c r="C9" s="42" t="s">
        <v>737</v>
      </c>
      <c r="D9" s="42" t="s">
        <v>16</v>
      </c>
      <c r="E9" s="42" t="s">
        <v>2449</v>
      </c>
      <c r="F9" s="42">
        <v>3472</v>
      </c>
      <c r="G9" s="42"/>
      <c r="H9" s="42">
        <v>520</v>
      </c>
      <c r="I9" s="42">
        <v>10</v>
      </c>
      <c r="J9" s="42"/>
      <c r="K9" s="43">
        <f t="shared" ref="K9" si="5">I9*J9</f>
        <v>0</v>
      </c>
      <c r="L9" s="43">
        <f t="shared" ref="L9" si="6">H9-K9</f>
        <v>520</v>
      </c>
      <c r="M9" s="43"/>
      <c r="N9" s="43">
        <f t="shared" ref="N9" si="7">L9-M9</f>
        <v>520</v>
      </c>
      <c r="O9" s="43">
        <f t="shared" ref="O9" si="8">H9/1000*70</f>
        <v>36.4</v>
      </c>
      <c r="P9" s="42">
        <v>0</v>
      </c>
      <c r="Q9" s="42"/>
      <c r="R9" s="42">
        <f t="shared" ref="R9" si="9">L9*Q9</f>
        <v>0</v>
      </c>
    </row>
    <row r="10" spans="1:20">
      <c r="A10" s="10"/>
      <c r="B10" s="42"/>
      <c r="C10" s="42"/>
      <c r="D10" s="42"/>
      <c r="E10" s="42"/>
      <c r="F10" s="42"/>
      <c r="G10" s="42"/>
      <c r="H10" s="42"/>
      <c r="I10" s="42"/>
      <c r="J10" s="42"/>
      <c r="K10" s="42"/>
      <c r="L10" s="43"/>
      <c r="M10" s="43"/>
      <c r="N10" s="42"/>
    </row>
    <row r="11" spans="1:20">
      <c r="A11" s="11"/>
      <c r="B11" s="2"/>
      <c r="C11" s="2"/>
      <c r="D11" s="2"/>
      <c r="E11" s="2"/>
      <c r="F11" s="2"/>
      <c r="G11" s="2"/>
      <c r="H11" s="2"/>
      <c r="I11" s="2"/>
      <c r="J11" s="2"/>
      <c r="K11" s="2"/>
      <c r="L11" s="5"/>
      <c r="M11" s="5"/>
      <c r="N11" s="2"/>
    </row>
    <row r="12" spans="1:20">
      <c r="B12" s="42"/>
      <c r="C12" s="42"/>
      <c r="D12" s="42"/>
      <c r="E12" s="42"/>
      <c r="F12" s="42"/>
      <c r="G12" s="42"/>
      <c r="H12" s="42"/>
      <c r="I12" s="42"/>
      <c r="J12" s="42"/>
      <c r="K12" s="42"/>
      <c r="L12" s="43"/>
      <c r="M12" s="43"/>
      <c r="N12" s="42"/>
      <c r="O12" s="50"/>
      <c r="P12" s="42"/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>
  <dimension ref="A5:T12"/>
  <sheetViews>
    <sheetView workbookViewId="0">
      <selection activeCell="A10" sqref="A10"/>
    </sheetView>
  </sheetViews>
  <sheetFormatPr defaultRowHeight="14.4"/>
  <cols>
    <col min="1" max="1" width="8.88671875" style="1"/>
    <col min="2" max="2" width="17.109375" style="1" customWidth="1"/>
    <col min="3" max="3" width="9.6640625" style="1" customWidth="1"/>
    <col min="4" max="4" width="5.5546875" style="1" customWidth="1"/>
    <col min="5" max="5" width="8.88671875" style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0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0">
      <c r="A6" s="7"/>
      <c r="B6" s="230"/>
      <c r="C6" s="230"/>
      <c r="D6" s="230"/>
      <c r="E6" s="230"/>
      <c r="F6" s="230"/>
      <c r="G6" s="230"/>
      <c r="H6" s="230"/>
      <c r="I6" s="230"/>
      <c r="J6" s="230"/>
      <c r="K6" s="5"/>
      <c r="L6" s="19"/>
      <c r="M6" s="5"/>
      <c r="N6" s="230"/>
    </row>
    <row r="7" spans="1:20">
      <c r="A7" s="8" t="s">
        <v>1959</v>
      </c>
      <c r="B7" s="42" t="s">
        <v>1961</v>
      </c>
      <c r="C7" s="42" t="s">
        <v>1962</v>
      </c>
      <c r="D7" s="42" t="s">
        <v>16</v>
      </c>
      <c r="E7" s="42" t="s">
        <v>1963</v>
      </c>
      <c r="F7" s="42">
        <v>279</v>
      </c>
      <c r="G7" s="42"/>
      <c r="H7" s="42">
        <v>180</v>
      </c>
      <c r="I7" s="42">
        <v>6</v>
      </c>
      <c r="J7" s="42"/>
      <c r="K7" s="43">
        <f t="shared" ref="K7" si="0">I7*J7</f>
        <v>0</v>
      </c>
      <c r="L7" s="43">
        <f t="shared" ref="L7" si="1">H7-K7</f>
        <v>180</v>
      </c>
      <c r="M7" s="43"/>
      <c r="N7" s="43">
        <f t="shared" ref="N7" si="2">L7-M7</f>
        <v>180</v>
      </c>
      <c r="O7" s="43">
        <f t="shared" ref="O7" si="3">H7/1000*70</f>
        <v>12.6</v>
      </c>
      <c r="P7" s="42"/>
      <c r="Q7" s="42"/>
      <c r="R7" s="42">
        <f t="shared" ref="R7" si="4">L7*Q7</f>
        <v>0</v>
      </c>
      <c r="S7" s="42"/>
    </row>
    <row r="8" spans="1:20">
      <c r="A8" s="8"/>
      <c r="B8" s="42"/>
      <c r="C8" s="42"/>
      <c r="D8" s="42"/>
      <c r="E8" s="42"/>
      <c r="F8" s="42"/>
      <c r="G8" s="42"/>
      <c r="H8" s="42"/>
      <c r="I8" s="42"/>
      <c r="J8" s="42"/>
      <c r="K8" s="42"/>
      <c r="L8" s="43"/>
      <c r="M8" s="43"/>
      <c r="N8" s="42"/>
      <c r="O8" s="42"/>
      <c r="P8" s="42"/>
    </row>
    <row r="9" spans="1:20">
      <c r="A9" s="9" t="s">
        <v>3870</v>
      </c>
      <c r="B9" s="42" t="s">
        <v>3874</v>
      </c>
      <c r="C9" s="42" t="s">
        <v>1962</v>
      </c>
      <c r="D9" s="42" t="s">
        <v>16</v>
      </c>
      <c r="E9" s="47" t="s">
        <v>3875</v>
      </c>
      <c r="F9" s="47">
        <v>378</v>
      </c>
      <c r="G9" s="47"/>
      <c r="H9" s="47">
        <v>240</v>
      </c>
      <c r="I9" s="47">
        <v>8</v>
      </c>
      <c r="J9" s="47"/>
      <c r="K9" s="43">
        <f t="shared" ref="K9" si="5">I9*J9</f>
        <v>0</v>
      </c>
      <c r="L9" s="43">
        <f t="shared" ref="L9" si="6">H9-K9</f>
        <v>240</v>
      </c>
      <c r="M9" s="43"/>
      <c r="N9" s="43">
        <f t="shared" ref="N9" si="7">L9-M9</f>
        <v>240</v>
      </c>
      <c r="O9" s="43">
        <f t="shared" ref="O9" si="8">H9/1000*70</f>
        <v>16.8</v>
      </c>
      <c r="P9" s="42">
        <v>0</v>
      </c>
      <c r="Q9" s="42"/>
      <c r="R9" s="42">
        <f t="shared" ref="R9" si="9">L9*Q9</f>
        <v>0</v>
      </c>
      <c r="S9" s="42"/>
    </row>
    <row r="10" spans="1:20">
      <c r="A10" s="10"/>
      <c r="B10" s="42"/>
      <c r="C10" s="42"/>
      <c r="D10" s="42"/>
      <c r="E10" s="42"/>
      <c r="F10" s="42"/>
      <c r="G10" s="42"/>
      <c r="H10" s="42"/>
      <c r="I10" s="42"/>
      <c r="J10" s="42"/>
      <c r="K10" s="42"/>
      <c r="L10" s="43"/>
      <c r="M10" s="43"/>
      <c r="N10" s="42"/>
    </row>
    <row r="11" spans="1:20">
      <c r="A11" s="11"/>
      <c r="B11" s="230"/>
      <c r="C11" s="230"/>
      <c r="D11" s="230"/>
      <c r="E11" s="230"/>
      <c r="F11" s="230"/>
      <c r="G11" s="230"/>
      <c r="H11" s="230"/>
      <c r="I11" s="230"/>
      <c r="J11" s="230"/>
      <c r="K11" s="230"/>
      <c r="L11" s="5"/>
      <c r="M11" s="5"/>
      <c r="N11" s="230"/>
    </row>
    <row r="12" spans="1:20">
      <c r="B12" s="42"/>
      <c r="C12" s="42"/>
      <c r="D12" s="42"/>
      <c r="E12" s="42"/>
      <c r="F12" s="42"/>
      <c r="G12" s="42"/>
      <c r="H12" s="42"/>
      <c r="I12" s="42"/>
      <c r="J12" s="42"/>
      <c r="K12" s="42"/>
      <c r="L12" s="43"/>
      <c r="M12" s="43"/>
      <c r="N12" s="42"/>
      <c r="O12" s="50"/>
      <c r="P12" s="42"/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>
  <dimension ref="A5:T15"/>
  <sheetViews>
    <sheetView workbookViewId="0">
      <selection activeCell="B13" sqref="B13:O13"/>
    </sheetView>
  </sheetViews>
  <sheetFormatPr defaultRowHeight="14.4"/>
  <cols>
    <col min="1" max="1" width="8.88671875" style="1"/>
    <col min="2" max="2" width="21.6640625" style="1" customWidth="1"/>
    <col min="3" max="3" width="12.44140625" style="1" customWidth="1"/>
    <col min="4" max="4" width="5.5546875" style="1" customWidth="1"/>
    <col min="5" max="5" width="8.88671875" style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0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0">
      <c r="A6" s="7"/>
      <c r="B6" s="2"/>
      <c r="C6" s="2"/>
      <c r="D6" s="2"/>
      <c r="E6" s="2"/>
      <c r="F6" s="2"/>
      <c r="G6" s="2"/>
      <c r="H6" s="2"/>
      <c r="I6" s="2"/>
      <c r="J6" s="2"/>
      <c r="K6" s="5"/>
      <c r="L6" s="19"/>
      <c r="M6" s="5"/>
      <c r="N6" s="2"/>
    </row>
    <row r="7" spans="1:20">
      <c r="A7" s="8" t="s">
        <v>968</v>
      </c>
      <c r="B7" s="92" t="s">
        <v>971</v>
      </c>
      <c r="C7" s="92" t="s">
        <v>303</v>
      </c>
      <c r="D7" s="42" t="s">
        <v>16</v>
      </c>
      <c r="E7" s="92" t="s">
        <v>972</v>
      </c>
      <c r="F7" s="92">
        <v>1920393</v>
      </c>
      <c r="G7" s="92" t="s">
        <v>974</v>
      </c>
      <c r="H7" s="92">
        <v>10000</v>
      </c>
      <c r="I7" s="92"/>
      <c r="J7" s="92"/>
      <c r="K7" s="42">
        <f t="shared" ref="K7" si="0">I7*J7</f>
        <v>0</v>
      </c>
      <c r="L7" s="43">
        <f t="shared" ref="L7" si="1">H7-K7</f>
        <v>10000</v>
      </c>
      <c r="M7" s="43"/>
      <c r="N7" s="43">
        <f t="shared" ref="N7" si="2">L7-M7</f>
        <v>10000</v>
      </c>
      <c r="O7" s="43">
        <f t="shared" ref="O7" si="3">H7/1000*70</f>
        <v>700</v>
      </c>
      <c r="P7" s="92"/>
      <c r="Q7" s="92"/>
      <c r="R7" s="92">
        <f t="shared" ref="R7" si="4">L7*Q7</f>
        <v>0</v>
      </c>
      <c r="S7" s="92" t="s">
        <v>973</v>
      </c>
      <c r="T7" s="107"/>
    </row>
    <row r="8" spans="1:20">
      <c r="A8" s="8"/>
      <c r="B8" s="42"/>
      <c r="C8" s="42"/>
      <c r="D8" s="42"/>
      <c r="E8" s="42"/>
      <c r="F8" s="42"/>
      <c r="G8" s="42"/>
      <c r="H8" s="42"/>
      <c r="I8" s="42"/>
      <c r="J8" s="42"/>
      <c r="K8" s="42"/>
      <c r="L8" s="43"/>
      <c r="M8" s="43"/>
      <c r="N8" s="42"/>
      <c r="O8" s="42"/>
      <c r="P8" s="42"/>
    </row>
    <row r="9" spans="1:20">
      <c r="A9" s="9" t="s">
        <v>986</v>
      </c>
      <c r="B9" s="42" t="s">
        <v>684</v>
      </c>
      <c r="C9" s="42" t="s">
        <v>444</v>
      </c>
      <c r="D9" s="42" t="s">
        <v>16</v>
      </c>
      <c r="E9" s="92" t="s">
        <v>987</v>
      </c>
      <c r="F9" s="92">
        <v>3822</v>
      </c>
      <c r="G9" s="92"/>
      <c r="H9" s="92">
        <v>9420</v>
      </c>
      <c r="I9" s="92">
        <v>188</v>
      </c>
      <c r="J9" s="92">
        <v>0.13</v>
      </c>
      <c r="K9" s="42">
        <v>25</v>
      </c>
      <c r="L9" s="43">
        <f t="shared" ref="L9" si="5">H9-K9</f>
        <v>9395</v>
      </c>
      <c r="M9" s="43"/>
      <c r="N9" s="43">
        <f t="shared" ref="N9" si="6">L9-M9</f>
        <v>9395</v>
      </c>
      <c r="O9" s="43">
        <f t="shared" ref="O9" si="7">H9/1000*70</f>
        <v>659.4</v>
      </c>
      <c r="P9" s="92">
        <v>0</v>
      </c>
      <c r="Q9" s="92"/>
      <c r="R9" s="92">
        <f t="shared" ref="R9" si="8">L9*Q9</f>
        <v>0</v>
      </c>
      <c r="S9" s="92" t="s">
        <v>973</v>
      </c>
    </row>
    <row r="10" spans="1:20">
      <c r="A10" s="10"/>
      <c r="B10" s="42"/>
      <c r="C10" s="42"/>
      <c r="D10" s="42"/>
      <c r="E10" s="42"/>
      <c r="F10" s="42"/>
      <c r="G10" s="42"/>
      <c r="H10" s="42"/>
      <c r="I10" s="42"/>
      <c r="J10" s="42"/>
      <c r="K10" s="42"/>
      <c r="L10" s="43"/>
      <c r="M10" s="43"/>
      <c r="N10" s="42"/>
    </row>
    <row r="11" spans="1:20">
      <c r="A11" s="11" t="s">
        <v>1017</v>
      </c>
      <c r="B11" s="42" t="s">
        <v>632</v>
      </c>
      <c r="C11" s="42" t="s">
        <v>639</v>
      </c>
      <c r="D11" s="42" t="s">
        <v>16</v>
      </c>
      <c r="E11" s="42" t="s">
        <v>1018</v>
      </c>
      <c r="F11" s="42">
        <v>889</v>
      </c>
      <c r="G11" s="42"/>
      <c r="H11" s="42">
        <v>4925</v>
      </c>
      <c r="I11" s="42">
        <v>197</v>
      </c>
      <c r="J11" s="42"/>
      <c r="K11" s="42">
        <f t="shared" ref="K11" si="9">I11*J11</f>
        <v>0</v>
      </c>
      <c r="L11" s="43">
        <f t="shared" ref="L11" si="10">H11-K11</f>
        <v>4925</v>
      </c>
      <c r="M11" s="43"/>
      <c r="N11" s="43">
        <f t="shared" ref="N11" si="11">L11-M11</f>
        <v>4925</v>
      </c>
      <c r="O11" s="43">
        <f t="shared" ref="O11" si="12">H11/1000*70</f>
        <v>344.75</v>
      </c>
      <c r="P11" s="42"/>
      <c r="Q11" s="42"/>
      <c r="R11" s="42">
        <f t="shared" ref="R11" si="13">L11*Q11</f>
        <v>0</v>
      </c>
    </row>
    <row r="12" spans="1:20">
      <c r="B12" s="42"/>
      <c r="C12" s="42"/>
      <c r="D12" s="42"/>
      <c r="E12" s="42"/>
      <c r="F12" s="42"/>
      <c r="G12" s="42"/>
      <c r="H12" s="42"/>
      <c r="I12" s="42"/>
      <c r="J12" s="42"/>
      <c r="K12" s="42"/>
      <c r="L12" s="43"/>
      <c r="M12" s="43"/>
      <c r="N12" s="42"/>
      <c r="O12" s="50"/>
      <c r="P12" s="42"/>
    </row>
    <row r="13" spans="1:20">
      <c r="A13" s="1" t="s">
        <v>1097</v>
      </c>
      <c r="B13" s="92" t="s">
        <v>1101</v>
      </c>
      <c r="C13" s="92" t="s">
        <v>639</v>
      </c>
      <c r="D13" s="42" t="s">
        <v>16</v>
      </c>
      <c r="E13" s="42" t="s">
        <v>1045</v>
      </c>
      <c r="F13" s="42">
        <v>0</v>
      </c>
      <c r="G13" s="42"/>
      <c r="H13" s="42">
        <v>1975</v>
      </c>
      <c r="I13" s="42">
        <v>79</v>
      </c>
      <c r="J13" s="42"/>
      <c r="K13" s="42">
        <f t="shared" ref="K13" si="14">I13*J13</f>
        <v>0</v>
      </c>
      <c r="L13" s="43">
        <f t="shared" ref="L13" si="15">H13-K13</f>
        <v>1975</v>
      </c>
      <c r="M13" s="43"/>
      <c r="N13" s="43">
        <f t="shared" ref="N13" si="16">L13-M13</f>
        <v>1975</v>
      </c>
      <c r="O13" s="43">
        <f t="shared" ref="O13" si="17">H13/1000*70</f>
        <v>138.25</v>
      </c>
      <c r="Q13" s="42"/>
      <c r="R13" s="42"/>
      <c r="S13" s="42">
        <f>L13*R13</f>
        <v>0</v>
      </c>
    </row>
    <row r="15" spans="1:20">
      <c r="B15" s="42" t="s">
        <v>1146</v>
      </c>
      <c r="C15" s="42" t="s">
        <v>303</v>
      </c>
      <c r="D15" s="42" t="s">
        <v>16</v>
      </c>
      <c r="E15" s="42" t="s">
        <v>972</v>
      </c>
      <c r="F15" s="42">
        <v>1953252</v>
      </c>
      <c r="G15" s="42"/>
      <c r="H15" s="42">
        <v>10000</v>
      </c>
      <c r="I15" s="42">
        <v>400</v>
      </c>
      <c r="J15" s="42"/>
      <c r="K15" s="42">
        <f t="shared" ref="K15" si="18">I15*J15</f>
        <v>0</v>
      </c>
      <c r="L15" s="43">
        <f t="shared" ref="L15" si="19">H15-K15</f>
        <v>10000</v>
      </c>
      <c r="M15" s="43"/>
      <c r="N15" s="43">
        <f t="shared" ref="N15" si="20">L15-M15</f>
        <v>10000</v>
      </c>
      <c r="O15" s="43">
        <f t="shared" ref="O15" si="21">H15/1000*70</f>
        <v>700</v>
      </c>
      <c r="P15" s="42">
        <v>0</v>
      </c>
      <c r="Q15" s="42">
        <v>53</v>
      </c>
      <c r="R15" s="42">
        <f t="shared" ref="R15" si="22">L15*Q15</f>
        <v>530000</v>
      </c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>
  <dimension ref="A5:T35"/>
  <sheetViews>
    <sheetView topLeftCell="A22" workbookViewId="0">
      <selection activeCell="A36" sqref="A36"/>
    </sheetView>
  </sheetViews>
  <sheetFormatPr defaultRowHeight="14.4"/>
  <cols>
    <col min="1" max="1" width="8.88671875" style="1"/>
    <col min="2" max="2" width="21.6640625" style="1" customWidth="1"/>
    <col min="3" max="3" width="12.44140625" style="1" customWidth="1"/>
    <col min="4" max="4" width="5.5546875" style="1" customWidth="1"/>
    <col min="5" max="5" width="8.88671875" style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0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0">
      <c r="A6" s="7"/>
      <c r="B6" s="268"/>
      <c r="C6" s="268"/>
      <c r="D6" s="268"/>
      <c r="E6" s="268"/>
      <c r="F6" s="268"/>
      <c r="G6" s="268"/>
      <c r="H6" s="268"/>
      <c r="I6" s="268"/>
      <c r="J6" s="268"/>
      <c r="K6" s="5"/>
      <c r="L6" s="19"/>
      <c r="M6" s="5"/>
      <c r="N6" s="268"/>
    </row>
    <row r="8" spans="1:20">
      <c r="A8" s="1" t="s">
        <v>2494</v>
      </c>
      <c r="B8" s="42" t="s">
        <v>2498</v>
      </c>
      <c r="C8" s="42" t="s">
        <v>2499</v>
      </c>
      <c r="D8" s="42" t="s">
        <v>16</v>
      </c>
      <c r="E8" s="42" t="s">
        <v>2111</v>
      </c>
      <c r="F8" s="42">
        <v>4648</v>
      </c>
      <c r="G8" s="42"/>
      <c r="H8" s="42">
        <v>5320</v>
      </c>
      <c r="I8" s="42">
        <v>257</v>
      </c>
      <c r="J8" s="42">
        <v>0.13</v>
      </c>
      <c r="K8" s="43">
        <f t="shared" ref="K8" si="0">I8*J8</f>
        <v>33.410000000000004</v>
      </c>
      <c r="L8" s="43">
        <f t="shared" ref="L8" si="1">H8-K8</f>
        <v>5286.59</v>
      </c>
      <c r="M8" s="43"/>
      <c r="N8" s="43">
        <f t="shared" ref="N8" si="2">L8-M8</f>
        <v>5286.59</v>
      </c>
      <c r="O8" s="43">
        <f t="shared" ref="O8" si="3">H8/1000*70</f>
        <v>372.40000000000003</v>
      </c>
      <c r="P8" s="42">
        <v>0</v>
      </c>
      <c r="Q8" s="42"/>
      <c r="R8" s="42">
        <f t="shared" ref="R8" si="4">L8*Q8</f>
        <v>0</v>
      </c>
    </row>
    <row r="10" spans="1:20">
      <c r="A10" s="1" t="s">
        <v>3565</v>
      </c>
      <c r="B10" s="42" t="s">
        <v>3566</v>
      </c>
      <c r="C10" s="42" t="s">
        <v>3567</v>
      </c>
      <c r="D10" s="42" t="s">
        <v>16</v>
      </c>
      <c r="E10" s="47" t="s">
        <v>2111</v>
      </c>
      <c r="F10" s="47">
        <v>5817</v>
      </c>
      <c r="G10" s="47"/>
      <c r="H10" s="47">
        <v>2960</v>
      </c>
      <c r="I10" s="47">
        <v>60</v>
      </c>
      <c r="J10" s="47">
        <v>0.13</v>
      </c>
      <c r="K10" s="43">
        <f t="shared" ref="K10" si="5">I10*J10</f>
        <v>7.8000000000000007</v>
      </c>
      <c r="L10" s="43">
        <f t="shared" ref="L10" si="6">H10-K10</f>
        <v>2952.2</v>
      </c>
      <c r="M10" s="43"/>
      <c r="N10" s="43">
        <f t="shared" ref="N10" si="7">L10-M10</f>
        <v>2952.2</v>
      </c>
      <c r="O10" s="43">
        <f t="shared" ref="O10" si="8">H10/1000*70</f>
        <v>207.2</v>
      </c>
      <c r="P10" s="42"/>
      <c r="Q10" s="42">
        <v>14</v>
      </c>
      <c r="R10" s="42">
        <f t="shared" ref="R10" si="9">L10*Q10</f>
        <v>41330.799999999996</v>
      </c>
    </row>
    <row r="14" spans="1:20">
      <c r="A14" s="1" t="s">
        <v>3702</v>
      </c>
      <c r="B14" s="42" t="s">
        <v>3589</v>
      </c>
      <c r="C14" s="42" t="s">
        <v>3567</v>
      </c>
      <c r="D14" s="42" t="s">
        <v>16</v>
      </c>
      <c r="E14" s="47" t="s">
        <v>1452</v>
      </c>
      <c r="F14" s="47">
        <v>211</v>
      </c>
      <c r="G14" s="47"/>
      <c r="H14" s="47">
        <v>3740</v>
      </c>
      <c r="I14" s="47">
        <f>H14/50</f>
        <v>74.8</v>
      </c>
      <c r="J14" s="47"/>
      <c r="K14" s="43">
        <f t="shared" ref="K14" si="10">I14*J14</f>
        <v>0</v>
      </c>
      <c r="L14" s="43">
        <f t="shared" ref="L14" si="11">H14-K14</f>
        <v>3740</v>
      </c>
      <c r="M14" s="43"/>
      <c r="N14" s="43">
        <f t="shared" ref="N14" si="12">L14-M14</f>
        <v>3740</v>
      </c>
      <c r="O14" s="43">
        <v>0</v>
      </c>
      <c r="P14" s="42">
        <v>0</v>
      </c>
      <c r="Q14" s="42">
        <f>47347/3737.31</f>
        <v>12.668737674958727</v>
      </c>
      <c r="R14" s="42">
        <f t="shared" ref="R14" si="13">L14*Q14</f>
        <v>47381.078904345639</v>
      </c>
    </row>
    <row r="16" spans="1:20">
      <c r="A16" s="1" t="s">
        <v>3705</v>
      </c>
      <c r="B16" s="42" t="s">
        <v>3589</v>
      </c>
      <c r="C16" s="42" t="s">
        <v>3246</v>
      </c>
      <c r="D16" s="42" t="s">
        <v>16</v>
      </c>
      <c r="E16" s="47" t="s">
        <v>835</v>
      </c>
      <c r="F16" s="47">
        <v>176</v>
      </c>
      <c r="G16" s="47"/>
      <c r="H16" s="47">
        <v>460</v>
      </c>
      <c r="I16" s="47">
        <v>2</v>
      </c>
      <c r="J16" s="47">
        <v>10</v>
      </c>
      <c r="K16" s="43">
        <f t="shared" ref="K16" si="14">I16*J16</f>
        <v>20</v>
      </c>
      <c r="L16" s="43">
        <f t="shared" ref="L16" si="15">H16-K16</f>
        <v>440</v>
      </c>
      <c r="M16" s="43"/>
      <c r="N16" s="43">
        <f t="shared" ref="N16" si="16">L16-M16</f>
        <v>440</v>
      </c>
      <c r="O16" s="43">
        <f t="shared" ref="O16" si="17">H16/1000*70</f>
        <v>32.200000000000003</v>
      </c>
      <c r="P16" s="42">
        <v>0</v>
      </c>
      <c r="Q16" s="42"/>
      <c r="R16" s="42">
        <f t="shared" ref="R16" si="18">L16*Q16</f>
        <v>0</v>
      </c>
      <c r="S16" s="42"/>
    </row>
    <row r="18" spans="1:18">
      <c r="A18" s="1" t="s">
        <v>2252</v>
      </c>
      <c r="B18" s="42" t="s">
        <v>3589</v>
      </c>
      <c r="C18" s="42" t="s">
        <v>3567</v>
      </c>
      <c r="D18" s="42" t="s">
        <v>16</v>
      </c>
      <c r="E18" s="47" t="s">
        <v>1452</v>
      </c>
      <c r="F18" s="47">
        <v>182</v>
      </c>
      <c r="G18" s="47"/>
      <c r="H18" s="47">
        <v>4674</v>
      </c>
      <c r="I18" s="47">
        <v>94</v>
      </c>
      <c r="J18" s="47"/>
      <c r="K18" s="43">
        <f t="shared" ref="K18" si="19">I18*J18</f>
        <v>0</v>
      </c>
      <c r="L18" s="43">
        <f t="shared" ref="L18" si="20">H18-K18</f>
        <v>4674</v>
      </c>
      <c r="M18" s="43"/>
      <c r="N18" s="43">
        <f t="shared" ref="N18" si="21">L18-M18</f>
        <v>4674</v>
      </c>
      <c r="O18" s="43">
        <v>0</v>
      </c>
      <c r="P18" s="42">
        <v>2500</v>
      </c>
      <c r="Q18" s="50">
        <f>64094/4674</f>
        <v>13.712879760376552</v>
      </c>
      <c r="R18" s="42">
        <f t="shared" ref="R18" si="22">L18*Q18</f>
        <v>64094.000000000007</v>
      </c>
    </row>
    <row r="20" spans="1:18">
      <c r="A20" s="1" t="s">
        <v>3960</v>
      </c>
      <c r="B20" s="338" t="s">
        <v>3961</v>
      </c>
      <c r="C20" s="338" t="s">
        <v>3567</v>
      </c>
      <c r="D20" s="42" t="s">
        <v>16</v>
      </c>
      <c r="E20" s="338" t="s">
        <v>449</v>
      </c>
      <c r="F20" s="338">
        <v>312</v>
      </c>
      <c r="G20" s="338"/>
      <c r="H20" s="338">
        <v>13600</v>
      </c>
      <c r="I20" s="338">
        <v>272</v>
      </c>
      <c r="J20" s="338"/>
      <c r="K20" s="43">
        <f t="shared" ref="K20" si="23">I20*J20</f>
        <v>0</v>
      </c>
      <c r="L20" s="43">
        <f t="shared" ref="L20" si="24">H20-K20</f>
        <v>13600</v>
      </c>
      <c r="M20" s="43"/>
      <c r="N20" s="43">
        <f t="shared" ref="N20" si="25">L20-M20</f>
        <v>13600</v>
      </c>
      <c r="O20" s="43">
        <v>0</v>
      </c>
      <c r="P20" s="42">
        <v>0</v>
      </c>
      <c r="Q20" s="42">
        <v>15.75</v>
      </c>
      <c r="R20" s="42">
        <f t="shared" ref="R20" si="26">L20*Q20</f>
        <v>214200</v>
      </c>
    </row>
    <row r="22" spans="1:18">
      <c r="A22" s="1" t="s">
        <v>3966</v>
      </c>
      <c r="B22" s="340" t="s">
        <v>3589</v>
      </c>
      <c r="C22" s="340" t="s">
        <v>3567</v>
      </c>
      <c r="D22" s="42" t="s">
        <v>16</v>
      </c>
      <c r="E22" s="340" t="s">
        <v>1452</v>
      </c>
      <c r="F22" s="340">
        <v>217</v>
      </c>
      <c r="G22" s="340"/>
      <c r="H22" s="340">
        <v>4180</v>
      </c>
      <c r="I22" s="340">
        <v>84</v>
      </c>
      <c r="J22" s="340"/>
      <c r="K22" s="43">
        <f t="shared" ref="K22" si="27">I22*J22</f>
        <v>0</v>
      </c>
      <c r="L22" s="43">
        <f t="shared" ref="L22" si="28">H22-K22</f>
        <v>4180</v>
      </c>
      <c r="M22" s="43"/>
      <c r="N22" s="43">
        <f t="shared" ref="N22" si="29">L22-M22</f>
        <v>4180</v>
      </c>
      <c r="O22" s="43">
        <f t="shared" ref="O22" si="30">H22/1000*70</f>
        <v>292.59999999999997</v>
      </c>
      <c r="P22" s="50">
        <v>0</v>
      </c>
      <c r="Q22" s="50">
        <f>58772/4180</f>
        <v>14.060287081339713</v>
      </c>
      <c r="R22" s="42">
        <f t="shared" ref="R22" si="31">L22*Q22</f>
        <v>58772</v>
      </c>
    </row>
    <row r="24" spans="1:18">
      <c r="A24" s="1" t="s">
        <v>3975</v>
      </c>
      <c r="B24" s="345" t="s">
        <v>3961</v>
      </c>
      <c r="C24" s="345" t="s">
        <v>3567</v>
      </c>
      <c r="D24" s="42" t="s">
        <v>16</v>
      </c>
      <c r="E24" s="345" t="s">
        <v>666</v>
      </c>
      <c r="F24" s="345">
        <v>330</v>
      </c>
      <c r="G24" s="345"/>
      <c r="H24" s="345">
        <v>16370</v>
      </c>
      <c r="I24" s="345">
        <v>310</v>
      </c>
      <c r="J24" s="345"/>
      <c r="K24" s="43">
        <f t="shared" ref="K24" si="32">I24*J24</f>
        <v>0</v>
      </c>
      <c r="L24" s="43">
        <f t="shared" ref="L24" si="33">H24-K24</f>
        <v>16370</v>
      </c>
      <c r="M24" s="43"/>
      <c r="N24" s="43">
        <f t="shared" ref="N24" si="34">L24-M24</f>
        <v>16370</v>
      </c>
      <c r="O24" s="43">
        <v>0</v>
      </c>
      <c r="P24" s="42">
        <v>7000</v>
      </c>
      <c r="Q24" s="42">
        <v>15.75</v>
      </c>
      <c r="R24" s="42">
        <f t="shared" ref="R24" si="35">L24*Q24</f>
        <v>257827.5</v>
      </c>
    </row>
    <row r="26" spans="1:18">
      <c r="A26" s="1" t="s">
        <v>4045</v>
      </c>
      <c r="B26" s="357" t="s">
        <v>3961</v>
      </c>
      <c r="C26" s="357" t="s">
        <v>3567</v>
      </c>
      <c r="D26" s="42" t="s">
        <v>16</v>
      </c>
      <c r="E26" s="357" t="s">
        <v>4047</v>
      </c>
      <c r="F26" s="357">
        <v>388</v>
      </c>
      <c r="G26" s="357">
        <v>2896</v>
      </c>
      <c r="H26" s="357">
        <v>13550</v>
      </c>
      <c r="I26" s="357">
        <v>300</v>
      </c>
      <c r="J26" s="357"/>
      <c r="K26" s="43">
        <f t="shared" ref="K26" si="36">I26*J26</f>
        <v>0</v>
      </c>
      <c r="L26" s="43">
        <f t="shared" ref="L26" si="37">H26-K26</f>
        <v>13550</v>
      </c>
      <c r="M26" s="43"/>
      <c r="N26" s="43">
        <f t="shared" ref="N26" si="38">L26-M26</f>
        <v>13550</v>
      </c>
      <c r="O26" s="43">
        <v>0</v>
      </c>
      <c r="P26" s="42">
        <v>7000</v>
      </c>
      <c r="Q26" s="42">
        <v>15.75</v>
      </c>
      <c r="R26" s="42">
        <f t="shared" ref="R26" si="39">L26*Q26</f>
        <v>213412.5</v>
      </c>
    </row>
    <row r="28" spans="1:18">
      <c r="A28" s="1" t="s">
        <v>4062</v>
      </c>
      <c r="B28" s="359" t="s">
        <v>3961</v>
      </c>
      <c r="C28" s="359" t="s">
        <v>3567</v>
      </c>
      <c r="D28" s="42" t="s">
        <v>16</v>
      </c>
      <c r="E28" s="359" t="s">
        <v>4065</v>
      </c>
      <c r="F28" s="359">
        <v>1</v>
      </c>
      <c r="G28" s="359"/>
      <c r="H28" s="359">
        <v>12200</v>
      </c>
      <c r="I28" s="359">
        <v>270</v>
      </c>
      <c r="J28" s="359"/>
      <c r="K28" s="43">
        <f t="shared" ref="K28" si="40">I28*J28</f>
        <v>0</v>
      </c>
      <c r="L28" s="43">
        <f t="shared" ref="L28" si="41">H28-K28</f>
        <v>12200</v>
      </c>
      <c r="M28" s="43"/>
      <c r="N28" s="43">
        <f t="shared" ref="N28" si="42">L28-M28</f>
        <v>12200</v>
      </c>
      <c r="O28" s="43">
        <v>0</v>
      </c>
      <c r="P28" s="42">
        <v>7000</v>
      </c>
      <c r="Q28" s="42"/>
      <c r="R28" s="42">
        <f t="shared" ref="R28" si="43">L28*Q28</f>
        <v>0</v>
      </c>
    </row>
    <row r="30" spans="1:18">
      <c r="A30" s="1" t="s">
        <v>2472</v>
      </c>
      <c r="B30" s="360" t="s">
        <v>3961</v>
      </c>
      <c r="C30" s="360" t="s">
        <v>3567</v>
      </c>
      <c r="D30" s="42" t="s">
        <v>16</v>
      </c>
      <c r="E30" s="360" t="s">
        <v>4073</v>
      </c>
      <c r="F30" s="360">
        <v>8</v>
      </c>
      <c r="G30" s="360"/>
      <c r="H30" s="360">
        <v>12820</v>
      </c>
      <c r="I30" s="360">
        <v>400</v>
      </c>
      <c r="J30" s="360"/>
      <c r="K30" s="43">
        <f t="shared" ref="K30" si="44">I30*J30</f>
        <v>0</v>
      </c>
      <c r="L30" s="43">
        <f t="shared" ref="L30" si="45">H30-K30</f>
        <v>12820</v>
      </c>
      <c r="M30" s="43"/>
      <c r="N30" s="43">
        <f t="shared" ref="N30" si="46">L30-M30</f>
        <v>12820</v>
      </c>
      <c r="O30" s="43">
        <v>0</v>
      </c>
      <c r="P30" s="42">
        <v>8000</v>
      </c>
      <c r="Q30" s="42">
        <v>15.75</v>
      </c>
      <c r="R30" s="42">
        <f t="shared" ref="R30" si="47">L30*Q30</f>
        <v>201915</v>
      </c>
    </row>
    <row r="32" spans="1:18">
      <c r="A32" s="374" t="s">
        <v>4076</v>
      </c>
      <c r="B32" s="366" t="s">
        <v>3961</v>
      </c>
      <c r="C32" s="366" t="s">
        <v>3567</v>
      </c>
      <c r="D32" s="42" t="s">
        <v>16</v>
      </c>
      <c r="E32" s="366" t="s">
        <v>4079</v>
      </c>
      <c r="F32" s="366">
        <v>11</v>
      </c>
      <c r="G32" s="366"/>
      <c r="H32" s="366">
        <v>12070</v>
      </c>
      <c r="I32" s="366">
        <v>300</v>
      </c>
      <c r="J32" s="366"/>
      <c r="K32" s="366">
        <f t="shared" ref="K32:K33" si="48">I32*J32</f>
        <v>0</v>
      </c>
      <c r="L32" s="364">
        <f t="shared" ref="L32:L33" si="49">H32-K32</f>
        <v>12070</v>
      </c>
      <c r="M32" s="364"/>
      <c r="N32" s="364">
        <f t="shared" ref="N32:N33" si="50">L32-M32</f>
        <v>12070</v>
      </c>
      <c r="O32" s="43">
        <v>0</v>
      </c>
      <c r="P32" s="366">
        <v>6500</v>
      </c>
      <c r="Q32" s="190">
        <v>15.75</v>
      </c>
      <c r="R32" s="366">
        <f t="shared" ref="R32:R33" si="51">L32*Q32</f>
        <v>190102.5</v>
      </c>
    </row>
    <row r="33" spans="1:18">
      <c r="A33" s="374"/>
      <c r="B33" s="366" t="s">
        <v>3589</v>
      </c>
      <c r="C33" s="366" t="s">
        <v>3567</v>
      </c>
      <c r="D33" s="42" t="s">
        <v>16</v>
      </c>
      <c r="E33" s="366" t="s">
        <v>4080</v>
      </c>
      <c r="F33" s="366">
        <v>232</v>
      </c>
      <c r="G33" s="366"/>
      <c r="H33" s="366">
        <v>7330</v>
      </c>
      <c r="I33" s="366">
        <f>H33/50</f>
        <v>146.6</v>
      </c>
      <c r="J33" s="366"/>
      <c r="K33" s="366">
        <f t="shared" si="48"/>
        <v>0</v>
      </c>
      <c r="L33" s="364">
        <f t="shared" si="49"/>
        <v>7330</v>
      </c>
      <c r="M33" s="364"/>
      <c r="N33" s="364">
        <f t="shared" si="50"/>
        <v>7330</v>
      </c>
      <c r="O33" s="43">
        <v>0</v>
      </c>
      <c r="P33" s="366">
        <v>0</v>
      </c>
      <c r="Q33" s="190">
        <f>101655/7330</f>
        <v>13.868349249658936</v>
      </c>
      <c r="R33" s="366">
        <f t="shared" si="51"/>
        <v>101655</v>
      </c>
    </row>
    <row r="35" spans="1:18">
      <c r="A35" s="1" t="s">
        <v>4082</v>
      </c>
      <c r="B35" s="366" t="s">
        <v>3961</v>
      </c>
      <c r="C35" s="366" t="s">
        <v>3567</v>
      </c>
      <c r="D35" s="42" t="s">
        <v>16</v>
      </c>
      <c r="E35" s="366" t="s">
        <v>4083</v>
      </c>
      <c r="F35" s="366">
        <v>14</v>
      </c>
      <c r="G35" s="366"/>
      <c r="H35" s="366">
        <v>11890</v>
      </c>
      <c r="I35" s="366">
        <v>300</v>
      </c>
      <c r="J35" s="366"/>
      <c r="K35" s="366">
        <f t="shared" ref="K35" si="52">I35*J35</f>
        <v>0</v>
      </c>
      <c r="L35" s="364">
        <f t="shared" ref="L35" si="53">H35-K35</f>
        <v>11890</v>
      </c>
      <c r="M35" s="364"/>
      <c r="N35" s="364">
        <f t="shared" ref="N35" si="54">L35-M35</f>
        <v>11890</v>
      </c>
      <c r="O35" s="43">
        <v>0</v>
      </c>
      <c r="P35" s="366">
        <v>6500</v>
      </c>
      <c r="Q35" s="190">
        <v>15.75</v>
      </c>
      <c r="R35" s="366">
        <f t="shared" ref="R35" si="55">L35*Q35</f>
        <v>187267.5</v>
      </c>
    </row>
  </sheetData>
  <mergeCells count="1">
    <mergeCell ref="A32:A33"/>
  </mergeCells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>
  <dimension ref="A5:T27"/>
  <sheetViews>
    <sheetView topLeftCell="A13" workbookViewId="0">
      <selection activeCell="A28" sqref="A28"/>
    </sheetView>
  </sheetViews>
  <sheetFormatPr defaultRowHeight="14.4"/>
  <cols>
    <col min="1" max="1" width="8.88671875" style="1"/>
    <col min="2" max="2" width="21.6640625" style="1" customWidth="1"/>
    <col min="3" max="3" width="12.44140625" style="1" customWidth="1"/>
    <col min="4" max="4" width="5.5546875" style="1" customWidth="1"/>
    <col min="5" max="5" width="8.88671875" style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0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0">
      <c r="A6" s="7"/>
      <c r="B6" s="314"/>
      <c r="C6" s="314"/>
      <c r="D6" s="314"/>
      <c r="E6" s="314"/>
      <c r="F6" s="314"/>
      <c r="G6" s="314"/>
      <c r="H6" s="314"/>
      <c r="I6" s="314"/>
      <c r="J6" s="314"/>
      <c r="K6" s="5"/>
      <c r="L6" s="19"/>
      <c r="M6" s="5"/>
      <c r="N6" s="314"/>
    </row>
    <row r="8" spans="1:20">
      <c r="A8" s="1" t="s">
        <v>3407</v>
      </c>
      <c r="B8" s="42" t="s">
        <v>3412</v>
      </c>
      <c r="C8" s="42" t="s">
        <v>3413</v>
      </c>
      <c r="D8" s="42" t="s">
        <v>16</v>
      </c>
      <c r="E8" s="47" t="s">
        <v>835</v>
      </c>
      <c r="F8" s="47">
        <v>425</v>
      </c>
      <c r="G8" s="47"/>
      <c r="H8" s="47">
        <v>160</v>
      </c>
      <c r="I8" s="47">
        <v>4</v>
      </c>
      <c r="J8" s="47"/>
      <c r="K8" s="43">
        <f t="shared" ref="K8" si="0">I8*J8</f>
        <v>0</v>
      </c>
      <c r="L8" s="43">
        <f t="shared" ref="L8" si="1">H8-K8</f>
        <v>160</v>
      </c>
      <c r="M8" s="43"/>
      <c r="N8" s="43">
        <f t="shared" ref="N8" si="2">L8-M8</f>
        <v>160</v>
      </c>
      <c r="O8" s="43">
        <v>0</v>
      </c>
      <c r="P8" s="42">
        <v>0</v>
      </c>
      <c r="Q8" s="42">
        <f>6000/160</f>
        <v>37.5</v>
      </c>
      <c r="R8" s="42">
        <f t="shared" ref="R8" si="3">L8*Q8</f>
        <v>6000</v>
      </c>
    </row>
    <row r="10" spans="1:20">
      <c r="A10" s="1" t="s">
        <v>3419</v>
      </c>
      <c r="B10" s="42" t="s">
        <v>215</v>
      </c>
      <c r="C10" s="42" t="s">
        <v>3413</v>
      </c>
      <c r="D10" s="42" t="s">
        <v>16</v>
      </c>
      <c r="E10" s="47" t="s">
        <v>835</v>
      </c>
      <c r="F10" s="47">
        <v>171</v>
      </c>
      <c r="G10" s="47"/>
      <c r="H10" s="47">
        <v>510</v>
      </c>
      <c r="I10" s="47">
        <v>14</v>
      </c>
      <c r="J10" s="47"/>
      <c r="K10" s="43">
        <f t="shared" ref="K10" si="4">I10*J10</f>
        <v>0</v>
      </c>
      <c r="L10" s="43">
        <f t="shared" ref="L10" si="5">H10-K10</f>
        <v>510</v>
      </c>
      <c r="M10" s="43"/>
      <c r="N10" s="43">
        <f t="shared" ref="N10" si="6">L10-M10</f>
        <v>510</v>
      </c>
      <c r="O10" s="43">
        <v>0</v>
      </c>
      <c r="P10" s="42">
        <v>0</v>
      </c>
      <c r="Q10" s="42">
        <f>16260/510</f>
        <v>31.882352941176471</v>
      </c>
      <c r="R10" s="42">
        <f t="shared" ref="R10" si="7">L10*Q10</f>
        <v>16260</v>
      </c>
      <c r="S10" s="42"/>
    </row>
    <row r="12" spans="1:20">
      <c r="B12" s="42" t="s">
        <v>215</v>
      </c>
      <c r="C12" s="42" t="s">
        <v>3413</v>
      </c>
      <c r="D12" s="42" t="s">
        <v>16</v>
      </c>
      <c r="E12" s="47" t="s">
        <v>3432</v>
      </c>
      <c r="F12" s="47">
        <v>172</v>
      </c>
      <c r="G12" s="47"/>
      <c r="H12" s="47">
        <v>550</v>
      </c>
      <c r="I12" s="47">
        <v>10</v>
      </c>
      <c r="J12" s="47"/>
      <c r="K12" s="43">
        <f t="shared" ref="K12" si="8">I12*J12</f>
        <v>0</v>
      </c>
      <c r="L12" s="43">
        <f t="shared" ref="L12" si="9">H12-K12</f>
        <v>550</v>
      </c>
      <c r="M12" s="43"/>
      <c r="N12" s="43">
        <f t="shared" ref="N12" si="10">L12-M12</f>
        <v>550</v>
      </c>
      <c r="O12" s="43">
        <v>0</v>
      </c>
      <c r="P12" s="42">
        <v>0</v>
      </c>
      <c r="Q12" s="50">
        <f>17800/550</f>
        <v>32.363636363636367</v>
      </c>
      <c r="R12" s="42">
        <f t="shared" ref="R12" si="11">L12*Q12</f>
        <v>17800</v>
      </c>
    </row>
    <row r="14" spans="1:20">
      <c r="A14" s="1" t="s">
        <v>3438</v>
      </c>
      <c r="B14" s="42" t="s">
        <v>215</v>
      </c>
      <c r="C14" s="42" t="s">
        <v>3413</v>
      </c>
      <c r="D14" s="42" t="s">
        <v>16</v>
      </c>
      <c r="E14" s="47" t="s">
        <v>1078</v>
      </c>
      <c r="F14" s="47">
        <v>174</v>
      </c>
      <c r="G14" s="47"/>
      <c r="H14" s="47">
        <v>1100</v>
      </c>
      <c r="I14" s="47">
        <v>20</v>
      </c>
      <c r="J14" s="47"/>
      <c r="K14" s="43">
        <f t="shared" ref="K14" si="12">I14*J14</f>
        <v>0</v>
      </c>
      <c r="L14" s="43">
        <f t="shared" ref="L14" si="13">H14-K14</f>
        <v>1100</v>
      </c>
      <c r="M14" s="43"/>
      <c r="N14" s="43">
        <f t="shared" ref="N14" si="14">L14-M14</f>
        <v>1100</v>
      </c>
      <c r="O14" s="43">
        <v>0</v>
      </c>
      <c r="P14" s="42">
        <v>0</v>
      </c>
      <c r="Q14" s="50">
        <f>35410/1100</f>
        <v>32.190909090909088</v>
      </c>
      <c r="R14" s="42">
        <f t="shared" ref="R14" si="15">L14*Q14</f>
        <v>35410</v>
      </c>
    </row>
    <row r="16" spans="1:20">
      <c r="A16" s="374" t="s">
        <v>3444</v>
      </c>
      <c r="B16" s="42" t="s">
        <v>3448</v>
      </c>
      <c r="C16" s="42" t="s">
        <v>3413</v>
      </c>
      <c r="D16" s="42" t="s">
        <v>16</v>
      </c>
      <c r="E16" s="47" t="s">
        <v>835</v>
      </c>
      <c r="F16" s="47">
        <v>423</v>
      </c>
      <c r="G16" s="47"/>
      <c r="H16" s="47">
        <v>100</v>
      </c>
      <c r="I16" s="47">
        <v>4</v>
      </c>
      <c r="J16" s="47"/>
      <c r="K16" s="43">
        <f t="shared" ref="K16:K17" si="16">I16*J16</f>
        <v>0</v>
      </c>
      <c r="L16" s="43">
        <f t="shared" ref="L16:L17" si="17">H16-K16</f>
        <v>100</v>
      </c>
      <c r="M16" s="43"/>
      <c r="N16" s="43">
        <f t="shared" ref="N16:N17" si="18">L16-M16</f>
        <v>100</v>
      </c>
      <c r="O16" s="43">
        <v>0</v>
      </c>
      <c r="P16" s="42">
        <v>0</v>
      </c>
      <c r="Q16" s="42">
        <f>4000/100</f>
        <v>40</v>
      </c>
      <c r="R16" s="42">
        <f t="shared" ref="R16:R17" si="19">L16*Q16</f>
        <v>4000</v>
      </c>
    </row>
    <row r="17" spans="1:19">
      <c r="A17" s="374"/>
      <c r="B17" s="42" t="s">
        <v>3449</v>
      </c>
      <c r="C17" s="42" t="s">
        <v>3450</v>
      </c>
      <c r="D17" s="42" t="s">
        <v>16</v>
      </c>
      <c r="E17" s="47" t="s">
        <v>835</v>
      </c>
      <c r="F17" s="47">
        <v>178</v>
      </c>
      <c r="G17" s="47"/>
      <c r="H17" s="47">
        <v>15.5</v>
      </c>
      <c r="I17" s="47">
        <v>1</v>
      </c>
      <c r="J17" s="47"/>
      <c r="K17" s="43">
        <f t="shared" si="16"/>
        <v>0</v>
      </c>
      <c r="L17" s="43">
        <f t="shared" si="17"/>
        <v>15.5</v>
      </c>
      <c r="M17" s="43"/>
      <c r="N17" s="43">
        <f t="shared" si="18"/>
        <v>15.5</v>
      </c>
      <c r="O17" s="43">
        <f t="shared" ref="O17" si="20">H17/1000*70</f>
        <v>1.085</v>
      </c>
      <c r="P17" s="42">
        <v>0</v>
      </c>
      <c r="Q17" s="50">
        <f>1317/15.5</f>
        <v>84.967741935483872</v>
      </c>
      <c r="R17" s="42">
        <f t="shared" si="19"/>
        <v>1317</v>
      </c>
    </row>
    <row r="19" spans="1:19">
      <c r="A19" s="1" t="s">
        <v>3499</v>
      </c>
      <c r="B19" s="42" t="s">
        <v>215</v>
      </c>
      <c r="C19" s="42" t="s">
        <v>3413</v>
      </c>
      <c r="D19" s="42" t="s">
        <v>16</v>
      </c>
      <c r="E19" s="47" t="s">
        <v>3317</v>
      </c>
      <c r="F19" s="47">
        <v>182</v>
      </c>
      <c r="G19" s="47"/>
      <c r="H19" s="47">
        <v>1180</v>
      </c>
      <c r="I19" s="47">
        <v>22</v>
      </c>
      <c r="J19" s="47"/>
      <c r="K19" s="43">
        <f t="shared" ref="K19" si="21">I19*J19</f>
        <v>0</v>
      </c>
      <c r="L19" s="43">
        <f t="shared" ref="L19" si="22">H19-K19</f>
        <v>1180</v>
      </c>
      <c r="M19" s="43"/>
      <c r="N19" s="43">
        <f t="shared" ref="N19" si="23">L19-M19</f>
        <v>1180</v>
      </c>
      <c r="O19" s="43">
        <v>0</v>
      </c>
      <c r="P19" s="42">
        <v>0</v>
      </c>
      <c r="Q19" s="42">
        <f>40930/1180</f>
        <v>34.686440677966104</v>
      </c>
      <c r="R19" s="42">
        <f t="shared" ref="R19" si="24">L19*Q19</f>
        <v>40930</v>
      </c>
    </row>
    <row r="21" spans="1:19">
      <c r="A21" s="1" t="s">
        <v>3582</v>
      </c>
      <c r="B21" s="42" t="s">
        <v>215</v>
      </c>
      <c r="C21" s="42" t="s">
        <v>3413</v>
      </c>
      <c r="D21" s="42" t="s">
        <v>16</v>
      </c>
      <c r="E21" s="47" t="s">
        <v>835</v>
      </c>
      <c r="F21" s="47">
        <v>184</v>
      </c>
      <c r="G21" s="47"/>
      <c r="H21" s="47">
        <v>510</v>
      </c>
      <c r="I21" s="47">
        <v>14</v>
      </c>
      <c r="J21" s="47"/>
      <c r="K21" s="43">
        <f t="shared" ref="K21" si="25">I21*J21</f>
        <v>0</v>
      </c>
      <c r="L21" s="43">
        <f t="shared" ref="L21" si="26">H21-K21</f>
        <v>510</v>
      </c>
      <c r="M21" s="43"/>
      <c r="N21" s="43">
        <f t="shared" ref="N21" si="27">L21-M21</f>
        <v>510</v>
      </c>
      <c r="O21" s="43">
        <v>0</v>
      </c>
      <c r="P21" s="42">
        <v>0</v>
      </c>
      <c r="Q21" s="50">
        <f>16870/510</f>
        <v>33.078431372549019</v>
      </c>
      <c r="R21" s="42">
        <f t="shared" ref="R21" si="28">L21*Q21</f>
        <v>16870</v>
      </c>
    </row>
    <row r="23" spans="1:19">
      <c r="A23" s="1" t="s">
        <v>3632</v>
      </c>
      <c r="B23" s="42" t="s">
        <v>215</v>
      </c>
      <c r="C23" s="42" t="s">
        <v>3413</v>
      </c>
      <c r="D23" s="42" t="s">
        <v>16</v>
      </c>
      <c r="E23" s="47" t="s">
        <v>835</v>
      </c>
      <c r="F23" s="47">
        <v>139</v>
      </c>
      <c r="G23" s="47"/>
      <c r="H23" s="47">
        <v>370</v>
      </c>
      <c r="I23" s="47">
        <v>7</v>
      </c>
      <c r="J23" s="47"/>
      <c r="K23" s="43">
        <f t="shared" ref="K23" si="29">I23*J23</f>
        <v>0</v>
      </c>
      <c r="L23" s="43">
        <f t="shared" ref="L23" si="30">H23-K23</f>
        <v>370</v>
      </c>
      <c r="M23" s="43"/>
      <c r="N23" s="43">
        <f t="shared" ref="N23" si="31">L23-M23</f>
        <v>370</v>
      </c>
      <c r="O23" s="43">
        <v>0</v>
      </c>
      <c r="P23" s="42">
        <v>0</v>
      </c>
      <c r="Q23" s="50">
        <f>12030/370</f>
        <v>32.513513513513516</v>
      </c>
      <c r="R23" s="42">
        <f t="shared" ref="R23" si="32">L23*Q23</f>
        <v>12030</v>
      </c>
      <c r="S23" s="42"/>
    </row>
    <row r="25" spans="1:19">
      <c r="A25" s="1" t="s">
        <v>3643</v>
      </c>
      <c r="B25" s="42" t="s">
        <v>215</v>
      </c>
      <c r="C25" s="42" t="s">
        <v>3413</v>
      </c>
      <c r="D25" s="42" t="s">
        <v>16</v>
      </c>
      <c r="E25" s="47" t="s">
        <v>835</v>
      </c>
      <c r="F25" s="47">
        <v>1333</v>
      </c>
      <c r="G25" s="47"/>
      <c r="H25" s="47">
        <v>520</v>
      </c>
      <c r="I25" s="47">
        <v>14</v>
      </c>
      <c r="J25" s="47"/>
      <c r="K25" s="43">
        <f t="shared" ref="K25" si="33">I25*J25</f>
        <v>0</v>
      </c>
      <c r="L25" s="43">
        <f t="shared" ref="L25" si="34">H25-K25</f>
        <v>520</v>
      </c>
      <c r="M25" s="43"/>
      <c r="N25" s="43">
        <f t="shared" ref="N25" si="35">L25-M25</f>
        <v>520</v>
      </c>
      <c r="O25" s="43">
        <v>0</v>
      </c>
      <c r="P25" s="42">
        <v>0</v>
      </c>
      <c r="Q25" s="50">
        <f>15812/520</f>
        <v>30.407692307692308</v>
      </c>
      <c r="R25" s="42">
        <f t="shared" ref="R25" si="36">L25*Q25</f>
        <v>15812</v>
      </c>
    </row>
    <row r="27" spans="1:19">
      <c r="A27" s="1" t="s">
        <v>3966</v>
      </c>
      <c r="B27" s="340" t="s">
        <v>3967</v>
      </c>
      <c r="C27" s="340" t="s">
        <v>3413</v>
      </c>
      <c r="D27" s="42" t="s">
        <v>16</v>
      </c>
      <c r="E27" s="340" t="s">
        <v>1127</v>
      </c>
      <c r="F27" s="340">
        <v>441</v>
      </c>
      <c r="G27" s="340"/>
      <c r="H27" s="340">
        <v>37</v>
      </c>
      <c r="I27" s="340">
        <v>1</v>
      </c>
      <c r="J27" s="340"/>
      <c r="K27" s="43">
        <f t="shared" ref="K27" si="37">I27*J27</f>
        <v>0</v>
      </c>
      <c r="L27" s="43">
        <f t="shared" ref="L27" si="38">H27-K27</f>
        <v>37</v>
      </c>
      <c r="M27" s="43"/>
      <c r="N27" s="43">
        <f t="shared" ref="N27" si="39">L27-M27</f>
        <v>37</v>
      </c>
      <c r="O27" s="43">
        <v>0</v>
      </c>
      <c r="P27" s="42">
        <v>0</v>
      </c>
      <c r="Q27" s="50">
        <f>1120/37</f>
        <v>30.27027027027027</v>
      </c>
      <c r="R27" s="42">
        <f t="shared" ref="R27" si="40">L27*Q27</f>
        <v>1120</v>
      </c>
    </row>
  </sheetData>
  <mergeCells count="1">
    <mergeCell ref="A16:A17"/>
  </mergeCells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>
  <dimension ref="A5:T31"/>
  <sheetViews>
    <sheetView topLeftCell="A13" workbookViewId="0">
      <selection activeCell="A32" sqref="A32"/>
    </sheetView>
  </sheetViews>
  <sheetFormatPr defaultRowHeight="14.4"/>
  <cols>
    <col min="1" max="1" width="8.88671875" style="1"/>
    <col min="2" max="2" width="21.6640625" style="1" customWidth="1"/>
    <col min="3" max="3" width="12.44140625" style="1" customWidth="1"/>
    <col min="4" max="4" width="5.5546875" style="1" customWidth="1"/>
    <col min="5" max="5" width="8.88671875" style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0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0">
      <c r="A6" s="7"/>
      <c r="B6" s="321"/>
      <c r="C6" s="321"/>
      <c r="D6" s="321"/>
      <c r="E6" s="321"/>
      <c r="F6" s="321"/>
      <c r="G6" s="321"/>
      <c r="H6" s="321"/>
      <c r="I6" s="321"/>
      <c r="J6" s="321"/>
      <c r="K6" s="5"/>
      <c r="L6" s="19"/>
      <c r="M6" s="5"/>
      <c r="N6" s="321"/>
    </row>
    <row r="9" spans="1:20" ht="15.6">
      <c r="A9" s="1" t="s">
        <v>3760</v>
      </c>
      <c r="B9" s="42" t="s">
        <v>3765</v>
      </c>
      <c r="C9" s="42" t="s">
        <v>3766</v>
      </c>
      <c r="D9" s="42" t="s">
        <v>16</v>
      </c>
      <c r="E9" s="47" t="s">
        <v>2419</v>
      </c>
      <c r="F9" s="47">
        <v>8533</v>
      </c>
      <c r="G9" s="47"/>
      <c r="H9" s="47">
        <v>5040</v>
      </c>
      <c r="I9" s="47">
        <v>112</v>
      </c>
      <c r="J9" s="47"/>
      <c r="K9" s="43">
        <f t="shared" ref="K9" si="0">I9*J9</f>
        <v>0</v>
      </c>
      <c r="L9" s="43">
        <f t="shared" ref="L9" si="1">H9-K9</f>
        <v>5040</v>
      </c>
      <c r="M9" s="43"/>
      <c r="N9" s="43">
        <f t="shared" ref="N9" si="2">L9-M9</f>
        <v>5040</v>
      </c>
      <c r="O9" s="43">
        <v>0</v>
      </c>
      <c r="P9" s="42">
        <v>0</v>
      </c>
      <c r="Q9" s="50">
        <f>56000/5040</f>
        <v>11.111111111111111</v>
      </c>
      <c r="R9" s="42">
        <f t="shared" ref="R9" si="3">L9*Q9</f>
        <v>56000</v>
      </c>
      <c r="S9" s="85" t="s">
        <v>3768</v>
      </c>
    </row>
    <row r="11" spans="1:20">
      <c r="A11" s="1" t="s">
        <v>3790</v>
      </c>
      <c r="B11" s="42" t="s">
        <v>3765</v>
      </c>
      <c r="C11" s="42" t="s">
        <v>3766</v>
      </c>
      <c r="D11" s="42" t="s">
        <v>16</v>
      </c>
      <c r="E11" s="47" t="s">
        <v>666</v>
      </c>
      <c r="F11" s="47">
        <v>2817</v>
      </c>
      <c r="G11" s="47"/>
      <c r="H11" s="47">
        <v>13580</v>
      </c>
      <c r="I11" s="47">
        <v>300</v>
      </c>
      <c r="J11" s="47"/>
      <c r="K11" s="43">
        <f t="shared" ref="K11" si="4">I11*J11</f>
        <v>0</v>
      </c>
      <c r="L11" s="43">
        <f t="shared" ref="L11" si="5">H11-K11</f>
        <v>13580</v>
      </c>
      <c r="M11" s="43"/>
      <c r="N11" s="43">
        <f t="shared" ref="N11" si="6">L11-M11</f>
        <v>13580</v>
      </c>
      <c r="O11" s="43">
        <v>0</v>
      </c>
      <c r="P11" s="42">
        <v>5000</v>
      </c>
      <c r="Q11" s="42">
        <v>11.42</v>
      </c>
      <c r="R11" s="42">
        <f t="shared" ref="R11" si="7">L11*Q11</f>
        <v>155083.6</v>
      </c>
      <c r="S11" s="85"/>
    </row>
    <row r="13" spans="1:20">
      <c r="A13" s="1" t="s">
        <v>3821</v>
      </c>
      <c r="B13" s="42" t="s">
        <v>3765</v>
      </c>
      <c r="C13" s="42" t="s">
        <v>3766</v>
      </c>
      <c r="D13" s="42" t="s">
        <v>16</v>
      </c>
      <c r="E13" s="47" t="s">
        <v>2762</v>
      </c>
      <c r="F13" s="47">
        <v>5581</v>
      </c>
      <c r="G13" s="47"/>
      <c r="H13" s="47">
        <v>13520</v>
      </c>
      <c r="I13" s="47">
        <v>300</v>
      </c>
      <c r="J13" s="47"/>
      <c r="K13" s="43">
        <f t="shared" ref="K13" si="8">I13*J13</f>
        <v>0</v>
      </c>
      <c r="L13" s="43">
        <f t="shared" ref="L13" si="9">H13-K13</f>
        <v>13520</v>
      </c>
      <c r="M13" s="43"/>
      <c r="N13" s="43">
        <f t="shared" ref="N13" si="10">L13-M13</f>
        <v>13520</v>
      </c>
      <c r="O13" s="43">
        <v>0</v>
      </c>
      <c r="P13" s="42">
        <v>5000</v>
      </c>
      <c r="Q13" s="42">
        <v>11.47</v>
      </c>
      <c r="R13" s="42">
        <f t="shared" ref="R13" si="11">L13*Q13</f>
        <v>155074.4</v>
      </c>
    </row>
    <row r="15" spans="1:20">
      <c r="A15" s="1" t="s">
        <v>3849</v>
      </c>
      <c r="B15" s="42" t="s">
        <v>3765</v>
      </c>
      <c r="C15" s="42" t="s">
        <v>3766</v>
      </c>
      <c r="D15" s="42" t="s">
        <v>16</v>
      </c>
      <c r="E15" s="47" t="s">
        <v>2419</v>
      </c>
      <c r="F15" s="47">
        <v>13106</v>
      </c>
      <c r="G15" s="47"/>
      <c r="H15" s="47">
        <v>13540</v>
      </c>
      <c r="I15" s="47">
        <v>300</v>
      </c>
      <c r="J15" s="47"/>
      <c r="K15" s="43">
        <f t="shared" ref="K15" si="12">I15*J15</f>
        <v>0</v>
      </c>
      <c r="L15" s="43">
        <f t="shared" ref="L15" si="13">H15-K15</f>
        <v>13540</v>
      </c>
      <c r="M15" s="43"/>
      <c r="N15" s="43">
        <f t="shared" ref="N15" si="14">L15-M15</f>
        <v>13540</v>
      </c>
      <c r="O15" s="43">
        <v>0</v>
      </c>
      <c r="P15" s="42">
        <v>5000</v>
      </c>
      <c r="Q15" s="42">
        <v>12.12</v>
      </c>
      <c r="R15" s="42">
        <f t="shared" ref="R15" si="15">L15*Q15</f>
        <v>164104.79999999999</v>
      </c>
    </row>
    <row r="17" spans="1:18">
      <c r="A17" s="1" t="s">
        <v>3870</v>
      </c>
      <c r="B17" s="42" t="s">
        <v>3765</v>
      </c>
      <c r="C17" s="42" t="s">
        <v>3766</v>
      </c>
      <c r="D17" s="42" t="s">
        <v>16</v>
      </c>
      <c r="E17" s="47" t="s">
        <v>666</v>
      </c>
      <c r="F17" s="47">
        <v>13107</v>
      </c>
      <c r="G17" s="47"/>
      <c r="H17" s="47">
        <v>13560</v>
      </c>
      <c r="I17" s="47">
        <v>300</v>
      </c>
      <c r="J17" s="47"/>
      <c r="K17" s="43">
        <f t="shared" ref="K17" si="16">I17*J17</f>
        <v>0</v>
      </c>
      <c r="L17" s="43">
        <f t="shared" ref="L17" si="17">H17-K17</f>
        <v>13560</v>
      </c>
      <c r="M17" s="43"/>
      <c r="N17" s="43">
        <f t="shared" ref="N17" si="18">L17-M17</f>
        <v>13560</v>
      </c>
      <c r="O17" s="43">
        <f t="shared" ref="O17" si="19">H17/1000*70</f>
        <v>949.2</v>
      </c>
      <c r="P17" s="42">
        <v>5000</v>
      </c>
      <c r="Q17" s="42">
        <v>12.09</v>
      </c>
      <c r="R17" s="42">
        <f t="shared" ref="R17" si="20">L17*Q17</f>
        <v>163940.4</v>
      </c>
    </row>
    <row r="19" spans="1:18">
      <c r="A19" s="1" t="s">
        <v>3896</v>
      </c>
      <c r="B19" s="327" t="s">
        <v>3765</v>
      </c>
      <c r="C19" s="327" t="s">
        <v>3766</v>
      </c>
      <c r="D19" s="42" t="s">
        <v>16</v>
      </c>
      <c r="E19" s="327" t="s">
        <v>666</v>
      </c>
      <c r="F19" s="327">
        <v>13135</v>
      </c>
      <c r="G19" s="327"/>
      <c r="H19" s="327">
        <v>13560</v>
      </c>
      <c r="I19" s="327">
        <v>300</v>
      </c>
      <c r="J19" s="327"/>
      <c r="K19" s="43">
        <f t="shared" ref="K19" si="21">I19*J19</f>
        <v>0</v>
      </c>
      <c r="L19" s="43">
        <f t="shared" ref="L19" si="22">H19-K19</f>
        <v>13560</v>
      </c>
      <c r="M19" s="43"/>
      <c r="N19" s="43">
        <f t="shared" ref="N19" si="23">L19-M19</f>
        <v>13560</v>
      </c>
      <c r="O19" s="43">
        <v>0</v>
      </c>
      <c r="P19" s="42">
        <v>5000</v>
      </c>
      <c r="Q19" s="42">
        <v>12.54</v>
      </c>
      <c r="R19" s="42">
        <f t="shared" ref="R19" si="24">L19*Q19</f>
        <v>170042.4</v>
      </c>
    </row>
    <row r="21" spans="1:18">
      <c r="A21" s="1" t="s">
        <v>3926</v>
      </c>
      <c r="B21" s="329" t="s">
        <v>3927</v>
      </c>
      <c r="C21" s="329" t="s">
        <v>3928</v>
      </c>
      <c r="D21" s="42" t="s">
        <v>16</v>
      </c>
      <c r="E21" s="329" t="s">
        <v>666</v>
      </c>
      <c r="F21" s="329">
        <v>13144</v>
      </c>
      <c r="G21" s="329"/>
      <c r="H21" s="329">
        <v>13560</v>
      </c>
      <c r="I21" s="329">
        <v>300</v>
      </c>
      <c r="J21" s="329">
        <v>0</v>
      </c>
      <c r="K21" s="43">
        <f t="shared" ref="K21" si="25">I21*J21</f>
        <v>0</v>
      </c>
      <c r="L21" s="43">
        <f t="shared" ref="L21" si="26">H21-K21</f>
        <v>13560</v>
      </c>
      <c r="M21" s="43"/>
      <c r="N21" s="43">
        <f t="shared" ref="N21" si="27">L21-M21</f>
        <v>13560</v>
      </c>
      <c r="O21" s="43">
        <v>0</v>
      </c>
      <c r="P21" s="42">
        <v>5000</v>
      </c>
      <c r="Q21" s="42">
        <v>12.54</v>
      </c>
      <c r="R21" s="42">
        <f t="shared" ref="R21" si="28">L21*Q21</f>
        <v>170042.4</v>
      </c>
    </row>
    <row r="23" spans="1:18">
      <c r="A23" s="1" t="s">
        <v>3957</v>
      </c>
      <c r="B23" s="337" t="s">
        <v>3927</v>
      </c>
      <c r="C23" s="337" t="s">
        <v>3928</v>
      </c>
      <c r="D23" s="42" t="s">
        <v>16</v>
      </c>
      <c r="E23" s="337" t="s">
        <v>323</v>
      </c>
      <c r="F23" s="337">
        <v>13164</v>
      </c>
      <c r="G23" s="337"/>
      <c r="H23" s="337">
        <v>13530</v>
      </c>
      <c r="I23" s="337">
        <v>300</v>
      </c>
      <c r="J23" s="337"/>
      <c r="K23" s="43">
        <f t="shared" ref="K23" si="29">I23*J23</f>
        <v>0</v>
      </c>
      <c r="L23" s="43">
        <f t="shared" ref="L23" si="30">H23-K23</f>
        <v>13530</v>
      </c>
      <c r="M23" s="43"/>
      <c r="N23" s="43">
        <f t="shared" ref="N23" si="31">L23-M23</f>
        <v>13530</v>
      </c>
      <c r="O23" s="43">
        <v>0</v>
      </c>
      <c r="P23" s="42">
        <v>5000</v>
      </c>
      <c r="Q23" s="42">
        <v>12.57</v>
      </c>
      <c r="R23" s="42">
        <f t="shared" ref="R23" si="32">L23*Q23</f>
        <v>170072.1</v>
      </c>
    </row>
    <row r="25" spans="1:18">
      <c r="A25" s="1" t="s">
        <v>3963</v>
      </c>
      <c r="B25" s="338" t="s">
        <v>3927</v>
      </c>
      <c r="C25" s="338" t="s">
        <v>3928</v>
      </c>
      <c r="D25" s="42" t="s">
        <v>16</v>
      </c>
      <c r="E25" s="338" t="s">
        <v>449</v>
      </c>
      <c r="F25" s="338">
        <v>13172</v>
      </c>
      <c r="G25" s="338"/>
      <c r="H25" s="338">
        <v>13550</v>
      </c>
      <c r="I25" s="338">
        <v>300</v>
      </c>
      <c r="J25" s="338"/>
      <c r="K25" s="43">
        <f t="shared" ref="K25" si="33">I25*J25</f>
        <v>0</v>
      </c>
      <c r="L25" s="43">
        <f t="shared" ref="L25" si="34">H25-K25</f>
        <v>13550</v>
      </c>
      <c r="M25" s="43"/>
      <c r="N25" s="43">
        <f t="shared" ref="N25" si="35">L25-M25</f>
        <v>13550</v>
      </c>
      <c r="O25" s="43">
        <v>0</v>
      </c>
      <c r="P25" s="42">
        <v>5000</v>
      </c>
      <c r="Q25" s="42">
        <v>12.54</v>
      </c>
      <c r="R25" s="42">
        <f t="shared" ref="R25" si="36">L25*Q25</f>
        <v>169917</v>
      </c>
    </row>
    <row r="27" spans="1:18">
      <c r="A27" s="1" t="s">
        <v>4009</v>
      </c>
      <c r="B27" s="348" t="s">
        <v>3927</v>
      </c>
      <c r="C27" s="348" t="s">
        <v>3928</v>
      </c>
      <c r="D27" s="42" t="s">
        <v>16</v>
      </c>
      <c r="E27" s="348" t="s">
        <v>449</v>
      </c>
      <c r="F27" s="348">
        <v>0</v>
      </c>
      <c r="G27" s="348"/>
      <c r="H27" s="348">
        <v>13500</v>
      </c>
      <c r="I27" s="348">
        <v>300</v>
      </c>
      <c r="J27" s="348"/>
      <c r="K27" s="43">
        <f t="shared" ref="K27" si="37">I27*J27</f>
        <v>0</v>
      </c>
      <c r="L27" s="43">
        <f t="shared" ref="L27" si="38">H27-K27</f>
        <v>13500</v>
      </c>
      <c r="M27" s="43"/>
      <c r="N27" s="43">
        <f t="shared" ref="N27" si="39">L27-M27</f>
        <v>13500</v>
      </c>
      <c r="O27" s="43">
        <v>0</v>
      </c>
      <c r="P27" s="42">
        <v>5000</v>
      </c>
      <c r="Q27" s="42">
        <v>12.59</v>
      </c>
      <c r="R27" s="42">
        <f t="shared" ref="R27" si="40">L27*Q27</f>
        <v>169965</v>
      </c>
    </row>
    <row r="29" spans="1:18">
      <c r="A29" s="1" t="s">
        <v>4038</v>
      </c>
      <c r="B29" s="357" t="s">
        <v>3927</v>
      </c>
      <c r="C29" s="357" t="s">
        <v>3928</v>
      </c>
      <c r="D29" s="42" t="s">
        <v>16</v>
      </c>
      <c r="E29" s="357" t="s">
        <v>449</v>
      </c>
      <c r="F29" s="357">
        <v>7926</v>
      </c>
      <c r="G29" s="357"/>
      <c r="H29" s="357">
        <v>13490</v>
      </c>
      <c r="I29" s="357">
        <v>300</v>
      </c>
      <c r="J29" s="357"/>
      <c r="K29" s="43">
        <f t="shared" ref="K29" si="41">I29*J29</f>
        <v>0</v>
      </c>
      <c r="L29" s="43">
        <f t="shared" ref="L29" si="42">H29-K29</f>
        <v>13490</v>
      </c>
      <c r="M29" s="43"/>
      <c r="N29" s="43">
        <f t="shared" ref="N29" si="43">L29-M29</f>
        <v>13490</v>
      </c>
      <c r="O29" s="43">
        <v>0</v>
      </c>
      <c r="P29" s="42">
        <v>5500</v>
      </c>
      <c r="Q29" s="42">
        <v>13.75</v>
      </c>
      <c r="R29" s="42">
        <f t="shared" ref="R29" si="44">L29*Q29</f>
        <v>185487.5</v>
      </c>
    </row>
    <row r="31" spans="1:18">
      <c r="A31" s="1" t="s">
        <v>4068</v>
      </c>
      <c r="B31" s="359" t="s">
        <v>3927</v>
      </c>
      <c r="C31" s="359" t="s">
        <v>3928</v>
      </c>
      <c r="D31" s="42" t="s">
        <v>16</v>
      </c>
      <c r="E31" s="359" t="s">
        <v>2419</v>
      </c>
      <c r="F31" s="359">
        <v>7950</v>
      </c>
      <c r="G31" s="359"/>
      <c r="H31" s="359">
        <v>13520</v>
      </c>
      <c r="I31" s="359">
        <v>300</v>
      </c>
      <c r="J31" s="359"/>
      <c r="K31" s="43">
        <f t="shared" ref="K31" si="45">I31*J31</f>
        <v>0</v>
      </c>
      <c r="L31" s="43">
        <f t="shared" ref="L31" si="46">H31-K31</f>
        <v>13520</v>
      </c>
      <c r="M31" s="43"/>
      <c r="N31" s="43">
        <f t="shared" ref="N31" si="47">L31-M31</f>
        <v>13520</v>
      </c>
      <c r="O31" s="43">
        <v>0</v>
      </c>
      <c r="P31" s="42">
        <v>5500</v>
      </c>
      <c r="Q31" s="42">
        <v>14.39</v>
      </c>
      <c r="R31" s="42">
        <f t="shared" ref="R31" si="48">L31*Q31</f>
        <v>194552.80000000002</v>
      </c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>
  <dimension ref="A5:T12"/>
  <sheetViews>
    <sheetView topLeftCell="A4" workbookViewId="0">
      <selection activeCell="A13" sqref="A13"/>
    </sheetView>
  </sheetViews>
  <sheetFormatPr defaultRowHeight="14.4"/>
  <cols>
    <col min="1" max="1" width="8.88671875" style="1"/>
    <col min="2" max="2" width="21.6640625" style="1" customWidth="1"/>
    <col min="3" max="3" width="12.44140625" style="1" customWidth="1"/>
    <col min="4" max="4" width="5.5546875" style="1" customWidth="1"/>
    <col min="5" max="5" width="8.88671875" style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0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0">
      <c r="A6" s="7"/>
      <c r="B6" s="321"/>
      <c r="C6" s="321"/>
      <c r="D6" s="321"/>
      <c r="E6" s="321"/>
      <c r="F6" s="321"/>
      <c r="G6" s="321"/>
      <c r="H6" s="321"/>
      <c r="I6" s="321"/>
      <c r="J6" s="321"/>
      <c r="K6" s="5"/>
      <c r="L6" s="19"/>
      <c r="M6" s="5"/>
      <c r="N6" s="321"/>
    </row>
    <row r="9" spans="1:20" ht="15.6">
      <c r="A9" s="374" t="s">
        <v>3760</v>
      </c>
      <c r="B9" s="42" t="s">
        <v>3767</v>
      </c>
      <c r="C9" s="42" t="s">
        <v>3766</v>
      </c>
      <c r="D9" s="42" t="s">
        <v>16</v>
      </c>
      <c r="E9" s="47" t="s">
        <v>2419</v>
      </c>
      <c r="F9" s="47">
        <v>869</v>
      </c>
      <c r="G9" s="47"/>
      <c r="H9" s="47">
        <v>9110</v>
      </c>
      <c r="I9" s="47">
        <v>200</v>
      </c>
      <c r="J9" s="47"/>
      <c r="K9" s="43">
        <f t="shared" ref="K9:K10" si="0">I9*J9</f>
        <v>0</v>
      </c>
      <c r="L9" s="43">
        <f t="shared" ref="L9:L10" si="1">H9-K9</f>
        <v>9110</v>
      </c>
      <c r="M9" s="43"/>
      <c r="N9" s="43">
        <f t="shared" ref="N9:N10" si="2">L9-M9</f>
        <v>9110</v>
      </c>
      <c r="O9" s="43">
        <v>0</v>
      </c>
      <c r="P9" s="42">
        <v>5000</v>
      </c>
      <c r="Q9" s="42">
        <v>11.97</v>
      </c>
      <c r="R9" s="42">
        <f t="shared" ref="R9:R10" si="3">L9*Q9</f>
        <v>109046.70000000001</v>
      </c>
      <c r="S9" s="85" t="s">
        <v>3769</v>
      </c>
    </row>
    <row r="10" spans="1:20" ht="15.6">
      <c r="A10" s="374"/>
      <c r="B10" s="42" t="s">
        <v>3767</v>
      </c>
      <c r="C10" s="42" t="s">
        <v>3766</v>
      </c>
      <c r="D10" s="42" t="s">
        <v>16</v>
      </c>
      <c r="E10" s="47" t="s">
        <v>2762</v>
      </c>
      <c r="F10" s="47">
        <v>870</v>
      </c>
      <c r="G10" s="47"/>
      <c r="H10" s="47">
        <v>15210</v>
      </c>
      <c r="I10" s="47">
        <v>334</v>
      </c>
      <c r="J10" s="47"/>
      <c r="K10" s="43">
        <f t="shared" si="0"/>
        <v>0</v>
      </c>
      <c r="L10" s="43">
        <f t="shared" si="1"/>
        <v>15210</v>
      </c>
      <c r="M10" s="43"/>
      <c r="N10" s="43">
        <f t="shared" si="2"/>
        <v>15210</v>
      </c>
      <c r="O10" s="43">
        <v>0</v>
      </c>
      <c r="P10" s="42">
        <v>5000</v>
      </c>
      <c r="Q10" s="42">
        <v>11.75</v>
      </c>
      <c r="R10" s="42">
        <f t="shared" si="3"/>
        <v>178717.5</v>
      </c>
      <c r="S10" s="85" t="s">
        <v>3769</v>
      </c>
    </row>
    <row r="12" spans="1:20">
      <c r="A12" s="1" t="s">
        <v>4070</v>
      </c>
      <c r="B12" s="361" t="s">
        <v>4075</v>
      </c>
      <c r="C12" s="361" t="s">
        <v>3928</v>
      </c>
      <c r="D12" s="42" t="s">
        <v>16</v>
      </c>
      <c r="E12" s="361" t="s">
        <v>2419</v>
      </c>
      <c r="F12" s="361">
        <v>325</v>
      </c>
      <c r="G12" s="361"/>
      <c r="H12" s="361">
        <v>6410</v>
      </c>
      <c r="I12" s="361">
        <v>142</v>
      </c>
      <c r="J12" s="361"/>
      <c r="K12" s="361">
        <f t="shared" ref="K12" si="4">I12*J12</f>
        <v>0</v>
      </c>
      <c r="L12" s="364">
        <f t="shared" ref="L12" si="5">H12-K12</f>
        <v>6410</v>
      </c>
      <c r="M12" s="364"/>
      <c r="N12" s="364">
        <f t="shared" ref="N12" si="6">L12-M12</f>
        <v>6410</v>
      </c>
      <c r="O12" s="361">
        <v>0</v>
      </c>
      <c r="P12" s="361">
        <v>3500</v>
      </c>
      <c r="Q12" s="361">
        <v>14.05</v>
      </c>
      <c r="R12" s="361">
        <f t="shared" ref="R12" si="7">L12*Q12</f>
        <v>90060.5</v>
      </c>
    </row>
  </sheetData>
  <mergeCells count="1">
    <mergeCell ref="A9:A10"/>
  </mergeCells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>
  <dimension ref="A5:T27"/>
  <sheetViews>
    <sheetView topLeftCell="A13" workbookViewId="0">
      <selection activeCell="A28" sqref="A28"/>
    </sheetView>
  </sheetViews>
  <sheetFormatPr defaultRowHeight="14.4"/>
  <cols>
    <col min="1" max="1" width="8.88671875" style="1"/>
    <col min="2" max="2" width="25" style="1" customWidth="1"/>
    <col min="3" max="3" width="12.44140625" style="1" customWidth="1"/>
    <col min="4" max="4" width="5.5546875" style="1" customWidth="1"/>
    <col min="5" max="5" width="8.88671875" style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0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0">
      <c r="A6" s="7"/>
      <c r="B6" s="322"/>
      <c r="C6" s="322"/>
      <c r="D6" s="322"/>
      <c r="E6" s="322"/>
      <c r="F6" s="322"/>
      <c r="G6" s="322"/>
      <c r="H6" s="322"/>
      <c r="I6" s="322"/>
      <c r="J6" s="322"/>
      <c r="K6" s="5"/>
      <c r="L6" s="19"/>
      <c r="M6" s="5"/>
      <c r="N6" s="322"/>
    </row>
    <row r="10" spans="1:20">
      <c r="A10" s="374" t="s">
        <v>3849</v>
      </c>
      <c r="B10" s="42" t="s">
        <v>3853</v>
      </c>
      <c r="C10" s="42" t="s">
        <v>3854</v>
      </c>
      <c r="D10" s="42" t="s">
        <v>16</v>
      </c>
      <c r="E10" s="47" t="s">
        <v>3855</v>
      </c>
      <c r="F10" s="47">
        <v>447</v>
      </c>
      <c r="G10" s="47"/>
      <c r="H10" s="47">
        <v>880</v>
      </c>
      <c r="I10" s="47">
        <v>20</v>
      </c>
      <c r="J10" s="47"/>
      <c r="K10" s="43">
        <f t="shared" ref="K10:K11" si="0">I10*J10</f>
        <v>0</v>
      </c>
      <c r="L10" s="43">
        <f t="shared" ref="L10:L11" si="1">H10-K10</f>
        <v>880</v>
      </c>
      <c r="M10" s="43"/>
      <c r="N10" s="43">
        <f t="shared" ref="N10:N11" si="2">L10-M10</f>
        <v>880</v>
      </c>
      <c r="O10" s="43">
        <v>0</v>
      </c>
      <c r="P10" s="42">
        <v>650</v>
      </c>
      <c r="Q10" s="50">
        <f>13468/880</f>
        <v>15.304545454545455</v>
      </c>
      <c r="R10" s="42">
        <f t="shared" ref="R10:R11" si="3">L10*Q10</f>
        <v>13468</v>
      </c>
    </row>
    <row r="11" spans="1:20">
      <c r="A11" s="374"/>
      <c r="B11" s="42" t="s">
        <v>3853</v>
      </c>
      <c r="C11" s="42" t="s">
        <v>3854</v>
      </c>
      <c r="D11" s="42" t="s">
        <v>16</v>
      </c>
      <c r="E11" s="47" t="s">
        <v>835</v>
      </c>
      <c r="F11" s="47">
        <v>0</v>
      </c>
      <c r="G11" s="47"/>
      <c r="H11" s="47">
        <v>80</v>
      </c>
      <c r="I11" s="47">
        <v>2</v>
      </c>
      <c r="J11" s="47"/>
      <c r="K11" s="43">
        <f t="shared" si="0"/>
        <v>0</v>
      </c>
      <c r="L11" s="43">
        <f t="shared" si="1"/>
        <v>80</v>
      </c>
      <c r="M11" s="43"/>
      <c r="N11" s="43">
        <f t="shared" si="2"/>
        <v>80</v>
      </c>
      <c r="O11" s="43">
        <v>0</v>
      </c>
      <c r="P11" s="42">
        <v>160</v>
      </c>
      <c r="Q11" s="42">
        <f>18</f>
        <v>18</v>
      </c>
      <c r="R11" s="42">
        <f t="shared" si="3"/>
        <v>1440</v>
      </c>
    </row>
    <row r="13" spans="1:20">
      <c r="A13" s="374" t="s">
        <v>3975</v>
      </c>
      <c r="B13" s="345" t="s">
        <v>3976</v>
      </c>
      <c r="C13" s="345" t="s">
        <v>3977</v>
      </c>
      <c r="D13" s="42" t="s">
        <v>16</v>
      </c>
      <c r="E13" s="345" t="s">
        <v>3978</v>
      </c>
      <c r="F13" s="345">
        <v>109</v>
      </c>
      <c r="G13" s="345"/>
      <c r="H13" s="345">
        <v>17130</v>
      </c>
      <c r="I13" s="345">
        <v>220</v>
      </c>
      <c r="J13" s="345">
        <v>1</v>
      </c>
      <c r="K13" s="43">
        <v>220</v>
      </c>
      <c r="L13" s="43">
        <v>16910</v>
      </c>
      <c r="M13" s="43"/>
      <c r="N13" s="43">
        <v>16910</v>
      </c>
      <c r="O13" s="43">
        <v>0</v>
      </c>
      <c r="P13" s="42">
        <v>10500</v>
      </c>
      <c r="Q13" s="42">
        <v>14</v>
      </c>
      <c r="R13" s="42">
        <v>236740</v>
      </c>
    </row>
    <row r="14" spans="1:20">
      <c r="A14" s="374"/>
      <c r="B14" s="345" t="s">
        <v>3987</v>
      </c>
      <c r="C14" s="345" t="s">
        <v>3977</v>
      </c>
      <c r="D14" s="42" t="s">
        <v>16</v>
      </c>
      <c r="E14" s="345" t="s">
        <v>449</v>
      </c>
      <c r="F14" s="345">
        <v>124</v>
      </c>
      <c r="G14" s="345"/>
      <c r="H14" s="345">
        <v>12030</v>
      </c>
      <c r="I14" s="345">
        <v>292</v>
      </c>
      <c r="J14" s="345"/>
      <c r="K14" s="43">
        <v>0</v>
      </c>
      <c r="L14" s="43">
        <v>12030</v>
      </c>
      <c r="M14" s="43"/>
      <c r="N14" s="43">
        <v>12030</v>
      </c>
      <c r="O14" s="43">
        <v>0</v>
      </c>
      <c r="P14" s="42">
        <v>4500</v>
      </c>
      <c r="Q14" s="42">
        <v>15.21</v>
      </c>
      <c r="R14" s="42">
        <v>182976.30000000002</v>
      </c>
    </row>
    <row r="16" spans="1:20">
      <c r="A16" s="1" t="s">
        <v>3988</v>
      </c>
      <c r="B16" s="347" t="s">
        <v>3989</v>
      </c>
      <c r="C16" s="347" t="s">
        <v>3977</v>
      </c>
      <c r="D16" s="42" t="s">
        <v>16</v>
      </c>
      <c r="E16" s="347" t="s">
        <v>3855</v>
      </c>
      <c r="F16" s="347">
        <v>0</v>
      </c>
      <c r="G16" s="347"/>
      <c r="H16" s="347">
        <v>4130</v>
      </c>
      <c r="I16" s="347">
        <v>100</v>
      </c>
      <c r="J16" s="347"/>
      <c r="K16" s="43">
        <f t="shared" ref="K16" si="4">I16*J16</f>
        <v>0</v>
      </c>
      <c r="L16" s="43">
        <f t="shared" ref="L16" si="5">H16-K16</f>
        <v>4130</v>
      </c>
      <c r="M16" s="43"/>
      <c r="N16" s="43">
        <f t="shared" ref="N16" si="6">L16-M16</f>
        <v>4130</v>
      </c>
      <c r="O16" s="43">
        <v>0</v>
      </c>
      <c r="P16" s="42">
        <v>0</v>
      </c>
      <c r="Q16" s="50">
        <f>62600/4130</f>
        <v>15.157384987893462</v>
      </c>
      <c r="R16" s="42">
        <f t="shared" ref="R16" si="7">L16*Q16</f>
        <v>62600</v>
      </c>
    </row>
    <row r="18" spans="1:18">
      <c r="A18" s="1" t="s">
        <v>3995</v>
      </c>
      <c r="B18" s="348" t="s">
        <v>3989</v>
      </c>
      <c r="C18" s="348" t="s">
        <v>3977</v>
      </c>
      <c r="D18" s="42" t="s">
        <v>16</v>
      </c>
      <c r="E18" s="348" t="s">
        <v>835</v>
      </c>
      <c r="F18" s="348">
        <v>0</v>
      </c>
      <c r="G18" s="348"/>
      <c r="H18" s="348">
        <v>310</v>
      </c>
      <c r="I18" s="348"/>
      <c r="J18" s="348"/>
      <c r="K18" s="43">
        <f t="shared" ref="K18" si="8">I18*J18</f>
        <v>0</v>
      </c>
      <c r="L18" s="43">
        <f t="shared" ref="L18" si="9">H18-K18</f>
        <v>310</v>
      </c>
      <c r="M18" s="43"/>
      <c r="N18" s="43">
        <f t="shared" ref="N18" si="10">L18-M18</f>
        <v>310</v>
      </c>
      <c r="O18" s="43">
        <f t="shared" ref="O18" si="11">H18/1000*70</f>
        <v>21.7</v>
      </c>
      <c r="P18" s="42"/>
      <c r="Q18" s="42"/>
      <c r="R18" s="42">
        <f t="shared" ref="R18" si="12">L18*Q18</f>
        <v>0</v>
      </c>
    </row>
    <row r="20" spans="1:18">
      <c r="A20" s="53" t="s">
        <v>4041</v>
      </c>
      <c r="B20" s="357" t="s">
        <v>4042</v>
      </c>
      <c r="C20" s="357" t="s">
        <v>3977</v>
      </c>
      <c r="D20" s="42" t="s">
        <v>16</v>
      </c>
      <c r="E20" s="357" t="s">
        <v>4043</v>
      </c>
      <c r="F20" s="357">
        <v>4</v>
      </c>
      <c r="G20" s="357"/>
      <c r="H20" s="357">
        <v>18570</v>
      </c>
      <c r="I20" s="357">
        <v>240</v>
      </c>
      <c r="J20" s="357"/>
      <c r="K20" s="43">
        <v>0</v>
      </c>
      <c r="L20" s="43">
        <v>18570</v>
      </c>
      <c r="M20" s="43"/>
      <c r="N20" s="43">
        <v>18570</v>
      </c>
      <c r="O20" s="43">
        <v>0</v>
      </c>
      <c r="P20" s="42">
        <v>11000</v>
      </c>
      <c r="Q20" s="42">
        <v>17.52</v>
      </c>
      <c r="R20" s="42">
        <v>325346.39999999997</v>
      </c>
    </row>
    <row r="21" spans="1:18">
      <c r="A21" s="53" t="s">
        <v>4045</v>
      </c>
      <c r="B21" s="357" t="s">
        <v>4042</v>
      </c>
      <c r="C21" s="357" t="s">
        <v>3977</v>
      </c>
      <c r="D21" s="42" t="s">
        <v>16</v>
      </c>
      <c r="E21" s="357" t="s">
        <v>4046</v>
      </c>
      <c r="F21" s="357">
        <v>6</v>
      </c>
      <c r="G21" s="357"/>
      <c r="H21" s="357">
        <v>18500</v>
      </c>
      <c r="I21" s="357">
        <v>240</v>
      </c>
      <c r="J21" s="357"/>
      <c r="K21" s="43">
        <v>0</v>
      </c>
      <c r="L21" s="43">
        <v>18500</v>
      </c>
      <c r="M21" s="43"/>
      <c r="N21" s="43">
        <v>18500</v>
      </c>
      <c r="O21" s="43">
        <v>0</v>
      </c>
      <c r="P21" s="42">
        <v>11000</v>
      </c>
      <c r="Q21" s="42">
        <v>17.52</v>
      </c>
      <c r="R21" s="42">
        <v>324120</v>
      </c>
    </row>
    <row r="22" spans="1:18">
      <c r="A22" s="374" t="s">
        <v>4056</v>
      </c>
      <c r="B22" s="357" t="s">
        <v>4042</v>
      </c>
      <c r="C22" s="357" t="s">
        <v>3977</v>
      </c>
      <c r="D22" s="42" t="s">
        <v>16</v>
      </c>
      <c r="E22" s="357" t="s">
        <v>4046</v>
      </c>
      <c r="F22" s="357">
        <v>7</v>
      </c>
      <c r="G22" s="357"/>
      <c r="H22" s="357">
        <v>18530</v>
      </c>
      <c r="I22" s="357">
        <v>240</v>
      </c>
      <c r="J22" s="357"/>
      <c r="K22" s="43">
        <v>0</v>
      </c>
      <c r="L22" s="43">
        <v>18530</v>
      </c>
      <c r="M22" s="43"/>
      <c r="N22" s="43">
        <v>18530</v>
      </c>
      <c r="O22" s="43">
        <v>0</v>
      </c>
      <c r="P22" s="42">
        <v>11000</v>
      </c>
      <c r="Q22" s="42">
        <v>17.489999999999998</v>
      </c>
      <c r="R22" s="42">
        <v>324089.69999999995</v>
      </c>
    </row>
    <row r="23" spans="1:18">
      <c r="A23" s="374"/>
      <c r="B23" s="357" t="s">
        <v>4042</v>
      </c>
      <c r="C23" s="357" t="s">
        <v>3977</v>
      </c>
      <c r="D23" s="42" t="s">
        <v>16</v>
      </c>
      <c r="E23" s="357" t="s">
        <v>4043</v>
      </c>
      <c r="F23" s="357">
        <v>8</v>
      </c>
      <c r="G23" s="357"/>
      <c r="H23" s="357">
        <v>18590</v>
      </c>
      <c r="I23" s="357">
        <v>240</v>
      </c>
      <c r="J23" s="357"/>
      <c r="K23" s="43">
        <v>0</v>
      </c>
      <c r="L23" s="43">
        <v>18590</v>
      </c>
      <c r="M23" s="43"/>
      <c r="N23" s="43">
        <v>18590</v>
      </c>
      <c r="O23" s="43">
        <v>0</v>
      </c>
      <c r="P23" s="42">
        <v>11000</v>
      </c>
      <c r="Q23" s="42">
        <v>17.43</v>
      </c>
      <c r="R23" s="42">
        <v>324023.7</v>
      </c>
    </row>
    <row r="24" spans="1:18">
      <c r="A24" s="374" t="s">
        <v>4070</v>
      </c>
      <c r="B24" s="360" t="s">
        <v>4042</v>
      </c>
      <c r="C24" s="360" t="s">
        <v>3977</v>
      </c>
      <c r="D24" s="42" t="s">
        <v>16</v>
      </c>
      <c r="E24" s="360" t="s">
        <v>4071</v>
      </c>
      <c r="F24" s="360">
        <v>12</v>
      </c>
      <c r="G24" s="360"/>
      <c r="H24" s="360">
        <v>18150</v>
      </c>
      <c r="I24" s="360">
        <v>233</v>
      </c>
      <c r="J24" s="360"/>
      <c r="K24" s="43">
        <f t="shared" ref="K24:K27" si="13">I24*J24</f>
        <v>0</v>
      </c>
      <c r="L24" s="43">
        <f t="shared" ref="L24:L27" si="14">H24-K24</f>
        <v>18150</v>
      </c>
      <c r="M24" s="43"/>
      <c r="N24" s="43">
        <f t="shared" ref="N24:N27" si="15">L24-M24</f>
        <v>18150</v>
      </c>
      <c r="O24" s="43">
        <v>0</v>
      </c>
      <c r="P24" s="42">
        <v>10000</v>
      </c>
      <c r="Q24" s="42">
        <v>17.559999999999999</v>
      </c>
      <c r="R24" s="42">
        <f t="shared" ref="R24:R27" si="16">L24*Q24</f>
        <v>318714</v>
      </c>
    </row>
    <row r="25" spans="1:18">
      <c r="A25" s="374"/>
      <c r="B25" s="360" t="s">
        <v>4042</v>
      </c>
      <c r="C25" s="360" t="s">
        <v>3977</v>
      </c>
      <c r="D25" s="42" t="s">
        <v>16</v>
      </c>
      <c r="E25" s="360" t="s">
        <v>4071</v>
      </c>
      <c r="F25" s="360">
        <v>13</v>
      </c>
      <c r="G25" s="360"/>
      <c r="H25" s="360">
        <v>18520</v>
      </c>
      <c r="I25" s="360">
        <v>13</v>
      </c>
      <c r="J25" s="360"/>
      <c r="K25" s="43">
        <f t="shared" si="13"/>
        <v>0</v>
      </c>
      <c r="L25" s="43">
        <f t="shared" si="14"/>
        <v>18520</v>
      </c>
      <c r="M25" s="43"/>
      <c r="N25" s="43">
        <f t="shared" si="15"/>
        <v>18520</v>
      </c>
      <c r="O25" s="43">
        <v>0</v>
      </c>
      <c r="P25" s="42">
        <v>10500</v>
      </c>
      <c r="Q25" s="42">
        <v>17.559999999999999</v>
      </c>
      <c r="R25" s="42">
        <f t="shared" si="16"/>
        <v>325211.19999999995</v>
      </c>
    </row>
    <row r="26" spans="1:18">
      <c r="A26" s="374"/>
      <c r="B26" s="360" t="s">
        <v>4042</v>
      </c>
      <c r="C26" s="360" t="s">
        <v>3977</v>
      </c>
      <c r="D26" s="42" t="s">
        <v>16</v>
      </c>
      <c r="E26" s="360" t="s">
        <v>4072</v>
      </c>
      <c r="F26" s="360">
        <v>10</v>
      </c>
      <c r="G26" s="360"/>
      <c r="H26" s="360">
        <v>17350</v>
      </c>
      <c r="I26" s="360">
        <v>10</v>
      </c>
      <c r="J26" s="360"/>
      <c r="K26" s="43">
        <f t="shared" si="13"/>
        <v>0</v>
      </c>
      <c r="L26" s="43">
        <f t="shared" si="14"/>
        <v>17350</v>
      </c>
      <c r="M26" s="43"/>
      <c r="N26" s="43">
        <f t="shared" si="15"/>
        <v>17350</v>
      </c>
      <c r="O26" s="43">
        <v>0</v>
      </c>
      <c r="P26" s="42">
        <v>11000</v>
      </c>
      <c r="Q26" s="42">
        <v>17.559999999999999</v>
      </c>
      <c r="R26" s="42">
        <f t="shared" si="16"/>
        <v>304666</v>
      </c>
    </row>
    <row r="27" spans="1:18">
      <c r="A27" s="1" t="s">
        <v>4082</v>
      </c>
      <c r="B27" s="365" t="s">
        <v>4042</v>
      </c>
      <c r="C27" s="365" t="s">
        <v>3977</v>
      </c>
      <c r="D27" s="42" t="s">
        <v>16</v>
      </c>
      <c r="E27" s="366" t="s">
        <v>4046</v>
      </c>
      <c r="F27" s="366">
        <v>10</v>
      </c>
      <c r="G27" s="366"/>
      <c r="H27" s="366">
        <v>19210</v>
      </c>
      <c r="I27" s="366">
        <v>240</v>
      </c>
      <c r="J27" s="366"/>
      <c r="K27" s="366">
        <f t="shared" si="13"/>
        <v>0</v>
      </c>
      <c r="L27" s="364">
        <f t="shared" si="14"/>
        <v>19210</v>
      </c>
      <c r="M27" s="364"/>
      <c r="N27" s="364">
        <f t="shared" si="15"/>
        <v>19210</v>
      </c>
      <c r="O27" s="43">
        <v>0</v>
      </c>
      <c r="P27" s="366">
        <v>11000</v>
      </c>
      <c r="Q27" s="190">
        <f>337320/19210</f>
        <v>17.559604372722539</v>
      </c>
      <c r="R27" s="366">
        <f t="shared" si="16"/>
        <v>337320</v>
      </c>
    </row>
  </sheetData>
  <mergeCells count="4">
    <mergeCell ref="A10:A11"/>
    <mergeCell ref="A13:A14"/>
    <mergeCell ref="A22:A23"/>
    <mergeCell ref="A24:A26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265</vt:i4>
      </vt:variant>
    </vt:vector>
  </HeadingPairs>
  <TitlesOfParts>
    <vt:vector size="265" baseType="lpstr">
      <vt:lpstr>RM Received</vt:lpstr>
      <vt:lpstr>Shahin Pulm oil</vt:lpstr>
      <vt:lpstr>Zaman-Diesel</vt:lpstr>
      <vt:lpstr>Local-Diesel</vt:lpstr>
      <vt:lpstr>Ambea-Maize</vt:lpstr>
      <vt:lpstr>M A-Maize</vt:lpstr>
      <vt:lpstr>KFL(Ababil)-Maize</vt:lpstr>
      <vt:lpstr>Hazi-Maize</vt:lpstr>
      <vt:lpstr>Five-Maize</vt:lpstr>
      <vt:lpstr>Mugda-Maize</vt:lpstr>
      <vt:lpstr>SH-Maize</vt:lpstr>
      <vt:lpstr>Lotus-Maize</vt:lpstr>
      <vt:lpstr>Modina-Maize</vt:lpstr>
      <vt:lpstr>LC(KFL)-Maize</vt:lpstr>
      <vt:lpstr>Khadiza-Maize</vt:lpstr>
      <vt:lpstr>K Trad-Maize</vt:lpstr>
      <vt:lpstr>J M-Maize</vt:lpstr>
      <vt:lpstr>Abdullah-Maize</vt:lpstr>
      <vt:lpstr>Konabari-Maize</vt:lpstr>
      <vt:lpstr>Bonik-Maize</vt:lpstr>
      <vt:lpstr>Mondol-Maize</vt:lpstr>
      <vt:lpstr>Samayla-Maize</vt:lpstr>
      <vt:lpstr>Shahriar-Maize</vt:lpstr>
      <vt:lpstr>Rejwan-Maize</vt:lpstr>
      <vt:lpstr>Fariha-Maize</vt:lpstr>
      <vt:lpstr>Shimul-Maize</vt:lpstr>
      <vt:lpstr>Nurun-Maize</vt:lpstr>
      <vt:lpstr>Reduanur-Maize</vt:lpstr>
      <vt:lpstr>Aden-Maize</vt:lpstr>
      <vt:lpstr>Al Haj-Maize</vt:lpstr>
      <vt:lpstr>Oppo-Maize</vt:lpstr>
      <vt:lpstr>Siyam-Maize</vt:lpstr>
      <vt:lpstr>Arifa-Maize</vt:lpstr>
      <vt:lpstr>MHK-Maize</vt:lpstr>
      <vt:lpstr>MMN-Maize</vt:lpstr>
      <vt:lpstr>Al Modina-Maize</vt:lpstr>
      <vt:lpstr>Shodesh-Maize</vt:lpstr>
      <vt:lpstr>Rahmot -Maize</vt:lpstr>
      <vt:lpstr>Gold -Maize</vt:lpstr>
      <vt:lpstr>SR -Maize</vt:lpstr>
      <vt:lpstr>Bismilla -Maize</vt:lpstr>
      <vt:lpstr>Bishal -Maize</vt:lpstr>
      <vt:lpstr>MS -Maize</vt:lpstr>
      <vt:lpstr>Nishat-Maize</vt:lpstr>
      <vt:lpstr>MM-Maize</vt:lpstr>
      <vt:lpstr>LC (KFL)-RS</vt:lpstr>
      <vt:lpstr>LC (KFL)-RS (2)</vt:lpstr>
      <vt:lpstr>K Trading-RS</vt:lpstr>
      <vt:lpstr>Alal-RS</vt:lpstr>
      <vt:lpstr>A K-RS</vt:lpstr>
      <vt:lpstr>Dulal-FF</vt:lpstr>
      <vt:lpstr>J M T-FF</vt:lpstr>
      <vt:lpstr>Aden-FF</vt:lpstr>
      <vt:lpstr>Jaker-FF</vt:lpstr>
      <vt:lpstr>Aziz-FF</vt:lpstr>
      <vt:lpstr>K Trading-FF</vt:lpstr>
      <vt:lpstr>Shahin-SBM</vt:lpstr>
      <vt:lpstr>J M-SBM</vt:lpstr>
      <vt:lpstr>K.Firm-SBM</vt:lpstr>
      <vt:lpstr>MM-SBM</vt:lpstr>
      <vt:lpstr>KFL(Cash)-SBM</vt:lpstr>
      <vt:lpstr>Alal-SBM</vt:lpstr>
      <vt:lpstr>Shimul-SBM</vt:lpstr>
      <vt:lpstr>MH-SBM</vt:lpstr>
      <vt:lpstr>PCF-SBM</vt:lpstr>
      <vt:lpstr>K Trading-SBM</vt:lpstr>
      <vt:lpstr>Uniq Trading-SBM</vt:lpstr>
      <vt:lpstr>Modina-SBM</vt:lpstr>
      <vt:lpstr>Santa-SBM</vt:lpstr>
      <vt:lpstr>SMC-SBM</vt:lpstr>
      <vt:lpstr>Shahed-SBM</vt:lpstr>
      <vt:lpstr>Abdullah-SBM</vt:lpstr>
      <vt:lpstr>Salauddin-SBM</vt:lpstr>
      <vt:lpstr>Tomal-SBM</vt:lpstr>
      <vt:lpstr>Shaheen-SBM</vt:lpstr>
      <vt:lpstr>Nurnahar-SBM</vt:lpstr>
      <vt:lpstr>Mokka-SBM </vt:lpstr>
      <vt:lpstr>Gazi-SBM</vt:lpstr>
      <vt:lpstr>ESEL-SBM</vt:lpstr>
      <vt:lpstr>Sanjoy-SBM</vt:lpstr>
      <vt:lpstr>Dobir-SBM</vt:lpstr>
      <vt:lpstr>Reduanur-SBM</vt:lpstr>
      <vt:lpstr>Bonik-SBM </vt:lpstr>
      <vt:lpstr>MHK-SBM</vt:lpstr>
      <vt:lpstr>Shah-SBM</vt:lpstr>
      <vt:lpstr>A K-SBM</vt:lpstr>
      <vt:lpstr>Five-DORB</vt:lpstr>
      <vt:lpstr>MHK-DORB</vt:lpstr>
      <vt:lpstr>Lotus-DORB</vt:lpstr>
      <vt:lpstr>Alal-DORB</vt:lpstr>
      <vt:lpstr>MY-DORB</vt:lpstr>
      <vt:lpstr>Uttra-DORB</vt:lpstr>
      <vt:lpstr>MM-DORB</vt:lpstr>
      <vt:lpstr>PCF-DORB</vt:lpstr>
      <vt:lpstr>Salah-DORB</vt:lpstr>
      <vt:lpstr>K Trading-DORB</vt:lpstr>
      <vt:lpstr>LC (KFL)-DORB</vt:lpstr>
      <vt:lpstr>Abdullah-DORB</vt:lpstr>
      <vt:lpstr>MHK T-DORB</vt:lpstr>
      <vt:lpstr>Shefat-DORB</vt:lpstr>
      <vt:lpstr>J M-DORB</vt:lpstr>
      <vt:lpstr>LC(KFL)-DDGS</vt:lpstr>
      <vt:lpstr>KTrading-DDGS</vt:lpstr>
      <vt:lpstr>Modina-DDGS</vt:lpstr>
      <vt:lpstr>Modina p-DDGS</vt:lpstr>
      <vt:lpstr>SMC-DDGS</vt:lpstr>
      <vt:lpstr>ESEL-DDGS</vt:lpstr>
      <vt:lpstr>Sala-DDGS</vt:lpstr>
      <vt:lpstr>Sohodor-DDGS</vt:lpstr>
      <vt:lpstr>Sifat-DDGS</vt:lpstr>
      <vt:lpstr>MHK-DDGS</vt:lpstr>
      <vt:lpstr>MM-DDGS</vt:lpstr>
      <vt:lpstr>Chowdhury-DDGS</vt:lpstr>
      <vt:lpstr>P&amp;P DDGS</vt:lpstr>
      <vt:lpstr>LC-DDGS</vt:lpstr>
      <vt:lpstr>Gold-DDGS</vt:lpstr>
      <vt:lpstr>Alal-DDGS</vt:lpstr>
      <vt:lpstr>M A Haque-Atta</vt:lpstr>
      <vt:lpstr>MM-Atta</vt:lpstr>
      <vt:lpstr>Sultan-Atta</vt:lpstr>
      <vt:lpstr>National-Atta</vt:lpstr>
      <vt:lpstr>Shajal-Atta</vt:lpstr>
      <vt:lpstr>Lotus-Atta</vt:lpstr>
      <vt:lpstr>SH-Atta</vt:lpstr>
      <vt:lpstr>Ambea-Atta</vt:lpstr>
      <vt:lpstr>Uttra-Atta</vt:lpstr>
      <vt:lpstr>K Trading-Atta</vt:lpstr>
      <vt:lpstr>Abdullah-Atta</vt:lpstr>
      <vt:lpstr>Sonarbangla-Atta</vt:lpstr>
      <vt:lpstr>Mondol-Filter</vt:lpstr>
      <vt:lpstr>MM-MBM</vt:lpstr>
      <vt:lpstr>Gold-MBM</vt:lpstr>
      <vt:lpstr>Gold age-MBM</vt:lpstr>
      <vt:lpstr>Taquwa-MBM</vt:lpstr>
      <vt:lpstr>K Trading-vMBM</vt:lpstr>
      <vt:lpstr>Abdullah-MBM</vt:lpstr>
      <vt:lpstr>Nil-MBM</vt:lpstr>
      <vt:lpstr>ESEL-MBM</vt:lpstr>
      <vt:lpstr>Seaco-MBM</vt:lpstr>
      <vt:lpstr>Uttra Poultry</vt:lpstr>
      <vt:lpstr>K Trading Poultry</vt:lpstr>
      <vt:lpstr>Rana-P Meal</vt:lpstr>
      <vt:lpstr>Bay-Fish Meal</vt:lpstr>
      <vt:lpstr>Gold-Fish Meal</vt:lpstr>
      <vt:lpstr>LC(KFL)-CGM</vt:lpstr>
      <vt:lpstr>K Trading-CGM</vt:lpstr>
      <vt:lpstr>Uniq-CGM</vt:lpstr>
      <vt:lpstr>Naaf-CGM</vt:lpstr>
      <vt:lpstr>Gold-CGM</vt:lpstr>
      <vt:lpstr>Brother-CGM</vt:lpstr>
      <vt:lpstr>Abdullah- RP</vt:lpstr>
      <vt:lpstr>Khan- RP</vt:lpstr>
      <vt:lpstr>Konabari RP</vt:lpstr>
      <vt:lpstr>K T -RP</vt:lpstr>
      <vt:lpstr>ESEL -RP</vt:lpstr>
      <vt:lpstr>Ashia -RP</vt:lpstr>
      <vt:lpstr>Seaco -RP</vt:lpstr>
      <vt:lpstr>Mohamadia-LSP</vt:lpstr>
      <vt:lpstr>Mokka-LSP</vt:lpstr>
      <vt:lpstr>Lotus-LSP </vt:lpstr>
      <vt:lpstr>PK-LSP</vt:lpstr>
      <vt:lpstr>Mokka- LSG</vt:lpstr>
      <vt:lpstr>Shaharia- LSG </vt:lpstr>
      <vt:lpstr>Thouci- LSG</vt:lpstr>
      <vt:lpstr>Modina- LSG</vt:lpstr>
      <vt:lpstr>PK- LSG</vt:lpstr>
      <vt:lpstr>Tazan- LSG</vt:lpstr>
      <vt:lpstr>Gold- LSG</vt:lpstr>
      <vt:lpstr>KT- LSG</vt:lpstr>
      <vt:lpstr>LC- LSG</vt:lpstr>
      <vt:lpstr>City-molasses</vt:lpstr>
      <vt:lpstr>Shanta-molasses</vt:lpstr>
      <vt:lpstr>Orin-molasses</vt:lpstr>
      <vt:lpstr>LC(KFL)-Lysine</vt:lpstr>
      <vt:lpstr>Al Amin-Lysine</vt:lpstr>
      <vt:lpstr>Islam-Lysine</vt:lpstr>
      <vt:lpstr>Century-Zympex</vt:lpstr>
      <vt:lpstr>M A S-Intest</vt:lpstr>
      <vt:lpstr>LC-L Tryptophan</vt:lpstr>
      <vt:lpstr>LC-L Threonine</vt:lpstr>
      <vt:lpstr>LC-L Valine</vt:lpstr>
      <vt:lpstr>LC-MCP</vt:lpstr>
      <vt:lpstr>K Trading-MCP</vt:lpstr>
      <vt:lpstr>PCF-MCP</vt:lpstr>
      <vt:lpstr>Eon-MCP</vt:lpstr>
      <vt:lpstr>ACI-MCP</vt:lpstr>
      <vt:lpstr>Vet-DCP</vt:lpstr>
      <vt:lpstr>AR-DCP</vt:lpstr>
      <vt:lpstr>Nafco-MCP </vt:lpstr>
      <vt:lpstr>Modina Tra-MCP</vt:lpstr>
      <vt:lpstr>ACE-Immune</vt:lpstr>
      <vt:lpstr>Biopharma-C.Vitamin</vt:lpstr>
      <vt:lpstr>Jimes-Phytase</vt:lpstr>
      <vt:lpstr>Hoovers-Quantum</vt:lpstr>
      <vt:lpstr>Pharma-CC</vt:lpstr>
      <vt:lpstr>Kemin-Mold</vt:lpstr>
      <vt:lpstr>Sigma-Nutri</vt:lpstr>
      <vt:lpstr>Sigma-Mycocub</vt:lpstr>
      <vt:lpstr>Tazan-P Binder</vt:lpstr>
      <vt:lpstr>ACE-Immunowall</vt:lpstr>
      <vt:lpstr>AR-CC</vt:lpstr>
      <vt:lpstr>Phrarma-CC</vt:lpstr>
      <vt:lpstr>3 Option CC</vt:lpstr>
      <vt:lpstr>Breantic- Toxin</vt:lpstr>
      <vt:lpstr>LC- Toxin</vt:lpstr>
      <vt:lpstr>Payra- L.Vitamin</vt:lpstr>
      <vt:lpstr>Ample-Lipidol</vt:lpstr>
      <vt:lpstr>Innova-Natupro &amp; Natufact</vt:lpstr>
      <vt:lpstr>Doctor-Zycox</vt:lpstr>
      <vt:lpstr>Kazi-Antamix</vt:lpstr>
      <vt:lpstr>Century-Anti</vt:lpstr>
      <vt:lpstr>Adyan-Robabiotic</vt:lpstr>
      <vt:lpstr>Argon-Lipidin</vt:lpstr>
      <vt:lpstr>Modina-DL</vt:lpstr>
      <vt:lpstr>ACI-DL</vt:lpstr>
      <vt:lpstr>LC-DL</vt:lpstr>
      <vt:lpstr>Alltech- Mold</vt:lpstr>
      <vt:lpstr>Arif Bang- Hemicel</vt:lpstr>
      <vt:lpstr>Test Primix</vt:lpstr>
      <vt:lpstr>Arma-Magnesium</vt:lpstr>
      <vt:lpstr>Pabna-Magnesium</vt:lpstr>
      <vt:lpstr>JNS-Madura</vt:lpstr>
      <vt:lpstr>Bengl-Colistin</vt:lpstr>
      <vt:lpstr>Aver-Feed Like</vt:lpstr>
      <vt:lpstr>Propac</vt:lpstr>
      <vt:lpstr>Arif Propac</vt:lpstr>
      <vt:lpstr>ESEL Stafac</vt:lpstr>
      <vt:lpstr>Nature-Egg Extra</vt:lpstr>
      <vt:lpstr>Omecron CC &amp; Mold</vt:lpstr>
      <vt:lpstr>Bengal-Cattle P</vt:lpstr>
      <vt:lpstr>Biolab-Choline</vt:lpstr>
      <vt:lpstr>Islam-DL</vt:lpstr>
      <vt:lpstr>Modina t-DL</vt:lpstr>
      <vt:lpstr>Zuelig-Milk Boost</vt:lpstr>
      <vt:lpstr>Al Amin-Sodium</vt:lpstr>
      <vt:lpstr>Nutrihealth-Anti</vt:lpstr>
      <vt:lpstr>RE-Osmo Fat</vt:lpstr>
      <vt:lpstr>Silo-Lyso</vt:lpstr>
      <vt:lpstr>Avon-Hal Q</vt:lpstr>
      <vt:lpstr>ACI-Vigarol</vt:lpstr>
      <vt:lpstr>-Singla Cel</vt:lpstr>
      <vt:lpstr>Resha -AD3</vt:lpstr>
      <vt:lpstr>Arena -Biosol</vt:lpstr>
      <vt:lpstr>Modina-Bag</vt:lpstr>
      <vt:lpstr>Zumar-Bag</vt:lpstr>
      <vt:lpstr>Local-Salt</vt:lpstr>
      <vt:lpstr>Khan-Soya Oil</vt:lpstr>
      <vt:lpstr>Mitali-Salt</vt:lpstr>
      <vt:lpstr>K Feed-Salt</vt:lpstr>
      <vt:lpstr>K Salt-Dry Fish</vt:lpstr>
      <vt:lpstr>Local-Urea</vt:lpstr>
      <vt:lpstr>Badol-Pulm</vt:lpstr>
      <vt:lpstr>Shaheen-Pulm Oil</vt:lpstr>
      <vt:lpstr>Rafit-Soya Oil</vt:lpstr>
      <vt:lpstr>LC (KFL)-Animal Oil</vt:lpstr>
      <vt:lpstr>Vi Vi-Pulm</vt:lpstr>
      <vt:lpstr>S A Int-Mobil</vt:lpstr>
      <vt:lpstr>Shomadan-Sewing</vt:lpstr>
      <vt:lpstr>Amin BWTC</vt:lpstr>
      <vt:lpstr>Trading </vt:lpstr>
      <vt:lpstr>Readisha &amp;Haqu - Biscuit</vt:lpstr>
      <vt:lpstr>Ma Baba WBhusi</vt:lpstr>
      <vt:lpstr>Al Modina-Chira Vusi</vt:lpstr>
      <vt:lpstr>Al Amin-Chira Vusi</vt:lpstr>
      <vt:lpstr>Shoath-Paddy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ASUS-KG</dc:creator>
  <cp:lastModifiedBy>KFINV</cp:lastModifiedBy>
  <cp:lastPrinted>2019-10-31T13:13:21Z</cp:lastPrinted>
  <dcterms:created xsi:type="dcterms:W3CDTF">2017-04-10T17:04:55Z</dcterms:created>
  <dcterms:modified xsi:type="dcterms:W3CDTF">2019-12-04T11:58:03Z</dcterms:modified>
</cp:coreProperties>
</file>