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16" windowHeight="7956" tabRatio="930" firstSheet="6" activeTab="20"/>
  </bookViews>
  <sheets>
    <sheet name="01.12.19" sheetId="929" r:id="rId1"/>
    <sheet name="02.12.19" sheetId="930" r:id="rId2"/>
    <sheet name="03.12.19" sheetId="931" r:id="rId3"/>
    <sheet name="04.12.19" sheetId="932" r:id="rId4"/>
    <sheet name="05.12.19" sheetId="933" r:id="rId5"/>
    <sheet name="06.12.19" sheetId="934" r:id="rId6"/>
    <sheet name="07.12.19" sheetId="935" r:id="rId7"/>
    <sheet name="08.12.19" sheetId="936" r:id="rId8"/>
    <sheet name="09.12.19" sheetId="937" r:id="rId9"/>
    <sheet name="10.12.19" sheetId="938" r:id="rId10"/>
    <sheet name="11.12.19" sheetId="939" r:id="rId11"/>
    <sheet name="12.12.19" sheetId="940" r:id="rId12"/>
    <sheet name="13.12.19" sheetId="941" r:id="rId13"/>
    <sheet name="14.12.19" sheetId="942" r:id="rId14"/>
    <sheet name="15.12.19" sheetId="943" r:id="rId15"/>
    <sheet name="16.12.19" sheetId="944" r:id="rId16"/>
    <sheet name="17.12.19" sheetId="945" r:id="rId17"/>
    <sheet name="18.12.19" sheetId="946" r:id="rId18"/>
    <sheet name="19.12.19" sheetId="947" r:id="rId19"/>
    <sheet name="20.12.19" sheetId="948" r:id="rId20"/>
    <sheet name="21.12.19" sheetId="949" r:id="rId21"/>
    <sheet name="Statement" sheetId="692" r:id="rId22"/>
    <sheet name="Variance Report" sheetId="515" r:id="rId23"/>
  </sheets>
  <calcPr calcId="124519"/>
</workbook>
</file>

<file path=xl/calcChain.xml><?xml version="1.0" encoding="utf-8"?>
<calcChain xmlns="http://schemas.openxmlformats.org/spreadsheetml/2006/main">
  <c r="R75" i="949"/>
  <c r="F77"/>
  <c r="R77" s="1"/>
  <c r="R76"/>
  <c r="R74"/>
  <c r="R17"/>
  <c r="S17" s="1"/>
  <c r="R11"/>
  <c r="R14"/>
  <c r="S14" s="1"/>
  <c r="U14" s="1"/>
  <c r="R71"/>
  <c r="R70"/>
  <c r="S70" s="1"/>
  <c r="U70" s="1"/>
  <c r="R12"/>
  <c r="D68"/>
  <c r="S68" s="1"/>
  <c r="U68" s="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Q77"/>
  <c r="O77"/>
  <c r="M7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Z72"/>
  <c r="AF72" s="1"/>
  <c r="AG72" s="1"/>
  <c r="AH72" s="1"/>
  <c r="T71"/>
  <c r="Q71"/>
  <c r="C73"/>
  <c r="Q70"/>
  <c r="T69"/>
  <c r="S69"/>
  <c r="Q69"/>
  <c r="Q68"/>
  <c r="U67"/>
  <c r="S67"/>
  <c r="Z67" s="1"/>
  <c r="AF67" s="1"/>
  <c r="Q67"/>
  <c r="Z66"/>
  <c r="AF66" s="1"/>
  <c r="AG66" s="1"/>
  <c r="AH66" s="1"/>
  <c r="U65"/>
  <c r="AG65" s="1"/>
  <c r="AH65" s="1"/>
  <c r="S65"/>
  <c r="Z65" s="1"/>
  <c r="AF65" s="1"/>
  <c r="Q65"/>
  <c r="S64"/>
  <c r="U64" s="1"/>
  <c r="Q64"/>
  <c r="S63"/>
  <c r="U63" s="1"/>
  <c r="Q63"/>
  <c r="S62"/>
  <c r="U62" s="1"/>
  <c r="Q62"/>
  <c r="S61"/>
  <c r="Z61" s="1"/>
  <c r="AF61" s="1"/>
  <c r="Q61"/>
  <c r="S60"/>
  <c r="U60" s="1"/>
  <c r="Q60"/>
  <c r="S59"/>
  <c r="U59" s="1"/>
  <c r="Q59"/>
  <c r="Z58"/>
  <c r="AF58" s="1"/>
  <c r="U58"/>
  <c r="AG58" s="1"/>
  <c r="AH58" s="1"/>
  <c r="Q58"/>
  <c r="T57"/>
  <c r="S57"/>
  <c r="U57" s="1"/>
  <c r="Q57"/>
  <c r="S56"/>
  <c r="U56" s="1"/>
  <c r="Q56"/>
  <c r="Z55"/>
  <c r="AF55" s="1"/>
  <c r="S55"/>
  <c r="U55" s="1"/>
  <c r="Q55"/>
  <c r="U54"/>
  <c r="S54"/>
  <c r="Z54" s="1"/>
  <c r="AF54" s="1"/>
  <c r="Q54"/>
  <c r="S53"/>
  <c r="Z53" s="1"/>
  <c r="AF53" s="1"/>
  <c r="Q53"/>
  <c r="S52"/>
  <c r="U52" s="1"/>
  <c r="Q52"/>
  <c r="U51"/>
  <c r="S51"/>
  <c r="Z51" s="1"/>
  <c r="AF51" s="1"/>
  <c r="Q51"/>
  <c r="T50"/>
  <c r="S50"/>
  <c r="Q50"/>
  <c r="S49"/>
  <c r="U49" s="1"/>
  <c r="Q49"/>
  <c r="S48"/>
  <c r="U48" s="1"/>
  <c r="Q48"/>
  <c r="S47"/>
  <c r="Z47" s="1"/>
  <c r="AF47" s="1"/>
  <c r="Q47"/>
  <c r="S46"/>
  <c r="U46" s="1"/>
  <c r="Q46"/>
  <c r="S45"/>
  <c r="Z45" s="1"/>
  <c r="AF45" s="1"/>
  <c r="Q45"/>
  <c r="S44"/>
  <c r="Z44" s="1"/>
  <c r="AF44" s="1"/>
  <c r="Q44"/>
  <c r="AH43"/>
  <c r="AG43"/>
  <c r="AF43"/>
  <c r="Z43"/>
  <c r="S42"/>
  <c r="Z42" s="1"/>
  <c r="AF42" s="1"/>
  <c r="Q42"/>
  <c r="S41"/>
  <c r="U41" s="1"/>
  <c r="Q41"/>
  <c r="Z40"/>
  <c r="AF40" s="1"/>
  <c r="S40"/>
  <c r="U40" s="1"/>
  <c r="Q40"/>
  <c r="Z39"/>
  <c r="AF39" s="1"/>
  <c r="S39"/>
  <c r="U39" s="1"/>
  <c r="Q39"/>
  <c r="U38"/>
  <c r="AG38" s="1"/>
  <c r="AH38" s="1"/>
  <c r="S38"/>
  <c r="Z38" s="1"/>
  <c r="AF38" s="1"/>
  <c r="Q38"/>
  <c r="S37"/>
  <c r="U37" s="1"/>
  <c r="Q37"/>
  <c r="S36"/>
  <c r="Z36" s="1"/>
  <c r="AF36" s="1"/>
  <c r="Q36"/>
  <c r="U35"/>
  <c r="S35"/>
  <c r="Z35" s="1"/>
  <c r="AF35" s="1"/>
  <c r="Q35"/>
  <c r="S34"/>
  <c r="Z34" s="1"/>
  <c r="AF34" s="1"/>
  <c r="Q34"/>
  <c r="S33"/>
  <c r="U33" s="1"/>
  <c r="Q33"/>
  <c r="Z32"/>
  <c r="AF32" s="1"/>
  <c r="U32"/>
  <c r="S32"/>
  <c r="Q32"/>
  <c r="Z31"/>
  <c r="AF31" s="1"/>
  <c r="U31"/>
  <c r="S31"/>
  <c r="Q31"/>
  <c r="U30"/>
  <c r="AG30" s="1"/>
  <c r="AH30" s="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S26"/>
  <c r="U26" s="1"/>
  <c r="Q26"/>
  <c r="S25"/>
  <c r="Z25" s="1"/>
  <c r="AF25" s="1"/>
  <c r="Q25"/>
  <c r="S24"/>
  <c r="Z24" s="1"/>
  <c r="AF24" s="1"/>
  <c r="Q24"/>
  <c r="S23"/>
  <c r="U23" s="1"/>
  <c r="Q23"/>
  <c r="S22"/>
  <c r="U22" s="1"/>
  <c r="Q22"/>
  <c r="S21"/>
  <c r="U21" s="1"/>
  <c r="Q21"/>
  <c r="U20"/>
  <c r="AG20" s="1"/>
  <c r="AH20" s="1"/>
  <c r="S20"/>
  <c r="Z20" s="1"/>
  <c r="AF20" s="1"/>
  <c r="Q20"/>
  <c r="S19"/>
  <c r="U19" s="1"/>
  <c r="Q19"/>
  <c r="AF18"/>
  <c r="AG18" s="1"/>
  <c r="AH18" s="1"/>
  <c r="Z18"/>
  <c r="Q17"/>
  <c r="S16"/>
  <c r="U16" s="1"/>
  <c r="Q16"/>
  <c r="U15"/>
  <c r="S15"/>
  <c r="Z15" s="1"/>
  <c r="AF15" s="1"/>
  <c r="Q15"/>
  <c r="Q14"/>
  <c r="S13"/>
  <c r="Z13" s="1"/>
  <c r="AF13" s="1"/>
  <c r="Q13"/>
  <c r="S12"/>
  <c r="U12" s="1"/>
  <c r="Q12"/>
  <c r="S11"/>
  <c r="Q11"/>
  <c r="S10"/>
  <c r="U10" s="1"/>
  <c r="Q10"/>
  <c r="S9"/>
  <c r="U9" s="1"/>
  <c r="Q9"/>
  <c r="S8"/>
  <c r="Z8" s="1"/>
  <c r="AF8" s="1"/>
  <c r="Q8"/>
  <c r="S7"/>
  <c r="U7" s="1"/>
  <c r="Q7"/>
  <c r="C71" i="948"/>
  <c r="X118" i="949" l="1"/>
  <c r="Z70"/>
  <c r="AF70" s="1"/>
  <c r="D73"/>
  <c r="E75" s="1"/>
  <c r="U25"/>
  <c r="AG25" s="1"/>
  <c r="AH25" s="1"/>
  <c r="U36"/>
  <c r="AG36" s="1"/>
  <c r="AH36" s="1"/>
  <c r="U44"/>
  <c r="U47"/>
  <c r="AG47" s="1"/>
  <c r="AH47" s="1"/>
  <c r="Z48"/>
  <c r="AF48" s="1"/>
  <c r="AG48" s="1"/>
  <c r="AH48" s="1"/>
  <c r="Z49"/>
  <c r="AF49" s="1"/>
  <c r="AG49" s="1"/>
  <c r="AH49" s="1"/>
  <c r="U61"/>
  <c r="AG61" s="1"/>
  <c r="AH61" s="1"/>
  <c r="Z68"/>
  <c r="AF68" s="1"/>
  <c r="Z26"/>
  <c r="AF26" s="1"/>
  <c r="AG26" s="1"/>
  <c r="AH26" s="1"/>
  <c r="U45"/>
  <c r="U8"/>
  <c r="AG8" s="1"/>
  <c r="AH8" s="1"/>
  <c r="Z59"/>
  <c r="AF59" s="1"/>
  <c r="AG59" s="1"/>
  <c r="AH59" s="1"/>
  <c r="Q73"/>
  <c r="E74" s="1"/>
  <c r="U24"/>
  <c r="AG45"/>
  <c r="AH45" s="1"/>
  <c r="AG67"/>
  <c r="AH67" s="1"/>
  <c r="AG32"/>
  <c r="AH32" s="1"/>
  <c r="AG40"/>
  <c r="AH40" s="1"/>
  <c r="Z62"/>
  <c r="AF62" s="1"/>
  <c r="AG62" s="1"/>
  <c r="AH62" s="1"/>
  <c r="AG68"/>
  <c r="AH68" s="1"/>
  <c r="AG35"/>
  <c r="AH35" s="1"/>
  <c r="AG44"/>
  <c r="AH44" s="1"/>
  <c r="AG54"/>
  <c r="AH54" s="1"/>
  <c r="AG55"/>
  <c r="AH55" s="1"/>
  <c r="Z9"/>
  <c r="AF9" s="1"/>
  <c r="Z21"/>
  <c r="AF21" s="1"/>
  <c r="AG21" s="1"/>
  <c r="AH21" s="1"/>
  <c r="Z22"/>
  <c r="AF22" s="1"/>
  <c r="AG22" s="1"/>
  <c r="AH22" s="1"/>
  <c r="AG51"/>
  <c r="AH51" s="1"/>
  <c r="Z10"/>
  <c r="AF10" s="1"/>
  <c r="AG10" s="1"/>
  <c r="AH10" s="1"/>
  <c r="U13"/>
  <c r="U34"/>
  <c r="AG34" s="1"/>
  <c r="AH34" s="1"/>
  <c r="U42"/>
  <c r="AG42" s="1"/>
  <c r="AH42" s="1"/>
  <c r="U53"/>
  <c r="AG53" s="1"/>
  <c r="AH53" s="1"/>
  <c r="Z63"/>
  <c r="AF63" s="1"/>
  <c r="AG63" s="1"/>
  <c r="AH63" s="1"/>
  <c r="AG70"/>
  <c r="AH70" s="1"/>
  <c r="U50"/>
  <c r="AG50" s="1"/>
  <c r="AH50" s="1"/>
  <c r="Z50"/>
  <c r="AF50" s="1"/>
  <c r="U69"/>
  <c r="Z69"/>
  <c r="AF69" s="1"/>
  <c r="U17"/>
  <c r="AG17" s="1"/>
  <c r="AH17" s="1"/>
  <c r="Z17"/>
  <c r="AF17" s="1"/>
  <c r="AG39"/>
  <c r="AH39" s="1"/>
  <c r="AG9"/>
  <c r="AH9" s="1"/>
  <c r="AG13"/>
  <c r="AH13" s="1"/>
  <c r="R80"/>
  <c r="U11"/>
  <c r="Z11"/>
  <c r="AF11" s="1"/>
  <c r="AG31"/>
  <c r="AH31" s="1"/>
  <c r="AG15"/>
  <c r="AH15" s="1"/>
  <c r="AG24"/>
  <c r="AH24" s="1"/>
  <c r="R73"/>
  <c r="D76" s="1"/>
  <c r="Z12"/>
  <c r="AF12" s="1"/>
  <c r="AG12" s="1"/>
  <c r="AH12" s="1"/>
  <c r="Z14"/>
  <c r="AF14" s="1"/>
  <c r="AG14" s="1"/>
  <c r="AH14" s="1"/>
  <c r="Z16"/>
  <c r="AF16" s="1"/>
  <c r="AG16" s="1"/>
  <c r="AH16" s="1"/>
  <c r="Z19"/>
  <c r="AF19" s="1"/>
  <c r="AG19" s="1"/>
  <c r="AH19" s="1"/>
  <c r="Z23"/>
  <c r="AF23" s="1"/>
  <c r="AG23" s="1"/>
  <c r="AH23" s="1"/>
  <c r="Z27"/>
  <c r="AF27" s="1"/>
  <c r="AG27" s="1"/>
  <c r="AH27" s="1"/>
  <c r="Z28"/>
  <c r="AF28" s="1"/>
  <c r="AG28" s="1"/>
  <c r="AH28" s="1"/>
  <c r="Z29"/>
  <c r="AF29" s="1"/>
  <c r="AG29" s="1"/>
  <c r="AH29" s="1"/>
  <c r="Z33"/>
  <c r="AF33" s="1"/>
  <c r="AG33" s="1"/>
  <c r="AH33" s="1"/>
  <c r="Z37"/>
  <c r="AF37" s="1"/>
  <c r="AG37" s="1"/>
  <c r="AH37" s="1"/>
  <c r="Z41"/>
  <c r="AF41" s="1"/>
  <c r="AG41" s="1"/>
  <c r="AH41" s="1"/>
  <c r="Z46"/>
  <c r="AF46" s="1"/>
  <c r="AG46" s="1"/>
  <c r="AH46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S71"/>
  <c r="S73" s="1"/>
  <c r="Z7"/>
  <c r="R76" i="948"/>
  <c r="R75"/>
  <c r="R74"/>
  <c r="AF7" i="949" l="1"/>
  <c r="Z71"/>
  <c r="AF71" s="1"/>
  <c r="U71"/>
  <c r="U73" s="1"/>
  <c r="AG69"/>
  <c r="AH69" s="1"/>
  <c r="AG11"/>
  <c r="AH11" s="1"/>
  <c r="R50" i="948"/>
  <c r="R69"/>
  <c r="R71"/>
  <c r="R14"/>
  <c r="R7"/>
  <c r="R16"/>
  <c r="R17"/>
  <c r="R8"/>
  <c r="R11"/>
  <c r="D17"/>
  <c r="D14"/>
  <c r="D73" s="1"/>
  <c r="E75" s="1"/>
  <c r="D16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Q77"/>
  <c r="R77" s="1"/>
  <c r="O77"/>
  <c r="M77"/>
  <c r="F77"/>
  <c r="R80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AG72"/>
  <c r="AH72" s="1"/>
  <c r="AF72"/>
  <c r="Z72"/>
  <c r="T71"/>
  <c r="Q71"/>
  <c r="U70"/>
  <c r="S70"/>
  <c r="Z70" s="1"/>
  <c r="AF70" s="1"/>
  <c r="Q70"/>
  <c r="T69"/>
  <c r="S69"/>
  <c r="Z69" s="1"/>
  <c r="AF69" s="1"/>
  <c r="Q69"/>
  <c r="U68"/>
  <c r="S68"/>
  <c r="Z68" s="1"/>
  <c r="AF68" s="1"/>
  <c r="Q68"/>
  <c r="S67"/>
  <c r="Z67" s="1"/>
  <c r="AF67" s="1"/>
  <c r="Q67"/>
  <c r="AG66"/>
  <c r="AH66" s="1"/>
  <c r="AF66"/>
  <c r="Z66"/>
  <c r="S65"/>
  <c r="Z65" s="1"/>
  <c r="AF65" s="1"/>
  <c r="Q65"/>
  <c r="Z64"/>
  <c r="AF64" s="1"/>
  <c r="S64"/>
  <c r="U64" s="1"/>
  <c r="Q64"/>
  <c r="S63"/>
  <c r="U63" s="1"/>
  <c r="Q63"/>
  <c r="U62"/>
  <c r="AG62" s="1"/>
  <c r="AH62" s="1"/>
  <c r="S62"/>
  <c r="Z62" s="1"/>
  <c r="AF62" s="1"/>
  <c r="Q62"/>
  <c r="S61"/>
  <c r="Z61" s="1"/>
  <c r="AF61" s="1"/>
  <c r="Q61"/>
  <c r="S60"/>
  <c r="Z60" s="1"/>
  <c r="AF60" s="1"/>
  <c r="Q60"/>
  <c r="U59"/>
  <c r="S59"/>
  <c r="Z59" s="1"/>
  <c r="AF59" s="1"/>
  <c r="Q59"/>
  <c r="AF58"/>
  <c r="Z58"/>
  <c r="U58"/>
  <c r="AG58" s="1"/>
  <c r="AH58" s="1"/>
  <c r="Q58"/>
  <c r="T57"/>
  <c r="S57"/>
  <c r="U57" s="1"/>
  <c r="Q57"/>
  <c r="U56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U52"/>
  <c r="S52"/>
  <c r="Z52" s="1"/>
  <c r="AF52" s="1"/>
  <c r="Q52"/>
  <c r="U51"/>
  <c r="S51"/>
  <c r="Z51" s="1"/>
  <c r="AF51" s="1"/>
  <c r="Q51"/>
  <c r="T50"/>
  <c r="T73" s="1"/>
  <c r="S50"/>
  <c r="Z50" s="1"/>
  <c r="AF50" s="1"/>
  <c r="Q50"/>
  <c r="S49"/>
  <c r="Z49" s="1"/>
  <c r="AF49" s="1"/>
  <c r="Q49"/>
  <c r="S48"/>
  <c r="Z48" s="1"/>
  <c r="AF48" s="1"/>
  <c r="Q48"/>
  <c r="U47"/>
  <c r="S47"/>
  <c r="Z47" s="1"/>
  <c r="AF47" s="1"/>
  <c r="Q47"/>
  <c r="S46"/>
  <c r="Z46" s="1"/>
  <c r="AF46" s="1"/>
  <c r="Q46"/>
  <c r="S45"/>
  <c r="Z45" s="1"/>
  <c r="AF45" s="1"/>
  <c r="Q45"/>
  <c r="S44"/>
  <c r="Z44" s="1"/>
  <c r="AF44" s="1"/>
  <c r="Q44"/>
  <c r="AF43"/>
  <c r="AG43" s="1"/>
  <c r="AH43" s="1"/>
  <c r="Z43"/>
  <c r="U42"/>
  <c r="S42"/>
  <c r="Z42" s="1"/>
  <c r="AF42" s="1"/>
  <c r="Q42"/>
  <c r="S41"/>
  <c r="Z41" s="1"/>
  <c r="AF41" s="1"/>
  <c r="Q41"/>
  <c r="S40"/>
  <c r="Z40" s="1"/>
  <c r="AF40" s="1"/>
  <c r="Q40"/>
  <c r="S39"/>
  <c r="Z39" s="1"/>
  <c r="AF39" s="1"/>
  <c r="Q39"/>
  <c r="U38"/>
  <c r="S38"/>
  <c r="Z38" s="1"/>
  <c r="AF38" s="1"/>
  <c r="Q38"/>
  <c r="U37"/>
  <c r="S37"/>
  <c r="Z37" s="1"/>
  <c r="AF37" s="1"/>
  <c r="Q37"/>
  <c r="S36"/>
  <c r="Z36" s="1"/>
  <c r="AF36" s="1"/>
  <c r="Q36"/>
  <c r="S35"/>
  <c r="Z35" s="1"/>
  <c r="AF35" s="1"/>
  <c r="Q35"/>
  <c r="U34"/>
  <c r="S34"/>
  <c r="Z34" s="1"/>
  <c r="AF34" s="1"/>
  <c r="Q34"/>
  <c r="S33"/>
  <c r="Z33" s="1"/>
  <c r="AF33" s="1"/>
  <c r="Q33"/>
  <c r="S32"/>
  <c r="Z32" s="1"/>
  <c r="AF32" s="1"/>
  <c r="Q32"/>
  <c r="S31"/>
  <c r="Z31" s="1"/>
  <c r="AF31" s="1"/>
  <c r="Q31"/>
  <c r="U30"/>
  <c r="S30"/>
  <c r="Z30" s="1"/>
  <c r="AF30" s="1"/>
  <c r="Q30"/>
  <c r="T29"/>
  <c r="S29"/>
  <c r="U29" s="1"/>
  <c r="Q29"/>
  <c r="T28"/>
  <c r="S28"/>
  <c r="U28" s="1"/>
  <c r="Q28"/>
  <c r="S27"/>
  <c r="Z27" s="1"/>
  <c r="AF27" s="1"/>
  <c r="Q27"/>
  <c r="S26"/>
  <c r="Z26" s="1"/>
  <c r="AF26" s="1"/>
  <c r="Q26"/>
  <c r="S25"/>
  <c r="Z25" s="1"/>
  <c r="AF25" s="1"/>
  <c r="Q25"/>
  <c r="S24"/>
  <c r="Z24" s="1"/>
  <c r="AF24" s="1"/>
  <c r="Q24"/>
  <c r="U23"/>
  <c r="S23"/>
  <c r="Z23" s="1"/>
  <c r="AF23" s="1"/>
  <c r="Q23"/>
  <c r="S22"/>
  <c r="Z22" s="1"/>
  <c r="AF22" s="1"/>
  <c r="Q22"/>
  <c r="S21"/>
  <c r="Z21" s="1"/>
  <c r="AF21" s="1"/>
  <c r="Q21"/>
  <c r="U20"/>
  <c r="S20"/>
  <c r="Z20" s="1"/>
  <c r="AF20" s="1"/>
  <c r="Q20"/>
  <c r="S19"/>
  <c r="Z19" s="1"/>
  <c r="AF19" s="1"/>
  <c r="Q19"/>
  <c r="AH18"/>
  <c r="AG18"/>
  <c r="AF18"/>
  <c r="Z18"/>
  <c r="S17"/>
  <c r="Z17" s="1"/>
  <c r="AF17" s="1"/>
  <c r="Q17"/>
  <c r="S16"/>
  <c r="Z16" s="1"/>
  <c r="AF16" s="1"/>
  <c r="Q16"/>
  <c r="S15"/>
  <c r="Z15" s="1"/>
  <c r="AF15" s="1"/>
  <c r="Q15"/>
  <c r="Q14"/>
  <c r="S13"/>
  <c r="Z13" s="1"/>
  <c r="AF13" s="1"/>
  <c r="Q13"/>
  <c r="S12"/>
  <c r="Q12"/>
  <c r="Q11"/>
  <c r="S10"/>
  <c r="U10" s="1"/>
  <c r="Q10"/>
  <c r="U9"/>
  <c r="AG9" s="1"/>
  <c r="AH9" s="1"/>
  <c r="S9"/>
  <c r="Z9" s="1"/>
  <c r="AF9" s="1"/>
  <c r="Q9"/>
  <c r="S8"/>
  <c r="Z8" s="1"/>
  <c r="AF8" s="1"/>
  <c r="Q8"/>
  <c r="S7"/>
  <c r="Q7"/>
  <c r="Q77" i="947"/>
  <c r="R77" s="1"/>
  <c r="R80" s="1"/>
  <c r="F77"/>
  <c r="R76"/>
  <c r="R75"/>
  <c r="R74"/>
  <c r="R69"/>
  <c r="R71"/>
  <c r="R17"/>
  <c r="S17" s="1"/>
  <c r="U17" s="1"/>
  <c r="R14"/>
  <c r="R12"/>
  <c r="R73"/>
  <c r="D76" s="1"/>
  <c r="R8"/>
  <c r="D71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O77"/>
  <c r="M7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AG72"/>
  <c r="AH72" s="1"/>
  <c r="AF72"/>
  <c r="Z72"/>
  <c r="T71"/>
  <c r="Q71"/>
  <c r="S71"/>
  <c r="S70"/>
  <c r="Z70" s="1"/>
  <c r="AF70" s="1"/>
  <c r="Q70"/>
  <c r="T69"/>
  <c r="S69"/>
  <c r="Z69" s="1"/>
  <c r="AF69" s="1"/>
  <c r="Q69"/>
  <c r="Q68"/>
  <c r="D73"/>
  <c r="E75" s="1"/>
  <c r="S67"/>
  <c r="U67" s="1"/>
  <c r="Q67"/>
  <c r="AH66"/>
  <c r="AG66"/>
  <c r="AF66"/>
  <c r="Z66"/>
  <c r="S65"/>
  <c r="Z65" s="1"/>
  <c r="AF65" s="1"/>
  <c r="Q65"/>
  <c r="S64"/>
  <c r="U64" s="1"/>
  <c r="Q64"/>
  <c r="S63"/>
  <c r="Z63" s="1"/>
  <c r="AF63" s="1"/>
  <c r="Q63"/>
  <c r="S62"/>
  <c r="Z62" s="1"/>
  <c r="AF62" s="1"/>
  <c r="Q62"/>
  <c r="S61"/>
  <c r="Z61" s="1"/>
  <c r="AF61" s="1"/>
  <c r="Q61"/>
  <c r="S60"/>
  <c r="U60" s="1"/>
  <c r="Q60"/>
  <c r="S59"/>
  <c r="U59" s="1"/>
  <c r="Q59"/>
  <c r="Z58"/>
  <c r="AF58" s="1"/>
  <c r="U58"/>
  <c r="Q58"/>
  <c r="T57"/>
  <c r="T73" s="1"/>
  <c r="S57"/>
  <c r="U57" s="1"/>
  <c r="Q57"/>
  <c r="S56"/>
  <c r="U56" s="1"/>
  <c r="Q56"/>
  <c r="S55"/>
  <c r="U55" s="1"/>
  <c r="Q55"/>
  <c r="S54"/>
  <c r="U54" s="1"/>
  <c r="Q54"/>
  <c r="S53"/>
  <c r="Z53" s="1"/>
  <c r="AF53" s="1"/>
  <c r="Q53"/>
  <c r="S52"/>
  <c r="U52" s="1"/>
  <c r="Q52"/>
  <c r="S51"/>
  <c r="Z51" s="1"/>
  <c r="AF51" s="1"/>
  <c r="Q51"/>
  <c r="T50"/>
  <c r="S50"/>
  <c r="Z50" s="1"/>
  <c r="AF50" s="1"/>
  <c r="Q50"/>
  <c r="S49"/>
  <c r="U49" s="1"/>
  <c r="Q49"/>
  <c r="S48"/>
  <c r="Z48" s="1"/>
  <c r="AF48" s="1"/>
  <c r="Q48"/>
  <c r="S47"/>
  <c r="U47" s="1"/>
  <c r="Q47"/>
  <c r="S46"/>
  <c r="U46" s="1"/>
  <c r="Q46"/>
  <c r="U45"/>
  <c r="S45"/>
  <c r="Z45" s="1"/>
  <c r="AF45" s="1"/>
  <c r="Q45"/>
  <c r="S44"/>
  <c r="Z44" s="1"/>
  <c r="AF44" s="1"/>
  <c r="Q44"/>
  <c r="AG43"/>
  <c r="AH43" s="1"/>
  <c r="AF43"/>
  <c r="Z43"/>
  <c r="S42"/>
  <c r="U42" s="1"/>
  <c r="Q42"/>
  <c r="Z41"/>
  <c r="AF41" s="1"/>
  <c r="S41"/>
  <c r="U41" s="1"/>
  <c r="Q41"/>
  <c r="S40"/>
  <c r="U40" s="1"/>
  <c r="Q40"/>
  <c r="S39"/>
  <c r="Z39" s="1"/>
  <c r="AF39" s="1"/>
  <c r="Q39"/>
  <c r="S38"/>
  <c r="U38" s="1"/>
  <c r="Q38"/>
  <c r="S37"/>
  <c r="U37" s="1"/>
  <c r="Q37"/>
  <c r="S36"/>
  <c r="Z36" s="1"/>
  <c r="AF36" s="1"/>
  <c r="Q36"/>
  <c r="S35"/>
  <c r="Z35" s="1"/>
  <c r="AF35" s="1"/>
  <c r="Q35"/>
  <c r="S34"/>
  <c r="U34" s="1"/>
  <c r="Q34"/>
  <c r="S33"/>
  <c r="U33" s="1"/>
  <c r="Q33"/>
  <c r="S32"/>
  <c r="Z32" s="1"/>
  <c r="AF32" s="1"/>
  <c r="Q32"/>
  <c r="S31"/>
  <c r="Z31" s="1"/>
  <c r="AF31" s="1"/>
  <c r="Q31"/>
  <c r="S30"/>
  <c r="U30" s="1"/>
  <c r="Q30"/>
  <c r="T29"/>
  <c r="S29"/>
  <c r="U29" s="1"/>
  <c r="Q29"/>
  <c r="T28"/>
  <c r="S28"/>
  <c r="Z28" s="1"/>
  <c r="AF28" s="1"/>
  <c r="Q28"/>
  <c r="S27"/>
  <c r="U27" s="1"/>
  <c r="Q27"/>
  <c r="S26"/>
  <c r="Z26" s="1"/>
  <c r="AF26" s="1"/>
  <c r="Q26"/>
  <c r="S25"/>
  <c r="Z25" s="1"/>
  <c r="AF25" s="1"/>
  <c r="Q25"/>
  <c r="S24"/>
  <c r="U24" s="1"/>
  <c r="Q24"/>
  <c r="S23"/>
  <c r="U23" s="1"/>
  <c r="Q23"/>
  <c r="S22"/>
  <c r="Z22" s="1"/>
  <c r="AF22" s="1"/>
  <c r="Q22"/>
  <c r="S21"/>
  <c r="Z21" s="1"/>
  <c r="AF21" s="1"/>
  <c r="Q21"/>
  <c r="S20"/>
  <c r="U20" s="1"/>
  <c r="Q20"/>
  <c r="S19"/>
  <c r="U19" s="1"/>
  <c r="Q19"/>
  <c r="Z18"/>
  <c r="AF18" s="1"/>
  <c r="AG18" s="1"/>
  <c r="AH18" s="1"/>
  <c r="Q17"/>
  <c r="U16"/>
  <c r="S16"/>
  <c r="Z16" s="1"/>
  <c r="AF16" s="1"/>
  <c r="Q16"/>
  <c r="S15"/>
  <c r="U15" s="1"/>
  <c r="Q15"/>
  <c r="Q14"/>
  <c r="Z13"/>
  <c r="AF13" s="1"/>
  <c r="S13"/>
  <c r="U13" s="1"/>
  <c r="Q13"/>
  <c r="S12"/>
  <c r="Z12" s="1"/>
  <c r="AF12" s="1"/>
  <c r="Q12"/>
  <c r="S11"/>
  <c r="Z11" s="1"/>
  <c r="AF11" s="1"/>
  <c r="Q11"/>
  <c r="S10"/>
  <c r="U10" s="1"/>
  <c r="Q10"/>
  <c r="S9"/>
  <c r="U9" s="1"/>
  <c r="Q9"/>
  <c r="S8"/>
  <c r="U8" s="1"/>
  <c r="Q8"/>
  <c r="S7"/>
  <c r="Z7" s="1"/>
  <c r="Q7"/>
  <c r="R76" i="946"/>
  <c r="R75"/>
  <c r="T74" s="1"/>
  <c r="F77"/>
  <c r="R14"/>
  <c r="R68"/>
  <c r="R71"/>
  <c r="S71" s="1"/>
  <c r="D71"/>
  <c r="D68"/>
  <c r="S68" s="1"/>
  <c r="U68" s="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O77"/>
  <c r="M77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Z72"/>
  <c r="AF72" s="1"/>
  <c r="AG72" s="1"/>
  <c r="AH72" s="1"/>
  <c r="T71"/>
  <c r="Q71"/>
  <c r="S70"/>
  <c r="Z70" s="1"/>
  <c r="AF70" s="1"/>
  <c r="Q70"/>
  <c r="T69"/>
  <c r="S69"/>
  <c r="U69" s="1"/>
  <c r="Q69"/>
  <c r="Q68"/>
  <c r="S67"/>
  <c r="U67" s="1"/>
  <c r="Q67"/>
  <c r="AF66"/>
  <c r="AG66" s="1"/>
  <c r="AH66" s="1"/>
  <c r="Z66"/>
  <c r="U65"/>
  <c r="S65"/>
  <c r="Z65" s="1"/>
  <c r="AF65" s="1"/>
  <c r="Q65"/>
  <c r="S64"/>
  <c r="U64" s="1"/>
  <c r="Q64"/>
  <c r="U63"/>
  <c r="AG63" s="1"/>
  <c r="AH63" s="1"/>
  <c r="S63"/>
  <c r="Z63" s="1"/>
  <c r="AF63" s="1"/>
  <c r="Q63"/>
  <c r="S62"/>
  <c r="U62" s="1"/>
  <c r="Q62"/>
  <c r="S61"/>
  <c r="U61" s="1"/>
  <c r="Q61"/>
  <c r="Z60"/>
  <c r="AF60" s="1"/>
  <c r="S60"/>
  <c r="U60" s="1"/>
  <c r="Q60"/>
  <c r="S59"/>
  <c r="Z59" s="1"/>
  <c r="AF59" s="1"/>
  <c r="Q59"/>
  <c r="Z58"/>
  <c r="AF58" s="1"/>
  <c r="AG58" s="1"/>
  <c r="AH58" s="1"/>
  <c r="U58"/>
  <c r="Q58"/>
  <c r="T57"/>
  <c r="S57"/>
  <c r="Z57" s="1"/>
  <c r="AF57" s="1"/>
  <c r="Q57"/>
  <c r="Z56"/>
  <c r="AF56" s="1"/>
  <c r="S56"/>
  <c r="U56" s="1"/>
  <c r="Q56"/>
  <c r="S55"/>
  <c r="Z55" s="1"/>
  <c r="AF55" s="1"/>
  <c r="Q55"/>
  <c r="S54"/>
  <c r="U54" s="1"/>
  <c r="Q54"/>
  <c r="S53"/>
  <c r="U53" s="1"/>
  <c r="Q53"/>
  <c r="Z52"/>
  <c r="AF52" s="1"/>
  <c r="S52"/>
  <c r="U52" s="1"/>
  <c r="Q52"/>
  <c r="S51"/>
  <c r="Z51" s="1"/>
  <c r="AF51" s="1"/>
  <c r="Q51"/>
  <c r="T50"/>
  <c r="S50"/>
  <c r="U50" s="1"/>
  <c r="Q50"/>
  <c r="S49"/>
  <c r="U49" s="1"/>
  <c r="Q49"/>
  <c r="U48"/>
  <c r="S48"/>
  <c r="Z48" s="1"/>
  <c r="AF48" s="1"/>
  <c r="Q48"/>
  <c r="S47"/>
  <c r="U47" s="1"/>
  <c r="Q47"/>
  <c r="U46"/>
  <c r="AG46" s="1"/>
  <c r="AH46" s="1"/>
  <c r="S46"/>
  <c r="Z46" s="1"/>
  <c r="AF46" s="1"/>
  <c r="Q46"/>
  <c r="S45"/>
  <c r="U45" s="1"/>
  <c r="Q45"/>
  <c r="S44"/>
  <c r="U44" s="1"/>
  <c r="Q44"/>
  <c r="Z43"/>
  <c r="AF43" s="1"/>
  <c r="AG43" s="1"/>
  <c r="AH43" s="1"/>
  <c r="S42"/>
  <c r="U42" s="1"/>
  <c r="Q42"/>
  <c r="S41"/>
  <c r="Z41" s="1"/>
  <c r="AF41" s="1"/>
  <c r="Q41"/>
  <c r="S40"/>
  <c r="U40" s="1"/>
  <c r="Q40"/>
  <c r="S39"/>
  <c r="U39" s="1"/>
  <c r="Q39"/>
  <c r="Z38"/>
  <c r="AF38" s="1"/>
  <c r="S38"/>
  <c r="U38" s="1"/>
  <c r="Q38"/>
  <c r="U37"/>
  <c r="AG37" s="1"/>
  <c r="AH37" s="1"/>
  <c r="S37"/>
  <c r="Z37" s="1"/>
  <c r="AF37" s="1"/>
  <c r="Q37"/>
  <c r="S36"/>
  <c r="U36" s="1"/>
  <c r="Q36"/>
  <c r="U35"/>
  <c r="S35"/>
  <c r="Z35" s="1"/>
  <c r="AF35" s="1"/>
  <c r="Q35"/>
  <c r="S34"/>
  <c r="U34" s="1"/>
  <c r="Q34"/>
  <c r="S33"/>
  <c r="Z33" s="1"/>
  <c r="AF33" s="1"/>
  <c r="Q33"/>
  <c r="S32"/>
  <c r="U32" s="1"/>
  <c r="Q32"/>
  <c r="S31"/>
  <c r="U31" s="1"/>
  <c r="Q31"/>
  <c r="U30"/>
  <c r="S30"/>
  <c r="Z30" s="1"/>
  <c r="AF30" s="1"/>
  <c r="Q30"/>
  <c r="T29"/>
  <c r="U29" s="1"/>
  <c r="S29"/>
  <c r="Z29" s="1"/>
  <c r="AF29" s="1"/>
  <c r="Q29"/>
  <c r="T28"/>
  <c r="T73" s="1"/>
  <c r="S28"/>
  <c r="Z28" s="1"/>
  <c r="AF28" s="1"/>
  <c r="Q28"/>
  <c r="S27"/>
  <c r="U27" s="1"/>
  <c r="Q27"/>
  <c r="S26"/>
  <c r="Z26" s="1"/>
  <c r="AF26" s="1"/>
  <c r="Q26"/>
  <c r="S25"/>
  <c r="U25" s="1"/>
  <c r="Q25"/>
  <c r="Z24"/>
  <c r="AF24" s="1"/>
  <c r="U24"/>
  <c r="S24"/>
  <c r="Q24"/>
  <c r="Z23"/>
  <c r="AF23" s="1"/>
  <c r="S23"/>
  <c r="U23" s="1"/>
  <c r="Q23"/>
  <c r="S22"/>
  <c r="Z22" s="1"/>
  <c r="AF22" s="1"/>
  <c r="Q22"/>
  <c r="S21"/>
  <c r="U21" s="1"/>
  <c r="Q21"/>
  <c r="S20"/>
  <c r="U20" s="1"/>
  <c r="Q20"/>
  <c r="S19"/>
  <c r="U19" s="1"/>
  <c r="Q19"/>
  <c r="AF18"/>
  <c r="AG18" s="1"/>
  <c r="AH18" s="1"/>
  <c r="Z18"/>
  <c r="U17"/>
  <c r="S17"/>
  <c r="Z17" s="1"/>
  <c r="AF17" s="1"/>
  <c r="Q17"/>
  <c r="S16"/>
  <c r="U16" s="1"/>
  <c r="Q16"/>
  <c r="U15"/>
  <c r="S15"/>
  <c r="Z15" s="1"/>
  <c r="AF15" s="1"/>
  <c r="Q15"/>
  <c r="Q14"/>
  <c r="S13"/>
  <c r="U13" s="1"/>
  <c r="Q13"/>
  <c r="S12"/>
  <c r="U12" s="1"/>
  <c r="Q12"/>
  <c r="S11"/>
  <c r="Z11" s="1"/>
  <c r="AF11" s="1"/>
  <c r="Q11"/>
  <c r="S10"/>
  <c r="U10" s="1"/>
  <c r="Q10"/>
  <c r="S9"/>
  <c r="Z9" s="1"/>
  <c r="AF9" s="1"/>
  <c r="Q9"/>
  <c r="S8"/>
  <c r="U8" s="1"/>
  <c r="Q8"/>
  <c r="S7"/>
  <c r="Q7"/>
  <c r="T69" i="945"/>
  <c r="T71"/>
  <c r="F77"/>
  <c r="R76"/>
  <c r="R75"/>
  <c r="R32"/>
  <c r="R71"/>
  <c r="R14"/>
  <c r="R8"/>
  <c r="R7"/>
  <c r="D68"/>
  <c r="D14"/>
  <c r="Z73" i="949" l="1"/>
  <c r="AG71"/>
  <c r="AH71" s="1"/>
  <c r="AF73"/>
  <c r="AG7"/>
  <c r="R73" i="948"/>
  <c r="D76" s="1"/>
  <c r="S11"/>
  <c r="Z11" s="1"/>
  <c r="AF11" s="1"/>
  <c r="S14"/>
  <c r="Z14" s="1"/>
  <c r="AF14" s="1"/>
  <c r="Z10"/>
  <c r="AF10" s="1"/>
  <c r="U24"/>
  <c r="AG24" s="1"/>
  <c r="AH24" s="1"/>
  <c r="U33"/>
  <c r="AG33" s="1"/>
  <c r="AH33" s="1"/>
  <c r="U36"/>
  <c r="AG36" s="1"/>
  <c r="AH36" s="1"/>
  <c r="U41"/>
  <c r="AG41" s="1"/>
  <c r="AH41" s="1"/>
  <c r="U46"/>
  <c r="U49"/>
  <c r="AG49" s="1"/>
  <c r="AH49" s="1"/>
  <c r="U50"/>
  <c r="AG50" s="1"/>
  <c r="AH50" s="1"/>
  <c r="U55"/>
  <c r="AG55" s="1"/>
  <c r="AH55" s="1"/>
  <c r="U60"/>
  <c r="Z63"/>
  <c r="AF63" s="1"/>
  <c r="AG63" s="1"/>
  <c r="AH63" s="1"/>
  <c r="U67"/>
  <c r="AG67" s="1"/>
  <c r="AH67" s="1"/>
  <c r="Q73"/>
  <c r="E74" s="1"/>
  <c r="U19"/>
  <c r="AG19" s="1"/>
  <c r="AH19" s="1"/>
  <c r="U22"/>
  <c r="AG22" s="1"/>
  <c r="AH22" s="1"/>
  <c r="U27"/>
  <c r="AG64"/>
  <c r="AH64" s="1"/>
  <c r="AG20"/>
  <c r="AH20" s="1"/>
  <c r="AG27"/>
  <c r="AH27" s="1"/>
  <c r="AG42"/>
  <c r="AH42" s="1"/>
  <c r="AG46"/>
  <c r="AH46" s="1"/>
  <c r="AG47"/>
  <c r="AH47" s="1"/>
  <c r="AG70"/>
  <c r="AH70" s="1"/>
  <c r="Z29"/>
  <c r="AF29" s="1"/>
  <c r="AG29" s="1"/>
  <c r="AH29" s="1"/>
  <c r="Z28"/>
  <c r="AF28" s="1"/>
  <c r="AG28" s="1"/>
  <c r="AH28" s="1"/>
  <c r="AG30"/>
  <c r="AH30" s="1"/>
  <c r="AG38"/>
  <c r="AH38" s="1"/>
  <c r="AG52"/>
  <c r="AH52" s="1"/>
  <c r="AG34"/>
  <c r="AH34" s="1"/>
  <c r="AG56"/>
  <c r="AH56" s="1"/>
  <c r="AG59"/>
  <c r="AH59" s="1"/>
  <c r="AG60"/>
  <c r="AH60" s="1"/>
  <c r="U16"/>
  <c r="AG16" s="1"/>
  <c r="AH16" s="1"/>
  <c r="U17"/>
  <c r="AG17" s="1"/>
  <c r="AH17" s="1"/>
  <c r="U26"/>
  <c r="AG26" s="1"/>
  <c r="AH26" s="1"/>
  <c r="U32"/>
  <c r="U40"/>
  <c r="U45"/>
  <c r="AG45" s="1"/>
  <c r="AH45" s="1"/>
  <c r="U54"/>
  <c r="AG54" s="1"/>
  <c r="AH54" s="1"/>
  <c r="U69"/>
  <c r="AG69" s="1"/>
  <c r="AH69" s="1"/>
  <c r="U12"/>
  <c r="Z12"/>
  <c r="AF12" s="1"/>
  <c r="AG10"/>
  <c r="AH10" s="1"/>
  <c r="AG68"/>
  <c r="AH68" s="1"/>
  <c r="AG23"/>
  <c r="AH23" s="1"/>
  <c r="AG37"/>
  <c r="AH37" s="1"/>
  <c r="AG51"/>
  <c r="AH51" s="1"/>
  <c r="AG32"/>
  <c r="AH32" s="1"/>
  <c r="AG40"/>
  <c r="AH40" s="1"/>
  <c r="S71"/>
  <c r="U7"/>
  <c r="U8"/>
  <c r="AG8" s="1"/>
  <c r="AH8" s="1"/>
  <c r="U13"/>
  <c r="AG13" s="1"/>
  <c r="AH13" s="1"/>
  <c r="U15"/>
  <c r="AG15" s="1"/>
  <c r="AH15" s="1"/>
  <c r="U21"/>
  <c r="AG21" s="1"/>
  <c r="AH21" s="1"/>
  <c r="U25"/>
  <c r="AG25" s="1"/>
  <c r="AH25" s="1"/>
  <c r="U31"/>
  <c r="AG31" s="1"/>
  <c r="AH31" s="1"/>
  <c r="U35"/>
  <c r="AG35" s="1"/>
  <c r="AH35" s="1"/>
  <c r="U39"/>
  <c r="AG39" s="1"/>
  <c r="AH39" s="1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Z57"/>
  <c r="AF57" s="1"/>
  <c r="AG57" s="1"/>
  <c r="AH57" s="1"/>
  <c r="Z7"/>
  <c r="X118" i="947"/>
  <c r="U12"/>
  <c r="AG12" s="1"/>
  <c r="AH12" s="1"/>
  <c r="U11"/>
  <c r="AG11" s="1"/>
  <c r="AH11" s="1"/>
  <c r="Z46"/>
  <c r="AF46" s="1"/>
  <c r="AG40"/>
  <c r="AH40" s="1"/>
  <c r="U7"/>
  <c r="Q73"/>
  <c r="E74" s="1"/>
  <c r="Z17"/>
  <c r="AF17" s="1"/>
  <c r="AG17" s="1"/>
  <c r="AH17" s="1"/>
  <c r="Z19"/>
  <c r="AF19" s="1"/>
  <c r="AG19" s="1"/>
  <c r="AH19" s="1"/>
  <c r="U22"/>
  <c r="U32"/>
  <c r="AG32" s="1"/>
  <c r="AH32" s="1"/>
  <c r="U39"/>
  <c r="AG39" s="1"/>
  <c r="AH39" s="1"/>
  <c r="U48"/>
  <c r="AG48" s="1"/>
  <c r="AH48" s="1"/>
  <c r="Z49"/>
  <c r="AF49" s="1"/>
  <c r="U50"/>
  <c r="AG50" s="1"/>
  <c r="AH50" s="1"/>
  <c r="U53"/>
  <c r="AG53" s="1"/>
  <c r="AH53" s="1"/>
  <c r="Z54"/>
  <c r="AF54" s="1"/>
  <c r="AG54" s="1"/>
  <c r="AH54" s="1"/>
  <c r="Z55"/>
  <c r="AF55" s="1"/>
  <c r="Z59"/>
  <c r="AF59" s="1"/>
  <c r="AG59" s="1"/>
  <c r="AH59" s="1"/>
  <c r="U62"/>
  <c r="AG62" s="1"/>
  <c r="AH62" s="1"/>
  <c r="U65"/>
  <c r="Z8"/>
  <c r="AF8" s="1"/>
  <c r="AG8" s="1"/>
  <c r="AH8" s="1"/>
  <c r="Z23"/>
  <c r="AF23" s="1"/>
  <c r="AG23" s="1"/>
  <c r="AH23" s="1"/>
  <c r="Z33"/>
  <c r="AF33" s="1"/>
  <c r="Z40"/>
  <c r="AF40" s="1"/>
  <c r="U44"/>
  <c r="AG44" s="1"/>
  <c r="AH44" s="1"/>
  <c r="U51"/>
  <c r="AG51" s="1"/>
  <c r="AH51" s="1"/>
  <c r="U63"/>
  <c r="Z67"/>
  <c r="AF67" s="1"/>
  <c r="AG67" s="1"/>
  <c r="AH67" s="1"/>
  <c r="AG63"/>
  <c r="AH63" s="1"/>
  <c r="U21"/>
  <c r="AG21" s="1"/>
  <c r="AH21" s="1"/>
  <c r="U26"/>
  <c r="AG26" s="1"/>
  <c r="AH26" s="1"/>
  <c r="Z27"/>
  <c r="AF27" s="1"/>
  <c r="AG27" s="1"/>
  <c r="AH27" s="1"/>
  <c r="U31"/>
  <c r="AG31" s="1"/>
  <c r="AH31" s="1"/>
  <c r="U36"/>
  <c r="AG36" s="1"/>
  <c r="AH36" s="1"/>
  <c r="Z37"/>
  <c r="AF37" s="1"/>
  <c r="AG37" s="1"/>
  <c r="AH37" s="1"/>
  <c r="AG41"/>
  <c r="AH41" s="1"/>
  <c r="AG46"/>
  <c r="AH46" s="1"/>
  <c r="U61"/>
  <c r="AG61" s="1"/>
  <c r="AH61" s="1"/>
  <c r="U70"/>
  <c r="AG70" s="1"/>
  <c r="AH70" s="1"/>
  <c r="AG33"/>
  <c r="AH33" s="1"/>
  <c r="Z9"/>
  <c r="AF9" s="1"/>
  <c r="AG9" s="1"/>
  <c r="AH9" s="1"/>
  <c r="AG13"/>
  <c r="AH13" s="1"/>
  <c r="U25"/>
  <c r="AG25" s="1"/>
  <c r="AH25" s="1"/>
  <c r="U35"/>
  <c r="AG35" s="1"/>
  <c r="AH35" s="1"/>
  <c r="AG45"/>
  <c r="AH45" s="1"/>
  <c r="AG55"/>
  <c r="AH55" s="1"/>
  <c r="U69"/>
  <c r="AG69" s="1"/>
  <c r="AH69" s="1"/>
  <c r="U71"/>
  <c r="Z71"/>
  <c r="AF71" s="1"/>
  <c r="AG22"/>
  <c r="AH22" s="1"/>
  <c r="AG16"/>
  <c r="AH16" s="1"/>
  <c r="AG49"/>
  <c r="AH49" s="1"/>
  <c r="AG58"/>
  <c r="AH58" s="1"/>
  <c r="AG65"/>
  <c r="AH65" s="1"/>
  <c r="AF7"/>
  <c r="AG7" s="1"/>
  <c r="Z29"/>
  <c r="AF29" s="1"/>
  <c r="AG29" s="1"/>
  <c r="AH29" s="1"/>
  <c r="Z10"/>
  <c r="AF10" s="1"/>
  <c r="AG10" s="1"/>
  <c r="AH10" s="1"/>
  <c r="Z15"/>
  <c r="AF15" s="1"/>
  <c r="AG15" s="1"/>
  <c r="AH15" s="1"/>
  <c r="Z20"/>
  <c r="AF20" s="1"/>
  <c r="AG20" s="1"/>
  <c r="AH20" s="1"/>
  <c r="Z24"/>
  <c r="AF24" s="1"/>
  <c r="AG24" s="1"/>
  <c r="AH24" s="1"/>
  <c r="U28"/>
  <c r="AG28" s="1"/>
  <c r="AH28" s="1"/>
  <c r="Z30"/>
  <c r="AF30" s="1"/>
  <c r="AG30" s="1"/>
  <c r="AH30" s="1"/>
  <c r="Z34"/>
  <c r="AF34" s="1"/>
  <c r="AG34" s="1"/>
  <c r="AH34" s="1"/>
  <c r="Z38"/>
  <c r="AF38" s="1"/>
  <c r="AG38" s="1"/>
  <c r="AH38" s="1"/>
  <c r="Z42"/>
  <c r="AF42" s="1"/>
  <c r="AG42" s="1"/>
  <c r="AH42" s="1"/>
  <c r="Z47"/>
  <c r="AF47" s="1"/>
  <c r="AG47" s="1"/>
  <c r="AH47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S68"/>
  <c r="S14"/>
  <c r="X118" i="946"/>
  <c r="R80"/>
  <c r="R73"/>
  <c r="D76" s="1"/>
  <c r="U70"/>
  <c r="AG70" s="1"/>
  <c r="AH70" s="1"/>
  <c r="S14"/>
  <c r="U14" s="1"/>
  <c r="D73"/>
  <c r="E75" s="1"/>
  <c r="U11"/>
  <c r="AG11" s="1"/>
  <c r="AH11" s="1"/>
  <c r="Z20"/>
  <c r="AF20" s="1"/>
  <c r="U41"/>
  <c r="AG41" s="1"/>
  <c r="AH41" s="1"/>
  <c r="U55"/>
  <c r="AG55" s="1"/>
  <c r="AH55" s="1"/>
  <c r="Z44"/>
  <c r="AF44" s="1"/>
  <c r="Z50"/>
  <c r="AF50" s="1"/>
  <c r="AG50" s="1"/>
  <c r="AH50" s="1"/>
  <c r="Z61"/>
  <c r="AF61" s="1"/>
  <c r="AG61" s="1"/>
  <c r="AH61" s="1"/>
  <c r="AG20"/>
  <c r="AH20" s="1"/>
  <c r="Q73"/>
  <c r="E74" s="1"/>
  <c r="U9"/>
  <c r="AG9" s="1"/>
  <c r="AH9" s="1"/>
  <c r="Z19"/>
  <c r="AF19" s="1"/>
  <c r="Z42"/>
  <c r="AF42" s="1"/>
  <c r="AG42" s="1"/>
  <c r="AH42" s="1"/>
  <c r="U51"/>
  <c r="AG51" s="1"/>
  <c r="AH51" s="1"/>
  <c r="U57"/>
  <c r="AG29"/>
  <c r="AH29" s="1"/>
  <c r="AG34"/>
  <c r="AH34" s="1"/>
  <c r="AG48"/>
  <c r="AH48" s="1"/>
  <c r="AG15"/>
  <c r="AH15" s="1"/>
  <c r="AG24"/>
  <c r="AH24" s="1"/>
  <c r="AG44"/>
  <c r="AH44" s="1"/>
  <c r="Z12"/>
  <c r="AF12" s="1"/>
  <c r="AG12" s="1"/>
  <c r="AH12" s="1"/>
  <c r="Z13"/>
  <c r="AF13" s="1"/>
  <c r="AG13" s="1"/>
  <c r="AH13" s="1"/>
  <c r="AG17"/>
  <c r="AH17" s="1"/>
  <c r="U26"/>
  <c r="AG26" s="1"/>
  <c r="AH26" s="1"/>
  <c r="U33"/>
  <c r="AG33" s="1"/>
  <c r="AH33" s="1"/>
  <c r="Z39"/>
  <c r="AF39" s="1"/>
  <c r="AG39" s="1"/>
  <c r="AH39" s="1"/>
  <c r="Z53"/>
  <c r="AF53" s="1"/>
  <c r="AG53" s="1"/>
  <c r="AH53" s="1"/>
  <c r="AG30"/>
  <c r="AH30" s="1"/>
  <c r="AG35"/>
  <c r="AH35" s="1"/>
  <c r="AG65"/>
  <c r="AH65" s="1"/>
  <c r="Z7"/>
  <c r="AF7" s="1"/>
  <c r="Z8"/>
  <c r="AF8" s="1"/>
  <c r="AG8" s="1"/>
  <c r="AH8" s="1"/>
  <c r="U22"/>
  <c r="AG22" s="1"/>
  <c r="AH22" s="1"/>
  <c r="Z27"/>
  <c r="AF27" s="1"/>
  <c r="AG27" s="1"/>
  <c r="AH27" s="1"/>
  <c r="Z34"/>
  <c r="AF34" s="1"/>
  <c r="Z47"/>
  <c r="AF47" s="1"/>
  <c r="AG47" s="1"/>
  <c r="AH47" s="1"/>
  <c r="U59"/>
  <c r="Z64"/>
  <c r="AF64" s="1"/>
  <c r="AG64" s="1"/>
  <c r="AH64" s="1"/>
  <c r="Z69"/>
  <c r="AF69" s="1"/>
  <c r="AG69" s="1"/>
  <c r="AH69" s="1"/>
  <c r="U71"/>
  <c r="Z71"/>
  <c r="AF71" s="1"/>
  <c r="AG60"/>
  <c r="AH60" s="1"/>
  <c r="AG19"/>
  <c r="AH19" s="1"/>
  <c r="AG21"/>
  <c r="AH21" s="1"/>
  <c r="AG56"/>
  <c r="AH56" s="1"/>
  <c r="AG57"/>
  <c r="AH57" s="1"/>
  <c r="AG23"/>
  <c r="AH23" s="1"/>
  <c r="AG38"/>
  <c r="AH38" s="1"/>
  <c r="AG52"/>
  <c r="AH52" s="1"/>
  <c r="AG59"/>
  <c r="AH59" s="1"/>
  <c r="U7"/>
  <c r="U28"/>
  <c r="AG28" s="1"/>
  <c r="AH28" s="1"/>
  <c r="Z10"/>
  <c r="AF10" s="1"/>
  <c r="AG10" s="1"/>
  <c r="AH10" s="1"/>
  <c r="Z16"/>
  <c r="AF16" s="1"/>
  <c r="AG16" s="1"/>
  <c r="AH16" s="1"/>
  <c r="Z21"/>
  <c r="AF21" s="1"/>
  <c r="Z25"/>
  <c r="AF25" s="1"/>
  <c r="AG25" s="1"/>
  <c r="AH25" s="1"/>
  <c r="Z31"/>
  <c r="AF31" s="1"/>
  <c r="AG31" s="1"/>
  <c r="AH31" s="1"/>
  <c r="Z32"/>
  <c r="AF32" s="1"/>
  <c r="AG32" s="1"/>
  <c r="AH32" s="1"/>
  <c r="Z36"/>
  <c r="AF36" s="1"/>
  <c r="AG36" s="1"/>
  <c r="AH36" s="1"/>
  <c r="Z40"/>
  <c r="AF40" s="1"/>
  <c r="AG40" s="1"/>
  <c r="AH40" s="1"/>
  <c r="Z45"/>
  <c r="AF45" s="1"/>
  <c r="AG45" s="1"/>
  <c r="AH45" s="1"/>
  <c r="Z49"/>
  <c r="AF49" s="1"/>
  <c r="AG49" s="1"/>
  <c r="AH49" s="1"/>
  <c r="Z54"/>
  <c r="AF54" s="1"/>
  <c r="AG54" s="1"/>
  <c r="AH54" s="1"/>
  <c r="Z62"/>
  <c r="AF62" s="1"/>
  <c r="AG62" s="1"/>
  <c r="AH62" s="1"/>
  <c r="Z67"/>
  <c r="AF67" s="1"/>
  <c r="AG67" s="1"/>
  <c r="AH67" s="1"/>
  <c r="Z68"/>
  <c r="AF68" s="1"/>
  <c r="AG68" s="1"/>
  <c r="AH68" s="1"/>
  <c r="X145" i="9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O77"/>
  <c r="M77"/>
  <c r="R80"/>
  <c r="T74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AG72"/>
  <c r="AH72" s="1"/>
  <c r="AF72"/>
  <c r="Z72"/>
  <c r="S71"/>
  <c r="U71" s="1"/>
  <c r="Q71"/>
  <c r="S70"/>
  <c r="U70" s="1"/>
  <c r="Q70"/>
  <c r="Q69"/>
  <c r="S69"/>
  <c r="Q68"/>
  <c r="S68"/>
  <c r="S67"/>
  <c r="Z67" s="1"/>
  <c r="AF67" s="1"/>
  <c r="Q67"/>
  <c r="Z66"/>
  <c r="AF66" s="1"/>
  <c r="AG66" s="1"/>
  <c r="AH66" s="1"/>
  <c r="S65"/>
  <c r="U65" s="1"/>
  <c r="Q65"/>
  <c r="S64"/>
  <c r="Z64" s="1"/>
  <c r="AF64" s="1"/>
  <c r="Q64"/>
  <c r="S63"/>
  <c r="U63" s="1"/>
  <c r="Q63"/>
  <c r="S62"/>
  <c r="U62" s="1"/>
  <c r="Q62"/>
  <c r="S61"/>
  <c r="U61" s="1"/>
  <c r="Q61"/>
  <c r="S60"/>
  <c r="Z60" s="1"/>
  <c r="AF60" s="1"/>
  <c r="Q60"/>
  <c r="S59"/>
  <c r="U59" s="1"/>
  <c r="Q59"/>
  <c r="AF58"/>
  <c r="Z58"/>
  <c r="U58"/>
  <c r="AG58" s="1"/>
  <c r="AH58" s="1"/>
  <c r="Q58"/>
  <c r="T57"/>
  <c r="S57"/>
  <c r="Z57" s="1"/>
  <c r="AF57" s="1"/>
  <c r="Q57"/>
  <c r="S56"/>
  <c r="Z56" s="1"/>
  <c r="AF56" s="1"/>
  <c r="Q56"/>
  <c r="S55"/>
  <c r="U55" s="1"/>
  <c r="Q55"/>
  <c r="S54"/>
  <c r="U54" s="1"/>
  <c r="Q54"/>
  <c r="S53"/>
  <c r="U53" s="1"/>
  <c r="Q53"/>
  <c r="U52"/>
  <c r="AG52" s="1"/>
  <c r="AH52" s="1"/>
  <c r="S52"/>
  <c r="Z52" s="1"/>
  <c r="AF52" s="1"/>
  <c r="Q52"/>
  <c r="S51"/>
  <c r="U51" s="1"/>
  <c r="Q51"/>
  <c r="T50"/>
  <c r="S50"/>
  <c r="U50" s="1"/>
  <c r="Q50"/>
  <c r="S49"/>
  <c r="U49" s="1"/>
  <c r="Q49"/>
  <c r="S48"/>
  <c r="U48" s="1"/>
  <c r="Q48"/>
  <c r="S47"/>
  <c r="Z47" s="1"/>
  <c r="AF47" s="1"/>
  <c r="Q47"/>
  <c r="S46"/>
  <c r="U46" s="1"/>
  <c r="Q46"/>
  <c r="Z45"/>
  <c r="AF45" s="1"/>
  <c r="S45"/>
  <c r="U45" s="1"/>
  <c r="Q45"/>
  <c r="Z44"/>
  <c r="AF44" s="1"/>
  <c r="S44"/>
  <c r="U44" s="1"/>
  <c r="Q44"/>
  <c r="AH43"/>
  <c r="AG43"/>
  <c r="AF43"/>
  <c r="Z43"/>
  <c r="U42"/>
  <c r="AG42" s="1"/>
  <c r="AH42" s="1"/>
  <c r="S42"/>
  <c r="Z42" s="1"/>
  <c r="AF42" s="1"/>
  <c r="Q42"/>
  <c r="S41"/>
  <c r="U41" s="1"/>
  <c r="Q41"/>
  <c r="S40"/>
  <c r="U40" s="1"/>
  <c r="Q40"/>
  <c r="S39"/>
  <c r="U39" s="1"/>
  <c r="Q39"/>
  <c r="S38"/>
  <c r="Z38" s="1"/>
  <c r="AF38" s="1"/>
  <c r="Q38"/>
  <c r="S37"/>
  <c r="U37" s="1"/>
  <c r="Q37"/>
  <c r="S36"/>
  <c r="U36" s="1"/>
  <c r="Q36"/>
  <c r="S35"/>
  <c r="U35" s="1"/>
  <c r="Q35"/>
  <c r="S34"/>
  <c r="Z34" s="1"/>
  <c r="AF34" s="1"/>
  <c r="Q34"/>
  <c r="S33"/>
  <c r="U33" s="1"/>
  <c r="Q33"/>
  <c r="S32"/>
  <c r="U32" s="1"/>
  <c r="Q32"/>
  <c r="S31"/>
  <c r="U31" s="1"/>
  <c r="Q3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S26"/>
  <c r="U26" s="1"/>
  <c r="Q26"/>
  <c r="S25"/>
  <c r="U25" s="1"/>
  <c r="Q25"/>
  <c r="S24"/>
  <c r="Z24" s="1"/>
  <c r="AF24" s="1"/>
  <c r="Q24"/>
  <c r="S23"/>
  <c r="U23" s="1"/>
  <c r="Q23"/>
  <c r="Z22"/>
  <c r="AF22" s="1"/>
  <c r="S22"/>
  <c r="U22" s="1"/>
  <c r="Q22"/>
  <c r="Z21"/>
  <c r="AF21" s="1"/>
  <c r="S21"/>
  <c r="U21" s="1"/>
  <c r="Q21"/>
  <c r="U20"/>
  <c r="AG20" s="1"/>
  <c r="AH20" s="1"/>
  <c r="S20"/>
  <c r="Z20" s="1"/>
  <c r="AF20" s="1"/>
  <c r="Q20"/>
  <c r="S19"/>
  <c r="U19" s="1"/>
  <c r="Q19"/>
  <c r="AF18"/>
  <c r="AG18" s="1"/>
  <c r="AH18" s="1"/>
  <c r="Z18"/>
  <c r="S17"/>
  <c r="Z17" s="1"/>
  <c r="AF17" s="1"/>
  <c r="Q17"/>
  <c r="S16"/>
  <c r="Z16" s="1"/>
  <c r="AF16" s="1"/>
  <c r="Q16"/>
  <c r="S15"/>
  <c r="Z15" s="1"/>
  <c r="AF15" s="1"/>
  <c r="Q15"/>
  <c r="S14"/>
  <c r="U14" s="1"/>
  <c r="R73"/>
  <c r="D76" s="1"/>
  <c r="Q14"/>
  <c r="S13"/>
  <c r="U13" s="1"/>
  <c r="Q13"/>
  <c r="S12"/>
  <c r="U12" s="1"/>
  <c r="Q12"/>
  <c r="S11"/>
  <c r="U11" s="1"/>
  <c r="Q11"/>
  <c r="S10"/>
  <c r="Z10" s="1"/>
  <c r="AF10" s="1"/>
  <c r="Q10"/>
  <c r="S9"/>
  <c r="U9" s="1"/>
  <c r="Q9"/>
  <c r="S8"/>
  <c r="Z8" s="1"/>
  <c r="AF8" s="1"/>
  <c r="Q8"/>
  <c r="U7"/>
  <c r="S7"/>
  <c r="Q7"/>
  <c r="F77" i="944"/>
  <c r="R77" s="1"/>
  <c r="R80" s="1"/>
  <c r="R76"/>
  <c r="R75"/>
  <c r="C69"/>
  <c r="C71"/>
  <c r="S71" s="1"/>
  <c r="U71" s="1"/>
  <c r="R14"/>
  <c r="S14" s="1"/>
  <c r="D68"/>
  <c r="D73" s="1"/>
  <c r="E75" s="1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O77"/>
  <c r="M77"/>
  <c r="T74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AG72"/>
  <c r="AH72" s="1"/>
  <c r="AF72"/>
  <c r="Z72"/>
  <c r="G73"/>
  <c r="S70"/>
  <c r="Z70" s="1"/>
  <c r="AF70" s="1"/>
  <c r="Q70"/>
  <c r="S69"/>
  <c r="Z69" s="1"/>
  <c r="AF69" s="1"/>
  <c r="Q69"/>
  <c r="Q68"/>
  <c r="S67"/>
  <c r="Z67" s="1"/>
  <c r="AF67" s="1"/>
  <c r="Q67"/>
  <c r="AG66"/>
  <c r="AH66" s="1"/>
  <c r="AF66"/>
  <c r="Z66"/>
  <c r="S65"/>
  <c r="U65" s="1"/>
  <c r="Q65"/>
  <c r="S64"/>
  <c r="U64" s="1"/>
  <c r="Q64"/>
  <c r="Z63"/>
  <c r="AF63" s="1"/>
  <c r="S63"/>
  <c r="U63" s="1"/>
  <c r="Q63"/>
  <c r="U62"/>
  <c r="S62"/>
  <c r="Z62" s="1"/>
  <c r="AF62" s="1"/>
  <c r="Q62"/>
  <c r="S61"/>
  <c r="U61" s="1"/>
  <c r="Q61"/>
  <c r="S60"/>
  <c r="U60" s="1"/>
  <c r="Q60"/>
  <c r="S59"/>
  <c r="Z59" s="1"/>
  <c r="AF59" s="1"/>
  <c r="Q59"/>
  <c r="Z58"/>
  <c r="AF58" s="1"/>
  <c r="U58"/>
  <c r="AG58" s="1"/>
  <c r="AH58" s="1"/>
  <c r="Q58"/>
  <c r="T57"/>
  <c r="S57"/>
  <c r="Z57" s="1"/>
  <c r="AF57" s="1"/>
  <c r="Q57"/>
  <c r="Z56"/>
  <c r="AF56" s="1"/>
  <c r="S56"/>
  <c r="U56" s="1"/>
  <c r="Q56"/>
  <c r="U55"/>
  <c r="S55"/>
  <c r="Z55" s="1"/>
  <c r="AF55" s="1"/>
  <c r="Q55"/>
  <c r="S54"/>
  <c r="Z54" s="1"/>
  <c r="AF54" s="1"/>
  <c r="Q54"/>
  <c r="S53"/>
  <c r="U53" s="1"/>
  <c r="Q53"/>
  <c r="S52"/>
  <c r="U52" s="1"/>
  <c r="Q52"/>
  <c r="S51"/>
  <c r="U51" s="1"/>
  <c r="Q51"/>
  <c r="T50"/>
  <c r="T73" s="1"/>
  <c r="S50"/>
  <c r="U50" s="1"/>
  <c r="Q50"/>
  <c r="U49"/>
  <c r="S49"/>
  <c r="Z49" s="1"/>
  <c r="AF49" s="1"/>
  <c r="Q49"/>
  <c r="S48"/>
  <c r="U48" s="1"/>
  <c r="Q48"/>
  <c r="Z47"/>
  <c r="AF47" s="1"/>
  <c r="S47"/>
  <c r="U47" s="1"/>
  <c r="Q47"/>
  <c r="U46"/>
  <c r="S46"/>
  <c r="Z46" s="1"/>
  <c r="AF46" s="1"/>
  <c r="Q46"/>
  <c r="S45"/>
  <c r="Z45" s="1"/>
  <c r="AF45" s="1"/>
  <c r="Q45"/>
  <c r="S44"/>
  <c r="U44" s="1"/>
  <c r="Q44"/>
  <c r="AF43"/>
  <c r="AG43" s="1"/>
  <c r="AH43" s="1"/>
  <c r="Z43"/>
  <c r="S42"/>
  <c r="U42" s="1"/>
  <c r="Q42"/>
  <c r="S41"/>
  <c r="Z41" s="1"/>
  <c r="AF41" s="1"/>
  <c r="Q41"/>
  <c r="U40"/>
  <c r="S40"/>
  <c r="Z40" s="1"/>
  <c r="AF40" s="1"/>
  <c r="Q40"/>
  <c r="S39"/>
  <c r="U39" s="1"/>
  <c r="Q39"/>
  <c r="S38"/>
  <c r="U38" s="1"/>
  <c r="Q38"/>
  <c r="U37"/>
  <c r="S37"/>
  <c r="Z37" s="1"/>
  <c r="AF37" s="1"/>
  <c r="Q37"/>
  <c r="S36"/>
  <c r="Z36" s="1"/>
  <c r="AF36" s="1"/>
  <c r="Q36"/>
  <c r="S35"/>
  <c r="U35" s="1"/>
  <c r="Q35"/>
  <c r="Z34"/>
  <c r="AF34" s="1"/>
  <c r="S34"/>
  <c r="U34" s="1"/>
  <c r="Q34"/>
  <c r="U33"/>
  <c r="S33"/>
  <c r="Z33" s="1"/>
  <c r="AF33" s="1"/>
  <c r="Q33"/>
  <c r="S32"/>
  <c r="Z32" s="1"/>
  <c r="AF32" s="1"/>
  <c r="Q32"/>
  <c r="S31"/>
  <c r="U31" s="1"/>
  <c r="Q31"/>
  <c r="S30"/>
  <c r="U30" s="1"/>
  <c r="Q30"/>
  <c r="T29"/>
  <c r="S29"/>
  <c r="U29" s="1"/>
  <c r="Q29"/>
  <c r="T28"/>
  <c r="S28"/>
  <c r="Z28" s="1"/>
  <c r="AF28" s="1"/>
  <c r="Q28"/>
  <c r="S27"/>
  <c r="Z27" s="1"/>
  <c r="AF27" s="1"/>
  <c r="Q27"/>
  <c r="S26"/>
  <c r="Z26" s="1"/>
  <c r="AF26" s="1"/>
  <c r="Q26"/>
  <c r="S25"/>
  <c r="U25" s="1"/>
  <c r="Q25"/>
  <c r="S24"/>
  <c r="U24" s="1"/>
  <c r="Q24"/>
  <c r="S23"/>
  <c r="U23" s="1"/>
  <c r="Q23"/>
  <c r="S22"/>
  <c r="Z22" s="1"/>
  <c r="AF22" s="1"/>
  <c r="Q22"/>
  <c r="S21"/>
  <c r="U21" s="1"/>
  <c r="Q21"/>
  <c r="S20"/>
  <c r="U20" s="1"/>
  <c r="Q20"/>
  <c r="S19"/>
  <c r="U19" s="1"/>
  <c r="Q19"/>
  <c r="Z18"/>
  <c r="AF18" s="1"/>
  <c r="AG18" s="1"/>
  <c r="AH18" s="1"/>
  <c r="S17"/>
  <c r="Z17" s="1"/>
  <c r="AF17" s="1"/>
  <c r="Q17"/>
  <c r="S16"/>
  <c r="Z16" s="1"/>
  <c r="AF16" s="1"/>
  <c r="Q16"/>
  <c r="S15"/>
  <c r="U15" s="1"/>
  <c r="Q15"/>
  <c r="Q14"/>
  <c r="S13"/>
  <c r="U13" s="1"/>
  <c r="Q13"/>
  <c r="S12"/>
  <c r="Q12"/>
  <c r="S11"/>
  <c r="U11" s="1"/>
  <c r="Q11"/>
  <c r="S10"/>
  <c r="Q10"/>
  <c r="Z9"/>
  <c r="AF9" s="1"/>
  <c r="U9"/>
  <c r="S9"/>
  <c r="Q9"/>
  <c r="U8"/>
  <c r="AG8" s="1"/>
  <c r="AH8" s="1"/>
  <c r="S8"/>
  <c r="Z8" s="1"/>
  <c r="AF8" s="1"/>
  <c r="Q8"/>
  <c r="U7"/>
  <c r="S7"/>
  <c r="Z7" s="1"/>
  <c r="Q7"/>
  <c r="M77" i="943"/>
  <c r="F77"/>
  <c r="R76"/>
  <c r="R75"/>
  <c r="R74"/>
  <c r="R17"/>
  <c r="R14"/>
  <c r="R12"/>
  <c r="R71"/>
  <c r="R69"/>
  <c r="R70"/>
  <c r="R10"/>
  <c r="R8"/>
  <c r="AG73" i="949" l="1"/>
  <c r="AH7"/>
  <c r="AH73" s="1"/>
  <c r="U11" i="948"/>
  <c r="AG11" s="1"/>
  <c r="AH11" s="1"/>
  <c r="U14"/>
  <c r="AG14" s="1"/>
  <c r="AH14" s="1"/>
  <c r="AG12"/>
  <c r="AH12" s="1"/>
  <c r="AF7"/>
  <c r="Z71"/>
  <c r="AF71" s="1"/>
  <c r="U71"/>
  <c r="S73"/>
  <c r="AG71" i="947"/>
  <c r="AH71" s="1"/>
  <c r="S73"/>
  <c r="AH7"/>
  <c r="Z68"/>
  <c r="AF68" s="1"/>
  <c r="U68"/>
  <c r="U14"/>
  <c r="Z14"/>
  <c r="AF14" s="1"/>
  <c r="S73" i="946"/>
  <c r="Z14"/>
  <c r="AF14" s="1"/>
  <c r="AG14" s="1"/>
  <c r="AH14" s="1"/>
  <c r="AG71"/>
  <c r="AH71" s="1"/>
  <c r="AG7"/>
  <c r="U73"/>
  <c r="U17" i="945"/>
  <c r="AG17" s="1"/>
  <c r="AH17" s="1"/>
  <c r="Z12"/>
  <c r="AF12" s="1"/>
  <c r="U10"/>
  <c r="AG10" s="1"/>
  <c r="AH10" s="1"/>
  <c r="U34"/>
  <c r="AG34" s="1"/>
  <c r="AH34" s="1"/>
  <c r="Z35"/>
  <c r="AF35" s="1"/>
  <c r="Z36"/>
  <c r="AF36" s="1"/>
  <c r="Z53"/>
  <c r="AF53" s="1"/>
  <c r="AG53" s="1"/>
  <c r="AH53" s="1"/>
  <c r="U64"/>
  <c r="AG64" s="1"/>
  <c r="AH64" s="1"/>
  <c r="Z65"/>
  <c r="AF65" s="1"/>
  <c r="U67"/>
  <c r="U16"/>
  <c r="AG16" s="1"/>
  <c r="AH16" s="1"/>
  <c r="Z54"/>
  <c r="AF54" s="1"/>
  <c r="U8"/>
  <c r="AG8" s="1"/>
  <c r="AH8" s="1"/>
  <c r="Z11"/>
  <c r="AF11" s="1"/>
  <c r="U15"/>
  <c r="AG15" s="1"/>
  <c r="AH15" s="1"/>
  <c r="AG54"/>
  <c r="AH54" s="1"/>
  <c r="Q73"/>
  <c r="E74" s="1"/>
  <c r="AG12"/>
  <c r="AH12" s="1"/>
  <c r="AG62"/>
  <c r="AH62" s="1"/>
  <c r="AG67"/>
  <c r="AH67" s="1"/>
  <c r="S73"/>
  <c r="AG22"/>
  <c r="AH22" s="1"/>
  <c r="AG36"/>
  <c r="AH36" s="1"/>
  <c r="AG45"/>
  <c r="AH45" s="1"/>
  <c r="U24"/>
  <c r="AG24" s="1"/>
  <c r="AH24" s="1"/>
  <c r="Z25"/>
  <c r="AF25" s="1"/>
  <c r="AG25" s="1"/>
  <c r="AH25" s="1"/>
  <c r="Z26"/>
  <c r="AF26" s="1"/>
  <c r="AG26" s="1"/>
  <c r="AH26" s="1"/>
  <c r="U30"/>
  <c r="AG30" s="1"/>
  <c r="AH30" s="1"/>
  <c r="Z31"/>
  <c r="AF31" s="1"/>
  <c r="AG31" s="1"/>
  <c r="AH31" s="1"/>
  <c r="Z32"/>
  <c r="AF32" s="1"/>
  <c r="AG32" s="1"/>
  <c r="AH32" s="1"/>
  <c r="U38"/>
  <c r="AG38" s="1"/>
  <c r="AH38" s="1"/>
  <c r="Z39"/>
  <c r="AF39" s="1"/>
  <c r="Z40"/>
  <c r="AF40" s="1"/>
  <c r="AG40" s="1"/>
  <c r="AH40" s="1"/>
  <c r="U47"/>
  <c r="AG47" s="1"/>
  <c r="AH47" s="1"/>
  <c r="Z48"/>
  <c r="AF48" s="1"/>
  <c r="AG48" s="1"/>
  <c r="AH48" s="1"/>
  <c r="Z49"/>
  <c r="AF49" s="1"/>
  <c r="AG49" s="1"/>
  <c r="AH49" s="1"/>
  <c r="U60"/>
  <c r="AG60" s="1"/>
  <c r="AH60" s="1"/>
  <c r="Z61"/>
  <c r="AF61" s="1"/>
  <c r="AG61" s="1"/>
  <c r="AH61" s="1"/>
  <c r="Z62"/>
  <c r="AF62" s="1"/>
  <c r="Z7"/>
  <c r="AF7" s="1"/>
  <c r="AG7" s="1"/>
  <c r="AH7" s="1"/>
  <c r="U56"/>
  <c r="AG56" s="1"/>
  <c r="AH56" s="1"/>
  <c r="U57"/>
  <c r="AG57" s="1"/>
  <c r="AH57" s="1"/>
  <c r="Z68"/>
  <c r="AF68" s="1"/>
  <c r="U68"/>
  <c r="U69"/>
  <c r="Z69"/>
  <c r="AF69" s="1"/>
  <c r="AG21"/>
  <c r="AH21" s="1"/>
  <c r="AG65"/>
  <c r="AH65" s="1"/>
  <c r="AG11"/>
  <c r="AH11" s="1"/>
  <c r="AG39"/>
  <c r="AH39" s="1"/>
  <c r="AG35"/>
  <c r="AH35" s="1"/>
  <c r="AG44"/>
  <c r="AH44" s="1"/>
  <c r="Z50"/>
  <c r="AF50" s="1"/>
  <c r="AG50" s="1"/>
  <c r="AH50" s="1"/>
  <c r="D73"/>
  <c r="E75" s="1"/>
  <c r="Z9"/>
  <c r="AF9" s="1"/>
  <c r="AG9" s="1"/>
  <c r="AH9" s="1"/>
  <c r="Z13"/>
  <c r="AF13" s="1"/>
  <c r="AG13" s="1"/>
  <c r="AH13" s="1"/>
  <c r="Z14"/>
  <c r="AF14" s="1"/>
  <c r="AG14" s="1"/>
  <c r="AH14" s="1"/>
  <c r="Z27"/>
  <c r="AF27" s="1"/>
  <c r="AG27" s="1"/>
  <c r="AH27" s="1"/>
  <c r="Z28"/>
  <c r="AF28" s="1"/>
  <c r="AG28" s="1"/>
  <c r="AH28" s="1"/>
  <c r="Z29"/>
  <c r="AF29" s="1"/>
  <c r="AG29" s="1"/>
  <c r="AH29" s="1"/>
  <c r="Z41"/>
  <c r="AF41" s="1"/>
  <c r="AG41" s="1"/>
  <c r="AH41" s="1"/>
  <c r="Z51"/>
  <c r="AF51" s="1"/>
  <c r="AG51" s="1"/>
  <c r="AH51" s="1"/>
  <c r="Z55"/>
  <c r="AF55" s="1"/>
  <c r="AG55" s="1"/>
  <c r="AH55" s="1"/>
  <c r="Z59"/>
  <c r="AF59" s="1"/>
  <c r="AG59" s="1"/>
  <c r="AH59" s="1"/>
  <c r="Z63"/>
  <c r="AF63" s="1"/>
  <c r="AG63" s="1"/>
  <c r="AH63" s="1"/>
  <c r="Z70"/>
  <c r="AF70" s="1"/>
  <c r="AG70" s="1"/>
  <c r="AH70" s="1"/>
  <c r="Z71"/>
  <c r="AF71" s="1"/>
  <c r="AG71" s="1"/>
  <c r="AH71" s="1"/>
  <c r="C73"/>
  <c r="Z19"/>
  <c r="AF19" s="1"/>
  <c r="AG19" s="1"/>
  <c r="AH19" s="1"/>
  <c r="Z23"/>
  <c r="AF23" s="1"/>
  <c r="AG23" s="1"/>
  <c r="AH23" s="1"/>
  <c r="Z33"/>
  <c r="AF33" s="1"/>
  <c r="AG33" s="1"/>
  <c r="AH33" s="1"/>
  <c r="Z37"/>
  <c r="AF37" s="1"/>
  <c r="AG37" s="1"/>
  <c r="AH37" s="1"/>
  <c r="Z46"/>
  <c r="AF46" s="1"/>
  <c r="AG46" s="1"/>
  <c r="AH46" s="1"/>
  <c r="C73" i="944"/>
  <c r="R73"/>
  <c r="D76" s="1"/>
  <c r="S68"/>
  <c r="Z68" s="1"/>
  <c r="AF68" s="1"/>
  <c r="Z20"/>
  <c r="AF20" s="1"/>
  <c r="AG20" s="1"/>
  <c r="AH20" s="1"/>
  <c r="Z51"/>
  <c r="AF51" s="1"/>
  <c r="AG51" s="1"/>
  <c r="AH51" s="1"/>
  <c r="U32"/>
  <c r="AG32" s="1"/>
  <c r="AH32" s="1"/>
  <c r="U54"/>
  <c r="AG54" s="1"/>
  <c r="AH54" s="1"/>
  <c r="U67"/>
  <c r="AG67" s="1"/>
  <c r="AH67" s="1"/>
  <c r="U22"/>
  <c r="AG22" s="1"/>
  <c r="AH22" s="1"/>
  <c r="Z23"/>
  <c r="AF23" s="1"/>
  <c r="Z30"/>
  <c r="AF30" s="1"/>
  <c r="AG30" s="1"/>
  <c r="AH30" s="1"/>
  <c r="Z38"/>
  <c r="AF38" s="1"/>
  <c r="Z52"/>
  <c r="AF52" s="1"/>
  <c r="AG52" s="1"/>
  <c r="AH52" s="1"/>
  <c r="Z64"/>
  <c r="AF64" s="1"/>
  <c r="U68"/>
  <c r="AG68" s="1"/>
  <c r="AH68" s="1"/>
  <c r="U69"/>
  <c r="AG69" s="1"/>
  <c r="AH69" s="1"/>
  <c r="U70"/>
  <c r="AG70" s="1"/>
  <c r="AH70" s="1"/>
  <c r="Z19"/>
  <c r="AF19" s="1"/>
  <c r="AG19" s="1"/>
  <c r="AH19" s="1"/>
  <c r="Z24"/>
  <c r="AF24" s="1"/>
  <c r="AG24" s="1"/>
  <c r="AH24" s="1"/>
  <c r="U27"/>
  <c r="AG27" s="1"/>
  <c r="AH27" s="1"/>
  <c r="Z29"/>
  <c r="AF29" s="1"/>
  <c r="AG29" s="1"/>
  <c r="AH29" s="1"/>
  <c r="AG38"/>
  <c r="AH38" s="1"/>
  <c r="AG47"/>
  <c r="AH47" s="1"/>
  <c r="Z11"/>
  <c r="AF11" s="1"/>
  <c r="AG11" s="1"/>
  <c r="AH11" s="1"/>
  <c r="U26"/>
  <c r="AG26" s="1"/>
  <c r="AH26" s="1"/>
  <c r="U28"/>
  <c r="AG28" s="1"/>
  <c r="AH28" s="1"/>
  <c r="U36"/>
  <c r="AG36" s="1"/>
  <c r="AH36" s="1"/>
  <c r="U41"/>
  <c r="AG41" s="1"/>
  <c r="AH41" s="1"/>
  <c r="Z42"/>
  <c r="AF42" s="1"/>
  <c r="AG42" s="1"/>
  <c r="AH42" s="1"/>
  <c r="U45"/>
  <c r="AG45" s="1"/>
  <c r="AH45" s="1"/>
  <c r="U59"/>
  <c r="AG59" s="1"/>
  <c r="AH59" s="1"/>
  <c r="Z60"/>
  <c r="AF60" s="1"/>
  <c r="AG60" s="1"/>
  <c r="AH60" s="1"/>
  <c r="AG64"/>
  <c r="AH64" s="1"/>
  <c r="Z50"/>
  <c r="AF50" s="1"/>
  <c r="AG50" s="1"/>
  <c r="AH50" s="1"/>
  <c r="U16"/>
  <c r="U17"/>
  <c r="AG17" s="1"/>
  <c r="AH17" s="1"/>
  <c r="AG34"/>
  <c r="AH34" s="1"/>
  <c r="AG56"/>
  <c r="AH56" s="1"/>
  <c r="AG63"/>
  <c r="AH63" s="1"/>
  <c r="U12"/>
  <c r="Z12"/>
  <c r="AF12" s="1"/>
  <c r="AF7"/>
  <c r="AG7" s="1"/>
  <c r="AG37"/>
  <c r="AH37" s="1"/>
  <c r="AG46"/>
  <c r="AH46" s="1"/>
  <c r="AG9"/>
  <c r="AH9" s="1"/>
  <c r="AG23"/>
  <c r="AH23" s="1"/>
  <c r="AG33"/>
  <c r="AH33" s="1"/>
  <c r="AG55"/>
  <c r="AH55" s="1"/>
  <c r="AG62"/>
  <c r="AH62" s="1"/>
  <c r="U14"/>
  <c r="Z14"/>
  <c r="AF14" s="1"/>
  <c r="U10"/>
  <c r="Z10"/>
  <c r="AF10" s="1"/>
  <c r="AG16"/>
  <c r="AH16" s="1"/>
  <c r="AG40"/>
  <c r="AH40" s="1"/>
  <c r="AG49"/>
  <c r="AH49" s="1"/>
  <c r="Z13"/>
  <c r="AF13" s="1"/>
  <c r="AG13" s="1"/>
  <c r="AH13" s="1"/>
  <c r="Z15"/>
  <c r="AF15" s="1"/>
  <c r="AG15" s="1"/>
  <c r="AH15" s="1"/>
  <c r="Z21"/>
  <c r="AF21" s="1"/>
  <c r="AG21" s="1"/>
  <c r="AH21" s="1"/>
  <c r="Z25"/>
  <c r="AF25" s="1"/>
  <c r="AG25" s="1"/>
  <c r="AH25" s="1"/>
  <c r="Z31"/>
  <c r="AF31" s="1"/>
  <c r="AG31" s="1"/>
  <c r="AH31" s="1"/>
  <c r="Z35"/>
  <c r="AF35" s="1"/>
  <c r="AG35" s="1"/>
  <c r="AH35" s="1"/>
  <c r="Z39"/>
  <c r="AF39" s="1"/>
  <c r="AG39" s="1"/>
  <c r="AH39" s="1"/>
  <c r="Z44"/>
  <c r="AF44" s="1"/>
  <c r="AG44" s="1"/>
  <c r="AH44" s="1"/>
  <c r="Z48"/>
  <c r="AF48" s="1"/>
  <c r="AG48" s="1"/>
  <c r="AH48" s="1"/>
  <c r="Z53"/>
  <c r="AF53" s="1"/>
  <c r="AG53" s="1"/>
  <c r="AH53" s="1"/>
  <c r="U57"/>
  <c r="AG57" s="1"/>
  <c r="AH57" s="1"/>
  <c r="Z61"/>
  <c r="AF61" s="1"/>
  <c r="AG61" s="1"/>
  <c r="AH61" s="1"/>
  <c r="Z65"/>
  <c r="AF65" s="1"/>
  <c r="AG65" s="1"/>
  <c r="AH65" s="1"/>
  <c r="Q71"/>
  <c r="Q73" s="1"/>
  <c r="E74" s="1"/>
  <c r="Z71"/>
  <c r="AF71" s="1"/>
  <c r="AG71" s="1"/>
  <c r="AH71" s="1"/>
  <c r="S69" i="943"/>
  <c r="G71"/>
  <c r="G73" s="1"/>
  <c r="D68"/>
  <c r="S68" s="1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O77"/>
  <c r="R80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C73"/>
  <c r="AG72"/>
  <c r="AH72" s="1"/>
  <c r="AF72"/>
  <c r="Z72"/>
  <c r="S71"/>
  <c r="U71" s="1"/>
  <c r="S70"/>
  <c r="U70" s="1"/>
  <c r="Q70"/>
  <c r="Q69"/>
  <c r="Q68"/>
  <c r="U67"/>
  <c r="AG67" s="1"/>
  <c r="AH67" s="1"/>
  <c r="S67"/>
  <c r="Z67" s="1"/>
  <c r="AF67" s="1"/>
  <c r="Q67"/>
  <c r="AG66"/>
  <c r="AH66" s="1"/>
  <c r="AF66"/>
  <c r="Z66"/>
  <c r="S65"/>
  <c r="U65" s="1"/>
  <c r="Q65"/>
  <c r="AF64"/>
  <c r="Z64"/>
  <c r="S64"/>
  <c r="U64" s="1"/>
  <c r="Q64"/>
  <c r="Z63"/>
  <c r="AF63" s="1"/>
  <c r="U63"/>
  <c r="S63"/>
  <c r="Q63"/>
  <c r="U62"/>
  <c r="AG62" s="1"/>
  <c r="AH62" s="1"/>
  <c r="S62"/>
  <c r="Z62" s="1"/>
  <c r="AF62" s="1"/>
  <c r="Q62"/>
  <c r="S61"/>
  <c r="U61" s="1"/>
  <c r="Q61"/>
  <c r="S60"/>
  <c r="U60" s="1"/>
  <c r="Q60"/>
  <c r="S59"/>
  <c r="U59" s="1"/>
  <c r="Q59"/>
  <c r="Z58"/>
  <c r="AF58" s="1"/>
  <c r="U58"/>
  <c r="Q58"/>
  <c r="T57"/>
  <c r="S57"/>
  <c r="Z57" s="1"/>
  <c r="AF57" s="1"/>
  <c r="Q57"/>
  <c r="S56"/>
  <c r="U56" s="1"/>
  <c r="Q56"/>
  <c r="S55"/>
  <c r="Z55" s="1"/>
  <c r="AF55" s="1"/>
  <c r="Q55"/>
  <c r="S54"/>
  <c r="Z54" s="1"/>
  <c r="AF54" s="1"/>
  <c r="Q54"/>
  <c r="S53"/>
  <c r="U53" s="1"/>
  <c r="Q53"/>
  <c r="S52"/>
  <c r="U52" s="1"/>
  <c r="Q52"/>
  <c r="S51"/>
  <c r="U51" s="1"/>
  <c r="Q51"/>
  <c r="T50"/>
  <c r="T73" s="1"/>
  <c r="S50"/>
  <c r="U50" s="1"/>
  <c r="Q50"/>
  <c r="S49"/>
  <c r="Z49" s="1"/>
  <c r="AF49" s="1"/>
  <c r="Q49"/>
  <c r="S48"/>
  <c r="U48" s="1"/>
  <c r="Q48"/>
  <c r="S47"/>
  <c r="U47" s="1"/>
  <c r="Q47"/>
  <c r="S46"/>
  <c r="U46" s="1"/>
  <c r="Q46"/>
  <c r="S45"/>
  <c r="Z45" s="1"/>
  <c r="AF45" s="1"/>
  <c r="Q45"/>
  <c r="S44"/>
  <c r="U44" s="1"/>
  <c r="Q44"/>
  <c r="AF43"/>
  <c r="AG43" s="1"/>
  <c r="AH43" s="1"/>
  <c r="Z43"/>
  <c r="S42"/>
  <c r="U42" s="1"/>
  <c r="Q42"/>
  <c r="S41"/>
  <c r="U41" s="1"/>
  <c r="Q41"/>
  <c r="S40"/>
  <c r="Z40" s="1"/>
  <c r="AF40" s="1"/>
  <c r="Q40"/>
  <c r="S39"/>
  <c r="U39" s="1"/>
  <c r="Q39"/>
  <c r="S38"/>
  <c r="U38" s="1"/>
  <c r="Q38"/>
  <c r="S37"/>
  <c r="U37" s="1"/>
  <c r="Q37"/>
  <c r="S36"/>
  <c r="Z36" s="1"/>
  <c r="AF36" s="1"/>
  <c r="Q36"/>
  <c r="S35"/>
  <c r="U35" s="1"/>
  <c r="Q35"/>
  <c r="S34"/>
  <c r="U34" s="1"/>
  <c r="Q34"/>
  <c r="S33"/>
  <c r="Z33" s="1"/>
  <c r="AF33" s="1"/>
  <c r="Q33"/>
  <c r="S32"/>
  <c r="Z32" s="1"/>
  <c r="AF32" s="1"/>
  <c r="Q32"/>
  <c r="S31"/>
  <c r="U31" s="1"/>
  <c r="Q31"/>
  <c r="S30"/>
  <c r="U30" s="1"/>
  <c r="Q30"/>
  <c r="T29"/>
  <c r="S29"/>
  <c r="U29" s="1"/>
  <c r="Q29"/>
  <c r="T28"/>
  <c r="S28"/>
  <c r="Z28" s="1"/>
  <c r="AF28" s="1"/>
  <c r="Q28"/>
  <c r="S27"/>
  <c r="U27" s="1"/>
  <c r="Q27"/>
  <c r="S26"/>
  <c r="Z26" s="1"/>
  <c r="AF26" s="1"/>
  <c r="Q26"/>
  <c r="S25"/>
  <c r="U25" s="1"/>
  <c r="Q25"/>
  <c r="Z24"/>
  <c r="AF24" s="1"/>
  <c r="S24"/>
  <c r="U24" s="1"/>
  <c r="Q24"/>
  <c r="S23"/>
  <c r="Z23" s="1"/>
  <c r="AF23" s="1"/>
  <c r="Q23"/>
  <c r="S22"/>
  <c r="Z22" s="1"/>
  <c r="AF22" s="1"/>
  <c r="Q22"/>
  <c r="S21"/>
  <c r="U21" s="1"/>
  <c r="Q21"/>
  <c r="S20"/>
  <c r="U20" s="1"/>
  <c r="Q20"/>
  <c r="S19"/>
  <c r="U19" s="1"/>
  <c r="Q19"/>
  <c r="Z18"/>
  <c r="AF18" s="1"/>
  <c r="AG18" s="1"/>
  <c r="AH18" s="1"/>
  <c r="S17"/>
  <c r="Z17" s="1"/>
  <c r="AF17" s="1"/>
  <c r="Q17"/>
  <c r="S16"/>
  <c r="U16" s="1"/>
  <c r="Q16"/>
  <c r="S15"/>
  <c r="U15" s="1"/>
  <c r="Q15"/>
  <c r="R73"/>
  <c r="D76" s="1"/>
  <c r="Q14"/>
  <c r="U13"/>
  <c r="S13"/>
  <c r="Z13" s="1"/>
  <c r="AF13" s="1"/>
  <c r="Q13"/>
  <c r="S12"/>
  <c r="Z12" s="1"/>
  <c r="AF12" s="1"/>
  <c r="Q12"/>
  <c r="S11"/>
  <c r="U11" s="1"/>
  <c r="Q11"/>
  <c r="S10"/>
  <c r="U10" s="1"/>
  <c r="Q10"/>
  <c r="S9"/>
  <c r="U9" s="1"/>
  <c r="Q9"/>
  <c r="S8"/>
  <c r="Z8" s="1"/>
  <c r="AF8" s="1"/>
  <c r="Q8"/>
  <c r="S7"/>
  <c r="U7" s="1"/>
  <c r="Q7"/>
  <c r="F77" i="942"/>
  <c r="R76"/>
  <c r="R75"/>
  <c r="R74"/>
  <c r="T74" s="1"/>
  <c r="R14"/>
  <c r="G71"/>
  <c r="Q71" s="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O77"/>
  <c r="M77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D73"/>
  <c r="E75" s="1"/>
  <c r="AG72"/>
  <c r="AH72" s="1"/>
  <c r="AF72"/>
  <c r="Z72"/>
  <c r="S71"/>
  <c r="U71" s="1"/>
  <c r="S70"/>
  <c r="U70" s="1"/>
  <c r="Q70"/>
  <c r="S69"/>
  <c r="U69" s="1"/>
  <c r="Q69"/>
  <c r="S68"/>
  <c r="Z68" s="1"/>
  <c r="AF68" s="1"/>
  <c r="Q68"/>
  <c r="S67"/>
  <c r="Z67" s="1"/>
  <c r="AF67" s="1"/>
  <c r="Q67"/>
  <c r="AG66"/>
  <c r="AH66" s="1"/>
  <c r="AF66"/>
  <c r="Z66"/>
  <c r="S65"/>
  <c r="U65" s="1"/>
  <c r="Q65"/>
  <c r="S64"/>
  <c r="Z64" s="1"/>
  <c r="AF64" s="1"/>
  <c r="Q64"/>
  <c r="U63"/>
  <c r="S63"/>
  <c r="Z63" s="1"/>
  <c r="AF63" s="1"/>
  <c r="Q63"/>
  <c r="S62"/>
  <c r="Z62" s="1"/>
  <c r="AF62" s="1"/>
  <c r="Q62"/>
  <c r="S61"/>
  <c r="U61" s="1"/>
  <c r="Q61"/>
  <c r="Z60"/>
  <c r="AF60" s="1"/>
  <c r="S60"/>
  <c r="U60" s="1"/>
  <c r="Q60"/>
  <c r="S59"/>
  <c r="U59" s="1"/>
  <c r="Q59"/>
  <c r="AF58"/>
  <c r="Z58"/>
  <c r="U58"/>
  <c r="AG58" s="1"/>
  <c r="AH58" s="1"/>
  <c r="Q58"/>
  <c r="T57"/>
  <c r="S57"/>
  <c r="Z57" s="1"/>
  <c r="AF57" s="1"/>
  <c r="Q57"/>
  <c r="S56"/>
  <c r="U56" s="1"/>
  <c r="Q56"/>
  <c r="S55"/>
  <c r="U55" s="1"/>
  <c r="Q55"/>
  <c r="U54"/>
  <c r="AG54" s="1"/>
  <c r="AH54" s="1"/>
  <c r="S54"/>
  <c r="Z54" s="1"/>
  <c r="AF54" s="1"/>
  <c r="Q54"/>
  <c r="S53"/>
  <c r="U53" s="1"/>
  <c r="Q53"/>
  <c r="S52"/>
  <c r="Z52" s="1"/>
  <c r="AF52" s="1"/>
  <c r="Q52"/>
  <c r="U51"/>
  <c r="S51"/>
  <c r="Z51" s="1"/>
  <c r="AF51" s="1"/>
  <c r="Q51"/>
  <c r="T50"/>
  <c r="S50"/>
  <c r="Z50" s="1"/>
  <c r="AF50" s="1"/>
  <c r="Q50"/>
  <c r="S49"/>
  <c r="Z49" s="1"/>
  <c r="AF49" s="1"/>
  <c r="Q49"/>
  <c r="S48"/>
  <c r="U48" s="1"/>
  <c r="Q48"/>
  <c r="S47"/>
  <c r="U47" s="1"/>
  <c r="Q47"/>
  <c r="S46"/>
  <c r="U46" s="1"/>
  <c r="Q46"/>
  <c r="S45"/>
  <c r="Z45" s="1"/>
  <c r="AF45" s="1"/>
  <c r="Q45"/>
  <c r="S44"/>
  <c r="U44" s="1"/>
  <c r="Q44"/>
  <c r="AF43"/>
  <c r="AG43" s="1"/>
  <c r="AH43" s="1"/>
  <c r="Z43"/>
  <c r="S42"/>
  <c r="U42" s="1"/>
  <c r="Q42"/>
  <c r="S41"/>
  <c r="U41" s="1"/>
  <c r="Q41"/>
  <c r="S40"/>
  <c r="Z40" s="1"/>
  <c r="AF40" s="1"/>
  <c r="Q40"/>
  <c r="S39"/>
  <c r="U39" s="1"/>
  <c r="Q39"/>
  <c r="Q38"/>
  <c r="S38"/>
  <c r="Z37"/>
  <c r="AF37" s="1"/>
  <c r="S37"/>
  <c r="U37" s="1"/>
  <c r="Q37"/>
  <c r="S36"/>
  <c r="U36" s="1"/>
  <c r="Q36"/>
  <c r="S35"/>
  <c r="Z35" s="1"/>
  <c r="AF35" s="1"/>
  <c r="Q35"/>
  <c r="U34"/>
  <c r="AG34" s="1"/>
  <c r="AH34" s="1"/>
  <c r="S34"/>
  <c r="Z34" s="1"/>
  <c r="AF34" s="1"/>
  <c r="Q34"/>
  <c r="S33"/>
  <c r="U33" s="1"/>
  <c r="Q33"/>
  <c r="S32"/>
  <c r="U32" s="1"/>
  <c r="Q32"/>
  <c r="S31"/>
  <c r="U31" s="1"/>
  <c r="Q3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S26"/>
  <c r="U26" s="1"/>
  <c r="Q26"/>
  <c r="S25"/>
  <c r="U25" s="1"/>
  <c r="Q25"/>
  <c r="S24"/>
  <c r="Z24" s="1"/>
  <c r="AF24" s="1"/>
  <c r="Q24"/>
  <c r="S23"/>
  <c r="U23" s="1"/>
  <c r="Q23"/>
  <c r="U22"/>
  <c r="S22"/>
  <c r="Z22" s="1"/>
  <c r="AF22" s="1"/>
  <c r="Q22"/>
  <c r="U21"/>
  <c r="S21"/>
  <c r="Z21" s="1"/>
  <c r="AF21" s="1"/>
  <c r="Q21"/>
  <c r="S20"/>
  <c r="Z20" s="1"/>
  <c r="AF20" s="1"/>
  <c r="Q20"/>
  <c r="S19"/>
  <c r="U19" s="1"/>
  <c r="Q19"/>
  <c r="AF18"/>
  <c r="AG18" s="1"/>
  <c r="AH18" s="1"/>
  <c r="Z18"/>
  <c r="S17"/>
  <c r="Z17" s="1"/>
  <c r="AF17" s="1"/>
  <c r="Q17"/>
  <c r="U16"/>
  <c r="S16"/>
  <c r="Z16" s="1"/>
  <c r="AF16" s="1"/>
  <c r="Q16"/>
  <c r="S15"/>
  <c r="Z15" s="1"/>
  <c r="AF15" s="1"/>
  <c r="Q15"/>
  <c r="S14"/>
  <c r="U14" s="1"/>
  <c r="Q14"/>
  <c r="S13"/>
  <c r="U13" s="1"/>
  <c r="Q13"/>
  <c r="S12"/>
  <c r="U12" s="1"/>
  <c r="Q12"/>
  <c r="S11"/>
  <c r="U11" s="1"/>
  <c r="R73"/>
  <c r="D76" s="1"/>
  <c r="Q11"/>
  <c r="S10"/>
  <c r="U10" s="1"/>
  <c r="Q10"/>
  <c r="S9"/>
  <c r="Z9" s="1"/>
  <c r="AF9" s="1"/>
  <c r="Q9"/>
  <c r="S8"/>
  <c r="U8" s="1"/>
  <c r="Q8"/>
  <c r="S7"/>
  <c r="U7" s="1"/>
  <c r="Q7"/>
  <c r="C38" i="941"/>
  <c r="C35"/>
  <c r="O77"/>
  <c r="R77" s="1"/>
  <c r="M77"/>
  <c r="F77"/>
  <c r="R76"/>
  <c r="R75"/>
  <c r="R74"/>
  <c r="R14"/>
  <c r="R11"/>
  <c r="S14"/>
  <c r="U14" s="1"/>
  <c r="D68"/>
  <c r="S68" s="1"/>
  <c r="U68" s="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T74"/>
  <c r="AJ73"/>
  <c r="AI73"/>
  <c r="AE73"/>
  <c r="AD73"/>
  <c r="AC73"/>
  <c r="AB73"/>
  <c r="AA73"/>
  <c r="Y73"/>
  <c r="V73"/>
  <c r="O73"/>
  <c r="N73"/>
  <c r="M73"/>
  <c r="L73"/>
  <c r="J73"/>
  <c r="I73"/>
  <c r="H73"/>
  <c r="G73"/>
  <c r="F73"/>
  <c r="E73"/>
  <c r="D73"/>
  <c r="E75" s="1"/>
  <c r="C73"/>
  <c r="AF72"/>
  <c r="AG72" s="1"/>
  <c r="AH72" s="1"/>
  <c r="Z72"/>
  <c r="S71"/>
  <c r="Q71"/>
  <c r="S70"/>
  <c r="Z70" s="1"/>
  <c r="AF70" s="1"/>
  <c r="Q70"/>
  <c r="S69"/>
  <c r="U69" s="1"/>
  <c r="Q69"/>
  <c r="Q68"/>
  <c r="S67"/>
  <c r="U67" s="1"/>
  <c r="Q67"/>
  <c r="AF66"/>
  <c r="AG66" s="1"/>
  <c r="AH66" s="1"/>
  <c r="Z66"/>
  <c r="U65"/>
  <c r="AG65" s="1"/>
  <c r="AH65" s="1"/>
  <c r="S65"/>
  <c r="Z65" s="1"/>
  <c r="AF65" s="1"/>
  <c r="Q65"/>
  <c r="Z64"/>
  <c r="AF64" s="1"/>
  <c r="S64"/>
  <c r="U64" s="1"/>
  <c r="Q64"/>
  <c r="Z63"/>
  <c r="AF63" s="1"/>
  <c r="U63"/>
  <c r="S63"/>
  <c r="Q63"/>
  <c r="S62"/>
  <c r="U62" s="1"/>
  <c r="Q62"/>
  <c r="S61"/>
  <c r="Z61" s="1"/>
  <c r="AF61" s="1"/>
  <c r="Q61"/>
  <c r="Z60"/>
  <c r="AF60" s="1"/>
  <c r="S60"/>
  <c r="U60" s="1"/>
  <c r="Q60"/>
  <c r="S59"/>
  <c r="Z59" s="1"/>
  <c r="AF59" s="1"/>
  <c r="Q59"/>
  <c r="Z58"/>
  <c r="AF58" s="1"/>
  <c r="AG58" s="1"/>
  <c r="AH58" s="1"/>
  <c r="U58"/>
  <c r="Q58"/>
  <c r="Z57"/>
  <c r="AF57" s="1"/>
  <c r="T57"/>
  <c r="S57"/>
  <c r="U57" s="1"/>
  <c r="Q57"/>
  <c r="Z56"/>
  <c r="AF56" s="1"/>
  <c r="S56"/>
  <c r="U56" s="1"/>
  <c r="Q56"/>
  <c r="U55"/>
  <c r="S55"/>
  <c r="Z55" s="1"/>
  <c r="AF55" s="1"/>
  <c r="Q55"/>
  <c r="S54"/>
  <c r="U54" s="1"/>
  <c r="Q54"/>
  <c r="S53"/>
  <c r="U53" s="1"/>
  <c r="Q53"/>
  <c r="S52"/>
  <c r="Z52" s="1"/>
  <c r="AF52" s="1"/>
  <c r="Q52"/>
  <c r="S51"/>
  <c r="U51" s="1"/>
  <c r="Q51"/>
  <c r="T50"/>
  <c r="S50"/>
  <c r="Z50" s="1"/>
  <c r="AF50" s="1"/>
  <c r="Q50"/>
  <c r="U49"/>
  <c r="S49"/>
  <c r="Z49" s="1"/>
  <c r="AF49" s="1"/>
  <c r="Q49"/>
  <c r="S48"/>
  <c r="U48" s="1"/>
  <c r="Q48"/>
  <c r="S47"/>
  <c r="Z47" s="1"/>
  <c r="AF47" s="1"/>
  <c r="Q47"/>
  <c r="S46"/>
  <c r="U46" s="1"/>
  <c r="Q46"/>
  <c r="S45"/>
  <c r="Z45" s="1"/>
  <c r="AF45" s="1"/>
  <c r="Q45"/>
  <c r="S44"/>
  <c r="U44" s="1"/>
  <c r="Q44"/>
  <c r="AF43"/>
  <c r="AG43" s="1"/>
  <c r="AH43" s="1"/>
  <c r="Z43"/>
  <c r="U42"/>
  <c r="AG42" s="1"/>
  <c r="AH42" s="1"/>
  <c r="S42"/>
  <c r="Z42" s="1"/>
  <c r="AF42" s="1"/>
  <c r="Q42"/>
  <c r="S41"/>
  <c r="U41" s="1"/>
  <c r="Q41"/>
  <c r="S40"/>
  <c r="Z40" s="1"/>
  <c r="AF40" s="1"/>
  <c r="Q40"/>
  <c r="S39"/>
  <c r="U39" s="1"/>
  <c r="Q39"/>
  <c r="S38"/>
  <c r="U38" s="1"/>
  <c r="Q38"/>
  <c r="S37"/>
  <c r="U37" s="1"/>
  <c r="Q37"/>
  <c r="S36"/>
  <c r="Z36" s="1"/>
  <c r="AF36" s="1"/>
  <c r="Q36"/>
  <c r="Z35"/>
  <c r="AF35" s="1"/>
  <c r="S35"/>
  <c r="U35" s="1"/>
  <c r="Q35"/>
  <c r="S34"/>
  <c r="Z34" s="1"/>
  <c r="AF34" s="1"/>
  <c r="Q34"/>
  <c r="S33"/>
  <c r="U33" s="1"/>
  <c r="Q33"/>
  <c r="U32"/>
  <c r="AG32" s="1"/>
  <c r="AH32" s="1"/>
  <c r="S32"/>
  <c r="Z32" s="1"/>
  <c r="AF32" s="1"/>
  <c r="Q32"/>
  <c r="S31"/>
  <c r="U31" s="1"/>
  <c r="Q31"/>
  <c r="U30"/>
  <c r="S30"/>
  <c r="Z30" s="1"/>
  <c r="AF30" s="1"/>
  <c r="Q30"/>
  <c r="T29"/>
  <c r="U29" s="1"/>
  <c r="S29"/>
  <c r="Z29" s="1"/>
  <c r="AF29" s="1"/>
  <c r="Q29"/>
  <c r="T28"/>
  <c r="S28"/>
  <c r="Z28" s="1"/>
  <c r="AF28" s="1"/>
  <c r="Q28"/>
  <c r="S27"/>
  <c r="U27" s="1"/>
  <c r="Q27"/>
  <c r="U26"/>
  <c r="AG26" s="1"/>
  <c r="AH26" s="1"/>
  <c r="S26"/>
  <c r="Z26" s="1"/>
  <c r="AF26" s="1"/>
  <c r="Q26"/>
  <c r="S25"/>
  <c r="U25" s="1"/>
  <c r="Q25"/>
  <c r="S24"/>
  <c r="Z24" s="1"/>
  <c r="AF24" s="1"/>
  <c r="Q24"/>
  <c r="S23"/>
  <c r="U23" s="1"/>
  <c r="Q23"/>
  <c r="U22"/>
  <c r="AG22" s="1"/>
  <c r="AH22" s="1"/>
  <c r="S22"/>
  <c r="Z22" s="1"/>
  <c r="AF22" s="1"/>
  <c r="Q22"/>
  <c r="S21"/>
  <c r="U21" s="1"/>
  <c r="Q21"/>
  <c r="S20"/>
  <c r="Z20" s="1"/>
  <c r="AF20" s="1"/>
  <c r="Q20"/>
  <c r="S19"/>
  <c r="U19" s="1"/>
  <c r="Q19"/>
  <c r="AF18"/>
  <c r="AG18" s="1"/>
  <c r="AH18" s="1"/>
  <c r="Z18"/>
  <c r="S17"/>
  <c r="Z17" s="1"/>
  <c r="AF17" s="1"/>
  <c r="Q17"/>
  <c r="Z16"/>
  <c r="AF16" s="1"/>
  <c r="S16"/>
  <c r="U16" s="1"/>
  <c r="Q16"/>
  <c r="U15"/>
  <c r="S15"/>
  <c r="Z15" s="1"/>
  <c r="AF15" s="1"/>
  <c r="Q15"/>
  <c r="Q14"/>
  <c r="S13"/>
  <c r="U13" s="1"/>
  <c r="Q13"/>
  <c r="Q12"/>
  <c r="S11"/>
  <c r="U11" s="1"/>
  <c r="Q11"/>
  <c r="Z10"/>
  <c r="AF10" s="1"/>
  <c r="S10"/>
  <c r="U10" s="1"/>
  <c r="Q10"/>
  <c r="S9"/>
  <c r="Z9" s="1"/>
  <c r="AF9" s="1"/>
  <c r="Q9"/>
  <c r="S8"/>
  <c r="U8" s="1"/>
  <c r="Q8"/>
  <c r="S7"/>
  <c r="Q7"/>
  <c r="F77" i="940"/>
  <c r="R76"/>
  <c r="R68"/>
  <c r="R69"/>
  <c r="R12"/>
  <c r="R14"/>
  <c r="R71"/>
  <c r="R8"/>
  <c r="R38"/>
  <c r="R75"/>
  <c r="R74"/>
  <c r="P39"/>
  <c r="K54"/>
  <c r="X118" i="943" l="1"/>
  <c r="AF73" i="948"/>
  <c r="AG71"/>
  <c r="AH71" s="1"/>
  <c r="Z73"/>
  <c r="U73"/>
  <c r="AG7"/>
  <c r="AG68" i="947"/>
  <c r="AH68" s="1"/>
  <c r="AF73"/>
  <c r="AG14"/>
  <c r="U73"/>
  <c r="Z73"/>
  <c r="AF73" i="946"/>
  <c r="Z73"/>
  <c r="AG73"/>
  <c r="AH7"/>
  <c r="AH73" s="1"/>
  <c r="AF73" i="945"/>
  <c r="AG68"/>
  <c r="AH68" s="1"/>
  <c r="AH73" s="1"/>
  <c r="U73"/>
  <c r="AG69"/>
  <c r="AH69" s="1"/>
  <c r="Z73"/>
  <c r="S73" i="944"/>
  <c r="AG12"/>
  <c r="AH12" s="1"/>
  <c r="AG10"/>
  <c r="AH10" s="1"/>
  <c r="AH7"/>
  <c r="AG14"/>
  <c r="AH14" s="1"/>
  <c r="AF73"/>
  <c r="U73"/>
  <c r="Z73"/>
  <c r="U8" i="943"/>
  <c r="AG8" s="1"/>
  <c r="AH8" s="1"/>
  <c r="U69"/>
  <c r="AG69" s="1"/>
  <c r="AH69" s="1"/>
  <c r="Z69"/>
  <c r="AF69" s="1"/>
  <c r="Q71"/>
  <c r="Q73" s="1"/>
  <c r="E74" s="1"/>
  <c r="Z68"/>
  <c r="AF68" s="1"/>
  <c r="U68"/>
  <c r="AG68" s="1"/>
  <c r="AH68" s="1"/>
  <c r="D73"/>
  <c r="E75" s="1"/>
  <c r="Z34"/>
  <c r="AF34" s="1"/>
  <c r="AG34" s="1"/>
  <c r="AH34" s="1"/>
  <c r="U12"/>
  <c r="AG12" s="1"/>
  <c r="AH12" s="1"/>
  <c r="Z41"/>
  <c r="AF41" s="1"/>
  <c r="Z56"/>
  <c r="AF56" s="1"/>
  <c r="Z19"/>
  <c r="AF19" s="1"/>
  <c r="Z29"/>
  <c r="AF29" s="1"/>
  <c r="AG29" s="1"/>
  <c r="AH29" s="1"/>
  <c r="Z50"/>
  <c r="AF50" s="1"/>
  <c r="AG50" s="1"/>
  <c r="AH50" s="1"/>
  <c r="Z51"/>
  <c r="AF51" s="1"/>
  <c r="AG51" s="1"/>
  <c r="AH51" s="1"/>
  <c r="Z9"/>
  <c r="AF9" s="1"/>
  <c r="U17"/>
  <c r="AG17" s="1"/>
  <c r="AH17" s="1"/>
  <c r="Z20"/>
  <c r="AF20" s="1"/>
  <c r="AG20" s="1"/>
  <c r="AH20" s="1"/>
  <c r="U23"/>
  <c r="AG23" s="1"/>
  <c r="AH23" s="1"/>
  <c r="Z30"/>
  <c r="AF30" s="1"/>
  <c r="U33"/>
  <c r="AG33" s="1"/>
  <c r="AH33" s="1"/>
  <c r="U40"/>
  <c r="AG40" s="1"/>
  <c r="AH40" s="1"/>
  <c r="U49"/>
  <c r="AG49" s="1"/>
  <c r="AH49" s="1"/>
  <c r="Z52"/>
  <c r="AF52" s="1"/>
  <c r="U55"/>
  <c r="Z59"/>
  <c r="AF59" s="1"/>
  <c r="AG59" s="1"/>
  <c r="AH59" s="1"/>
  <c r="AG24"/>
  <c r="AH24" s="1"/>
  <c r="AG56"/>
  <c r="AH56" s="1"/>
  <c r="Z10"/>
  <c r="AF10" s="1"/>
  <c r="AG10" s="1"/>
  <c r="AH10" s="1"/>
  <c r="U26"/>
  <c r="Z27"/>
  <c r="AF27" s="1"/>
  <c r="AG27" s="1"/>
  <c r="AH27" s="1"/>
  <c r="U28"/>
  <c r="AG28" s="1"/>
  <c r="AH28" s="1"/>
  <c r="AG30"/>
  <c r="AH30" s="1"/>
  <c r="U36"/>
  <c r="AG36" s="1"/>
  <c r="AH36" s="1"/>
  <c r="Z37"/>
  <c r="AF37" s="1"/>
  <c r="AG37" s="1"/>
  <c r="AH37" s="1"/>
  <c r="Z42"/>
  <c r="AF42" s="1"/>
  <c r="U45"/>
  <c r="Z46"/>
  <c r="AF46" s="1"/>
  <c r="AG46" s="1"/>
  <c r="AH46" s="1"/>
  <c r="AG52"/>
  <c r="AH52" s="1"/>
  <c r="Z60"/>
  <c r="AF60" s="1"/>
  <c r="AG60" s="1"/>
  <c r="AH60" s="1"/>
  <c r="AG64"/>
  <c r="AH64" s="1"/>
  <c r="AG55"/>
  <c r="AH55" s="1"/>
  <c r="Z15"/>
  <c r="AF15" s="1"/>
  <c r="AG15" s="1"/>
  <c r="AH15" s="1"/>
  <c r="U22"/>
  <c r="U32"/>
  <c r="Z38"/>
  <c r="AF38" s="1"/>
  <c r="AG38" s="1"/>
  <c r="AH38" s="1"/>
  <c r="AG42"/>
  <c r="AH42" s="1"/>
  <c r="Z47"/>
  <c r="AF47" s="1"/>
  <c r="AG47" s="1"/>
  <c r="AH47" s="1"/>
  <c r="U54"/>
  <c r="AG54" s="1"/>
  <c r="AH54" s="1"/>
  <c r="AG13"/>
  <c r="AH13" s="1"/>
  <c r="AG19"/>
  <c r="AH19" s="1"/>
  <c r="AG63"/>
  <c r="AH63" s="1"/>
  <c r="AG9"/>
  <c r="AH9" s="1"/>
  <c r="AG26"/>
  <c r="AH26" s="1"/>
  <c r="AG41"/>
  <c r="AH41" s="1"/>
  <c r="AG45"/>
  <c r="AH45" s="1"/>
  <c r="AG58"/>
  <c r="AH58" s="1"/>
  <c r="AG22"/>
  <c r="AH22" s="1"/>
  <c r="AG32"/>
  <c r="AH32" s="1"/>
  <c r="Z7"/>
  <c r="Z11"/>
  <c r="AF11" s="1"/>
  <c r="AG11" s="1"/>
  <c r="AH11" s="1"/>
  <c r="S14"/>
  <c r="Z16"/>
  <c r="AF16" s="1"/>
  <c r="AG16" s="1"/>
  <c r="AH16" s="1"/>
  <c r="Z21"/>
  <c r="AF21" s="1"/>
  <c r="AG21" s="1"/>
  <c r="AH21" s="1"/>
  <c r="Z25"/>
  <c r="AF25" s="1"/>
  <c r="AG25" s="1"/>
  <c r="AH25" s="1"/>
  <c r="Z31"/>
  <c r="AF31" s="1"/>
  <c r="AG31" s="1"/>
  <c r="AH31" s="1"/>
  <c r="Z35"/>
  <c r="AF35" s="1"/>
  <c r="AG35" s="1"/>
  <c r="AH35" s="1"/>
  <c r="Z39"/>
  <c r="AF39" s="1"/>
  <c r="AG39" s="1"/>
  <c r="AH39" s="1"/>
  <c r="Z44"/>
  <c r="AF44" s="1"/>
  <c r="AG44" s="1"/>
  <c r="AH44" s="1"/>
  <c r="Z48"/>
  <c r="AF48" s="1"/>
  <c r="AG48" s="1"/>
  <c r="AH48" s="1"/>
  <c r="Z53"/>
  <c r="AF53" s="1"/>
  <c r="AG53" s="1"/>
  <c r="AH53" s="1"/>
  <c r="U57"/>
  <c r="AG57" s="1"/>
  <c r="AH57" s="1"/>
  <c r="Z61"/>
  <c r="AF61" s="1"/>
  <c r="AG61" s="1"/>
  <c r="AH61" s="1"/>
  <c r="Z65"/>
  <c r="AF65" s="1"/>
  <c r="AG65" s="1"/>
  <c r="AH65" s="1"/>
  <c r="Z70"/>
  <c r="AF70" s="1"/>
  <c r="AG70" s="1"/>
  <c r="AH70" s="1"/>
  <c r="Z71"/>
  <c r="AF71" s="1"/>
  <c r="AG71" s="1"/>
  <c r="AH71" s="1"/>
  <c r="X118" i="942"/>
  <c r="R80"/>
  <c r="G73"/>
  <c r="Q73"/>
  <c r="E74" s="1"/>
  <c r="Z7"/>
  <c r="AF7" s="1"/>
  <c r="Z12"/>
  <c r="AF12" s="1"/>
  <c r="U17"/>
  <c r="U40"/>
  <c r="AG40" s="1"/>
  <c r="AH40" s="1"/>
  <c r="Z47"/>
  <c r="AF47" s="1"/>
  <c r="AG47" s="1"/>
  <c r="AH47" s="1"/>
  <c r="U20"/>
  <c r="AG20" s="1"/>
  <c r="AH20" s="1"/>
  <c r="Z41"/>
  <c r="AF41" s="1"/>
  <c r="Z59"/>
  <c r="AF59" s="1"/>
  <c r="AG12"/>
  <c r="AH12" s="1"/>
  <c r="U35"/>
  <c r="AG35" s="1"/>
  <c r="AH35" s="1"/>
  <c r="Z42"/>
  <c r="AF42" s="1"/>
  <c r="AG42" s="1"/>
  <c r="AH42" s="1"/>
  <c r="U45"/>
  <c r="AG45" s="1"/>
  <c r="AH45" s="1"/>
  <c r="U52"/>
  <c r="AG52" s="1"/>
  <c r="AH52" s="1"/>
  <c r="Z55"/>
  <c r="AF55" s="1"/>
  <c r="AG60"/>
  <c r="AH60" s="1"/>
  <c r="U64"/>
  <c r="AG64" s="1"/>
  <c r="AH64" s="1"/>
  <c r="AG37"/>
  <c r="AH37" s="1"/>
  <c r="Z11"/>
  <c r="AF11" s="1"/>
  <c r="AG11" s="1"/>
  <c r="AH11" s="1"/>
  <c r="U15"/>
  <c r="AG15" s="1"/>
  <c r="AH15" s="1"/>
  <c r="Z36"/>
  <c r="AF36" s="1"/>
  <c r="AG36" s="1"/>
  <c r="AH36" s="1"/>
  <c r="Z46"/>
  <c r="AF46" s="1"/>
  <c r="AG46" s="1"/>
  <c r="AH46" s="1"/>
  <c r="Z56"/>
  <c r="AF56" s="1"/>
  <c r="AG56" s="1"/>
  <c r="AH56" s="1"/>
  <c r="AG7"/>
  <c r="AH7" s="1"/>
  <c r="AG22"/>
  <c r="AH22" s="1"/>
  <c r="S73"/>
  <c r="U9"/>
  <c r="AG9" s="1"/>
  <c r="AH9" s="1"/>
  <c r="Z10"/>
  <c r="AF10" s="1"/>
  <c r="AG10" s="1"/>
  <c r="AH10" s="1"/>
  <c r="U24"/>
  <c r="AG24" s="1"/>
  <c r="AH24" s="1"/>
  <c r="Z25"/>
  <c r="AF25" s="1"/>
  <c r="Z26"/>
  <c r="AF26" s="1"/>
  <c r="AG26" s="1"/>
  <c r="AH26" s="1"/>
  <c r="U30"/>
  <c r="AG30" s="1"/>
  <c r="AH30" s="1"/>
  <c r="Z31"/>
  <c r="AF31" s="1"/>
  <c r="Z32"/>
  <c r="AF32" s="1"/>
  <c r="AG32" s="1"/>
  <c r="AH32" s="1"/>
  <c r="U67"/>
  <c r="AG67" s="1"/>
  <c r="AH67" s="1"/>
  <c r="U68"/>
  <c r="AG68" s="1"/>
  <c r="AH68" s="1"/>
  <c r="Z69"/>
  <c r="AF69" s="1"/>
  <c r="AG69" s="1"/>
  <c r="AH69" s="1"/>
  <c r="Z70"/>
  <c r="AF70" s="1"/>
  <c r="AG70" s="1"/>
  <c r="AH70" s="1"/>
  <c r="AG17"/>
  <c r="AH17" s="1"/>
  <c r="U49"/>
  <c r="AG49" s="1"/>
  <c r="AH49" s="1"/>
  <c r="U50"/>
  <c r="U62"/>
  <c r="AG62" s="1"/>
  <c r="AH62" s="1"/>
  <c r="U38"/>
  <c r="Z38"/>
  <c r="AF38" s="1"/>
  <c r="AG21"/>
  <c r="AH21" s="1"/>
  <c r="AG59"/>
  <c r="AH59" s="1"/>
  <c r="AG25"/>
  <c r="AH25" s="1"/>
  <c r="AG31"/>
  <c r="AH31" s="1"/>
  <c r="AG51"/>
  <c r="AH51" s="1"/>
  <c r="AG63"/>
  <c r="AH63" s="1"/>
  <c r="AG16"/>
  <c r="AH16" s="1"/>
  <c r="AG41"/>
  <c r="AH41" s="1"/>
  <c r="AG55"/>
  <c r="AH55" s="1"/>
  <c r="AG50"/>
  <c r="AH50" s="1"/>
  <c r="Z8"/>
  <c r="AF8" s="1"/>
  <c r="AG8" s="1"/>
  <c r="AH8" s="1"/>
  <c r="Z14"/>
  <c r="AF14" s="1"/>
  <c r="AG14" s="1"/>
  <c r="AH14" s="1"/>
  <c r="Z19"/>
  <c r="AF19" s="1"/>
  <c r="AG19" s="1"/>
  <c r="AH19" s="1"/>
  <c r="Z27"/>
  <c r="AF27" s="1"/>
  <c r="AG27" s="1"/>
  <c r="AH27" s="1"/>
  <c r="Z28"/>
  <c r="AF28" s="1"/>
  <c r="AG28" s="1"/>
  <c r="AH28" s="1"/>
  <c r="Z29"/>
  <c r="AF29" s="1"/>
  <c r="AG29" s="1"/>
  <c r="AH29" s="1"/>
  <c r="Z44"/>
  <c r="AF44" s="1"/>
  <c r="AG44" s="1"/>
  <c r="AH44" s="1"/>
  <c r="Z48"/>
  <c r="AF48" s="1"/>
  <c r="AG48" s="1"/>
  <c r="AH48" s="1"/>
  <c r="Z53"/>
  <c r="AF53" s="1"/>
  <c r="AG53" s="1"/>
  <c r="AH53" s="1"/>
  <c r="U57"/>
  <c r="AG57" s="1"/>
  <c r="AH57" s="1"/>
  <c r="Z61"/>
  <c r="AF61" s="1"/>
  <c r="AG61" s="1"/>
  <c r="AH61" s="1"/>
  <c r="Z65"/>
  <c r="AF65" s="1"/>
  <c r="AG65" s="1"/>
  <c r="AH65" s="1"/>
  <c r="Z71"/>
  <c r="AF71" s="1"/>
  <c r="AG71" s="1"/>
  <c r="AH71" s="1"/>
  <c r="C73"/>
  <c r="Z13"/>
  <c r="AF13" s="1"/>
  <c r="AG13" s="1"/>
  <c r="Z23"/>
  <c r="AF23" s="1"/>
  <c r="AG23" s="1"/>
  <c r="AH23" s="1"/>
  <c r="Z33"/>
  <c r="AF33" s="1"/>
  <c r="AG33" s="1"/>
  <c r="AH33" s="1"/>
  <c r="Z39"/>
  <c r="AF39" s="1"/>
  <c r="AG39" s="1"/>
  <c r="AH39" s="1"/>
  <c r="X118" i="941"/>
  <c r="Z11"/>
  <c r="AF11" s="1"/>
  <c r="AG11" s="1"/>
  <c r="AH11" s="1"/>
  <c r="R73"/>
  <c r="D76" s="1"/>
  <c r="U20"/>
  <c r="U40"/>
  <c r="Z41"/>
  <c r="AF41" s="1"/>
  <c r="Z46"/>
  <c r="AF46" s="1"/>
  <c r="U52"/>
  <c r="AG52" s="1"/>
  <c r="AH52" s="1"/>
  <c r="U70"/>
  <c r="AG70" s="1"/>
  <c r="AH70" s="1"/>
  <c r="U17"/>
  <c r="AG17" s="1"/>
  <c r="AH17" s="1"/>
  <c r="Z21"/>
  <c r="AF21" s="1"/>
  <c r="AG21" s="1"/>
  <c r="AH21" s="1"/>
  <c r="U24"/>
  <c r="AG24" s="1"/>
  <c r="AH24" s="1"/>
  <c r="Z25"/>
  <c r="AF25" s="1"/>
  <c r="U28"/>
  <c r="AG28" s="1"/>
  <c r="AH28" s="1"/>
  <c r="U45"/>
  <c r="AG45" s="1"/>
  <c r="AH45" s="1"/>
  <c r="U47"/>
  <c r="AG47" s="1"/>
  <c r="AH47" s="1"/>
  <c r="Z51"/>
  <c r="AF51" s="1"/>
  <c r="AG51" s="1"/>
  <c r="AH51" s="1"/>
  <c r="AG29"/>
  <c r="AH29" s="1"/>
  <c r="AG30"/>
  <c r="AH30" s="1"/>
  <c r="AG40"/>
  <c r="AH40" s="1"/>
  <c r="AG55"/>
  <c r="AH55" s="1"/>
  <c r="U9"/>
  <c r="Z31"/>
  <c r="AF31" s="1"/>
  <c r="AG31" s="1"/>
  <c r="AH31" s="1"/>
  <c r="U34"/>
  <c r="AG34" s="1"/>
  <c r="AH34" s="1"/>
  <c r="U36"/>
  <c r="AG36" s="1"/>
  <c r="AH36" s="1"/>
  <c r="U50"/>
  <c r="U59"/>
  <c r="AG59" s="1"/>
  <c r="AH59" s="1"/>
  <c r="U61"/>
  <c r="AG61" s="1"/>
  <c r="AH61" s="1"/>
  <c r="AG15"/>
  <c r="AH15" s="1"/>
  <c r="AG49"/>
  <c r="AH49" s="1"/>
  <c r="AG20"/>
  <c r="AH20" s="1"/>
  <c r="AG63"/>
  <c r="AH63" s="1"/>
  <c r="AG16"/>
  <c r="AH16" s="1"/>
  <c r="AG25"/>
  <c r="AH25" s="1"/>
  <c r="AG41"/>
  <c r="AH41" s="1"/>
  <c r="Q73"/>
  <c r="E74" s="1"/>
  <c r="AG46"/>
  <c r="AH46" s="1"/>
  <c r="AG56"/>
  <c r="AH56" s="1"/>
  <c r="AG64"/>
  <c r="AH64" s="1"/>
  <c r="AG9"/>
  <c r="AH9" s="1"/>
  <c r="AG35"/>
  <c r="AH35" s="1"/>
  <c r="AG50"/>
  <c r="AH50" s="1"/>
  <c r="AG57"/>
  <c r="AH57" s="1"/>
  <c r="AG60"/>
  <c r="AH60" s="1"/>
  <c r="R80"/>
  <c r="U71"/>
  <c r="Z71"/>
  <c r="AF71" s="1"/>
  <c r="AG10"/>
  <c r="AH10" s="1"/>
  <c r="Z7"/>
  <c r="Z8"/>
  <c r="AF8" s="1"/>
  <c r="AG8" s="1"/>
  <c r="AH8" s="1"/>
  <c r="Z13"/>
  <c r="AF13" s="1"/>
  <c r="AG13" s="1"/>
  <c r="AH13" s="1"/>
  <c r="Z14"/>
  <c r="AF14" s="1"/>
  <c r="AG14" s="1"/>
  <c r="AH14" s="1"/>
  <c r="Z19"/>
  <c r="AF19" s="1"/>
  <c r="AG19" s="1"/>
  <c r="AH19" s="1"/>
  <c r="Z23"/>
  <c r="AF23" s="1"/>
  <c r="AG23" s="1"/>
  <c r="AH23" s="1"/>
  <c r="Z27"/>
  <c r="AF27" s="1"/>
  <c r="AG27" s="1"/>
  <c r="AH27" s="1"/>
  <c r="Z33"/>
  <c r="AF33" s="1"/>
  <c r="AG33" s="1"/>
  <c r="AH33" s="1"/>
  <c r="Z37"/>
  <c r="AF37" s="1"/>
  <c r="AG37" s="1"/>
  <c r="AH37" s="1"/>
  <c r="Z38"/>
  <c r="AF38" s="1"/>
  <c r="AG38" s="1"/>
  <c r="AH38" s="1"/>
  <c r="Z39"/>
  <c r="AF39" s="1"/>
  <c r="AG39" s="1"/>
  <c r="AH39" s="1"/>
  <c r="Z44"/>
  <c r="AF44" s="1"/>
  <c r="AG44" s="1"/>
  <c r="AH44" s="1"/>
  <c r="Z48"/>
  <c r="AF48" s="1"/>
  <c r="AG48" s="1"/>
  <c r="AH48" s="1"/>
  <c r="Z53"/>
  <c r="AF53" s="1"/>
  <c r="AG53" s="1"/>
  <c r="AH53" s="1"/>
  <c r="Z54"/>
  <c r="AF54" s="1"/>
  <c r="AG54" s="1"/>
  <c r="AH54" s="1"/>
  <c r="Z62"/>
  <c r="AF62" s="1"/>
  <c r="AG62" s="1"/>
  <c r="AH62" s="1"/>
  <c r="Z67"/>
  <c r="AF67" s="1"/>
  <c r="AG67" s="1"/>
  <c r="AH67" s="1"/>
  <c r="Z68"/>
  <c r="AF68" s="1"/>
  <c r="AG68" s="1"/>
  <c r="AH68" s="1"/>
  <c r="Z69"/>
  <c r="AF69" s="1"/>
  <c r="AG69" s="1"/>
  <c r="AH69" s="1"/>
  <c r="P73"/>
  <c r="T73"/>
  <c r="U7"/>
  <c r="S12"/>
  <c r="K73"/>
  <c r="X145" i="940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R80" s="1"/>
  <c r="M77"/>
  <c r="T74"/>
  <c r="AJ73"/>
  <c r="AI73"/>
  <c r="AE73"/>
  <c r="AD73"/>
  <c r="AC73"/>
  <c r="AB73"/>
  <c r="AA73"/>
  <c r="Y73"/>
  <c r="V73"/>
  <c r="P73"/>
  <c r="O73"/>
  <c r="N73"/>
  <c r="M73"/>
  <c r="L73"/>
  <c r="J73"/>
  <c r="I73"/>
  <c r="H73"/>
  <c r="G73"/>
  <c r="F73"/>
  <c r="E73"/>
  <c r="D73"/>
  <c r="E75" s="1"/>
  <c r="C73"/>
  <c r="AF72"/>
  <c r="AG72" s="1"/>
  <c r="AH72" s="1"/>
  <c r="Z72"/>
  <c r="S71"/>
  <c r="U71" s="1"/>
  <c r="Q71"/>
  <c r="Z70"/>
  <c r="AF70" s="1"/>
  <c r="U70"/>
  <c r="S70"/>
  <c r="Q70"/>
  <c r="U69"/>
  <c r="AG69" s="1"/>
  <c r="AH69" s="1"/>
  <c r="S69"/>
  <c r="Z69" s="1"/>
  <c r="AF69" s="1"/>
  <c r="Q69"/>
  <c r="S68"/>
  <c r="U68" s="1"/>
  <c r="Q68"/>
  <c r="S67"/>
  <c r="U67" s="1"/>
  <c r="Q67"/>
  <c r="Z66"/>
  <c r="AF66" s="1"/>
  <c r="AG66" s="1"/>
  <c r="AH66" s="1"/>
  <c r="S65"/>
  <c r="U65" s="1"/>
  <c r="Q65"/>
  <c r="S64"/>
  <c r="Z64" s="1"/>
  <c r="AF64" s="1"/>
  <c r="Q64"/>
  <c r="S63"/>
  <c r="U63" s="1"/>
  <c r="Q63"/>
  <c r="S62"/>
  <c r="U62" s="1"/>
  <c r="Q62"/>
  <c r="U61"/>
  <c r="S61"/>
  <c r="Z61" s="1"/>
  <c r="AF61" s="1"/>
  <c r="Q61"/>
  <c r="S60"/>
  <c r="Z60" s="1"/>
  <c r="AF60" s="1"/>
  <c r="Q60"/>
  <c r="S59"/>
  <c r="U59" s="1"/>
  <c r="Q59"/>
  <c r="AF58"/>
  <c r="AG58" s="1"/>
  <c r="AH58" s="1"/>
  <c r="Z58"/>
  <c r="U58"/>
  <c r="Q58"/>
  <c r="Z57"/>
  <c r="AF57" s="1"/>
  <c r="U57"/>
  <c r="T57"/>
  <c r="S57"/>
  <c r="Q57"/>
  <c r="U56"/>
  <c r="AG56" s="1"/>
  <c r="AH56" s="1"/>
  <c r="S56"/>
  <c r="Z56" s="1"/>
  <c r="AF56" s="1"/>
  <c r="Q56"/>
  <c r="S55"/>
  <c r="U55" s="1"/>
  <c r="Q55"/>
  <c r="S54"/>
  <c r="U54" s="1"/>
  <c r="Q54"/>
  <c r="S53"/>
  <c r="U53" s="1"/>
  <c r="Q53"/>
  <c r="S52"/>
  <c r="Z52" s="1"/>
  <c r="AF52" s="1"/>
  <c r="Q52"/>
  <c r="S51"/>
  <c r="U51" s="1"/>
  <c r="Q51"/>
  <c r="T50"/>
  <c r="S50"/>
  <c r="U50" s="1"/>
  <c r="Q50"/>
  <c r="S49"/>
  <c r="U49" s="1"/>
  <c r="Q49"/>
  <c r="S48"/>
  <c r="U48" s="1"/>
  <c r="Q48"/>
  <c r="S47"/>
  <c r="Z47" s="1"/>
  <c r="AF47" s="1"/>
  <c r="Q47"/>
  <c r="S46"/>
  <c r="U46" s="1"/>
  <c r="Q46"/>
  <c r="Z45"/>
  <c r="AF45" s="1"/>
  <c r="S45"/>
  <c r="U45" s="1"/>
  <c r="Q45"/>
  <c r="U44"/>
  <c r="S44"/>
  <c r="Z44" s="1"/>
  <c r="AF44" s="1"/>
  <c r="Q44"/>
  <c r="Z43"/>
  <c r="AF43" s="1"/>
  <c r="AG43" s="1"/>
  <c r="AH43" s="1"/>
  <c r="U42"/>
  <c r="AG42" s="1"/>
  <c r="AH42" s="1"/>
  <c r="S42"/>
  <c r="Z42" s="1"/>
  <c r="AF42" s="1"/>
  <c r="Q42"/>
  <c r="S41"/>
  <c r="U41" s="1"/>
  <c r="Q41"/>
  <c r="S40"/>
  <c r="U40" s="1"/>
  <c r="Q40"/>
  <c r="S39"/>
  <c r="U39" s="1"/>
  <c r="Q39"/>
  <c r="U38"/>
  <c r="AG38" s="1"/>
  <c r="AH38" s="1"/>
  <c r="S38"/>
  <c r="Z38" s="1"/>
  <c r="AF38" s="1"/>
  <c r="Q38"/>
  <c r="S37"/>
  <c r="U37" s="1"/>
  <c r="Q37"/>
  <c r="S36"/>
  <c r="U36" s="1"/>
  <c r="Q36"/>
  <c r="S35"/>
  <c r="U35" s="1"/>
  <c r="Q35"/>
  <c r="S34"/>
  <c r="Z34" s="1"/>
  <c r="AF34" s="1"/>
  <c r="Q34"/>
  <c r="S33"/>
  <c r="U33" s="1"/>
  <c r="Q33"/>
  <c r="S32"/>
  <c r="U32" s="1"/>
  <c r="Q32"/>
  <c r="U31"/>
  <c r="S31"/>
  <c r="Z31" s="1"/>
  <c r="AF31" s="1"/>
  <c r="Q3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S26"/>
  <c r="U26" s="1"/>
  <c r="Q26"/>
  <c r="S25"/>
  <c r="U25" s="1"/>
  <c r="Q25"/>
  <c r="S24"/>
  <c r="Z24" s="1"/>
  <c r="AF24" s="1"/>
  <c r="Q24"/>
  <c r="S23"/>
  <c r="U23" s="1"/>
  <c r="Q23"/>
  <c r="S22"/>
  <c r="U22" s="1"/>
  <c r="Q22"/>
  <c r="S21"/>
  <c r="Z21" s="1"/>
  <c r="AF21" s="1"/>
  <c r="Q21"/>
  <c r="S20"/>
  <c r="Z20" s="1"/>
  <c r="AF20" s="1"/>
  <c r="Q20"/>
  <c r="S19"/>
  <c r="U19" s="1"/>
  <c r="Q19"/>
  <c r="AF18"/>
  <c r="AG18" s="1"/>
  <c r="AH18" s="1"/>
  <c r="Z18"/>
  <c r="S17"/>
  <c r="U17" s="1"/>
  <c r="Q17"/>
  <c r="K73"/>
  <c r="S16"/>
  <c r="U16" s="1"/>
  <c r="Q16"/>
  <c r="S15"/>
  <c r="U15" s="1"/>
  <c r="Q15"/>
  <c r="R73"/>
  <c r="D76" s="1"/>
  <c r="Q14"/>
  <c r="S14"/>
  <c r="S13"/>
  <c r="U13" s="1"/>
  <c r="Q13"/>
  <c r="S12"/>
  <c r="U12" s="1"/>
  <c r="Q12"/>
  <c r="S11"/>
  <c r="Z11" s="1"/>
  <c r="AF11" s="1"/>
  <c r="Q11"/>
  <c r="S10"/>
  <c r="U10" s="1"/>
  <c r="Q10"/>
  <c r="S9"/>
  <c r="U9" s="1"/>
  <c r="Q9"/>
  <c r="S8"/>
  <c r="U8" s="1"/>
  <c r="Q8"/>
  <c r="S7"/>
  <c r="Z7" s="1"/>
  <c r="Q7"/>
  <c r="F77" i="939"/>
  <c r="M77"/>
  <c r="R76"/>
  <c r="R75"/>
  <c r="R74"/>
  <c r="R14"/>
  <c r="R73" s="1"/>
  <c r="D76" s="1"/>
  <c r="K17"/>
  <c r="Q17" s="1"/>
  <c r="D17"/>
  <c r="S17" s="1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Z72"/>
  <c r="AF72" s="1"/>
  <c r="AG72" s="1"/>
  <c r="AH72" s="1"/>
  <c r="S71"/>
  <c r="U71" s="1"/>
  <c r="Q71"/>
  <c r="S70"/>
  <c r="Z70" s="1"/>
  <c r="AF70" s="1"/>
  <c r="Q70"/>
  <c r="S69"/>
  <c r="Z69" s="1"/>
  <c r="AF69" s="1"/>
  <c r="Q69"/>
  <c r="S68"/>
  <c r="Z68" s="1"/>
  <c r="AF68" s="1"/>
  <c r="Q68"/>
  <c r="S67"/>
  <c r="Z67" s="1"/>
  <c r="AF67" s="1"/>
  <c r="Q67"/>
  <c r="AH66"/>
  <c r="AG66"/>
  <c r="AF66"/>
  <c r="Z66"/>
  <c r="S65"/>
  <c r="Z65" s="1"/>
  <c r="AF65" s="1"/>
  <c r="Q65"/>
  <c r="S64"/>
  <c r="Z64" s="1"/>
  <c r="AF64" s="1"/>
  <c r="Q64"/>
  <c r="S63"/>
  <c r="U63" s="1"/>
  <c r="Q63"/>
  <c r="S62"/>
  <c r="U62" s="1"/>
  <c r="Q62"/>
  <c r="S61"/>
  <c r="Z61" s="1"/>
  <c r="AF61" s="1"/>
  <c r="Q61"/>
  <c r="S60"/>
  <c r="Z60" s="1"/>
  <c r="AF60" s="1"/>
  <c r="Q60"/>
  <c r="S59"/>
  <c r="Z59" s="1"/>
  <c r="AF59" s="1"/>
  <c r="Q59"/>
  <c r="Z58"/>
  <c r="AF58" s="1"/>
  <c r="U58"/>
  <c r="Q58"/>
  <c r="T57"/>
  <c r="S57"/>
  <c r="Z57" s="1"/>
  <c r="AF57" s="1"/>
  <c r="Q57"/>
  <c r="S56"/>
  <c r="Z56" s="1"/>
  <c r="AF56" s="1"/>
  <c r="Q56"/>
  <c r="S55"/>
  <c r="U55" s="1"/>
  <c r="Q55"/>
  <c r="S54"/>
  <c r="U54" s="1"/>
  <c r="Q54"/>
  <c r="S53"/>
  <c r="Z53" s="1"/>
  <c r="AF53" s="1"/>
  <c r="Q53"/>
  <c r="S52"/>
  <c r="Z52" s="1"/>
  <c r="AF52" s="1"/>
  <c r="Q52"/>
  <c r="S51"/>
  <c r="Z51" s="1"/>
  <c r="AF51" s="1"/>
  <c r="Q51"/>
  <c r="T50"/>
  <c r="S50"/>
  <c r="Z50" s="1"/>
  <c r="AF50" s="1"/>
  <c r="Q50"/>
  <c r="S49"/>
  <c r="Z49" s="1"/>
  <c r="AF49" s="1"/>
  <c r="Q49"/>
  <c r="S48"/>
  <c r="Z48" s="1"/>
  <c r="AF48" s="1"/>
  <c r="Q48"/>
  <c r="S47"/>
  <c r="Z47" s="1"/>
  <c r="AF47" s="1"/>
  <c r="Q47"/>
  <c r="S46"/>
  <c r="Z46" s="1"/>
  <c r="AF46" s="1"/>
  <c r="Q46"/>
  <c r="U45"/>
  <c r="S45"/>
  <c r="Z45" s="1"/>
  <c r="AF45" s="1"/>
  <c r="Q45"/>
  <c r="S44"/>
  <c r="Z44" s="1"/>
  <c r="AF44" s="1"/>
  <c r="Q44"/>
  <c r="AG43"/>
  <c r="AH43" s="1"/>
  <c r="AF43"/>
  <c r="Z43"/>
  <c r="S42"/>
  <c r="Z42" s="1"/>
  <c r="AF42" s="1"/>
  <c r="Q42"/>
  <c r="S41"/>
  <c r="U41" s="1"/>
  <c r="Q41"/>
  <c r="S40"/>
  <c r="Z40" s="1"/>
  <c r="AF40" s="1"/>
  <c r="Q40"/>
  <c r="S39"/>
  <c r="Z39" s="1"/>
  <c r="AF39" s="1"/>
  <c r="Q39"/>
  <c r="S38"/>
  <c r="Z38" s="1"/>
  <c r="AF38" s="1"/>
  <c r="Q38"/>
  <c r="U37"/>
  <c r="S37"/>
  <c r="Z37" s="1"/>
  <c r="AF37" s="1"/>
  <c r="Q37"/>
  <c r="S36"/>
  <c r="Z36" s="1"/>
  <c r="AF36" s="1"/>
  <c r="Q36"/>
  <c r="S35"/>
  <c r="Z35" s="1"/>
  <c r="AF35" s="1"/>
  <c r="Q35"/>
  <c r="S34"/>
  <c r="Z34" s="1"/>
  <c r="AF34" s="1"/>
  <c r="Q34"/>
  <c r="S33"/>
  <c r="Z33" s="1"/>
  <c r="AF33" s="1"/>
  <c r="Q33"/>
  <c r="U32"/>
  <c r="S32"/>
  <c r="Z32" s="1"/>
  <c r="AF32" s="1"/>
  <c r="Q32"/>
  <c r="S31"/>
  <c r="Z31" s="1"/>
  <c r="AF31" s="1"/>
  <c r="Q3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S26"/>
  <c r="Z26" s="1"/>
  <c r="AF26" s="1"/>
  <c r="Q26"/>
  <c r="S25"/>
  <c r="Z25" s="1"/>
  <c r="AF25" s="1"/>
  <c r="Q25"/>
  <c r="S24"/>
  <c r="Z24" s="1"/>
  <c r="AF24" s="1"/>
  <c r="Q24"/>
  <c r="S23"/>
  <c r="U23" s="1"/>
  <c r="Q23"/>
  <c r="S22"/>
  <c r="Z22" s="1"/>
  <c r="AF22" s="1"/>
  <c r="Q22"/>
  <c r="S21"/>
  <c r="Z21" s="1"/>
  <c r="AF21" s="1"/>
  <c r="Q21"/>
  <c r="S20"/>
  <c r="Z20" s="1"/>
  <c r="AF20" s="1"/>
  <c r="Q20"/>
  <c r="S19"/>
  <c r="U19" s="1"/>
  <c r="Q19"/>
  <c r="Z18"/>
  <c r="AF18" s="1"/>
  <c r="AG18" s="1"/>
  <c r="AH18" s="1"/>
  <c r="S16"/>
  <c r="U16" s="1"/>
  <c r="Q16"/>
  <c r="S15"/>
  <c r="Z15" s="1"/>
  <c r="AF15" s="1"/>
  <c r="Q15"/>
  <c r="Q14"/>
  <c r="Z13"/>
  <c r="AF13" s="1"/>
  <c r="U13"/>
  <c r="S13"/>
  <c r="Q13"/>
  <c r="U12"/>
  <c r="S12"/>
  <c r="Z12" s="1"/>
  <c r="AF12" s="1"/>
  <c r="Q12"/>
  <c r="S11"/>
  <c r="Z11" s="1"/>
  <c r="AF11" s="1"/>
  <c r="Q11"/>
  <c r="S10"/>
  <c r="Z10" s="1"/>
  <c r="AF10" s="1"/>
  <c r="Q10"/>
  <c r="S9"/>
  <c r="Z9" s="1"/>
  <c r="AF9" s="1"/>
  <c r="Q9"/>
  <c r="Q8"/>
  <c r="S7"/>
  <c r="U7" s="1"/>
  <c r="Q7"/>
  <c r="R76" i="938"/>
  <c r="R75"/>
  <c r="T74" s="1"/>
  <c r="R8"/>
  <c r="S8" s="1"/>
  <c r="Z8" s="1"/>
  <c r="AF8" s="1"/>
  <c r="R17"/>
  <c r="R12"/>
  <c r="R11"/>
  <c r="R14"/>
  <c r="S11"/>
  <c r="Z11" s="1"/>
  <c r="AF11" s="1"/>
  <c r="D17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M77"/>
  <c r="R77" s="1"/>
  <c r="F77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Z72"/>
  <c r="AF72" s="1"/>
  <c r="AG72" s="1"/>
  <c r="AH72" s="1"/>
  <c r="Q71"/>
  <c r="S71"/>
  <c r="S70"/>
  <c r="U70" s="1"/>
  <c r="Q70"/>
  <c r="Q69"/>
  <c r="S69"/>
  <c r="Q68"/>
  <c r="S67"/>
  <c r="Z67" s="1"/>
  <c r="AF67" s="1"/>
  <c r="Q67"/>
  <c r="Z66"/>
  <c r="AF66" s="1"/>
  <c r="AG66" s="1"/>
  <c r="AH66" s="1"/>
  <c r="S65"/>
  <c r="U65" s="1"/>
  <c r="Q65"/>
  <c r="S64"/>
  <c r="Z64" s="1"/>
  <c r="AF64" s="1"/>
  <c r="Q64"/>
  <c r="S63"/>
  <c r="Z63" s="1"/>
  <c r="AF63" s="1"/>
  <c r="Q63"/>
  <c r="U62"/>
  <c r="S62"/>
  <c r="Z62" s="1"/>
  <c r="AF62" s="1"/>
  <c r="Q62"/>
  <c r="S61"/>
  <c r="Z61" s="1"/>
  <c r="AF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Z57" s="1"/>
  <c r="AF57" s="1"/>
  <c r="Q57"/>
  <c r="U56"/>
  <c r="S56"/>
  <c r="Z56" s="1"/>
  <c r="AF56" s="1"/>
  <c r="Q56"/>
  <c r="S55"/>
  <c r="Z55" s="1"/>
  <c r="AF55" s="1"/>
  <c r="Q55"/>
  <c r="S54"/>
  <c r="U54" s="1"/>
  <c r="Q54"/>
  <c r="S53"/>
  <c r="U53" s="1"/>
  <c r="Q53"/>
  <c r="S52"/>
  <c r="Z52" s="1"/>
  <c r="AF52" s="1"/>
  <c r="Q52"/>
  <c r="S51"/>
  <c r="Z51" s="1"/>
  <c r="AF51" s="1"/>
  <c r="Q51"/>
  <c r="T50"/>
  <c r="S50"/>
  <c r="U50" s="1"/>
  <c r="Q50"/>
  <c r="U49"/>
  <c r="S49"/>
  <c r="Z49" s="1"/>
  <c r="AF49" s="1"/>
  <c r="Q49"/>
  <c r="U48"/>
  <c r="S48"/>
  <c r="Z48" s="1"/>
  <c r="AF48" s="1"/>
  <c r="Q48"/>
  <c r="S47"/>
  <c r="Z47" s="1"/>
  <c r="AF47" s="1"/>
  <c r="Q47"/>
  <c r="S46"/>
  <c r="Z46" s="1"/>
  <c r="AF46" s="1"/>
  <c r="Q46"/>
  <c r="Z45"/>
  <c r="AF45" s="1"/>
  <c r="S45"/>
  <c r="U45" s="1"/>
  <c r="Q45"/>
  <c r="S44"/>
  <c r="U44" s="1"/>
  <c r="Q44"/>
  <c r="AH43"/>
  <c r="AG43"/>
  <c r="AF43"/>
  <c r="Z43"/>
  <c r="S42"/>
  <c r="Z42" s="1"/>
  <c r="AF42" s="1"/>
  <c r="Q42"/>
  <c r="S41"/>
  <c r="Z41" s="1"/>
  <c r="AF41" s="1"/>
  <c r="Q41"/>
  <c r="S40"/>
  <c r="Z40" s="1"/>
  <c r="AF40" s="1"/>
  <c r="Q40"/>
  <c r="S39"/>
  <c r="Z39" s="1"/>
  <c r="AF39" s="1"/>
  <c r="Q39"/>
  <c r="S38"/>
  <c r="Z38" s="1"/>
  <c r="AF38" s="1"/>
  <c r="Q38"/>
  <c r="S37"/>
  <c r="Z37" s="1"/>
  <c r="AF37" s="1"/>
  <c r="Q37"/>
  <c r="S36"/>
  <c r="U36" s="1"/>
  <c r="Q36"/>
  <c r="Z35"/>
  <c r="AF35" s="1"/>
  <c r="S35"/>
  <c r="U35" s="1"/>
  <c r="Q35"/>
  <c r="U34"/>
  <c r="AG34" s="1"/>
  <c r="AH34" s="1"/>
  <c r="S34"/>
  <c r="Z34" s="1"/>
  <c r="AF34" s="1"/>
  <c r="Q34"/>
  <c r="S33"/>
  <c r="Z33" s="1"/>
  <c r="AF33" s="1"/>
  <c r="Q33"/>
  <c r="U32"/>
  <c r="S32"/>
  <c r="Z32" s="1"/>
  <c r="AF32" s="1"/>
  <c r="Q32"/>
  <c r="AF31"/>
  <c r="Z31"/>
  <c r="S31"/>
  <c r="U31" s="1"/>
  <c r="Q31"/>
  <c r="Z30"/>
  <c r="AF30" s="1"/>
  <c r="S30"/>
  <c r="U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S26"/>
  <c r="Z26" s="1"/>
  <c r="AF26" s="1"/>
  <c r="Q26"/>
  <c r="U25"/>
  <c r="S25"/>
  <c r="Z25" s="1"/>
  <c r="AF25" s="1"/>
  <c r="Q25"/>
  <c r="S24"/>
  <c r="Z24" s="1"/>
  <c r="AF24" s="1"/>
  <c r="Q24"/>
  <c r="S23"/>
  <c r="Z23" s="1"/>
  <c r="AF23" s="1"/>
  <c r="Q23"/>
  <c r="S22"/>
  <c r="Z22" s="1"/>
  <c r="AF22" s="1"/>
  <c r="Q22"/>
  <c r="S21"/>
  <c r="U21" s="1"/>
  <c r="Q21"/>
  <c r="S20"/>
  <c r="U20" s="1"/>
  <c r="Q20"/>
  <c r="S19"/>
  <c r="Z19" s="1"/>
  <c r="AF19" s="1"/>
  <c r="Q19"/>
  <c r="AG18"/>
  <c r="AH18" s="1"/>
  <c r="AF18"/>
  <c r="Z18"/>
  <c r="Q17"/>
  <c r="S16"/>
  <c r="U16" s="1"/>
  <c r="Q16"/>
  <c r="S15"/>
  <c r="U15" s="1"/>
  <c r="Q15"/>
  <c r="Q14"/>
  <c r="S13"/>
  <c r="Z13" s="1"/>
  <c r="AF13" s="1"/>
  <c r="Q13"/>
  <c r="S12"/>
  <c r="Z12" s="1"/>
  <c r="AF12" s="1"/>
  <c r="Q12"/>
  <c r="Q11"/>
  <c r="U10"/>
  <c r="S10"/>
  <c r="Z10" s="1"/>
  <c r="AF10" s="1"/>
  <c r="Q10"/>
  <c r="S9"/>
  <c r="Z9" s="1"/>
  <c r="AF9" s="1"/>
  <c r="Q9"/>
  <c r="Q8"/>
  <c r="S7"/>
  <c r="Z7" s="1"/>
  <c r="Q7"/>
  <c r="C69" i="937"/>
  <c r="C71"/>
  <c r="F77"/>
  <c r="R76"/>
  <c r="R75"/>
  <c r="R74"/>
  <c r="R71"/>
  <c r="S71" s="1"/>
  <c r="R69"/>
  <c r="S69"/>
  <c r="R14"/>
  <c r="S14" s="1"/>
  <c r="R12"/>
  <c r="G32"/>
  <c r="Q32" s="1"/>
  <c r="D68"/>
  <c r="D73" s="1"/>
  <c r="E75" s="1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M7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C73"/>
  <c r="AF72"/>
  <c r="AG72" s="1"/>
  <c r="AH72" s="1"/>
  <c r="Z72"/>
  <c r="Q71"/>
  <c r="S70"/>
  <c r="Q70"/>
  <c r="Q69"/>
  <c r="Q68"/>
  <c r="S67"/>
  <c r="Q67"/>
  <c r="AF66"/>
  <c r="AG66" s="1"/>
  <c r="AH66" s="1"/>
  <c r="Z66"/>
  <c r="AF65"/>
  <c r="Z65"/>
  <c r="S65"/>
  <c r="U65" s="1"/>
  <c r="Q65"/>
  <c r="Z64"/>
  <c r="AF64" s="1"/>
  <c r="U64"/>
  <c r="S64"/>
  <c r="Q64"/>
  <c r="U63"/>
  <c r="AG63" s="1"/>
  <c r="AH63" s="1"/>
  <c r="S63"/>
  <c r="Z63" s="1"/>
  <c r="AF63" s="1"/>
  <c r="Q63"/>
  <c r="S62"/>
  <c r="U62" s="1"/>
  <c r="Q62"/>
  <c r="AF61"/>
  <c r="Z61"/>
  <c r="S61"/>
  <c r="U61" s="1"/>
  <c r="Q61"/>
  <c r="Z60"/>
  <c r="AF60" s="1"/>
  <c r="U60"/>
  <c r="S60"/>
  <c r="Q60"/>
  <c r="U59"/>
  <c r="S59"/>
  <c r="Z59" s="1"/>
  <c r="AF59" s="1"/>
  <c r="Q59"/>
  <c r="AG58"/>
  <c r="AH58" s="1"/>
  <c r="AF58"/>
  <c r="Z58"/>
  <c r="U58"/>
  <c r="Q58"/>
  <c r="T57"/>
  <c r="S57"/>
  <c r="U57" s="1"/>
  <c r="Q57"/>
  <c r="S56"/>
  <c r="Z56" s="1"/>
  <c r="AF56" s="1"/>
  <c r="Q56"/>
  <c r="U55"/>
  <c r="S55"/>
  <c r="Z55" s="1"/>
  <c r="AF55" s="1"/>
  <c r="Q55"/>
  <c r="S54"/>
  <c r="U54" s="1"/>
  <c r="Q54"/>
  <c r="S53"/>
  <c r="U53" s="1"/>
  <c r="Q53"/>
  <c r="U52"/>
  <c r="S52"/>
  <c r="Z52" s="1"/>
  <c r="AF52" s="1"/>
  <c r="Q52"/>
  <c r="S51"/>
  <c r="Z51" s="1"/>
  <c r="AF51" s="1"/>
  <c r="Q51"/>
  <c r="T50"/>
  <c r="T73" s="1"/>
  <c r="S50"/>
  <c r="U50" s="1"/>
  <c r="Q50"/>
  <c r="S49"/>
  <c r="U49" s="1"/>
  <c r="Q49"/>
  <c r="S48"/>
  <c r="U48" s="1"/>
  <c r="Q48"/>
  <c r="S47"/>
  <c r="Z47" s="1"/>
  <c r="AF47" s="1"/>
  <c r="Q47"/>
  <c r="S46"/>
  <c r="Z46" s="1"/>
  <c r="AF46" s="1"/>
  <c r="Q46"/>
  <c r="S45"/>
  <c r="U45" s="1"/>
  <c r="Q45"/>
  <c r="S44"/>
  <c r="U44" s="1"/>
  <c r="Q44"/>
  <c r="Z43"/>
  <c r="AF43" s="1"/>
  <c r="AG43" s="1"/>
  <c r="AH43" s="1"/>
  <c r="S42"/>
  <c r="Z42" s="1"/>
  <c r="AF42" s="1"/>
  <c r="Q42"/>
  <c r="S41"/>
  <c r="Z41" s="1"/>
  <c r="AF41" s="1"/>
  <c r="Q41"/>
  <c r="S40"/>
  <c r="U40" s="1"/>
  <c r="Q40"/>
  <c r="S39"/>
  <c r="U39" s="1"/>
  <c r="Q39"/>
  <c r="S38"/>
  <c r="Z38" s="1"/>
  <c r="AF38" s="1"/>
  <c r="Q38"/>
  <c r="U37"/>
  <c r="S37"/>
  <c r="Z37" s="1"/>
  <c r="AF37" s="1"/>
  <c r="Q37"/>
  <c r="S36"/>
  <c r="U36" s="1"/>
  <c r="Q36"/>
  <c r="S35"/>
  <c r="U35" s="1"/>
  <c r="Q35"/>
  <c r="U34"/>
  <c r="S34"/>
  <c r="Z34" s="1"/>
  <c r="AF34" s="1"/>
  <c r="Q34"/>
  <c r="S33"/>
  <c r="Z33" s="1"/>
  <c r="AF33" s="1"/>
  <c r="Q33"/>
  <c r="S32"/>
  <c r="U32" s="1"/>
  <c r="Z31"/>
  <c r="AF31" s="1"/>
  <c r="S31"/>
  <c r="U31" s="1"/>
  <c r="Q31"/>
  <c r="U30"/>
  <c r="S30"/>
  <c r="Z30" s="1"/>
  <c r="AF30" s="1"/>
  <c r="Q30"/>
  <c r="T29"/>
  <c r="S29"/>
  <c r="Z29" s="1"/>
  <c r="AF29" s="1"/>
  <c r="Q29"/>
  <c r="T28"/>
  <c r="S28"/>
  <c r="U28" s="1"/>
  <c r="Q28"/>
  <c r="S27"/>
  <c r="Z27" s="1"/>
  <c r="AF27" s="1"/>
  <c r="Q27"/>
  <c r="S26"/>
  <c r="U26" s="1"/>
  <c r="Q26"/>
  <c r="S25"/>
  <c r="U25" s="1"/>
  <c r="Q25"/>
  <c r="U24"/>
  <c r="S24"/>
  <c r="Z24" s="1"/>
  <c r="AF24" s="1"/>
  <c r="Q24"/>
  <c r="S23"/>
  <c r="Z23" s="1"/>
  <c r="AF23" s="1"/>
  <c r="Q23"/>
  <c r="S22"/>
  <c r="U22" s="1"/>
  <c r="Q22"/>
  <c r="Z21"/>
  <c r="AF21" s="1"/>
  <c r="S21"/>
  <c r="U21" s="1"/>
  <c r="Q21"/>
  <c r="U20"/>
  <c r="S20"/>
  <c r="Z20" s="1"/>
  <c r="AF20" s="1"/>
  <c r="Q20"/>
  <c r="S19"/>
  <c r="Z19" s="1"/>
  <c r="AF19" s="1"/>
  <c r="Q19"/>
  <c r="AG18"/>
  <c r="AH18" s="1"/>
  <c r="AF18"/>
  <c r="Z18"/>
  <c r="S17"/>
  <c r="U17" s="1"/>
  <c r="Q17"/>
  <c r="S16"/>
  <c r="U16" s="1"/>
  <c r="Q16"/>
  <c r="S15"/>
  <c r="U15" s="1"/>
  <c r="Q15"/>
  <c r="Q14"/>
  <c r="AF13"/>
  <c r="Z13"/>
  <c r="S13"/>
  <c r="U13" s="1"/>
  <c r="Q13"/>
  <c r="S12"/>
  <c r="Q12"/>
  <c r="S11"/>
  <c r="Z11" s="1"/>
  <c r="AF11" s="1"/>
  <c r="Q11"/>
  <c r="U10"/>
  <c r="S10"/>
  <c r="Z10" s="1"/>
  <c r="AF10" s="1"/>
  <c r="Q10"/>
  <c r="S9"/>
  <c r="U9" s="1"/>
  <c r="Q9"/>
  <c r="S8"/>
  <c r="Q8"/>
  <c r="S7"/>
  <c r="Q7"/>
  <c r="R76" i="936"/>
  <c r="R80" s="1"/>
  <c r="R75"/>
  <c r="R71"/>
  <c r="R16"/>
  <c r="S16" s="1"/>
  <c r="Z16" s="1"/>
  <c r="AF16" s="1"/>
  <c r="R17"/>
  <c r="S17" s="1"/>
  <c r="Z17" s="1"/>
  <c r="AF17" s="1"/>
  <c r="R7"/>
  <c r="R8"/>
  <c r="R70"/>
  <c r="S70" s="1"/>
  <c r="R69"/>
  <c r="S71"/>
  <c r="R14"/>
  <c r="R67"/>
  <c r="S14"/>
  <c r="U14" s="1"/>
  <c r="R12"/>
  <c r="D68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M77"/>
  <c r="F77"/>
  <c r="R74"/>
  <c r="T74" s="1"/>
  <c r="AJ73"/>
  <c r="AI73"/>
  <c r="AE73"/>
  <c r="AD73"/>
  <c r="AC73"/>
  <c r="AB73"/>
  <c r="AA73"/>
  <c r="Y73"/>
  <c r="V73"/>
  <c r="T73"/>
  <c r="P73"/>
  <c r="O73"/>
  <c r="N73"/>
  <c r="M73"/>
  <c r="L73"/>
  <c r="K73"/>
  <c r="J73"/>
  <c r="I73"/>
  <c r="H73"/>
  <c r="G73"/>
  <c r="F73"/>
  <c r="E73"/>
  <c r="D73"/>
  <c r="E75" s="1"/>
  <c r="C73"/>
  <c r="AF72"/>
  <c r="AG72" s="1"/>
  <c r="AH72" s="1"/>
  <c r="Z72"/>
  <c r="Q71"/>
  <c r="Q70"/>
  <c r="S69"/>
  <c r="U69" s="1"/>
  <c r="Q69"/>
  <c r="S68"/>
  <c r="U68" s="1"/>
  <c r="Q68"/>
  <c r="S67"/>
  <c r="Z67" s="1"/>
  <c r="AF67" s="1"/>
  <c r="Q67"/>
  <c r="AG66"/>
  <c r="AH66" s="1"/>
  <c r="AF66"/>
  <c r="Z66"/>
  <c r="S65"/>
  <c r="U65" s="1"/>
  <c r="Q65"/>
  <c r="S64"/>
  <c r="Z64" s="1"/>
  <c r="AF64" s="1"/>
  <c r="Q64"/>
  <c r="U63"/>
  <c r="S63"/>
  <c r="Z63" s="1"/>
  <c r="AF63" s="1"/>
  <c r="Q63"/>
  <c r="S62"/>
  <c r="Z62" s="1"/>
  <c r="AF62" s="1"/>
  <c r="Q62"/>
  <c r="S61"/>
  <c r="U61" s="1"/>
  <c r="Q61"/>
  <c r="Z60"/>
  <c r="AF60" s="1"/>
  <c r="S60"/>
  <c r="U60" s="1"/>
  <c r="Q60"/>
  <c r="S59"/>
  <c r="U59" s="1"/>
  <c r="Q59"/>
  <c r="AF58"/>
  <c r="Z58"/>
  <c r="U58"/>
  <c r="AG58" s="1"/>
  <c r="AH58" s="1"/>
  <c r="Q58"/>
  <c r="T57"/>
  <c r="S57"/>
  <c r="U57" s="1"/>
  <c r="Q57"/>
  <c r="S56"/>
  <c r="U56" s="1"/>
  <c r="Q56"/>
  <c r="S55"/>
  <c r="U55" s="1"/>
  <c r="Q55"/>
  <c r="U54"/>
  <c r="AG54" s="1"/>
  <c r="AH54" s="1"/>
  <c r="S54"/>
  <c r="Z54" s="1"/>
  <c r="AF54" s="1"/>
  <c r="Q54"/>
  <c r="S53"/>
  <c r="U53" s="1"/>
  <c r="Q53"/>
  <c r="S52"/>
  <c r="Z52" s="1"/>
  <c r="AF52" s="1"/>
  <c r="Q52"/>
  <c r="U51"/>
  <c r="S51"/>
  <c r="Z51" s="1"/>
  <c r="AF51" s="1"/>
  <c r="Q51"/>
  <c r="T50"/>
  <c r="S50"/>
  <c r="Z50" s="1"/>
  <c r="AF50" s="1"/>
  <c r="Q50"/>
  <c r="S49"/>
  <c r="Z49" s="1"/>
  <c r="AF49" s="1"/>
  <c r="Q49"/>
  <c r="S48"/>
  <c r="U48" s="1"/>
  <c r="Q48"/>
  <c r="S47"/>
  <c r="U47" s="1"/>
  <c r="Q47"/>
  <c r="S46"/>
  <c r="U46" s="1"/>
  <c r="Q46"/>
  <c r="U45"/>
  <c r="AG45" s="1"/>
  <c r="AH45" s="1"/>
  <c r="S45"/>
  <c r="Z45" s="1"/>
  <c r="AF45" s="1"/>
  <c r="Q45"/>
  <c r="S44"/>
  <c r="U44" s="1"/>
  <c r="Q44"/>
  <c r="AF43"/>
  <c r="AG43" s="1"/>
  <c r="AH43" s="1"/>
  <c r="Z43"/>
  <c r="Z42"/>
  <c r="AF42" s="1"/>
  <c r="S42"/>
  <c r="U42" s="1"/>
  <c r="Q42"/>
  <c r="S41"/>
  <c r="U41" s="1"/>
  <c r="Q41"/>
  <c r="S40"/>
  <c r="Z40" s="1"/>
  <c r="AF40" s="1"/>
  <c r="Q40"/>
  <c r="S39"/>
  <c r="U39" s="1"/>
  <c r="Q39"/>
  <c r="U38"/>
  <c r="S38"/>
  <c r="Z38" s="1"/>
  <c r="AF38" s="1"/>
  <c r="Q38"/>
  <c r="S37"/>
  <c r="Z37" s="1"/>
  <c r="AF37" s="1"/>
  <c r="Q37"/>
  <c r="S36"/>
  <c r="Z36" s="1"/>
  <c r="AF36" s="1"/>
  <c r="Q36"/>
  <c r="S35"/>
  <c r="U35" s="1"/>
  <c r="Q35"/>
  <c r="S34"/>
  <c r="U34" s="1"/>
  <c r="Q34"/>
  <c r="S33"/>
  <c r="U33" s="1"/>
  <c r="Q33"/>
  <c r="S32"/>
  <c r="Z32" s="1"/>
  <c r="AF32" s="1"/>
  <c r="Q32"/>
  <c r="S31"/>
  <c r="U31" s="1"/>
  <c r="Q31"/>
  <c r="S30"/>
  <c r="Z30" s="1"/>
  <c r="AF30" s="1"/>
  <c r="Q30"/>
  <c r="T29"/>
  <c r="S29"/>
  <c r="U29" s="1"/>
  <c r="Q29"/>
  <c r="T28"/>
  <c r="S28"/>
  <c r="U28" s="1"/>
  <c r="Q28"/>
  <c r="S27"/>
  <c r="U27" s="1"/>
  <c r="Q27"/>
  <c r="S26"/>
  <c r="Z26" s="1"/>
  <c r="AF26" s="1"/>
  <c r="Q26"/>
  <c r="S25"/>
  <c r="U25" s="1"/>
  <c r="Q25"/>
  <c r="S24"/>
  <c r="Z24" s="1"/>
  <c r="AF24" s="1"/>
  <c r="Q24"/>
  <c r="S23"/>
  <c r="Z23" s="1"/>
  <c r="AF23" s="1"/>
  <c r="Q23"/>
  <c r="S22"/>
  <c r="Z22" s="1"/>
  <c r="AF22" s="1"/>
  <c r="Q22"/>
  <c r="S21"/>
  <c r="U21" s="1"/>
  <c r="Q21"/>
  <c r="S20"/>
  <c r="U20" s="1"/>
  <c r="Q20"/>
  <c r="Z19"/>
  <c r="AF19" s="1"/>
  <c r="S19"/>
  <c r="U19" s="1"/>
  <c r="Q19"/>
  <c r="AH18"/>
  <c r="AG18"/>
  <c r="AF18"/>
  <c r="Z18"/>
  <c r="Q17"/>
  <c r="Q16"/>
  <c r="U15"/>
  <c r="AG15" s="1"/>
  <c r="AH15" s="1"/>
  <c r="S15"/>
  <c r="Z15" s="1"/>
  <c r="AF15" s="1"/>
  <c r="Q15"/>
  <c r="Q14"/>
  <c r="S13"/>
  <c r="U13" s="1"/>
  <c r="Q13"/>
  <c r="Q12"/>
  <c r="S11"/>
  <c r="Q11"/>
  <c r="S10"/>
  <c r="U10" s="1"/>
  <c r="Q10"/>
  <c r="S9"/>
  <c r="U9" s="1"/>
  <c r="Q9"/>
  <c r="S8"/>
  <c r="Z8" s="1"/>
  <c r="AF8" s="1"/>
  <c r="Q8"/>
  <c r="S7"/>
  <c r="Z7" s="1"/>
  <c r="Q7"/>
  <c r="Q73" s="1"/>
  <c r="E74" s="1"/>
  <c r="F77" i="935"/>
  <c r="R76"/>
  <c r="R75"/>
  <c r="R8"/>
  <c r="S8" s="1"/>
  <c r="R69"/>
  <c r="R71"/>
  <c r="R11"/>
  <c r="S11" s="1"/>
  <c r="U11" s="1"/>
  <c r="R17"/>
  <c r="R14"/>
  <c r="R16"/>
  <c r="R12"/>
  <c r="S71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R80" s="1"/>
  <c r="M77"/>
  <c r="R74"/>
  <c r="T74" s="1"/>
  <c r="AJ73"/>
  <c r="AI73"/>
  <c r="AE73"/>
  <c r="AD73"/>
  <c r="AC73"/>
  <c r="AB73"/>
  <c r="AA73"/>
  <c r="Y73"/>
  <c r="V73"/>
  <c r="T73"/>
  <c r="P73"/>
  <c r="O73"/>
  <c r="N73"/>
  <c r="M73"/>
  <c r="L73"/>
  <c r="K73"/>
  <c r="J73"/>
  <c r="I73"/>
  <c r="H73"/>
  <c r="G73"/>
  <c r="F73"/>
  <c r="E73"/>
  <c r="C73"/>
  <c r="AF72"/>
  <c r="AG72" s="1"/>
  <c r="AH72" s="1"/>
  <c r="Z72"/>
  <c r="Q71"/>
  <c r="Q70"/>
  <c r="S70"/>
  <c r="S69"/>
  <c r="Q69"/>
  <c r="S68"/>
  <c r="U68" s="1"/>
  <c r="Q68"/>
  <c r="S67"/>
  <c r="Z67" s="1"/>
  <c r="AF67" s="1"/>
  <c r="Q67"/>
  <c r="AG66"/>
  <c r="AH66" s="1"/>
  <c r="AF66"/>
  <c r="Z66"/>
  <c r="S65"/>
  <c r="U65" s="1"/>
  <c r="Q65"/>
  <c r="S64"/>
  <c r="U64" s="1"/>
  <c r="Q64"/>
  <c r="S63"/>
  <c r="U63" s="1"/>
  <c r="Q63"/>
  <c r="S62"/>
  <c r="Z62" s="1"/>
  <c r="AF62" s="1"/>
  <c r="Q62"/>
  <c r="S61"/>
  <c r="U61" s="1"/>
  <c r="Q61"/>
  <c r="S60"/>
  <c r="U60" s="1"/>
  <c r="Q60"/>
  <c r="S59"/>
  <c r="Z59" s="1"/>
  <c r="AF59" s="1"/>
  <c r="Q59"/>
  <c r="Z58"/>
  <c r="AF58" s="1"/>
  <c r="U58"/>
  <c r="AG58" s="1"/>
  <c r="AH58" s="1"/>
  <c r="Q58"/>
  <c r="T57"/>
  <c r="S57"/>
  <c r="Z57" s="1"/>
  <c r="AF57" s="1"/>
  <c r="Q57"/>
  <c r="S56"/>
  <c r="U56" s="1"/>
  <c r="Q56"/>
  <c r="Z55"/>
  <c r="AF55" s="1"/>
  <c r="S55"/>
  <c r="U55" s="1"/>
  <c r="Q55"/>
  <c r="S54"/>
  <c r="Z54" s="1"/>
  <c r="AF54" s="1"/>
  <c r="Q54"/>
  <c r="S53"/>
  <c r="U53" s="1"/>
  <c r="Q53"/>
  <c r="S52"/>
  <c r="U52" s="1"/>
  <c r="Q52"/>
  <c r="S51"/>
  <c r="U51" s="1"/>
  <c r="Q51"/>
  <c r="T50"/>
  <c r="S50"/>
  <c r="U50" s="1"/>
  <c r="Q50"/>
  <c r="S49"/>
  <c r="Z49" s="1"/>
  <c r="AF49" s="1"/>
  <c r="Q49"/>
  <c r="S48"/>
  <c r="U48" s="1"/>
  <c r="Q48"/>
  <c r="S47"/>
  <c r="U47" s="1"/>
  <c r="Q47"/>
  <c r="S46"/>
  <c r="Z46" s="1"/>
  <c r="AF46" s="1"/>
  <c r="Q46"/>
  <c r="S45"/>
  <c r="Z45" s="1"/>
  <c r="AF45" s="1"/>
  <c r="Q45"/>
  <c r="S44"/>
  <c r="U44" s="1"/>
  <c r="Q44"/>
  <c r="AF43"/>
  <c r="AG43" s="1"/>
  <c r="AH43" s="1"/>
  <c r="Z43"/>
  <c r="S42"/>
  <c r="U42" s="1"/>
  <c r="Q42"/>
  <c r="U41"/>
  <c r="S41"/>
  <c r="Z41" s="1"/>
  <c r="AF41" s="1"/>
  <c r="Q41"/>
  <c r="S40"/>
  <c r="Z40" s="1"/>
  <c r="AF40" s="1"/>
  <c r="Q40"/>
  <c r="S39"/>
  <c r="U39" s="1"/>
  <c r="Q39"/>
  <c r="AF38"/>
  <c r="Z38"/>
  <c r="S38"/>
  <c r="U38" s="1"/>
  <c r="Q38"/>
  <c r="Z37"/>
  <c r="AF37" s="1"/>
  <c r="U37"/>
  <c r="S37"/>
  <c r="Q37"/>
  <c r="U36"/>
  <c r="AG36" s="1"/>
  <c r="AH36" s="1"/>
  <c r="S36"/>
  <c r="Z36" s="1"/>
  <c r="AF36" s="1"/>
  <c r="Q36"/>
  <c r="S35"/>
  <c r="U35" s="1"/>
  <c r="Q35"/>
  <c r="S34"/>
  <c r="U34" s="1"/>
  <c r="Q34"/>
  <c r="S33"/>
  <c r="U33" s="1"/>
  <c r="Q33"/>
  <c r="S32"/>
  <c r="Z32" s="1"/>
  <c r="AF32" s="1"/>
  <c r="Q32"/>
  <c r="S31"/>
  <c r="U31" s="1"/>
  <c r="Q31"/>
  <c r="S30"/>
  <c r="U30" s="1"/>
  <c r="Q30"/>
  <c r="T29"/>
  <c r="S29"/>
  <c r="U29" s="1"/>
  <c r="Q29"/>
  <c r="T28"/>
  <c r="S28"/>
  <c r="U28" s="1"/>
  <c r="Q28"/>
  <c r="S27"/>
  <c r="U27" s="1"/>
  <c r="Q27"/>
  <c r="S26"/>
  <c r="Z26" s="1"/>
  <c r="AF26" s="1"/>
  <c r="Q26"/>
  <c r="S25"/>
  <c r="U25" s="1"/>
  <c r="Q25"/>
  <c r="S24"/>
  <c r="U24" s="1"/>
  <c r="Q24"/>
  <c r="Z23"/>
  <c r="AF23" s="1"/>
  <c r="S23"/>
  <c r="U23" s="1"/>
  <c r="Q23"/>
  <c r="S22"/>
  <c r="Z22" s="1"/>
  <c r="AF22" s="1"/>
  <c r="Q22"/>
  <c r="S21"/>
  <c r="U21" s="1"/>
  <c r="Q21"/>
  <c r="S20"/>
  <c r="U20" s="1"/>
  <c r="Q20"/>
  <c r="S19"/>
  <c r="U19" s="1"/>
  <c r="Q19"/>
  <c r="Z18"/>
  <c r="AF18" s="1"/>
  <c r="AG18" s="1"/>
  <c r="AH18" s="1"/>
  <c r="S17"/>
  <c r="Z17" s="1"/>
  <c r="AF17" s="1"/>
  <c r="Q17"/>
  <c r="S16"/>
  <c r="U16" s="1"/>
  <c r="Q16"/>
  <c r="S15"/>
  <c r="U15" s="1"/>
  <c r="Q15"/>
  <c r="Q14"/>
  <c r="S14"/>
  <c r="Z13"/>
  <c r="AF13" s="1"/>
  <c r="S13"/>
  <c r="U13" s="1"/>
  <c r="Q13"/>
  <c r="S12"/>
  <c r="Q12"/>
  <c r="Q11"/>
  <c r="U10"/>
  <c r="AG10" s="1"/>
  <c r="AH10" s="1"/>
  <c r="S10"/>
  <c r="Z10" s="1"/>
  <c r="AF10" s="1"/>
  <c r="Q10"/>
  <c r="S9"/>
  <c r="U9" s="1"/>
  <c r="Q9"/>
  <c r="Q8"/>
  <c r="S7"/>
  <c r="Q7"/>
  <c r="Q73" s="1"/>
  <c r="E74" s="1"/>
  <c r="M77" i="934"/>
  <c r="F77"/>
  <c r="R76"/>
  <c r="R75"/>
  <c r="R74"/>
  <c r="R70"/>
  <c r="R71"/>
  <c r="R69"/>
  <c r="S69" s="1"/>
  <c r="Z69" s="1"/>
  <c r="AF69" s="1"/>
  <c r="R12"/>
  <c r="S12" s="1"/>
  <c r="Z12" s="1"/>
  <c r="AF12" s="1"/>
  <c r="R8"/>
  <c r="R7"/>
  <c r="R14"/>
  <c r="G71"/>
  <c r="G73" s="1"/>
  <c r="D70"/>
  <c r="D71"/>
  <c r="S71" s="1"/>
  <c r="U71" s="1"/>
  <c r="D14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AJ73"/>
  <c r="AI73"/>
  <c r="AE73"/>
  <c r="AD73"/>
  <c r="AC73"/>
  <c r="AB73"/>
  <c r="AA73"/>
  <c r="Y73"/>
  <c r="V73"/>
  <c r="O73"/>
  <c r="N73"/>
  <c r="M73"/>
  <c r="L73"/>
  <c r="K73"/>
  <c r="J73"/>
  <c r="I73"/>
  <c r="H73"/>
  <c r="F73"/>
  <c r="E73"/>
  <c r="C73"/>
  <c r="Z72"/>
  <c r="AF72" s="1"/>
  <c r="AG72" s="1"/>
  <c r="AH72" s="1"/>
  <c r="Q70"/>
  <c r="Q69"/>
  <c r="U68"/>
  <c r="S68"/>
  <c r="Z68" s="1"/>
  <c r="AF68" s="1"/>
  <c r="Q68"/>
  <c r="S67"/>
  <c r="Z67" s="1"/>
  <c r="AF67" s="1"/>
  <c r="Q67"/>
  <c r="AG66"/>
  <c r="AH66" s="1"/>
  <c r="AF66"/>
  <c r="Z66"/>
  <c r="S65"/>
  <c r="Z65" s="1"/>
  <c r="AF65" s="1"/>
  <c r="Q65"/>
  <c r="S64"/>
  <c r="Z64" s="1"/>
  <c r="AF64" s="1"/>
  <c r="Q64"/>
  <c r="S63"/>
  <c r="Z63" s="1"/>
  <c r="AF63" s="1"/>
  <c r="Q63"/>
  <c r="S62"/>
  <c r="Z62" s="1"/>
  <c r="AF62" s="1"/>
  <c r="Q62"/>
  <c r="S61"/>
  <c r="Z61" s="1"/>
  <c r="AF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U57" s="1"/>
  <c r="Q57"/>
  <c r="U56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U52"/>
  <c r="S52"/>
  <c r="Z52" s="1"/>
  <c r="AF52" s="1"/>
  <c r="Q52"/>
  <c r="U51"/>
  <c r="S51"/>
  <c r="Z51" s="1"/>
  <c r="AF51" s="1"/>
  <c r="Q51"/>
  <c r="T50"/>
  <c r="S50"/>
  <c r="Z50" s="1"/>
  <c r="AF50" s="1"/>
  <c r="Q50"/>
  <c r="S49"/>
  <c r="Z49" s="1"/>
  <c r="AF49" s="1"/>
  <c r="Q49"/>
  <c r="S48"/>
  <c r="Z48" s="1"/>
  <c r="AF48" s="1"/>
  <c r="Q48"/>
  <c r="S47"/>
  <c r="Z47" s="1"/>
  <c r="AF47" s="1"/>
  <c r="Q47"/>
  <c r="S46"/>
  <c r="Z46" s="1"/>
  <c r="AF46" s="1"/>
  <c r="Q46"/>
  <c r="S45"/>
  <c r="Z45" s="1"/>
  <c r="AF45" s="1"/>
  <c r="Q45"/>
  <c r="S44"/>
  <c r="Z44" s="1"/>
  <c r="AF44" s="1"/>
  <c r="Q44"/>
  <c r="AF43"/>
  <c r="AG43" s="1"/>
  <c r="AH43" s="1"/>
  <c r="Z43"/>
  <c r="U42"/>
  <c r="S42"/>
  <c r="Z42" s="1"/>
  <c r="AF42" s="1"/>
  <c r="Q42"/>
  <c r="S41"/>
  <c r="Z41" s="1"/>
  <c r="AF41" s="1"/>
  <c r="Q41"/>
  <c r="S40"/>
  <c r="Z40" s="1"/>
  <c r="AF40" s="1"/>
  <c r="Q40"/>
  <c r="S39"/>
  <c r="Z39" s="1"/>
  <c r="AF39" s="1"/>
  <c r="Q39"/>
  <c r="S38"/>
  <c r="Z38" s="1"/>
  <c r="AF38" s="1"/>
  <c r="Q38"/>
  <c r="U37"/>
  <c r="S37"/>
  <c r="Z37" s="1"/>
  <c r="AF37" s="1"/>
  <c r="Q37"/>
  <c r="S36"/>
  <c r="Z36" s="1"/>
  <c r="AF36" s="1"/>
  <c r="Q36"/>
  <c r="S35"/>
  <c r="Z35" s="1"/>
  <c r="AF35" s="1"/>
  <c r="Q35"/>
  <c r="U34"/>
  <c r="S34"/>
  <c r="Z34" s="1"/>
  <c r="AF34" s="1"/>
  <c r="Q34"/>
  <c r="S33"/>
  <c r="Z33" s="1"/>
  <c r="AF33" s="1"/>
  <c r="Q33"/>
  <c r="S32"/>
  <c r="Z32" s="1"/>
  <c r="AF32" s="1"/>
  <c r="Q32"/>
  <c r="P73"/>
  <c r="S31"/>
  <c r="Z31" s="1"/>
  <c r="AF31" s="1"/>
  <c r="Q31"/>
  <c r="S30"/>
  <c r="Z30" s="1"/>
  <c r="AF30" s="1"/>
  <c r="Q30"/>
  <c r="T29"/>
  <c r="S29"/>
  <c r="U29" s="1"/>
  <c r="Q29"/>
  <c r="T28"/>
  <c r="T73" s="1"/>
  <c r="S28"/>
  <c r="U28" s="1"/>
  <c r="Q28"/>
  <c r="S27"/>
  <c r="Z27" s="1"/>
  <c r="AF27" s="1"/>
  <c r="Q27"/>
  <c r="U26"/>
  <c r="S26"/>
  <c r="Z26" s="1"/>
  <c r="AF26" s="1"/>
  <c r="Q26"/>
  <c r="S25"/>
  <c r="Z25" s="1"/>
  <c r="AF25" s="1"/>
  <c r="Q25"/>
  <c r="S24"/>
  <c r="Z24" s="1"/>
  <c r="AF24" s="1"/>
  <c r="Q24"/>
  <c r="S23"/>
  <c r="Z23" s="1"/>
  <c r="AF23" s="1"/>
  <c r="Q23"/>
  <c r="S22"/>
  <c r="Z22" s="1"/>
  <c r="AF22" s="1"/>
  <c r="Q22"/>
  <c r="S21"/>
  <c r="Z21" s="1"/>
  <c r="AF21" s="1"/>
  <c r="Q21"/>
  <c r="S20"/>
  <c r="Z20" s="1"/>
  <c r="AF20" s="1"/>
  <c r="Q20"/>
  <c r="S19"/>
  <c r="Z19" s="1"/>
  <c r="AF19" s="1"/>
  <c r="Q19"/>
  <c r="Z18"/>
  <c r="AF18" s="1"/>
  <c r="AG18" s="1"/>
  <c r="AH18" s="1"/>
  <c r="Q17"/>
  <c r="S17"/>
  <c r="S16"/>
  <c r="Z16" s="1"/>
  <c r="AF16" s="1"/>
  <c r="Q16"/>
  <c r="S15"/>
  <c r="Z15" s="1"/>
  <c r="AF15" s="1"/>
  <c r="Q15"/>
  <c r="Q14"/>
  <c r="S13"/>
  <c r="Z13" s="1"/>
  <c r="AF13" s="1"/>
  <c r="Q13"/>
  <c r="Q12"/>
  <c r="S11"/>
  <c r="Z11" s="1"/>
  <c r="AF11" s="1"/>
  <c r="Q11"/>
  <c r="S10"/>
  <c r="Z10" s="1"/>
  <c r="AF10" s="1"/>
  <c r="Q10"/>
  <c r="S9"/>
  <c r="Z9" s="1"/>
  <c r="AF9" s="1"/>
  <c r="Q9"/>
  <c r="S8"/>
  <c r="Z8" s="1"/>
  <c r="AF8" s="1"/>
  <c r="Q8"/>
  <c r="U7"/>
  <c r="S7"/>
  <c r="Z7" s="1"/>
  <c r="Q7"/>
  <c r="F77" i="933"/>
  <c r="R76"/>
  <c r="R75"/>
  <c r="T74" s="1"/>
  <c r="R74"/>
  <c r="R11"/>
  <c r="R17"/>
  <c r="R12"/>
  <c r="S12" s="1"/>
  <c r="Z12" s="1"/>
  <c r="AF12" s="1"/>
  <c r="R14"/>
  <c r="R69"/>
  <c r="S69" s="1"/>
  <c r="R70"/>
  <c r="S11"/>
  <c r="U11" s="1"/>
  <c r="R71"/>
  <c r="S71" s="1"/>
  <c r="U71" s="1"/>
  <c r="S14"/>
  <c r="Z14" s="1"/>
  <c r="AF14" s="1"/>
  <c r="P32"/>
  <c r="P73" s="1"/>
  <c r="D17"/>
  <c r="D14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M77"/>
  <c r="R77" s="1"/>
  <c r="AJ73"/>
  <c r="AI73"/>
  <c r="AE73"/>
  <c r="AD73"/>
  <c r="AC73"/>
  <c r="AB73"/>
  <c r="AA73"/>
  <c r="Y73"/>
  <c r="V73"/>
  <c r="O73"/>
  <c r="N73"/>
  <c r="M73"/>
  <c r="L73"/>
  <c r="K73"/>
  <c r="J73"/>
  <c r="I73"/>
  <c r="H73"/>
  <c r="G73"/>
  <c r="F73"/>
  <c r="E73"/>
  <c r="C73"/>
  <c r="Z72"/>
  <c r="AF72" s="1"/>
  <c r="AG72" s="1"/>
  <c r="AH72" s="1"/>
  <c r="Q71"/>
  <c r="S70"/>
  <c r="Q70"/>
  <c r="Q69"/>
  <c r="AF68"/>
  <c r="Z68"/>
  <c r="S68"/>
  <c r="U68" s="1"/>
  <c r="Q68"/>
  <c r="Z67"/>
  <c r="AF67" s="1"/>
  <c r="S67"/>
  <c r="U67" s="1"/>
  <c r="Q67"/>
  <c r="Z66"/>
  <c r="AF66" s="1"/>
  <c r="AG66" s="1"/>
  <c r="AH66" s="1"/>
  <c r="U65"/>
  <c r="S65"/>
  <c r="Z65" s="1"/>
  <c r="AF65" s="1"/>
  <c r="Q65"/>
  <c r="S64"/>
  <c r="Z64" s="1"/>
  <c r="AF64" s="1"/>
  <c r="Q64"/>
  <c r="S63"/>
  <c r="Z63" s="1"/>
  <c r="AF63" s="1"/>
  <c r="Q63"/>
  <c r="Z62"/>
  <c r="AF62" s="1"/>
  <c r="S62"/>
  <c r="U62" s="1"/>
  <c r="Q62"/>
  <c r="S61"/>
  <c r="U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Z57" s="1"/>
  <c r="AF57" s="1"/>
  <c r="Q57"/>
  <c r="S56"/>
  <c r="Z56" s="1"/>
  <c r="AF56" s="1"/>
  <c r="Q56"/>
  <c r="S55"/>
  <c r="Z55" s="1"/>
  <c r="AF55" s="1"/>
  <c r="Q55"/>
  <c r="U54"/>
  <c r="S54"/>
  <c r="Z54" s="1"/>
  <c r="AF54" s="1"/>
  <c r="Q54"/>
  <c r="U53"/>
  <c r="S53"/>
  <c r="Z53" s="1"/>
  <c r="AF53" s="1"/>
  <c r="Q53"/>
  <c r="S52"/>
  <c r="Z52" s="1"/>
  <c r="AF52" s="1"/>
  <c r="Q52"/>
  <c r="S51"/>
  <c r="Z51" s="1"/>
  <c r="AF51" s="1"/>
  <c r="Q51"/>
  <c r="T50"/>
  <c r="S50"/>
  <c r="U50" s="1"/>
  <c r="Q50"/>
  <c r="S49"/>
  <c r="U49" s="1"/>
  <c r="Q49"/>
  <c r="S48"/>
  <c r="U48" s="1"/>
  <c r="Q48"/>
  <c r="S47"/>
  <c r="Z47" s="1"/>
  <c r="AF47" s="1"/>
  <c r="Q47"/>
  <c r="S46"/>
  <c r="Z46" s="1"/>
  <c r="AF46" s="1"/>
  <c r="Q46"/>
  <c r="S45"/>
  <c r="Z45" s="1"/>
  <c r="AF45" s="1"/>
  <c r="Q45"/>
  <c r="S44"/>
  <c r="Z44" s="1"/>
  <c r="AF44" s="1"/>
  <c r="Q44"/>
  <c r="AH43"/>
  <c r="AG43"/>
  <c r="AF43"/>
  <c r="Z43"/>
  <c r="S42"/>
  <c r="Z42" s="1"/>
  <c r="AF42" s="1"/>
  <c r="Q42"/>
  <c r="S41"/>
  <c r="Z41" s="1"/>
  <c r="AF41" s="1"/>
  <c r="Q41"/>
  <c r="S40"/>
  <c r="U40" s="1"/>
  <c r="Q40"/>
  <c r="Z39"/>
  <c r="AF39" s="1"/>
  <c r="S39"/>
  <c r="U39" s="1"/>
  <c r="Q39"/>
  <c r="S38"/>
  <c r="Z38" s="1"/>
  <c r="AF38" s="1"/>
  <c r="Q38"/>
  <c r="S37"/>
  <c r="Z37" s="1"/>
  <c r="AF37" s="1"/>
  <c r="Q37"/>
  <c r="U36"/>
  <c r="S36"/>
  <c r="Z36" s="1"/>
  <c r="AF36" s="1"/>
  <c r="Q36"/>
  <c r="U35"/>
  <c r="S35"/>
  <c r="Z35" s="1"/>
  <c r="AF35" s="1"/>
  <c r="Q35"/>
  <c r="S34"/>
  <c r="Z34" s="1"/>
  <c r="AF34" s="1"/>
  <c r="Q34"/>
  <c r="S33"/>
  <c r="Z33" s="1"/>
  <c r="AF33" s="1"/>
  <c r="Q33"/>
  <c r="S32"/>
  <c r="U32" s="1"/>
  <c r="Q32"/>
  <c r="S31"/>
  <c r="U31" s="1"/>
  <c r="Q31"/>
  <c r="U30"/>
  <c r="AG30" s="1"/>
  <c r="AH30" s="1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Z26"/>
  <c r="AF26" s="1"/>
  <c r="S26"/>
  <c r="U26" s="1"/>
  <c r="Q26"/>
  <c r="S25"/>
  <c r="U25" s="1"/>
  <c r="Q25"/>
  <c r="S24"/>
  <c r="Z24" s="1"/>
  <c r="AF24" s="1"/>
  <c r="Q24"/>
  <c r="S23"/>
  <c r="Z23" s="1"/>
  <c r="AF23" s="1"/>
  <c r="Q23"/>
  <c r="S22"/>
  <c r="Z22" s="1"/>
  <c r="AF22" s="1"/>
  <c r="Q22"/>
  <c r="S21"/>
  <c r="Z21" s="1"/>
  <c r="AF21" s="1"/>
  <c r="Q21"/>
  <c r="S20"/>
  <c r="Z20" s="1"/>
  <c r="AF20" s="1"/>
  <c r="Q20"/>
  <c r="S19"/>
  <c r="Z19" s="1"/>
  <c r="AF19" s="1"/>
  <c r="Q19"/>
  <c r="AF18"/>
  <c r="AG18" s="1"/>
  <c r="AH18" s="1"/>
  <c r="Z18"/>
  <c r="S17"/>
  <c r="Z17" s="1"/>
  <c r="AF17" s="1"/>
  <c r="Q17"/>
  <c r="S16"/>
  <c r="Z16" s="1"/>
  <c r="AF16" s="1"/>
  <c r="Q16"/>
  <c r="S15"/>
  <c r="Z15" s="1"/>
  <c r="AF15" s="1"/>
  <c r="Q15"/>
  <c r="Q14"/>
  <c r="D73"/>
  <c r="E75" s="1"/>
  <c r="S13"/>
  <c r="Z13" s="1"/>
  <c r="AF13" s="1"/>
  <c r="Q13"/>
  <c r="Q12"/>
  <c r="Q11"/>
  <c r="S10"/>
  <c r="U10" s="1"/>
  <c r="Q10"/>
  <c r="S9"/>
  <c r="Z9" s="1"/>
  <c r="AF9" s="1"/>
  <c r="Q9"/>
  <c r="S8"/>
  <c r="Z8" s="1"/>
  <c r="AF8" s="1"/>
  <c r="Q8"/>
  <c r="S7"/>
  <c r="Z7" s="1"/>
  <c r="Q7"/>
  <c r="R75" i="932"/>
  <c r="R74"/>
  <c r="M77"/>
  <c r="F77"/>
  <c r="R77" s="1"/>
  <c r="R80" s="1"/>
  <c r="R69"/>
  <c r="R71"/>
  <c r="S71" s="1"/>
  <c r="R14"/>
  <c r="R67"/>
  <c r="R8"/>
  <c r="R7"/>
  <c r="S7" s="1"/>
  <c r="R70"/>
  <c r="G71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6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D73"/>
  <c r="E75" s="1"/>
  <c r="Z72"/>
  <c r="AF72" s="1"/>
  <c r="AG72" s="1"/>
  <c r="AH72" s="1"/>
  <c r="Q71"/>
  <c r="S70"/>
  <c r="Q70"/>
  <c r="S69"/>
  <c r="Q69"/>
  <c r="Z68"/>
  <c r="AF68" s="1"/>
  <c r="U68"/>
  <c r="S68"/>
  <c r="Q68"/>
  <c r="S67"/>
  <c r="Z67" s="1"/>
  <c r="AF67" s="1"/>
  <c r="Q67"/>
  <c r="AG66"/>
  <c r="AH66" s="1"/>
  <c r="AF66"/>
  <c r="Z66"/>
  <c r="S65"/>
  <c r="U65" s="1"/>
  <c r="Q65"/>
  <c r="AF64"/>
  <c r="Z64"/>
  <c r="S64"/>
  <c r="U64" s="1"/>
  <c r="Q64"/>
  <c r="Z63"/>
  <c r="AF63" s="1"/>
  <c r="U63"/>
  <c r="S63"/>
  <c r="Q63"/>
  <c r="U62"/>
  <c r="AG62" s="1"/>
  <c r="AH62" s="1"/>
  <c r="S62"/>
  <c r="Z62" s="1"/>
  <c r="AF62" s="1"/>
  <c r="Q62"/>
  <c r="S61"/>
  <c r="U61" s="1"/>
  <c r="Q61"/>
  <c r="S60"/>
  <c r="U60" s="1"/>
  <c r="Q60"/>
  <c r="Z59"/>
  <c r="AF59" s="1"/>
  <c r="S59"/>
  <c r="U59" s="1"/>
  <c r="Q59"/>
  <c r="Z58"/>
  <c r="AF58" s="1"/>
  <c r="U58"/>
  <c r="AG58" s="1"/>
  <c r="AH58" s="1"/>
  <c r="Q58"/>
  <c r="T57"/>
  <c r="S57"/>
  <c r="U57" s="1"/>
  <c r="Q57"/>
  <c r="S56"/>
  <c r="U56" s="1"/>
  <c r="Q56"/>
  <c r="U55"/>
  <c r="S55"/>
  <c r="Z55" s="1"/>
  <c r="AF55" s="1"/>
  <c r="Q55"/>
  <c r="S54"/>
  <c r="Z54" s="1"/>
  <c r="AF54" s="1"/>
  <c r="Q54"/>
  <c r="S53"/>
  <c r="U53" s="1"/>
  <c r="Q53"/>
  <c r="S52"/>
  <c r="U52" s="1"/>
  <c r="Q52"/>
  <c r="Z51"/>
  <c r="AF51" s="1"/>
  <c r="U51"/>
  <c r="S51"/>
  <c r="Q51"/>
  <c r="T50"/>
  <c r="S50"/>
  <c r="U50" s="1"/>
  <c r="Q50"/>
  <c r="S49"/>
  <c r="Z49" s="1"/>
  <c r="AF49" s="1"/>
  <c r="Q49"/>
  <c r="S48"/>
  <c r="U48" s="1"/>
  <c r="Q48"/>
  <c r="S47"/>
  <c r="U47" s="1"/>
  <c r="Q47"/>
  <c r="S46"/>
  <c r="Z46" s="1"/>
  <c r="AF46" s="1"/>
  <c r="Q46"/>
  <c r="S45"/>
  <c r="Z45" s="1"/>
  <c r="AF45" s="1"/>
  <c r="Q45"/>
  <c r="S44"/>
  <c r="U44" s="1"/>
  <c r="Q44"/>
  <c r="AF43"/>
  <c r="AG43" s="1"/>
  <c r="AH43" s="1"/>
  <c r="Z43"/>
  <c r="Q42"/>
  <c r="S42"/>
  <c r="Z41"/>
  <c r="AF41" s="1"/>
  <c r="S41"/>
  <c r="U41" s="1"/>
  <c r="Q41"/>
  <c r="Q40"/>
  <c r="S40"/>
  <c r="Z39"/>
  <c r="AF39" s="1"/>
  <c r="S39"/>
  <c r="U39" s="1"/>
  <c r="Q39"/>
  <c r="U38"/>
  <c r="S38"/>
  <c r="Z38" s="1"/>
  <c r="AF38" s="1"/>
  <c r="Q38"/>
  <c r="U37"/>
  <c r="S37"/>
  <c r="Z37" s="1"/>
  <c r="AF37" s="1"/>
  <c r="Q37"/>
  <c r="S36"/>
  <c r="U36" s="1"/>
  <c r="Q36"/>
  <c r="S35"/>
  <c r="U35" s="1"/>
  <c r="Q35"/>
  <c r="Z34"/>
  <c r="AF34" s="1"/>
  <c r="S34"/>
  <c r="U34" s="1"/>
  <c r="Q34"/>
  <c r="U33"/>
  <c r="AG33" s="1"/>
  <c r="AH33" s="1"/>
  <c r="S33"/>
  <c r="Z33" s="1"/>
  <c r="AF33" s="1"/>
  <c r="Q33"/>
  <c r="S32"/>
  <c r="U32" s="1"/>
  <c r="Q32"/>
  <c r="S31"/>
  <c r="U31" s="1"/>
  <c r="Q31"/>
  <c r="S30"/>
  <c r="Z30" s="1"/>
  <c r="AF30" s="1"/>
  <c r="Q30"/>
  <c r="T29"/>
  <c r="S29"/>
  <c r="Z29" s="1"/>
  <c r="AF29" s="1"/>
  <c r="Q29"/>
  <c r="T28"/>
  <c r="T73" s="1"/>
  <c r="S28"/>
  <c r="Q28"/>
  <c r="S27"/>
  <c r="Z27" s="1"/>
  <c r="AF27" s="1"/>
  <c r="Q27"/>
  <c r="S26"/>
  <c r="Z26" s="1"/>
  <c r="AF26" s="1"/>
  <c r="Q26"/>
  <c r="S25"/>
  <c r="U25" s="1"/>
  <c r="Q25"/>
  <c r="S24"/>
  <c r="U24" s="1"/>
  <c r="Q24"/>
  <c r="U23"/>
  <c r="S23"/>
  <c r="Z23" s="1"/>
  <c r="AF23" s="1"/>
  <c r="Q23"/>
  <c r="S22"/>
  <c r="Z22" s="1"/>
  <c r="AF22" s="1"/>
  <c r="Q22"/>
  <c r="S21"/>
  <c r="U21" s="1"/>
  <c r="Q21"/>
  <c r="AF20"/>
  <c r="Z20"/>
  <c r="S20"/>
  <c r="U20" s="1"/>
  <c r="Q20"/>
  <c r="Z19"/>
  <c r="AF19" s="1"/>
  <c r="U19"/>
  <c r="S19"/>
  <c r="Q19"/>
  <c r="Z18"/>
  <c r="AF18" s="1"/>
  <c r="AG18" s="1"/>
  <c r="AH18" s="1"/>
  <c r="S17"/>
  <c r="Z17" s="1"/>
  <c r="AF17" s="1"/>
  <c r="Q17"/>
  <c r="U16"/>
  <c r="AG16" s="1"/>
  <c r="AH16" s="1"/>
  <c r="S16"/>
  <c r="Z16" s="1"/>
  <c r="AF16" s="1"/>
  <c r="Q16"/>
  <c r="S15"/>
  <c r="Z15" s="1"/>
  <c r="AF15" s="1"/>
  <c r="Q15"/>
  <c r="S14"/>
  <c r="U14" s="1"/>
  <c r="Q14"/>
  <c r="S13"/>
  <c r="U13" s="1"/>
  <c r="Q13"/>
  <c r="S12"/>
  <c r="Q12"/>
  <c r="S11"/>
  <c r="Q11"/>
  <c r="S10"/>
  <c r="U10" s="1"/>
  <c r="Q10"/>
  <c r="S9"/>
  <c r="Z9" s="1"/>
  <c r="AF9" s="1"/>
  <c r="Q9"/>
  <c r="S8"/>
  <c r="Z8" s="1"/>
  <c r="AF8" s="1"/>
  <c r="Q8"/>
  <c r="Q7"/>
  <c r="C42" i="931"/>
  <c r="S42" s="1"/>
  <c r="Z42" s="1"/>
  <c r="AF42" s="1"/>
  <c r="C40"/>
  <c r="C38"/>
  <c r="R76"/>
  <c r="R75"/>
  <c r="T74" s="1"/>
  <c r="R74"/>
  <c r="R71"/>
  <c r="S71" s="1"/>
  <c r="R69"/>
  <c r="S69" s="1"/>
  <c r="R8"/>
  <c r="R12"/>
  <c r="R7"/>
  <c r="S8"/>
  <c r="Z8" s="1"/>
  <c r="AF8" s="1"/>
  <c r="R70"/>
  <c r="S70" s="1"/>
  <c r="R16"/>
  <c r="S16" s="1"/>
  <c r="Z16" s="1"/>
  <c r="AF16" s="1"/>
  <c r="R28"/>
  <c r="R14"/>
  <c r="R17"/>
  <c r="S17" s="1"/>
  <c r="Z17" s="1"/>
  <c r="AF17" s="1"/>
  <c r="R11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F77"/>
  <c r="R77" s="1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AH72"/>
  <c r="AG72"/>
  <c r="AF72"/>
  <c r="Z72"/>
  <c r="Q71"/>
  <c r="Q70"/>
  <c r="Q69"/>
  <c r="U68"/>
  <c r="S68"/>
  <c r="Z68" s="1"/>
  <c r="AF68" s="1"/>
  <c r="Q68"/>
  <c r="S67"/>
  <c r="Z67" s="1"/>
  <c r="AF67" s="1"/>
  <c r="Q67"/>
  <c r="AG66"/>
  <c r="AH66" s="1"/>
  <c r="AF66"/>
  <c r="Z66"/>
  <c r="S65"/>
  <c r="Z65" s="1"/>
  <c r="AF65" s="1"/>
  <c r="Q65"/>
  <c r="S64"/>
  <c r="U64" s="1"/>
  <c r="Q64"/>
  <c r="S63"/>
  <c r="U63" s="1"/>
  <c r="Q63"/>
  <c r="U62"/>
  <c r="AG62" s="1"/>
  <c r="AH62" s="1"/>
  <c r="S62"/>
  <c r="Z62" s="1"/>
  <c r="AF62" s="1"/>
  <c r="Q62"/>
  <c r="S61"/>
  <c r="Z61" s="1"/>
  <c r="AF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U57" s="1"/>
  <c r="Q57"/>
  <c r="U56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S52"/>
  <c r="U52" s="1"/>
  <c r="Q52"/>
  <c r="Z51"/>
  <c r="AF51" s="1"/>
  <c r="S51"/>
  <c r="U51" s="1"/>
  <c r="Q51"/>
  <c r="T50"/>
  <c r="S50"/>
  <c r="Z50" s="1"/>
  <c r="AF50" s="1"/>
  <c r="Q50"/>
  <c r="S49"/>
  <c r="Z49" s="1"/>
  <c r="AF49" s="1"/>
  <c r="Q49"/>
  <c r="S48"/>
  <c r="Z48" s="1"/>
  <c r="AF48" s="1"/>
  <c r="Q48"/>
  <c r="U47"/>
  <c r="S47"/>
  <c r="Z47" s="1"/>
  <c r="AF47" s="1"/>
  <c r="Q47"/>
  <c r="S46"/>
  <c r="Z46" s="1"/>
  <c r="AF46" s="1"/>
  <c r="Q46"/>
  <c r="S45"/>
  <c r="Z45" s="1"/>
  <c r="AF45" s="1"/>
  <c r="Q45"/>
  <c r="S44"/>
  <c r="Z44" s="1"/>
  <c r="AF44" s="1"/>
  <c r="Q44"/>
  <c r="AF43"/>
  <c r="AG43" s="1"/>
  <c r="AH43" s="1"/>
  <c r="Z43"/>
  <c r="Q42"/>
  <c r="S41"/>
  <c r="Z41" s="1"/>
  <c r="AF41" s="1"/>
  <c r="Q41"/>
  <c r="S40"/>
  <c r="Z40" s="1"/>
  <c r="AF40" s="1"/>
  <c r="Q40"/>
  <c r="S39"/>
  <c r="Z39" s="1"/>
  <c r="AF39" s="1"/>
  <c r="Q39"/>
  <c r="S38"/>
  <c r="U38" s="1"/>
  <c r="Q38"/>
  <c r="S37"/>
  <c r="U37" s="1"/>
  <c r="Q37"/>
  <c r="S36"/>
  <c r="Z36" s="1"/>
  <c r="AF36" s="1"/>
  <c r="Q36"/>
  <c r="S35"/>
  <c r="Z35" s="1"/>
  <c r="AF35" s="1"/>
  <c r="Q35"/>
  <c r="U34"/>
  <c r="S34"/>
  <c r="Z34" s="1"/>
  <c r="AF34" s="1"/>
  <c r="Q34"/>
  <c r="S33"/>
  <c r="Z33" s="1"/>
  <c r="AF33" s="1"/>
  <c r="Q33"/>
  <c r="S32"/>
  <c r="Z32" s="1"/>
  <c r="AF32" s="1"/>
  <c r="Q32"/>
  <c r="S31"/>
  <c r="Z31" s="1"/>
  <c r="AF31" s="1"/>
  <c r="Q31"/>
  <c r="S30"/>
  <c r="U30" s="1"/>
  <c r="Q30"/>
  <c r="T29"/>
  <c r="S29"/>
  <c r="Z29" s="1"/>
  <c r="AF29" s="1"/>
  <c r="Q29"/>
  <c r="T28"/>
  <c r="T73" s="1"/>
  <c r="S28"/>
  <c r="Q28"/>
  <c r="S27"/>
  <c r="U27" s="1"/>
  <c r="Q27"/>
  <c r="S26"/>
  <c r="U26" s="1"/>
  <c r="Q26"/>
  <c r="S25"/>
  <c r="Z25" s="1"/>
  <c r="AF25" s="1"/>
  <c r="Q25"/>
  <c r="S24"/>
  <c r="Z24" s="1"/>
  <c r="AF24" s="1"/>
  <c r="Q24"/>
  <c r="S23"/>
  <c r="U23" s="1"/>
  <c r="Q23"/>
  <c r="S22"/>
  <c r="U22" s="1"/>
  <c r="Q22"/>
  <c r="S21"/>
  <c r="Z21" s="1"/>
  <c r="AF21" s="1"/>
  <c r="Q21"/>
  <c r="S20"/>
  <c r="Z20" s="1"/>
  <c r="AF20" s="1"/>
  <c r="Q20"/>
  <c r="S19"/>
  <c r="U19" s="1"/>
  <c r="Q19"/>
  <c r="Z18"/>
  <c r="AF18" s="1"/>
  <c r="AG18" s="1"/>
  <c r="AH18" s="1"/>
  <c r="Q17"/>
  <c r="Q16"/>
  <c r="S15"/>
  <c r="Z15" s="1"/>
  <c r="AF15" s="1"/>
  <c r="Q15"/>
  <c r="Q14"/>
  <c r="S13"/>
  <c r="Z13" s="1"/>
  <c r="AF13" s="1"/>
  <c r="Q13"/>
  <c r="Q12"/>
  <c r="D73"/>
  <c r="E75" s="1"/>
  <c r="S11"/>
  <c r="Z11" s="1"/>
  <c r="AF11" s="1"/>
  <c r="Q11"/>
  <c r="S10"/>
  <c r="Z10" s="1"/>
  <c r="AF10" s="1"/>
  <c r="Q10"/>
  <c r="U9"/>
  <c r="S9"/>
  <c r="Z9" s="1"/>
  <c r="AF9" s="1"/>
  <c r="Q9"/>
  <c r="Q8"/>
  <c r="S7"/>
  <c r="U7" s="1"/>
  <c r="Q7"/>
  <c r="R76" i="930"/>
  <c r="R75"/>
  <c r="R74"/>
  <c r="R71"/>
  <c r="S71" s="1"/>
  <c r="Z71" s="1"/>
  <c r="AF71" s="1"/>
  <c r="R70"/>
  <c r="S70" s="1"/>
  <c r="Z70" s="1"/>
  <c r="AF70" s="1"/>
  <c r="R69"/>
  <c r="R8"/>
  <c r="R14"/>
  <c r="R28"/>
  <c r="R7"/>
  <c r="R12"/>
  <c r="S8"/>
  <c r="U8" s="1"/>
  <c r="D12"/>
  <c r="S12" s="1"/>
  <c r="Z12" s="1"/>
  <c r="AF12" s="1"/>
  <c r="D14"/>
  <c r="D69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F77"/>
  <c r="R77" s="1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AH72"/>
  <c r="AG72"/>
  <c r="AF72"/>
  <c r="Z72"/>
  <c r="Q71"/>
  <c r="Q70"/>
  <c r="S69"/>
  <c r="Z69" s="1"/>
  <c r="AF69" s="1"/>
  <c r="Q69"/>
  <c r="S68"/>
  <c r="Z68" s="1"/>
  <c r="AF68" s="1"/>
  <c r="Q68"/>
  <c r="S67"/>
  <c r="Z67" s="1"/>
  <c r="AF67" s="1"/>
  <c r="Q67"/>
  <c r="AF66"/>
  <c r="AG66" s="1"/>
  <c r="AH66" s="1"/>
  <c r="Z66"/>
  <c r="U65"/>
  <c r="S65"/>
  <c r="Z65" s="1"/>
  <c r="AF65" s="1"/>
  <c r="Q65"/>
  <c r="U64"/>
  <c r="S64"/>
  <c r="Z64" s="1"/>
  <c r="AF64" s="1"/>
  <c r="Q64"/>
  <c r="S63"/>
  <c r="Z63" s="1"/>
  <c r="AF63" s="1"/>
  <c r="Q63"/>
  <c r="S62"/>
  <c r="Z62" s="1"/>
  <c r="AF62" s="1"/>
  <c r="Q62"/>
  <c r="S61"/>
  <c r="U61" s="1"/>
  <c r="Q61"/>
  <c r="S60"/>
  <c r="U60" s="1"/>
  <c r="Q60"/>
  <c r="S59"/>
  <c r="Z59" s="1"/>
  <c r="AF59" s="1"/>
  <c r="Q59"/>
  <c r="AG58"/>
  <c r="AH58" s="1"/>
  <c r="AF58"/>
  <c r="Z58"/>
  <c r="U58"/>
  <c r="Q58"/>
  <c r="T57"/>
  <c r="S57"/>
  <c r="U57" s="1"/>
  <c r="Q57"/>
  <c r="U56"/>
  <c r="S56"/>
  <c r="Z56" s="1"/>
  <c r="AF56" s="1"/>
  <c r="Q56"/>
  <c r="S55"/>
  <c r="Z55" s="1"/>
  <c r="AF55" s="1"/>
  <c r="Q55"/>
  <c r="S54"/>
  <c r="Z54" s="1"/>
  <c r="AF54" s="1"/>
  <c r="Q54"/>
  <c r="AF53"/>
  <c r="Z53"/>
  <c r="S53"/>
  <c r="U53" s="1"/>
  <c r="Q53"/>
  <c r="Z52"/>
  <c r="AF52" s="1"/>
  <c r="S52"/>
  <c r="U52" s="1"/>
  <c r="Q52"/>
  <c r="S51"/>
  <c r="Z51" s="1"/>
  <c r="AF51" s="1"/>
  <c r="Q51"/>
  <c r="T50"/>
  <c r="S50"/>
  <c r="Z50" s="1"/>
  <c r="AF50" s="1"/>
  <c r="Q50"/>
  <c r="S49"/>
  <c r="Z49" s="1"/>
  <c r="AF49" s="1"/>
  <c r="Q49"/>
  <c r="S48"/>
  <c r="U48" s="1"/>
  <c r="Q48"/>
  <c r="S47"/>
  <c r="U47" s="1"/>
  <c r="Q47"/>
  <c r="S46"/>
  <c r="Z46" s="1"/>
  <c r="AF46" s="1"/>
  <c r="Q46"/>
  <c r="S45"/>
  <c r="Z45" s="1"/>
  <c r="AF45" s="1"/>
  <c r="Q45"/>
  <c r="U44"/>
  <c r="S44"/>
  <c r="Z44" s="1"/>
  <c r="AF44" s="1"/>
  <c r="Q44"/>
  <c r="Z43"/>
  <c r="AF43" s="1"/>
  <c r="AG43" s="1"/>
  <c r="AH43" s="1"/>
  <c r="Z42"/>
  <c r="AF42" s="1"/>
  <c r="S42"/>
  <c r="U42" s="1"/>
  <c r="Q42"/>
  <c r="S41"/>
  <c r="Z41" s="1"/>
  <c r="AF41" s="1"/>
  <c r="Q41"/>
  <c r="S40"/>
  <c r="Z40" s="1"/>
  <c r="AF40" s="1"/>
  <c r="Q40"/>
  <c r="U39"/>
  <c r="S39"/>
  <c r="Z39" s="1"/>
  <c r="AF39" s="1"/>
  <c r="Q39"/>
  <c r="S38"/>
  <c r="Z38" s="1"/>
  <c r="AF38" s="1"/>
  <c r="Q38"/>
  <c r="S37"/>
  <c r="Z37" s="1"/>
  <c r="AF37" s="1"/>
  <c r="Q37"/>
  <c r="S36"/>
  <c r="Z36" s="1"/>
  <c r="AF36" s="1"/>
  <c r="Q36"/>
  <c r="Z35"/>
  <c r="AF35" s="1"/>
  <c r="S35"/>
  <c r="U35" s="1"/>
  <c r="Q35"/>
  <c r="S34"/>
  <c r="U34" s="1"/>
  <c r="Q34"/>
  <c r="S33"/>
  <c r="Z33" s="1"/>
  <c r="AF33" s="1"/>
  <c r="Q33"/>
  <c r="S32"/>
  <c r="Z32" s="1"/>
  <c r="AF32" s="1"/>
  <c r="Q32"/>
  <c r="S31"/>
  <c r="Z31" s="1"/>
  <c r="AF31" s="1"/>
  <c r="Q31"/>
  <c r="U30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S26"/>
  <c r="Z26" s="1"/>
  <c r="AF26" s="1"/>
  <c r="Q26"/>
  <c r="S25"/>
  <c r="U25" s="1"/>
  <c r="Q25"/>
  <c r="S24"/>
  <c r="U24" s="1"/>
  <c r="Q24"/>
  <c r="U23"/>
  <c r="AG23" s="1"/>
  <c r="AH23" s="1"/>
  <c r="S23"/>
  <c r="Z23" s="1"/>
  <c r="AF23" s="1"/>
  <c r="Q23"/>
  <c r="S22"/>
  <c r="Z22" s="1"/>
  <c r="AF22" s="1"/>
  <c r="Q22"/>
  <c r="S21"/>
  <c r="Z21" s="1"/>
  <c r="AF21" s="1"/>
  <c r="Q21"/>
  <c r="S20"/>
  <c r="Z20" s="1"/>
  <c r="AF20" s="1"/>
  <c r="Q20"/>
  <c r="S19"/>
  <c r="Z19" s="1"/>
  <c r="AF19" s="1"/>
  <c r="Q19"/>
  <c r="AG18"/>
  <c r="AH18" s="1"/>
  <c r="AF18"/>
  <c r="Z18"/>
  <c r="S17"/>
  <c r="Z17" s="1"/>
  <c r="AF17" s="1"/>
  <c r="Q17"/>
  <c r="Z16"/>
  <c r="AF16" s="1"/>
  <c r="U16"/>
  <c r="S16"/>
  <c r="Q16"/>
  <c r="Z15"/>
  <c r="AF15" s="1"/>
  <c r="U15"/>
  <c r="S15"/>
  <c r="Q15"/>
  <c r="Q14"/>
  <c r="S13"/>
  <c r="Z13" s="1"/>
  <c r="AF13" s="1"/>
  <c r="Q13"/>
  <c r="Q12"/>
  <c r="S11"/>
  <c r="Z11" s="1"/>
  <c r="AF11" s="1"/>
  <c r="Q11"/>
  <c r="S10"/>
  <c r="Z10" s="1"/>
  <c r="AF10" s="1"/>
  <c r="Q10"/>
  <c r="Z9"/>
  <c r="AF9" s="1"/>
  <c r="S9"/>
  <c r="U9" s="1"/>
  <c r="Q9"/>
  <c r="Q8"/>
  <c r="S7"/>
  <c r="U7" s="1"/>
  <c r="Q7"/>
  <c r="R76" i="929"/>
  <c r="R75"/>
  <c r="R74"/>
  <c r="F77"/>
  <c r="R71"/>
  <c r="R69"/>
  <c r="R14"/>
  <c r="R12"/>
  <c r="D68"/>
  <c r="D14"/>
  <c r="AG73" i="948" l="1"/>
  <c r="AH7"/>
  <c r="AH73" s="1"/>
  <c r="AH14" i="947"/>
  <c r="AH73" s="1"/>
  <c r="AG73"/>
  <c r="AG73" i="945"/>
  <c r="AG73" i="944"/>
  <c r="AH73"/>
  <c r="AF7" i="943"/>
  <c r="Z73"/>
  <c r="U14"/>
  <c r="Z14"/>
  <c r="AF14" s="1"/>
  <c r="S73"/>
  <c r="U73" i="942"/>
  <c r="AF73"/>
  <c r="AH13"/>
  <c r="Z73"/>
  <c r="AG38"/>
  <c r="AH38" s="1"/>
  <c r="AG71" i="941"/>
  <c r="AH71" s="1"/>
  <c r="Z12"/>
  <c r="AF12" s="1"/>
  <c r="U12"/>
  <c r="AF7"/>
  <c r="S73"/>
  <c r="X118" i="940"/>
  <c r="Z71"/>
  <c r="AF71" s="1"/>
  <c r="AG71" s="1"/>
  <c r="AH71" s="1"/>
  <c r="Q73"/>
  <c r="E74" s="1"/>
  <c r="U11"/>
  <c r="AG11" s="1"/>
  <c r="AH11" s="1"/>
  <c r="Z62"/>
  <c r="AF62" s="1"/>
  <c r="AG62" s="1"/>
  <c r="AH62" s="1"/>
  <c r="U21"/>
  <c r="Z12"/>
  <c r="AF12" s="1"/>
  <c r="AG12" s="1"/>
  <c r="AH12" s="1"/>
  <c r="Z22"/>
  <c r="AF22" s="1"/>
  <c r="Z32"/>
  <c r="AF32" s="1"/>
  <c r="Z39"/>
  <c r="AF39" s="1"/>
  <c r="AG39" s="1"/>
  <c r="AH39" s="1"/>
  <c r="AG53"/>
  <c r="AH53" s="1"/>
  <c r="AG21"/>
  <c r="AH21" s="1"/>
  <c r="AG31"/>
  <c r="AH31" s="1"/>
  <c r="AG61"/>
  <c r="AH61" s="1"/>
  <c r="AG32"/>
  <c r="AH32" s="1"/>
  <c r="AG45"/>
  <c r="AH45" s="1"/>
  <c r="U7"/>
  <c r="Z8"/>
  <c r="AF8" s="1"/>
  <c r="AG8" s="1"/>
  <c r="AH8" s="1"/>
  <c r="Z13"/>
  <c r="AF13" s="1"/>
  <c r="AG13" s="1"/>
  <c r="AH13" s="1"/>
  <c r="U24"/>
  <c r="Z25"/>
  <c r="AF25" s="1"/>
  <c r="AG25" s="1"/>
  <c r="AH25" s="1"/>
  <c r="U34"/>
  <c r="AG34" s="1"/>
  <c r="AH34" s="1"/>
  <c r="Z35"/>
  <c r="AF35" s="1"/>
  <c r="AG35" s="1"/>
  <c r="AH35" s="1"/>
  <c r="Z40"/>
  <c r="AF40" s="1"/>
  <c r="U47"/>
  <c r="AG47" s="1"/>
  <c r="AH47" s="1"/>
  <c r="Z48"/>
  <c r="AF48" s="1"/>
  <c r="AG48" s="1"/>
  <c r="AH48" s="1"/>
  <c r="U52"/>
  <c r="AG52" s="1"/>
  <c r="AH52" s="1"/>
  <c r="Z53"/>
  <c r="AF53" s="1"/>
  <c r="U64"/>
  <c r="AG64" s="1"/>
  <c r="AH64" s="1"/>
  <c r="Z65"/>
  <c r="AF65" s="1"/>
  <c r="AG65" s="1"/>
  <c r="AH65" s="1"/>
  <c r="Z67"/>
  <c r="AF67" s="1"/>
  <c r="AG67" s="1"/>
  <c r="AH67" s="1"/>
  <c r="AG44"/>
  <c r="AH44" s="1"/>
  <c r="AG22"/>
  <c r="AH22" s="1"/>
  <c r="Z9"/>
  <c r="AF9" s="1"/>
  <c r="AG9" s="1"/>
  <c r="AH9" s="1"/>
  <c r="Z15"/>
  <c r="AF15" s="1"/>
  <c r="AG15" s="1"/>
  <c r="AH15" s="1"/>
  <c r="Z17"/>
  <c r="AF17" s="1"/>
  <c r="AG17" s="1"/>
  <c r="AH17" s="1"/>
  <c r="U20"/>
  <c r="AG20" s="1"/>
  <c r="AH20" s="1"/>
  <c r="Z26"/>
  <c r="AF26" s="1"/>
  <c r="AG26" s="1"/>
  <c r="AH26" s="1"/>
  <c r="U30"/>
  <c r="AG30" s="1"/>
  <c r="AH30" s="1"/>
  <c r="Z36"/>
  <c r="AF36" s="1"/>
  <c r="AG36" s="1"/>
  <c r="AH36" s="1"/>
  <c r="AG40"/>
  <c r="AH40" s="1"/>
  <c r="Z49"/>
  <c r="AF49" s="1"/>
  <c r="AG49" s="1"/>
  <c r="AH49" s="1"/>
  <c r="Z54"/>
  <c r="AF54" s="1"/>
  <c r="AG54" s="1"/>
  <c r="AH54" s="1"/>
  <c r="U60"/>
  <c r="AG60" s="1"/>
  <c r="AH60" s="1"/>
  <c r="U14"/>
  <c r="Z14"/>
  <c r="AF14" s="1"/>
  <c r="AG57"/>
  <c r="AH57" s="1"/>
  <c r="AG70"/>
  <c r="AH70" s="1"/>
  <c r="AG24"/>
  <c r="AH24" s="1"/>
  <c r="AF7"/>
  <c r="Z50"/>
  <c r="AF50" s="1"/>
  <c r="AG50" s="1"/>
  <c r="AH50" s="1"/>
  <c r="S73"/>
  <c r="Z10"/>
  <c r="AF10" s="1"/>
  <c r="AG10" s="1"/>
  <c r="AH10" s="1"/>
  <c r="Z16"/>
  <c r="AF16" s="1"/>
  <c r="AG16" s="1"/>
  <c r="AH16" s="1"/>
  <c r="Z19"/>
  <c r="AF19" s="1"/>
  <c r="AG19" s="1"/>
  <c r="AH19" s="1"/>
  <c r="Z23"/>
  <c r="AF23" s="1"/>
  <c r="AG23" s="1"/>
  <c r="AH23" s="1"/>
  <c r="Z27"/>
  <c r="AF27" s="1"/>
  <c r="AG27" s="1"/>
  <c r="AH27" s="1"/>
  <c r="Z28"/>
  <c r="AF28" s="1"/>
  <c r="AG28" s="1"/>
  <c r="AH28" s="1"/>
  <c r="Z29"/>
  <c r="AF29" s="1"/>
  <c r="AG29" s="1"/>
  <c r="AH29" s="1"/>
  <c r="Z33"/>
  <c r="AF33" s="1"/>
  <c r="AG33" s="1"/>
  <c r="AH33" s="1"/>
  <c r="Z37"/>
  <c r="AF37" s="1"/>
  <c r="AG37" s="1"/>
  <c r="AH37" s="1"/>
  <c r="Z41"/>
  <c r="AF41" s="1"/>
  <c r="AG41" s="1"/>
  <c r="AH41" s="1"/>
  <c r="Z46"/>
  <c r="AF46" s="1"/>
  <c r="AG46" s="1"/>
  <c r="AH46" s="1"/>
  <c r="Z51"/>
  <c r="AF51" s="1"/>
  <c r="AG51" s="1"/>
  <c r="AH51" s="1"/>
  <c r="Z55"/>
  <c r="AF55" s="1"/>
  <c r="AG55" s="1"/>
  <c r="AH55" s="1"/>
  <c r="Z59"/>
  <c r="AF59" s="1"/>
  <c r="AG59" s="1"/>
  <c r="AH59" s="1"/>
  <c r="Z63"/>
  <c r="AF63" s="1"/>
  <c r="AG63" s="1"/>
  <c r="AH63" s="1"/>
  <c r="Z68"/>
  <c r="AF68" s="1"/>
  <c r="AG68" s="1"/>
  <c r="AH68" s="1"/>
  <c r="X118" i="939"/>
  <c r="R77"/>
  <c r="R80" s="1"/>
  <c r="T74"/>
  <c r="S14"/>
  <c r="Z14" s="1"/>
  <c r="AF14" s="1"/>
  <c r="Z7"/>
  <c r="AF7" s="1"/>
  <c r="AG7" s="1"/>
  <c r="U10"/>
  <c r="U22"/>
  <c r="U25"/>
  <c r="AG25" s="1"/>
  <c r="AH25" s="1"/>
  <c r="U33"/>
  <c r="AG33" s="1"/>
  <c r="AH33" s="1"/>
  <c r="U40"/>
  <c r="AG40" s="1"/>
  <c r="AH40" s="1"/>
  <c r="U46"/>
  <c r="U53"/>
  <c r="AG53" s="1"/>
  <c r="AH53" s="1"/>
  <c r="Z54"/>
  <c r="AF54" s="1"/>
  <c r="AG54" s="1"/>
  <c r="AH54" s="1"/>
  <c r="Z55"/>
  <c r="AF55" s="1"/>
  <c r="U61"/>
  <c r="Z62"/>
  <c r="AF62" s="1"/>
  <c r="Z63"/>
  <c r="AF63" s="1"/>
  <c r="AG63" s="1"/>
  <c r="AH63" s="1"/>
  <c r="U67"/>
  <c r="AG67" s="1"/>
  <c r="AH67" s="1"/>
  <c r="U70"/>
  <c r="Z71"/>
  <c r="AF71" s="1"/>
  <c r="AG71" s="1"/>
  <c r="AH71" s="1"/>
  <c r="U11"/>
  <c r="AG11" s="1"/>
  <c r="AH11" s="1"/>
  <c r="Z23"/>
  <c r="AF23" s="1"/>
  <c r="AG23" s="1"/>
  <c r="AH23" s="1"/>
  <c r="Z41"/>
  <c r="AF41" s="1"/>
  <c r="U59"/>
  <c r="U68"/>
  <c r="Q73"/>
  <c r="E74" s="1"/>
  <c r="U21"/>
  <c r="AG21" s="1"/>
  <c r="AH21" s="1"/>
  <c r="U26"/>
  <c r="Z27"/>
  <c r="AF27" s="1"/>
  <c r="U31"/>
  <c r="AG31" s="1"/>
  <c r="AH31" s="1"/>
  <c r="U36"/>
  <c r="U39"/>
  <c r="U44"/>
  <c r="AG44" s="1"/>
  <c r="AH44" s="1"/>
  <c r="U49"/>
  <c r="AG49" s="1"/>
  <c r="AH49" s="1"/>
  <c r="U15"/>
  <c r="AG15" s="1"/>
  <c r="AH15" s="1"/>
  <c r="Z16"/>
  <c r="AF16" s="1"/>
  <c r="AG16" s="1"/>
  <c r="AH16" s="1"/>
  <c r="Z19"/>
  <c r="AF19" s="1"/>
  <c r="U35"/>
  <c r="AG35" s="1"/>
  <c r="AH35" s="1"/>
  <c r="AG41"/>
  <c r="AH41" s="1"/>
  <c r="U48"/>
  <c r="AG48" s="1"/>
  <c r="AH48" s="1"/>
  <c r="U50"/>
  <c r="AG50" s="1"/>
  <c r="AH50" s="1"/>
  <c r="U51"/>
  <c r="AG51" s="1"/>
  <c r="AH51" s="1"/>
  <c r="U65"/>
  <c r="AG65" s="1"/>
  <c r="AH65" s="1"/>
  <c r="AG19"/>
  <c r="AH19" s="1"/>
  <c r="AG37"/>
  <c r="AH37" s="1"/>
  <c r="AG59"/>
  <c r="AH59" s="1"/>
  <c r="AG68"/>
  <c r="AH68" s="1"/>
  <c r="AG55"/>
  <c r="AH55" s="1"/>
  <c r="AG13"/>
  <c r="AH13" s="1"/>
  <c r="AG22"/>
  <c r="AH22" s="1"/>
  <c r="AG27"/>
  <c r="AH27" s="1"/>
  <c r="AG32"/>
  <c r="AH32" s="1"/>
  <c r="AG45"/>
  <c r="AH45" s="1"/>
  <c r="AG46"/>
  <c r="AH46" s="1"/>
  <c r="AG62"/>
  <c r="AH62" s="1"/>
  <c r="Z17"/>
  <c r="AF17" s="1"/>
  <c r="U17"/>
  <c r="AG58"/>
  <c r="AH58" s="1"/>
  <c r="AG10"/>
  <c r="AH10" s="1"/>
  <c r="AG12"/>
  <c r="AH12" s="1"/>
  <c r="AG26"/>
  <c r="AH26" s="1"/>
  <c r="AG39"/>
  <c r="AH39" s="1"/>
  <c r="AG61"/>
  <c r="AH61" s="1"/>
  <c r="AG70"/>
  <c r="AH70" s="1"/>
  <c r="AG36"/>
  <c r="AH36" s="1"/>
  <c r="S8"/>
  <c r="U9"/>
  <c r="AG9" s="1"/>
  <c r="AH9" s="1"/>
  <c r="U20"/>
  <c r="AG20" s="1"/>
  <c r="AH20" s="1"/>
  <c r="U24"/>
  <c r="AG24" s="1"/>
  <c r="AH24" s="1"/>
  <c r="U30"/>
  <c r="AG30" s="1"/>
  <c r="AH30" s="1"/>
  <c r="U34"/>
  <c r="AG34" s="1"/>
  <c r="AH34" s="1"/>
  <c r="U38"/>
  <c r="AG38" s="1"/>
  <c r="AH38" s="1"/>
  <c r="U42"/>
  <c r="AG42" s="1"/>
  <c r="AH42" s="1"/>
  <c r="U47"/>
  <c r="AG47" s="1"/>
  <c r="AH47" s="1"/>
  <c r="U52"/>
  <c r="AG52" s="1"/>
  <c r="AH52" s="1"/>
  <c r="U56"/>
  <c r="AG56" s="1"/>
  <c r="AH56" s="1"/>
  <c r="U57"/>
  <c r="AG57" s="1"/>
  <c r="AH57" s="1"/>
  <c r="U60"/>
  <c r="AG60" s="1"/>
  <c r="AH60" s="1"/>
  <c r="U64"/>
  <c r="AG64" s="1"/>
  <c r="AH64" s="1"/>
  <c r="U69"/>
  <c r="AG69" s="1"/>
  <c r="AH69" s="1"/>
  <c r="D73"/>
  <c r="E75" s="1"/>
  <c r="Z28"/>
  <c r="AF28" s="1"/>
  <c r="AG28" s="1"/>
  <c r="AH28" s="1"/>
  <c r="Z29"/>
  <c r="AF29" s="1"/>
  <c r="AG29" s="1"/>
  <c r="AH29" s="1"/>
  <c r="X118" i="938"/>
  <c r="R73"/>
  <c r="D76" s="1"/>
  <c r="S17"/>
  <c r="Z17" s="1"/>
  <c r="AF17" s="1"/>
  <c r="S14"/>
  <c r="Z14" s="1"/>
  <c r="AF14" s="1"/>
  <c r="D73"/>
  <c r="E75" s="1"/>
  <c r="Z21"/>
  <c r="AF21" s="1"/>
  <c r="AG21" s="1"/>
  <c r="AH21" s="1"/>
  <c r="U40"/>
  <c r="AG40" s="1"/>
  <c r="AH40" s="1"/>
  <c r="Z65"/>
  <c r="AF65" s="1"/>
  <c r="U67"/>
  <c r="U19"/>
  <c r="AG19" s="1"/>
  <c r="AH19" s="1"/>
  <c r="U24"/>
  <c r="AG24" s="1"/>
  <c r="AH24" s="1"/>
  <c r="U27"/>
  <c r="AG27" s="1"/>
  <c r="AH27" s="1"/>
  <c r="U28"/>
  <c r="AG28" s="1"/>
  <c r="AH28" s="1"/>
  <c r="U29"/>
  <c r="AG29" s="1"/>
  <c r="AH29" s="1"/>
  <c r="Z44"/>
  <c r="AF44" s="1"/>
  <c r="U9"/>
  <c r="AG9" s="1"/>
  <c r="AH9" s="1"/>
  <c r="Z20"/>
  <c r="AF20" s="1"/>
  <c r="AG20" s="1"/>
  <c r="AH20" s="1"/>
  <c r="AG31"/>
  <c r="AH31" s="1"/>
  <c r="Z36"/>
  <c r="AF36" s="1"/>
  <c r="AG36" s="1"/>
  <c r="AH36" s="1"/>
  <c r="U39"/>
  <c r="U42"/>
  <c r="AG42" s="1"/>
  <c r="AH42" s="1"/>
  <c r="U61"/>
  <c r="AG61" s="1"/>
  <c r="AH61" s="1"/>
  <c r="U64"/>
  <c r="AG64" s="1"/>
  <c r="AH64" s="1"/>
  <c r="Q73"/>
  <c r="E74" s="1"/>
  <c r="AG45"/>
  <c r="AH45" s="1"/>
  <c r="U57"/>
  <c r="AG57" s="1"/>
  <c r="AH57" s="1"/>
  <c r="AG10"/>
  <c r="AH10" s="1"/>
  <c r="AG62"/>
  <c r="AH62" s="1"/>
  <c r="AG67"/>
  <c r="AH67" s="1"/>
  <c r="U13"/>
  <c r="AG13" s="1"/>
  <c r="AH13" s="1"/>
  <c r="Z15"/>
  <c r="AF15" s="1"/>
  <c r="AG15" s="1"/>
  <c r="AH15" s="1"/>
  <c r="Z16"/>
  <c r="AF16" s="1"/>
  <c r="AG16" s="1"/>
  <c r="AH16" s="1"/>
  <c r="U52"/>
  <c r="AG52" s="1"/>
  <c r="AH52" s="1"/>
  <c r="Z53"/>
  <c r="AF53" s="1"/>
  <c r="AG53" s="1"/>
  <c r="AH53" s="1"/>
  <c r="Z54"/>
  <c r="AF54" s="1"/>
  <c r="AG54" s="1"/>
  <c r="AH54" s="1"/>
  <c r="Z70"/>
  <c r="AF70" s="1"/>
  <c r="AG70" s="1"/>
  <c r="AH70" s="1"/>
  <c r="AG25"/>
  <c r="AH25" s="1"/>
  <c r="AG32"/>
  <c r="AH32" s="1"/>
  <c r="AG49"/>
  <c r="AH49" s="1"/>
  <c r="U8"/>
  <c r="AG8" s="1"/>
  <c r="AH8" s="1"/>
  <c r="U23"/>
  <c r="AG23" s="1"/>
  <c r="AH23" s="1"/>
  <c r="U38"/>
  <c r="AG38" s="1"/>
  <c r="AH38" s="1"/>
  <c r="U47"/>
  <c r="AG47" s="1"/>
  <c r="AH47" s="1"/>
  <c r="U60"/>
  <c r="AG60" s="1"/>
  <c r="AH60" s="1"/>
  <c r="U69"/>
  <c r="Z69"/>
  <c r="AF69" s="1"/>
  <c r="Z71"/>
  <c r="AF71" s="1"/>
  <c r="U71"/>
  <c r="AG30"/>
  <c r="AH30" s="1"/>
  <c r="AG35"/>
  <c r="AH35" s="1"/>
  <c r="AG44"/>
  <c r="AH44" s="1"/>
  <c r="AG65"/>
  <c r="AH65" s="1"/>
  <c r="AG39"/>
  <c r="AH39" s="1"/>
  <c r="AG48"/>
  <c r="AH48" s="1"/>
  <c r="AG56"/>
  <c r="AH56" s="1"/>
  <c r="R80"/>
  <c r="AF7"/>
  <c r="Z50"/>
  <c r="AF50" s="1"/>
  <c r="AG50" s="1"/>
  <c r="AH50" s="1"/>
  <c r="U7"/>
  <c r="U11"/>
  <c r="AG11" s="1"/>
  <c r="AH11" s="1"/>
  <c r="U12"/>
  <c r="AG12" s="1"/>
  <c r="AH12" s="1"/>
  <c r="U22"/>
  <c r="AG22" s="1"/>
  <c r="AH22" s="1"/>
  <c r="U26"/>
  <c r="AG26" s="1"/>
  <c r="AH26" s="1"/>
  <c r="U33"/>
  <c r="AG33" s="1"/>
  <c r="AH33" s="1"/>
  <c r="U37"/>
  <c r="AG37" s="1"/>
  <c r="AH37" s="1"/>
  <c r="U41"/>
  <c r="AG41" s="1"/>
  <c r="AH41" s="1"/>
  <c r="U46"/>
  <c r="AG46" s="1"/>
  <c r="AH46" s="1"/>
  <c r="U51"/>
  <c r="AG51" s="1"/>
  <c r="AH51" s="1"/>
  <c r="U55"/>
  <c r="AG55" s="1"/>
  <c r="AH55" s="1"/>
  <c r="U59"/>
  <c r="AG59" s="1"/>
  <c r="AH59" s="1"/>
  <c r="U63"/>
  <c r="AG63" s="1"/>
  <c r="AH63" s="1"/>
  <c r="S68"/>
  <c r="R80" i="937"/>
  <c r="G73"/>
  <c r="S68"/>
  <c r="S73" s="1"/>
  <c r="U19"/>
  <c r="AG19" s="1"/>
  <c r="AH19" s="1"/>
  <c r="U29"/>
  <c r="AG29" s="1"/>
  <c r="AH29" s="1"/>
  <c r="Z35"/>
  <c r="AF35" s="1"/>
  <c r="AG35" s="1"/>
  <c r="AH35" s="1"/>
  <c r="U42"/>
  <c r="Z48"/>
  <c r="AF48" s="1"/>
  <c r="Z25"/>
  <c r="AF25" s="1"/>
  <c r="AG25" s="1"/>
  <c r="AH25" s="1"/>
  <c r="U41"/>
  <c r="AG41" s="1"/>
  <c r="AH41" s="1"/>
  <c r="Z44"/>
  <c r="AF44" s="1"/>
  <c r="U47"/>
  <c r="Z53"/>
  <c r="AF53" s="1"/>
  <c r="AG53" s="1"/>
  <c r="AH53" s="1"/>
  <c r="Q73"/>
  <c r="E74" s="1"/>
  <c r="U11"/>
  <c r="AG11" s="1"/>
  <c r="AH11" s="1"/>
  <c r="U23"/>
  <c r="AG23" s="1"/>
  <c r="AH23" s="1"/>
  <c r="U33"/>
  <c r="AG33" s="1"/>
  <c r="AH33" s="1"/>
  <c r="U38"/>
  <c r="AG38" s="1"/>
  <c r="AH38" s="1"/>
  <c r="Z39"/>
  <c r="AF39" s="1"/>
  <c r="AG39" s="1"/>
  <c r="AH39" s="1"/>
  <c r="U46"/>
  <c r="AG46" s="1"/>
  <c r="AH46" s="1"/>
  <c r="U51"/>
  <c r="AG51" s="1"/>
  <c r="AH51" s="1"/>
  <c r="U56"/>
  <c r="AG56" s="1"/>
  <c r="AH56" s="1"/>
  <c r="AG61"/>
  <c r="AH61" s="1"/>
  <c r="Z28"/>
  <c r="AF28" s="1"/>
  <c r="AG28" s="1"/>
  <c r="AH28" s="1"/>
  <c r="AG48"/>
  <c r="AH48" s="1"/>
  <c r="Z57"/>
  <c r="AF57" s="1"/>
  <c r="AG57" s="1"/>
  <c r="AH57" s="1"/>
  <c r="AG13"/>
  <c r="AH13" s="1"/>
  <c r="AG21"/>
  <c r="AH21" s="1"/>
  <c r="U27"/>
  <c r="AG27" s="1"/>
  <c r="AH27" s="1"/>
  <c r="AG31"/>
  <c r="AH31" s="1"/>
  <c r="AG42"/>
  <c r="AH42" s="1"/>
  <c r="AG44"/>
  <c r="AH44" s="1"/>
  <c r="AG60"/>
  <c r="AH60" s="1"/>
  <c r="AG65"/>
  <c r="AH65" s="1"/>
  <c r="U68"/>
  <c r="Z12"/>
  <c r="AF12" s="1"/>
  <c r="U12"/>
  <c r="U67"/>
  <c r="Z67"/>
  <c r="AF67" s="1"/>
  <c r="Z69"/>
  <c r="AF69" s="1"/>
  <c r="U69"/>
  <c r="U71"/>
  <c r="Z71"/>
  <c r="AF71" s="1"/>
  <c r="U7"/>
  <c r="Z7"/>
  <c r="AG24"/>
  <c r="AH24" s="1"/>
  <c r="AG34"/>
  <c r="AH34" s="1"/>
  <c r="AG47"/>
  <c r="AH47" s="1"/>
  <c r="AG52"/>
  <c r="AH52" s="1"/>
  <c r="AG20"/>
  <c r="AH20" s="1"/>
  <c r="AG30"/>
  <c r="AH30" s="1"/>
  <c r="AG49"/>
  <c r="AH49" s="1"/>
  <c r="AG59"/>
  <c r="AH59" s="1"/>
  <c r="AG64"/>
  <c r="AH64" s="1"/>
  <c r="U8"/>
  <c r="Z8"/>
  <c r="AF8" s="1"/>
  <c r="U14"/>
  <c r="Z14"/>
  <c r="AF14" s="1"/>
  <c r="U70"/>
  <c r="Z70"/>
  <c r="AF70" s="1"/>
  <c r="AG10"/>
  <c r="AH10" s="1"/>
  <c r="AG37"/>
  <c r="AH37" s="1"/>
  <c r="AG55"/>
  <c r="AH55" s="1"/>
  <c r="Z9"/>
  <c r="AF9" s="1"/>
  <c r="AG9" s="1"/>
  <c r="AH9" s="1"/>
  <c r="Z15"/>
  <c r="AF15" s="1"/>
  <c r="AG15" s="1"/>
  <c r="AH15" s="1"/>
  <c r="Z16"/>
  <c r="AF16" s="1"/>
  <c r="AG16" s="1"/>
  <c r="AH16" s="1"/>
  <c r="Z17"/>
  <c r="AF17" s="1"/>
  <c r="AG17" s="1"/>
  <c r="AH17" s="1"/>
  <c r="Z22"/>
  <c r="AF22" s="1"/>
  <c r="AG22" s="1"/>
  <c r="AH22" s="1"/>
  <c r="Z26"/>
  <c r="AF26" s="1"/>
  <c r="AG26" s="1"/>
  <c r="AH26" s="1"/>
  <c r="Z32"/>
  <c r="AF32" s="1"/>
  <c r="AG32" s="1"/>
  <c r="AH32" s="1"/>
  <c r="Z36"/>
  <c r="AF36" s="1"/>
  <c r="AG36" s="1"/>
  <c r="AH36" s="1"/>
  <c r="Z40"/>
  <c r="AF40" s="1"/>
  <c r="AG40" s="1"/>
  <c r="AH40" s="1"/>
  <c r="Z45"/>
  <c r="AF45" s="1"/>
  <c r="AG45" s="1"/>
  <c r="AH45" s="1"/>
  <c r="Z49"/>
  <c r="AF49" s="1"/>
  <c r="Z50"/>
  <c r="AF50" s="1"/>
  <c r="AG50" s="1"/>
  <c r="AH50" s="1"/>
  <c r="Z54"/>
  <c r="AF54" s="1"/>
  <c r="AG54" s="1"/>
  <c r="AH54" s="1"/>
  <c r="Z62"/>
  <c r="AF62" s="1"/>
  <c r="AG62" s="1"/>
  <c r="AH62" s="1"/>
  <c r="R73"/>
  <c r="D76" s="1"/>
  <c r="U70" i="936"/>
  <c r="AG70" s="1"/>
  <c r="AH70" s="1"/>
  <c r="Z70"/>
  <c r="AF70" s="1"/>
  <c r="U16"/>
  <c r="AG16" s="1"/>
  <c r="AH16" s="1"/>
  <c r="R73"/>
  <c r="D76" s="1"/>
  <c r="S12"/>
  <c r="S73" s="1"/>
  <c r="U17"/>
  <c r="AG17" s="1"/>
  <c r="AH17" s="1"/>
  <c r="U32"/>
  <c r="AG32" s="1"/>
  <c r="AH32" s="1"/>
  <c r="Z41"/>
  <c r="AF41" s="1"/>
  <c r="U52"/>
  <c r="Z55"/>
  <c r="AF55" s="1"/>
  <c r="U64"/>
  <c r="AG64" s="1"/>
  <c r="AH64" s="1"/>
  <c r="Z69"/>
  <c r="AF69" s="1"/>
  <c r="Z29"/>
  <c r="AF29" s="1"/>
  <c r="AG29" s="1"/>
  <c r="AH29" s="1"/>
  <c r="AG60"/>
  <c r="AH60" s="1"/>
  <c r="Z20"/>
  <c r="AF20" s="1"/>
  <c r="AG20" s="1"/>
  <c r="AH20" s="1"/>
  <c r="U23"/>
  <c r="AG23" s="1"/>
  <c r="AH23" s="1"/>
  <c r="U26"/>
  <c r="AG26" s="1"/>
  <c r="AH26" s="1"/>
  <c r="Z28"/>
  <c r="AF28" s="1"/>
  <c r="AG28" s="1"/>
  <c r="AH28" s="1"/>
  <c r="U30"/>
  <c r="AG30" s="1"/>
  <c r="AH30" s="1"/>
  <c r="Z33"/>
  <c r="AF33" s="1"/>
  <c r="AG33" s="1"/>
  <c r="AH33" s="1"/>
  <c r="AG42"/>
  <c r="AH42" s="1"/>
  <c r="Z46"/>
  <c r="AF46" s="1"/>
  <c r="AG46" s="1"/>
  <c r="AH46" s="1"/>
  <c r="Z56"/>
  <c r="AF56" s="1"/>
  <c r="AG56" s="1"/>
  <c r="AH56" s="1"/>
  <c r="U24"/>
  <c r="Z27"/>
  <c r="AF27" s="1"/>
  <c r="AG27" s="1"/>
  <c r="AH27" s="1"/>
  <c r="Z34"/>
  <c r="AF34" s="1"/>
  <c r="AG34" s="1"/>
  <c r="AH34" s="1"/>
  <c r="U37"/>
  <c r="U40"/>
  <c r="AG40" s="1"/>
  <c r="AH40" s="1"/>
  <c r="Z47"/>
  <c r="AF47" s="1"/>
  <c r="AG47" s="1"/>
  <c r="AH47" s="1"/>
  <c r="Z59"/>
  <c r="AF59" s="1"/>
  <c r="AG38"/>
  <c r="AH38" s="1"/>
  <c r="U7"/>
  <c r="U8"/>
  <c r="AG8" s="1"/>
  <c r="AH8" s="1"/>
  <c r="Z9"/>
  <c r="AF9" s="1"/>
  <c r="AG9" s="1"/>
  <c r="AH9" s="1"/>
  <c r="Z10"/>
  <c r="AF10" s="1"/>
  <c r="AG10" s="1"/>
  <c r="AH10" s="1"/>
  <c r="U67"/>
  <c r="AG67" s="1"/>
  <c r="AH67" s="1"/>
  <c r="Z68"/>
  <c r="AF68" s="1"/>
  <c r="AG68" s="1"/>
  <c r="AH68" s="1"/>
  <c r="AG24"/>
  <c r="AH24" s="1"/>
  <c r="AG52"/>
  <c r="AH52" s="1"/>
  <c r="U22"/>
  <c r="AG22" s="1"/>
  <c r="AH22" s="1"/>
  <c r="U36"/>
  <c r="AG36" s="1"/>
  <c r="AH36" s="1"/>
  <c r="U49"/>
  <c r="AG49" s="1"/>
  <c r="AH49" s="1"/>
  <c r="U50"/>
  <c r="U62"/>
  <c r="AG62" s="1"/>
  <c r="AH62" s="1"/>
  <c r="AG19"/>
  <c r="AH19" s="1"/>
  <c r="AG41"/>
  <c r="AH41" s="1"/>
  <c r="AG59"/>
  <c r="AH59" s="1"/>
  <c r="AG37"/>
  <c r="AH37" s="1"/>
  <c r="AG51"/>
  <c r="AH51" s="1"/>
  <c r="AG63"/>
  <c r="AH63" s="1"/>
  <c r="U12"/>
  <c r="U71"/>
  <c r="Z71"/>
  <c r="AF71" s="1"/>
  <c r="AF7"/>
  <c r="U11"/>
  <c r="AG11" s="1"/>
  <c r="AH11" s="1"/>
  <c r="Z11"/>
  <c r="AF11" s="1"/>
  <c r="AG55"/>
  <c r="AH55" s="1"/>
  <c r="AG69"/>
  <c r="AH69" s="1"/>
  <c r="AG50"/>
  <c r="AH50" s="1"/>
  <c r="Z57"/>
  <c r="AF57" s="1"/>
  <c r="AG57" s="1"/>
  <c r="AH57" s="1"/>
  <c r="Z13"/>
  <c r="AF13" s="1"/>
  <c r="AG13" s="1"/>
  <c r="AH13" s="1"/>
  <c r="Z14"/>
  <c r="AF14" s="1"/>
  <c r="AG14" s="1"/>
  <c r="AH14" s="1"/>
  <c r="Z21"/>
  <c r="AF21" s="1"/>
  <c r="AG21" s="1"/>
  <c r="AH21" s="1"/>
  <c r="Z25"/>
  <c r="AF25" s="1"/>
  <c r="AG25" s="1"/>
  <c r="AH25" s="1"/>
  <c r="Z31"/>
  <c r="AF31" s="1"/>
  <c r="AG31" s="1"/>
  <c r="AH31" s="1"/>
  <c r="Z35"/>
  <c r="AF35" s="1"/>
  <c r="AG35" s="1"/>
  <c r="AH35" s="1"/>
  <c r="Z39"/>
  <c r="AF39" s="1"/>
  <c r="AG39" s="1"/>
  <c r="AH39" s="1"/>
  <c r="Z44"/>
  <c r="AF44" s="1"/>
  <c r="AG44" s="1"/>
  <c r="AH44" s="1"/>
  <c r="Z48"/>
  <c r="AF48" s="1"/>
  <c r="AG48" s="1"/>
  <c r="AH48" s="1"/>
  <c r="Z53"/>
  <c r="AF53" s="1"/>
  <c r="AG53" s="1"/>
  <c r="AH53" s="1"/>
  <c r="Z61"/>
  <c r="AF61" s="1"/>
  <c r="AG61" s="1"/>
  <c r="AH61" s="1"/>
  <c r="Z65"/>
  <c r="AF65" s="1"/>
  <c r="AG65" s="1"/>
  <c r="AH65" s="1"/>
  <c r="Z11" i="935"/>
  <c r="AF11" s="1"/>
  <c r="AG11" s="1"/>
  <c r="AH11" s="1"/>
  <c r="U26"/>
  <c r="AG26" s="1"/>
  <c r="AH26" s="1"/>
  <c r="Z28"/>
  <c r="AF28" s="1"/>
  <c r="U46"/>
  <c r="U59"/>
  <c r="AG59" s="1"/>
  <c r="AH59" s="1"/>
  <c r="Z27"/>
  <c r="AF27" s="1"/>
  <c r="AG27" s="1"/>
  <c r="AH27" s="1"/>
  <c r="Z47"/>
  <c r="AF47" s="1"/>
  <c r="AG28"/>
  <c r="AH28" s="1"/>
  <c r="Z15"/>
  <c r="AF15" s="1"/>
  <c r="AG15" s="1"/>
  <c r="AH15" s="1"/>
  <c r="U32"/>
  <c r="AG32" s="1"/>
  <c r="AH32" s="1"/>
  <c r="Z42"/>
  <c r="AF42" s="1"/>
  <c r="Z60"/>
  <c r="AF60" s="1"/>
  <c r="AG60" s="1"/>
  <c r="AH60" s="1"/>
  <c r="U22"/>
  <c r="AG22" s="1"/>
  <c r="AH22" s="1"/>
  <c r="Z33"/>
  <c r="AF33" s="1"/>
  <c r="AG33" s="1"/>
  <c r="AH33" s="1"/>
  <c r="U45"/>
  <c r="AG45" s="1"/>
  <c r="AH45" s="1"/>
  <c r="U54"/>
  <c r="AG54" s="1"/>
  <c r="AH54" s="1"/>
  <c r="AG42"/>
  <c r="AH42" s="1"/>
  <c r="Z19"/>
  <c r="AF19" s="1"/>
  <c r="AG19" s="1"/>
  <c r="AH19" s="1"/>
  <c r="Z24"/>
  <c r="AF24" s="1"/>
  <c r="AG24" s="1"/>
  <c r="AH24" s="1"/>
  <c r="Z29"/>
  <c r="AF29" s="1"/>
  <c r="AG29" s="1"/>
  <c r="AH29" s="1"/>
  <c r="Z34"/>
  <c r="AF34" s="1"/>
  <c r="AG34" s="1"/>
  <c r="AH34" s="1"/>
  <c r="AG38"/>
  <c r="AH38" s="1"/>
  <c r="AG47"/>
  <c r="AH47" s="1"/>
  <c r="Z50"/>
  <c r="AF50" s="1"/>
  <c r="AG50" s="1"/>
  <c r="AH50" s="1"/>
  <c r="Z51"/>
  <c r="AF51" s="1"/>
  <c r="AG51" s="1"/>
  <c r="AH51" s="1"/>
  <c r="Z56"/>
  <c r="AF56" s="1"/>
  <c r="AG56" s="1"/>
  <c r="AH56" s="1"/>
  <c r="U62"/>
  <c r="AG62" s="1"/>
  <c r="AH62" s="1"/>
  <c r="Z63"/>
  <c r="AF63" s="1"/>
  <c r="AG63" s="1"/>
  <c r="AH63" s="1"/>
  <c r="U67"/>
  <c r="AG67" s="1"/>
  <c r="AH67" s="1"/>
  <c r="Z68"/>
  <c r="AF68" s="1"/>
  <c r="AG68" s="1"/>
  <c r="AH68" s="1"/>
  <c r="AG41"/>
  <c r="AH41" s="1"/>
  <c r="AG13"/>
  <c r="AH13" s="1"/>
  <c r="U17"/>
  <c r="AG17" s="1"/>
  <c r="AH17" s="1"/>
  <c r="Z20"/>
  <c r="AF20" s="1"/>
  <c r="AG20" s="1"/>
  <c r="AH20" s="1"/>
  <c r="Z30"/>
  <c r="AF30" s="1"/>
  <c r="AG30" s="1"/>
  <c r="AH30" s="1"/>
  <c r="U40"/>
  <c r="AG40" s="1"/>
  <c r="AH40" s="1"/>
  <c r="U49"/>
  <c r="AG49" s="1"/>
  <c r="AH49" s="1"/>
  <c r="Z52"/>
  <c r="AF52" s="1"/>
  <c r="AG52" s="1"/>
  <c r="AH52" s="1"/>
  <c r="Z64"/>
  <c r="AF64" s="1"/>
  <c r="AG64" s="1"/>
  <c r="AH64" s="1"/>
  <c r="U69"/>
  <c r="Z69"/>
  <c r="AF69" s="1"/>
  <c r="Z71"/>
  <c r="AF71" s="1"/>
  <c r="U71"/>
  <c r="Z8"/>
  <c r="AF8" s="1"/>
  <c r="U8"/>
  <c r="U14"/>
  <c r="Z14"/>
  <c r="AF14" s="1"/>
  <c r="AG31"/>
  <c r="AH31" s="1"/>
  <c r="AG37"/>
  <c r="AH37" s="1"/>
  <c r="AG46"/>
  <c r="AH46" s="1"/>
  <c r="AG23"/>
  <c r="AH23" s="1"/>
  <c r="AG39"/>
  <c r="AH39" s="1"/>
  <c r="AG55"/>
  <c r="AH55" s="1"/>
  <c r="U7"/>
  <c r="S73"/>
  <c r="Z7"/>
  <c r="U12"/>
  <c r="Z12"/>
  <c r="AF12" s="1"/>
  <c r="Z70"/>
  <c r="AF70" s="1"/>
  <c r="U70"/>
  <c r="Z9"/>
  <c r="AF9" s="1"/>
  <c r="AG9" s="1"/>
  <c r="AH9" s="1"/>
  <c r="Z16"/>
  <c r="AF16" s="1"/>
  <c r="AG16" s="1"/>
  <c r="AH16" s="1"/>
  <c r="Z21"/>
  <c r="AF21" s="1"/>
  <c r="AG21" s="1"/>
  <c r="AH21" s="1"/>
  <c r="Z25"/>
  <c r="AF25" s="1"/>
  <c r="AG25" s="1"/>
  <c r="AH25" s="1"/>
  <c r="Z31"/>
  <c r="AF31" s="1"/>
  <c r="Z35"/>
  <c r="AF35" s="1"/>
  <c r="AG35" s="1"/>
  <c r="AH35" s="1"/>
  <c r="Z39"/>
  <c r="AF39" s="1"/>
  <c r="Z44"/>
  <c r="AF44" s="1"/>
  <c r="AG44" s="1"/>
  <c r="AH44" s="1"/>
  <c r="Z48"/>
  <c r="AF48" s="1"/>
  <c r="AG48" s="1"/>
  <c r="AH48" s="1"/>
  <c r="Z53"/>
  <c r="AF53" s="1"/>
  <c r="AG53" s="1"/>
  <c r="AH53" s="1"/>
  <c r="U57"/>
  <c r="AG57" s="1"/>
  <c r="AH57" s="1"/>
  <c r="Z61"/>
  <c r="AF61" s="1"/>
  <c r="AG61" s="1"/>
  <c r="AH61" s="1"/>
  <c r="Z65"/>
  <c r="AF65" s="1"/>
  <c r="AG65" s="1"/>
  <c r="AH65" s="1"/>
  <c r="R73"/>
  <c r="D76" s="1"/>
  <c r="D73"/>
  <c r="E75" s="1"/>
  <c r="R77" i="934"/>
  <c r="R80" s="1"/>
  <c r="T74"/>
  <c r="S70"/>
  <c r="Z70" s="1"/>
  <c r="AF70" s="1"/>
  <c r="R73"/>
  <c r="D76" s="1"/>
  <c r="S14"/>
  <c r="Z14" s="1"/>
  <c r="AF14" s="1"/>
  <c r="Q71"/>
  <c r="Q73" s="1"/>
  <c r="E74" s="1"/>
  <c r="U69"/>
  <c r="AG69" s="1"/>
  <c r="AH69" s="1"/>
  <c r="U8"/>
  <c r="AG8" s="1"/>
  <c r="AH8" s="1"/>
  <c r="U38"/>
  <c r="U47"/>
  <c r="U59"/>
  <c r="Z71"/>
  <c r="AF71" s="1"/>
  <c r="AG71" s="1"/>
  <c r="AH71" s="1"/>
  <c r="U13"/>
  <c r="U21"/>
  <c r="AG21" s="1"/>
  <c r="AH21" s="1"/>
  <c r="U62"/>
  <c r="AG62" s="1"/>
  <c r="AH62" s="1"/>
  <c r="U67"/>
  <c r="AG67" s="1"/>
  <c r="AH67" s="1"/>
  <c r="U15"/>
  <c r="AG15" s="1"/>
  <c r="AH15" s="1"/>
  <c r="U16"/>
  <c r="AG16" s="1"/>
  <c r="AH16" s="1"/>
  <c r="U19"/>
  <c r="U22"/>
  <c r="AG22" s="1"/>
  <c r="AH22" s="1"/>
  <c r="U23"/>
  <c r="AG23" s="1"/>
  <c r="AH23" s="1"/>
  <c r="U27"/>
  <c r="AG27" s="1"/>
  <c r="AH27" s="1"/>
  <c r="U33"/>
  <c r="U36"/>
  <c r="AG36" s="1"/>
  <c r="AH36" s="1"/>
  <c r="U41"/>
  <c r="AG41" s="1"/>
  <c r="AH41" s="1"/>
  <c r="U46"/>
  <c r="AG46" s="1"/>
  <c r="AH46" s="1"/>
  <c r="U49"/>
  <c r="AG49" s="1"/>
  <c r="AH49" s="1"/>
  <c r="U50"/>
  <c r="AG50" s="1"/>
  <c r="AH50" s="1"/>
  <c r="U55"/>
  <c r="AG55" s="1"/>
  <c r="AH55" s="1"/>
  <c r="U60"/>
  <c r="AG60" s="1"/>
  <c r="AH60" s="1"/>
  <c r="U63"/>
  <c r="U64"/>
  <c r="AG64" s="1"/>
  <c r="AH64" s="1"/>
  <c r="AG26"/>
  <c r="AH26" s="1"/>
  <c r="AG33"/>
  <c r="AH33" s="1"/>
  <c r="AG56"/>
  <c r="AH56" s="1"/>
  <c r="U10"/>
  <c r="AG10" s="1"/>
  <c r="AH10" s="1"/>
  <c r="U11"/>
  <c r="AG11" s="1"/>
  <c r="AH11" s="1"/>
  <c r="U12"/>
  <c r="AG12" s="1"/>
  <c r="AH12" s="1"/>
  <c r="U25"/>
  <c r="AG25" s="1"/>
  <c r="AH25" s="1"/>
  <c r="U31"/>
  <c r="U32"/>
  <c r="AG32" s="1"/>
  <c r="AH32" s="1"/>
  <c r="U40"/>
  <c r="AG40" s="1"/>
  <c r="AH40" s="1"/>
  <c r="U45"/>
  <c r="AG45" s="1"/>
  <c r="AH45" s="1"/>
  <c r="U54"/>
  <c r="AG54" s="1"/>
  <c r="AH54" s="1"/>
  <c r="AG13"/>
  <c r="AH13" s="1"/>
  <c r="AG19"/>
  <c r="AH19" s="1"/>
  <c r="AG34"/>
  <c r="AH34" s="1"/>
  <c r="AG42"/>
  <c r="AH42" s="1"/>
  <c r="AG47"/>
  <c r="AH47" s="1"/>
  <c r="AG59"/>
  <c r="AH59" s="1"/>
  <c r="AG38"/>
  <c r="AH38" s="1"/>
  <c r="AG52"/>
  <c r="AH52" s="1"/>
  <c r="AG68"/>
  <c r="AH68" s="1"/>
  <c r="AG31"/>
  <c r="AH31" s="1"/>
  <c r="U17"/>
  <c r="Z17"/>
  <c r="AF17" s="1"/>
  <c r="AG37"/>
  <c r="AH37" s="1"/>
  <c r="AG51"/>
  <c r="AH51" s="1"/>
  <c r="AG63"/>
  <c r="AH63" s="1"/>
  <c r="Z57"/>
  <c r="AF57" s="1"/>
  <c r="AG57" s="1"/>
  <c r="AH57" s="1"/>
  <c r="AF7"/>
  <c r="U9"/>
  <c r="AG9" s="1"/>
  <c r="AH9" s="1"/>
  <c r="U20"/>
  <c r="AG20" s="1"/>
  <c r="AH20" s="1"/>
  <c r="U24"/>
  <c r="AG24" s="1"/>
  <c r="AH24" s="1"/>
  <c r="U30"/>
  <c r="AG30" s="1"/>
  <c r="AH30" s="1"/>
  <c r="U35"/>
  <c r="AG35" s="1"/>
  <c r="AH35" s="1"/>
  <c r="U39"/>
  <c r="AG39" s="1"/>
  <c r="AH39" s="1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D73"/>
  <c r="E75" s="1"/>
  <c r="Z28"/>
  <c r="AF28" s="1"/>
  <c r="AG28" s="1"/>
  <c r="AH28" s="1"/>
  <c r="Z29"/>
  <c r="AF29" s="1"/>
  <c r="AG29" s="1"/>
  <c r="AH29" s="1"/>
  <c r="AG7"/>
  <c r="U38" i="933"/>
  <c r="AG38" s="1"/>
  <c r="AH38" s="1"/>
  <c r="R73"/>
  <c r="D76" s="1"/>
  <c r="U9"/>
  <c r="AG9" s="1"/>
  <c r="AH9" s="1"/>
  <c r="Z10"/>
  <c r="AF10" s="1"/>
  <c r="AG10" s="1"/>
  <c r="AH10" s="1"/>
  <c r="Z11"/>
  <c r="AF11" s="1"/>
  <c r="U16"/>
  <c r="AG16" s="1"/>
  <c r="AH16" s="1"/>
  <c r="U21"/>
  <c r="AG21" s="1"/>
  <c r="AH21" s="1"/>
  <c r="U24"/>
  <c r="AG24" s="1"/>
  <c r="AH24" s="1"/>
  <c r="Z40"/>
  <c r="AF40" s="1"/>
  <c r="U44"/>
  <c r="Z49"/>
  <c r="AF49" s="1"/>
  <c r="U17"/>
  <c r="AG17" s="1"/>
  <c r="AH17" s="1"/>
  <c r="U22"/>
  <c r="Z25"/>
  <c r="AF25" s="1"/>
  <c r="Z32"/>
  <c r="AF32" s="1"/>
  <c r="U47"/>
  <c r="AG47" s="1"/>
  <c r="AH47" s="1"/>
  <c r="Z61"/>
  <c r="AF61" s="1"/>
  <c r="Q73"/>
  <c r="E74" s="1"/>
  <c r="AG32"/>
  <c r="AH32" s="1"/>
  <c r="AG26"/>
  <c r="AH26" s="1"/>
  <c r="Z31"/>
  <c r="AF31" s="1"/>
  <c r="AG31" s="1"/>
  <c r="AH31" s="1"/>
  <c r="AG40"/>
  <c r="AH40" s="1"/>
  <c r="U45"/>
  <c r="AG45" s="1"/>
  <c r="AH45" s="1"/>
  <c r="Z48"/>
  <c r="AF48" s="1"/>
  <c r="AG48" s="1"/>
  <c r="AH48" s="1"/>
  <c r="U52"/>
  <c r="U60"/>
  <c r="AG60" s="1"/>
  <c r="AH60" s="1"/>
  <c r="AG49"/>
  <c r="AH49" s="1"/>
  <c r="AG62"/>
  <c r="AH62" s="1"/>
  <c r="AG68"/>
  <c r="AH68" s="1"/>
  <c r="AG36"/>
  <c r="AH36" s="1"/>
  <c r="AG54"/>
  <c r="AH54" s="1"/>
  <c r="U13"/>
  <c r="AG13" s="1"/>
  <c r="AH13" s="1"/>
  <c r="U56"/>
  <c r="AG56" s="1"/>
  <c r="AH56" s="1"/>
  <c r="U57"/>
  <c r="AG57" s="1"/>
  <c r="AH57" s="1"/>
  <c r="Z71"/>
  <c r="AF71" s="1"/>
  <c r="AG71" s="1"/>
  <c r="AH71" s="1"/>
  <c r="AG22"/>
  <c r="AH22" s="1"/>
  <c r="AG11"/>
  <c r="AH11" s="1"/>
  <c r="AG53"/>
  <c r="AH53" s="1"/>
  <c r="U15"/>
  <c r="AG15" s="1"/>
  <c r="AH15" s="1"/>
  <c r="U20"/>
  <c r="AG20" s="1"/>
  <c r="AH20" s="1"/>
  <c r="U34"/>
  <c r="AG34" s="1"/>
  <c r="AH34" s="1"/>
  <c r="U42"/>
  <c r="AG42" s="1"/>
  <c r="AH42" s="1"/>
  <c r="U64"/>
  <c r="AG64" s="1"/>
  <c r="AH64" s="1"/>
  <c r="AF7"/>
  <c r="U69"/>
  <c r="Z69"/>
  <c r="AF69" s="1"/>
  <c r="U70"/>
  <c r="Z70"/>
  <c r="AF70" s="1"/>
  <c r="AG25"/>
  <c r="AH25" s="1"/>
  <c r="AG39"/>
  <c r="AH39" s="1"/>
  <c r="AG67"/>
  <c r="AH67" s="1"/>
  <c r="AG35"/>
  <c r="AH35" s="1"/>
  <c r="AG44"/>
  <c r="AH44" s="1"/>
  <c r="AG52"/>
  <c r="AH52" s="1"/>
  <c r="AG65"/>
  <c r="AH65" s="1"/>
  <c r="R80"/>
  <c r="AG61"/>
  <c r="AH61" s="1"/>
  <c r="U7"/>
  <c r="U8"/>
  <c r="AG8" s="1"/>
  <c r="AH8" s="1"/>
  <c r="U12"/>
  <c r="AG12" s="1"/>
  <c r="AH12" s="1"/>
  <c r="U14"/>
  <c r="AG14" s="1"/>
  <c r="AH14" s="1"/>
  <c r="U19"/>
  <c r="AG19" s="1"/>
  <c r="AH19" s="1"/>
  <c r="U23"/>
  <c r="AG23" s="1"/>
  <c r="AH23" s="1"/>
  <c r="U27"/>
  <c r="AG27" s="1"/>
  <c r="AH27" s="1"/>
  <c r="U28"/>
  <c r="AG28" s="1"/>
  <c r="AH28" s="1"/>
  <c r="U29"/>
  <c r="AG29" s="1"/>
  <c r="AH29" s="1"/>
  <c r="U33"/>
  <c r="AG33" s="1"/>
  <c r="AH33" s="1"/>
  <c r="U37"/>
  <c r="AG37" s="1"/>
  <c r="AH37" s="1"/>
  <c r="U41"/>
  <c r="AG41" s="1"/>
  <c r="AH41" s="1"/>
  <c r="U46"/>
  <c r="AG46" s="1"/>
  <c r="AH46" s="1"/>
  <c r="U51"/>
  <c r="AG51" s="1"/>
  <c r="AH51" s="1"/>
  <c r="U55"/>
  <c r="AG55" s="1"/>
  <c r="AH55" s="1"/>
  <c r="U59"/>
  <c r="AG59" s="1"/>
  <c r="AH59" s="1"/>
  <c r="U63"/>
  <c r="AG63" s="1"/>
  <c r="AH63" s="1"/>
  <c r="S73"/>
  <c r="Z50"/>
  <c r="AF50" s="1"/>
  <c r="AG50" s="1"/>
  <c r="AH50" s="1"/>
  <c r="X118" i="932"/>
  <c r="U67"/>
  <c r="AG67" s="1"/>
  <c r="AH67" s="1"/>
  <c r="Z7"/>
  <c r="U7"/>
  <c r="U17"/>
  <c r="AG17" s="1"/>
  <c r="AH17" s="1"/>
  <c r="Z52"/>
  <c r="AF52" s="1"/>
  <c r="AG52" s="1"/>
  <c r="AH52" s="1"/>
  <c r="U8"/>
  <c r="AG8" s="1"/>
  <c r="AH8" s="1"/>
  <c r="U26"/>
  <c r="AG26" s="1"/>
  <c r="AH26" s="1"/>
  <c r="Z35"/>
  <c r="AF35" s="1"/>
  <c r="Z60"/>
  <c r="AF60" s="1"/>
  <c r="U15"/>
  <c r="AG15" s="1"/>
  <c r="AH15" s="1"/>
  <c r="U49"/>
  <c r="AG49" s="1"/>
  <c r="AH49" s="1"/>
  <c r="U9"/>
  <c r="AG9" s="1"/>
  <c r="AH9" s="1"/>
  <c r="Z10"/>
  <c r="AF10" s="1"/>
  <c r="Z24"/>
  <c r="AF24" s="1"/>
  <c r="U45"/>
  <c r="AG45" s="1"/>
  <c r="AH45" s="1"/>
  <c r="Z56"/>
  <c r="AF56" s="1"/>
  <c r="AG56" s="1"/>
  <c r="AH56" s="1"/>
  <c r="Q73"/>
  <c r="E74" s="1"/>
  <c r="Z50"/>
  <c r="AF50" s="1"/>
  <c r="AG19"/>
  <c r="AH19" s="1"/>
  <c r="AG41"/>
  <c r="AH41" s="1"/>
  <c r="AG10"/>
  <c r="AH10" s="1"/>
  <c r="U22"/>
  <c r="AG22" s="1"/>
  <c r="AH22" s="1"/>
  <c r="U27"/>
  <c r="AG27" s="1"/>
  <c r="AH27" s="1"/>
  <c r="U29"/>
  <c r="AG29" s="1"/>
  <c r="AH29" s="1"/>
  <c r="U30"/>
  <c r="AG30" s="1"/>
  <c r="AH30" s="1"/>
  <c r="Z31"/>
  <c r="AF31" s="1"/>
  <c r="AG31" s="1"/>
  <c r="AH31" s="1"/>
  <c r="AG35"/>
  <c r="AH35" s="1"/>
  <c r="U46"/>
  <c r="AG46" s="1"/>
  <c r="AH46" s="1"/>
  <c r="Z47"/>
  <c r="AF47" s="1"/>
  <c r="U54"/>
  <c r="AG54" s="1"/>
  <c r="AH54" s="1"/>
  <c r="AG60"/>
  <c r="AH60" s="1"/>
  <c r="AG47"/>
  <c r="AH47" s="1"/>
  <c r="AG24"/>
  <c r="AH24" s="1"/>
  <c r="AG20"/>
  <c r="AH20" s="1"/>
  <c r="AG39"/>
  <c r="AH39" s="1"/>
  <c r="AG59"/>
  <c r="AH59" s="1"/>
  <c r="AG64"/>
  <c r="AH64" s="1"/>
  <c r="U12"/>
  <c r="Z12"/>
  <c r="AF12" s="1"/>
  <c r="Z42"/>
  <c r="AF42" s="1"/>
  <c r="U42"/>
  <c r="U69"/>
  <c r="Z69"/>
  <c r="AF69" s="1"/>
  <c r="Z71"/>
  <c r="AF71" s="1"/>
  <c r="U71"/>
  <c r="AF7"/>
  <c r="U11"/>
  <c r="Z11"/>
  <c r="AF11" s="1"/>
  <c r="S73"/>
  <c r="U40"/>
  <c r="Z40"/>
  <c r="AF40" s="1"/>
  <c r="U70"/>
  <c r="Z70"/>
  <c r="AF70" s="1"/>
  <c r="Z28"/>
  <c r="AF28" s="1"/>
  <c r="U28"/>
  <c r="AG65"/>
  <c r="AH65" s="1"/>
  <c r="AG34"/>
  <c r="AH34" s="1"/>
  <c r="AG55"/>
  <c r="AH55" s="1"/>
  <c r="AG23"/>
  <c r="AH23" s="1"/>
  <c r="AG37"/>
  <c r="AH37" s="1"/>
  <c r="AG38"/>
  <c r="AH38" s="1"/>
  <c r="AG50"/>
  <c r="AH50" s="1"/>
  <c r="AG51"/>
  <c r="AH51" s="1"/>
  <c r="AG63"/>
  <c r="AH63" s="1"/>
  <c r="AG68"/>
  <c r="AH68" s="1"/>
  <c r="C73"/>
  <c r="Z57"/>
  <c r="AF57" s="1"/>
  <c r="AG57" s="1"/>
  <c r="AH57" s="1"/>
  <c r="R73"/>
  <c r="D76" s="1"/>
  <c r="Z13"/>
  <c r="AF13" s="1"/>
  <c r="AG13" s="1"/>
  <c r="AH13" s="1"/>
  <c r="Z14"/>
  <c r="AF14" s="1"/>
  <c r="AG14" s="1"/>
  <c r="AH14" s="1"/>
  <c r="Z21"/>
  <c r="AF21" s="1"/>
  <c r="AG21" s="1"/>
  <c r="AH21" s="1"/>
  <c r="Z25"/>
  <c r="AF25" s="1"/>
  <c r="AG25" s="1"/>
  <c r="AH25" s="1"/>
  <c r="Z32"/>
  <c r="AF32" s="1"/>
  <c r="AG32" s="1"/>
  <c r="AH32" s="1"/>
  <c r="Z36"/>
  <c r="AF36" s="1"/>
  <c r="AG36" s="1"/>
  <c r="AH36" s="1"/>
  <c r="Z44"/>
  <c r="AF44" s="1"/>
  <c r="AG44" s="1"/>
  <c r="AH44" s="1"/>
  <c r="Z48"/>
  <c r="AF48" s="1"/>
  <c r="AG48" s="1"/>
  <c r="AH48" s="1"/>
  <c r="Z53"/>
  <c r="AF53" s="1"/>
  <c r="AG53" s="1"/>
  <c r="AH53" s="1"/>
  <c r="Z61"/>
  <c r="AF61" s="1"/>
  <c r="AG61" s="1"/>
  <c r="AH61" s="1"/>
  <c r="Z65"/>
  <c r="AF65" s="1"/>
  <c r="C73" i="931"/>
  <c r="U42"/>
  <c r="Z70"/>
  <c r="AF70" s="1"/>
  <c r="U70"/>
  <c r="Z71"/>
  <c r="AF71" s="1"/>
  <c r="U71"/>
  <c r="R73"/>
  <c r="D76" s="1"/>
  <c r="S14"/>
  <c r="U14" s="1"/>
  <c r="U10"/>
  <c r="AG10" s="1"/>
  <c r="AH10" s="1"/>
  <c r="U17"/>
  <c r="AG17" s="1"/>
  <c r="AH17" s="1"/>
  <c r="U21"/>
  <c r="Z22"/>
  <c r="AF22" s="1"/>
  <c r="AG22" s="1"/>
  <c r="AH22" s="1"/>
  <c r="Z23"/>
  <c r="AF23" s="1"/>
  <c r="AG23" s="1"/>
  <c r="AH23" s="1"/>
  <c r="Z37"/>
  <c r="AF37" s="1"/>
  <c r="AG37" s="1"/>
  <c r="AH37" s="1"/>
  <c r="Z38"/>
  <c r="AF38" s="1"/>
  <c r="U41"/>
  <c r="U46"/>
  <c r="AG46" s="1"/>
  <c r="AH46" s="1"/>
  <c r="U49"/>
  <c r="AG49" s="1"/>
  <c r="AH49" s="1"/>
  <c r="U50"/>
  <c r="AG50" s="1"/>
  <c r="AH50" s="1"/>
  <c r="U59"/>
  <c r="AG59" s="1"/>
  <c r="AH59" s="1"/>
  <c r="Z64"/>
  <c r="AF64" s="1"/>
  <c r="AG64" s="1"/>
  <c r="AH64" s="1"/>
  <c r="AG52"/>
  <c r="AH52" s="1"/>
  <c r="Q73"/>
  <c r="E74" s="1"/>
  <c r="Z30"/>
  <c r="AF30" s="1"/>
  <c r="U33"/>
  <c r="AG33" s="1"/>
  <c r="AH33" s="1"/>
  <c r="U36"/>
  <c r="AG36" s="1"/>
  <c r="AH36" s="1"/>
  <c r="Z52"/>
  <c r="AF52" s="1"/>
  <c r="U55"/>
  <c r="AG55" s="1"/>
  <c r="AH55" s="1"/>
  <c r="U60"/>
  <c r="Z63"/>
  <c r="AF63" s="1"/>
  <c r="AG63" s="1"/>
  <c r="AH63" s="1"/>
  <c r="U67"/>
  <c r="AG30"/>
  <c r="AH30" s="1"/>
  <c r="AG38"/>
  <c r="AH38" s="1"/>
  <c r="AG42"/>
  <c r="AH42" s="1"/>
  <c r="AG47"/>
  <c r="AH47" s="1"/>
  <c r="AG56"/>
  <c r="AH56" s="1"/>
  <c r="AG60"/>
  <c r="AH60" s="1"/>
  <c r="AG68"/>
  <c r="AH68" s="1"/>
  <c r="Z19"/>
  <c r="AF19" s="1"/>
  <c r="AG19" s="1"/>
  <c r="AH19" s="1"/>
  <c r="U25"/>
  <c r="AG25" s="1"/>
  <c r="AH25" s="1"/>
  <c r="Z26"/>
  <c r="AF26" s="1"/>
  <c r="Z27"/>
  <c r="AF27" s="1"/>
  <c r="AG27" s="1"/>
  <c r="AH27" s="1"/>
  <c r="U29"/>
  <c r="AG29" s="1"/>
  <c r="AH29" s="1"/>
  <c r="AG34"/>
  <c r="AH34" s="1"/>
  <c r="U8"/>
  <c r="AG8" s="1"/>
  <c r="AH8" s="1"/>
  <c r="U16"/>
  <c r="AG16" s="1"/>
  <c r="AH16" s="1"/>
  <c r="U32"/>
  <c r="AG32" s="1"/>
  <c r="AH32" s="1"/>
  <c r="U40"/>
  <c r="AG40" s="1"/>
  <c r="AH40" s="1"/>
  <c r="U45"/>
  <c r="AG45" s="1"/>
  <c r="AH45" s="1"/>
  <c r="U54"/>
  <c r="AG54" s="1"/>
  <c r="AH54" s="1"/>
  <c r="Z28"/>
  <c r="AF28" s="1"/>
  <c r="U28"/>
  <c r="AG51"/>
  <c r="AH51" s="1"/>
  <c r="AG26"/>
  <c r="AH26" s="1"/>
  <c r="AG9"/>
  <c r="AH9" s="1"/>
  <c r="AG21"/>
  <c r="AH21" s="1"/>
  <c r="AG41"/>
  <c r="AH41" s="1"/>
  <c r="AG67"/>
  <c r="AH67" s="1"/>
  <c r="Z69"/>
  <c r="AF69" s="1"/>
  <c r="U69"/>
  <c r="R80"/>
  <c r="Z7"/>
  <c r="U11"/>
  <c r="AG11" s="1"/>
  <c r="AH11" s="1"/>
  <c r="S12"/>
  <c r="U13"/>
  <c r="AG13" s="1"/>
  <c r="AH13" s="1"/>
  <c r="U15"/>
  <c r="AG15" s="1"/>
  <c r="AH15" s="1"/>
  <c r="U20"/>
  <c r="AG20" s="1"/>
  <c r="AH20" s="1"/>
  <c r="U24"/>
  <c r="AG24" s="1"/>
  <c r="AH24" s="1"/>
  <c r="U31"/>
  <c r="AG31" s="1"/>
  <c r="AH31" s="1"/>
  <c r="U35"/>
  <c r="AG35" s="1"/>
  <c r="AH35" s="1"/>
  <c r="U39"/>
  <c r="AG39" s="1"/>
  <c r="AH39" s="1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Z57"/>
  <c r="AF57" s="1"/>
  <c r="AG57" s="1"/>
  <c r="AH57" s="1"/>
  <c r="R73" i="930"/>
  <c r="D76" s="1"/>
  <c r="D73"/>
  <c r="E75" s="1"/>
  <c r="Q73"/>
  <c r="E74" s="1"/>
  <c r="Z8"/>
  <c r="AF8" s="1"/>
  <c r="AG8" s="1"/>
  <c r="AH8" s="1"/>
  <c r="U20"/>
  <c r="AG20" s="1"/>
  <c r="AH20" s="1"/>
  <c r="Z25"/>
  <c r="AF25" s="1"/>
  <c r="AG25" s="1"/>
  <c r="AH25" s="1"/>
  <c r="U33"/>
  <c r="AG33" s="1"/>
  <c r="AH33" s="1"/>
  <c r="U38"/>
  <c r="U41"/>
  <c r="AG41" s="1"/>
  <c r="AH41" s="1"/>
  <c r="U51"/>
  <c r="AG51" s="1"/>
  <c r="AH51" s="1"/>
  <c r="AG35"/>
  <c r="AH35" s="1"/>
  <c r="AG9"/>
  <c r="AH9" s="1"/>
  <c r="U13"/>
  <c r="U21"/>
  <c r="Z24"/>
  <c r="AF24" s="1"/>
  <c r="AG24" s="1"/>
  <c r="AH24" s="1"/>
  <c r="U31"/>
  <c r="AG31" s="1"/>
  <c r="AH31" s="1"/>
  <c r="Z34"/>
  <c r="AF34" s="1"/>
  <c r="AG34" s="1"/>
  <c r="AH34" s="1"/>
  <c r="AG53"/>
  <c r="AH53" s="1"/>
  <c r="U63"/>
  <c r="AG21"/>
  <c r="AH21" s="1"/>
  <c r="AG39"/>
  <c r="AH39" s="1"/>
  <c r="AG16"/>
  <c r="AH16" s="1"/>
  <c r="AG44"/>
  <c r="AH44" s="1"/>
  <c r="AG64"/>
  <c r="AH64" s="1"/>
  <c r="AG65"/>
  <c r="AH65" s="1"/>
  <c r="U46"/>
  <c r="AG46" s="1"/>
  <c r="AH46" s="1"/>
  <c r="Z47"/>
  <c r="AF47" s="1"/>
  <c r="AG47" s="1"/>
  <c r="AH47" s="1"/>
  <c r="Z48"/>
  <c r="AF48" s="1"/>
  <c r="AG48" s="1"/>
  <c r="AH48" s="1"/>
  <c r="Z57"/>
  <c r="AF57" s="1"/>
  <c r="U59"/>
  <c r="AG59" s="1"/>
  <c r="AH59" s="1"/>
  <c r="Z60"/>
  <c r="AF60" s="1"/>
  <c r="AG60" s="1"/>
  <c r="AH60" s="1"/>
  <c r="Z61"/>
  <c r="AF61" s="1"/>
  <c r="AG61" s="1"/>
  <c r="AH61" s="1"/>
  <c r="U70"/>
  <c r="AG70" s="1"/>
  <c r="AH70" s="1"/>
  <c r="U71"/>
  <c r="AG71" s="1"/>
  <c r="AH71" s="1"/>
  <c r="AG15"/>
  <c r="AH15" s="1"/>
  <c r="U11"/>
  <c r="AG11" s="1"/>
  <c r="AH11" s="1"/>
  <c r="U12"/>
  <c r="AG12" s="1"/>
  <c r="AH12" s="1"/>
  <c r="U19"/>
  <c r="AG19" s="1"/>
  <c r="AH19" s="1"/>
  <c r="U27"/>
  <c r="AG27" s="1"/>
  <c r="AH27" s="1"/>
  <c r="U28"/>
  <c r="AG28" s="1"/>
  <c r="AH28" s="1"/>
  <c r="U29"/>
  <c r="U37"/>
  <c r="AG37" s="1"/>
  <c r="AH37" s="1"/>
  <c r="U55"/>
  <c r="AG55" s="1"/>
  <c r="AH55" s="1"/>
  <c r="AG42"/>
  <c r="AH42" s="1"/>
  <c r="AG52"/>
  <c r="AH52" s="1"/>
  <c r="AG29"/>
  <c r="AH29" s="1"/>
  <c r="AG57"/>
  <c r="AH57" s="1"/>
  <c r="R80"/>
  <c r="AG13"/>
  <c r="AH13" s="1"/>
  <c r="AG30"/>
  <c r="AH30" s="1"/>
  <c r="AG38"/>
  <c r="AH38" s="1"/>
  <c r="AG56"/>
  <c r="AH56" s="1"/>
  <c r="AG63"/>
  <c r="AH63" s="1"/>
  <c r="Z7"/>
  <c r="U10"/>
  <c r="AG10" s="1"/>
  <c r="AH10" s="1"/>
  <c r="U17"/>
  <c r="AG17" s="1"/>
  <c r="AH17" s="1"/>
  <c r="U22"/>
  <c r="AG22" s="1"/>
  <c r="AH22" s="1"/>
  <c r="U26"/>
  <c r="AG26" s="1"/>
  <c r="AH26" s="1"/>
  <c r="U32"/>
  <c r="AG32" s="1"/>
  <c r="AH32" s="1"/>
  <c r="U36"/>
  <c r="AG36" s="1"/>
  <c r="AH36" s="1"/>
  <c r="U40"/>
  <c r="AG40" s="1"/>
  <c r="AH40" s="1"/>
  <c r="U45"/>
  <c r="AG45" s="1"/>
  <c r="AH45" s="1"/>
  <c r="U49"/>
  <c r="AG49" s="1"/>
  <c r="AH49" s="1"/>
  <c r="U50"/>
  <c r="AG50" s="1"/>
  <c r="AH50" s="1"/>
  <c r="U54"/>
  <c r="AG54" s="1"/>
  <c r="AH54" s="1"/>
  <c r="U62"/>
  <c r="AG62" s="1"/>
  <c r="AH62" s="1"/>
  <c r="U67"/>
  <c r="AG67" s="1"/>
  <c r="AH67" s="1"/>
  <c r="U68"/>
  <c r="AG68" s="1"/>
  <c r="AH68" s="1"/>
  <c r="U69"/>
  <c r="AG69" s="1"/>
  <c r="AH69" s="1"/>
  <c r="S14"/>
  <c r="S73" s="1"/>
  <c r="R77" i="929"/>
  <c r="S71"/>
  <c r="Z71" s="1"/>
  <c r="AF71" s="1"/>
  <c r="S8"/>
  <c r="Z8" s="1"/>
  <c r="S69"/>
  <c r="Z69" s="1"/>
  <c r="AF69" s="1"/>
  <c r="Q54"/>
  <c r="D73"/>
  <c r="E75" s="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T74"/>
  <c r="AJ73"/>
  <c r="AI73"/>
  <c r="AE73"/>
  <c r="AD73"/>
  <c r="AC73"/>
  <c r="AB73"/>
  <c r="AA73"/>
  <c r="Y73"/>
  <c r="V73"/>
  <c r="P73"/>
  <c r="O73"/>
  <c r="N73"/>
  <c r="M73"/>
  <c r="L73"/>
  <c r="J73"/>
  <c r="I73"/>
  <c r="H73"/>
  <c r="G73"/>
  <c r="F73"/>
  <c r="E73"/>
  <c r="C73"/>
  <c r="AF72"/>
  <c r="AG72" s="1"/>
  <c r="AH72" s="1"/>
  <c r="Z72"/>
  <c r="Q71"/>
  <c r="S70"/>
  <c r="Z70" s="1"/>
  <c r="AF70" s="1"/>
  <c r="Q70"/>
  <c r="Q69"/>
  <c r="S68"/>
  <c r="Z68" s="1"/>
  <c r="AF68" s="1"/>
  <c r="Q68"/>
  <c r="S67"/>
  <c r="U67" s="1"/>
  <c r="Q67"/>
  <c r="Z66"/>
  <c r="AF66" s="1"/>
  <c r="AG66" s="1"/>
  <c r="AH66" s="1"/>
  <c r="S65"/>
  <c r="U65" s="1"/>
  <c r="Q65"/>
  <c r="S64"/>
  <c r="Z64" s="1"/>
  <c r="AF64" s="1"/>
  <c r="Q64"/>
  <c r="S63"/>
  <c r="Z63" s="1"/>
  <c r="AF63" s="1"/>
  <c r="Q63"/>
  <c r="S62"/>
  <c r="Z62" s="1"/>
  <c r="AF62" s="1"/>
  <c r="Q62"/>
  <c r="S61"/>
  <c r="Z61" s="1"/>
  <c r="AF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Z57" s="1"/>
  <c r="AF57" s="1"/>
  <c r="Q57"/>
  <c r="S56"/>
  <c r="Z56" s="1"/>
  <c r="AF56" s="1"/>
  <c r="Q56"/>
  <c r="S55"/>
  <c r="Z55" s="1"/>
  <c r="AF55" s="1"/>
  <c r="Q55"/>
  <c r="S54"/>
  <c r="Z54" s="1"/>
  <c r="AF54" s="1"/>
  <c r="S53"/>
  <c r="Z53" s="1"/>
  <c r="AF53" s="1"/>
  <c r="Q53"/>
  <c r="S52"/>
  <c r="Z52" s="1"/>
  <c r="AF52" s="1"/>
  <c r="Q52"/>
  <c r="S51"/>
  <c r="Z51" s="1"/>
  <c r="AF51" s="1"/>
  <c r="Q51"/>
  <c r="T50"/>
  <c r="S50"/>
  <c r="U50" s="1"/>
  <c r="Q50"/>
  <c r="S49"/>
  <c r="U49" s="1"/>
  <c r="Q49"/>
  <c r="S48"/>
  <c r="U48" s="1"/>
  <c r="Q48"/>
  <c r="S47"/>
  <c r="Z47" s="1"/>
  <c r="AF47" s="1"/>
  <c r="Q47"/>
  <c r="S46"/>
  <c r="Z46" s="1"/>
  <c r="AF46" s="1"/>
  <c r="Q46"/>
  <c r="S45"/>
  <c r="U45" s="1"/>
  <c r="Q45"/>
  <c r="S44"/>
  <c r="U44" s="1"/>
  <c r="Q44"/>
  <c r="AH43"/>
  <c r="AG43"/>
  <c r="AF43"/>
  <c r="Z43"/>
  <c r="S42"/>
  <c r="Z42" s="1"/>
  <c r="AF42" s="1"/>
  <c r="Q42"/>
  <c r="S41"/>
  <c r="Z41" s="1"/>
  <c r="AF41" s="1"/>
  <c r="Q41"/>
  <c r="S40"/>
  <c r="Z40" s="1"/>
  <c r="AF40" s="1"/>
  <c r="Q40"/>
  <c r="S39"/>
  <c r="Z39" s="1"/>
  <c r="AF39" s="1"/>
  <c r="Q39"/>
  <c r="S38"/>
  <c r="Z38" s="1"/>
  <c r="AF38" s="1"/>
  <c r="Q38"/>
  <c r="S37"/>
  <c r="Z37" s="1"/>
  <c r="AF37" s="1"/>
  <c r="Q37"/>
  <c r="S36"/>
  <c r="U36" s="1"/>
  <c r="Q36"/>
  <c r="S35"/>
  <c r="U35" s="1"/>
  <c r="Q35"/>
  <c r="S34"/>
  <c r="Z34" s="1"/>
  <c r="AF34" s="1"/>
  <c r="Q34"/>
  <c r="S33"/>
  <c r="Z33" s="1"/>
  <c r="AF33" s="1"/>
  <c r="Q33"/>
  <c r="S32"/>
  <c r="Z32" s="1"/>
  <c r="AF32" s="1"/>
  <c r="Q32"/>
  <c r="U31"/>
  <c r="S31"/>
  <c r="Z31" s="1"/>
  <c r="AF31" s="1"/>
  <c r="Q31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S26"/>
  <c r="Z26" s="1"/>
  <c r="AF26" s="1"/>
  <c r="Q26"/>
  <c r="S25"/>
  <c r="Z25" s="1"/>
  <c r="AF25" s="1"/>
  <c r="Q25"/>
  <c r="S24"/>
  <c r="Z24" s="1"/>
  <c r="AF24" s="1"/>
  <c r="Q24"/>
  <c r="S23"/>
  <c r="Z23" s="1"/>
  <c r="AF23" s="1"/>
  <c r="Q23"/>
  <c r="S22"/>
  <c r="U22" s="1"/>
  <c r="Q22"/>
  <c r="S21"/>
  <c r="U21" s="1"/>
  <c r="Q21"/>
  <c r="S20"/>
  <c r="Z20" s="1"/>
  <c r="AF20" s="1"/>
  <c r="Q20"/>
  <c r="S19"/>
  <c r="Z19" s="1"/>
  <c r="AF19" s="1"/>
  <c r="Q19"/>
  <c r="AF18"/>
  <c r="AG18" s="1"/>
  <c r="AH18" s="1"/>
  <c r="Z18"/>
  <c r="S17"/>
  <c r="U17" s="1"/>
  <c r="Q17"/>
  <c r="S16"/>
  <c r="U16" s="1"/>
  <c r="Q16"/>
  <c r="S15"/>
  <c r="Z15" s="1"/>
  <c r="AF15" s="1"/>
  <c r="Q15"/>
  <c r="Q14"/>
  <c r="S13"/>
  <c r="Z13" s="1"/>
  <c r="AF13" s="1"/>
  <c r="Q13"/>
  <c r="Q12"/>
  <c r="Z11"/>
  <c r="AF11" s="1"/>
  <c r="S11"/>
  <c r="U11" s="1"/>
  <c r="Q11"/>
  <c r="S10"/>
  <c r="U10" s="1"/>
  <c r="Q10"/>
  <c r="S9"/>
  <c r="Z9" s="1"/>
  <c r="AF9" s="1"/>
  <c r="Q9"/>
  <c r="Q8"/>
  <c r="S7"/>
  <c r="Z7" s="1"/>
  <c r="AF7" s="1"/>
  <c r="Q7"/>
  <c r="AG14" i="943" l="1"/>
  <c r="AH14" s="1"/>
  <c r="U73"/>
  <c r="AF73"/>
  <c r="AG7"/>
  <c r="AH73" i="942"/>
  <c r="AG73"/>
  <c r="Z73" i="941"/>
  <c r="AF73"/>
  <c r="AG12"/>
  <c r="AH12" s="1"/>
  <c r="AG7"/>
  <c r="AH7" s="1"/>
  <c r="AH73" s="1"/>
  <c r="U73"/>
  <c r="AG7" i="940"/>
  <c r="AH7" s="1"/>
  <c r="AG14"/>
  <c r="AH14" s="1"/>
  <c r="Z73"/>
  <c r="AF73"/>
  <c r="U73"/>
  <c r="U14" i="939"/>
  <c r="AG14" s="1"/>
  <c r="AH14" s="1"/>
  <c r="AG17"/>
  <c r="AH17" s="1"/>
  <c r="U8"/>
  <c r="Z8"/>
  <c r="S73"/>
  <c r="AH7"/>
  <c r="U17" i="938"/>
  <c r="AG17" s="1"/>
  <c r="AH17" s="1"/>
  <c r="U14"/>
  <c r="AG14" s="1"/>
  <c r="AH14" s="1"/>
  <c r="U68"/>
  <c r="Z68"/>
  <c r="AG7"/>
  <c r="S73"/>
  <c r="AG69"/>
  <c r="AH69" s="1"/>
  <c r="AG71"/>
  <c r="AH71" s="1"/>
  <c r="Z68" i="937"/>
  <c r="AF68" s="1"/>
  <c r="AG69"/>
  <c r="AH69" s="1"/>
  <c r="AG12"/>
  <c r="AH12" s="1"/>
  <c r="AG70"/>
  <c r="AH70" s="1"/>
  <c r="AG8"/>
  <c r="AH8" s="1"/>
  <c r="AG71"/>
  <c r="AH71" s="1"/>
  <c r="AG67"/>
  <c r="AH67" s="1"/>
  <c r="AG68"/>
  <c r="AH68" s="1"/>
  <c r="Z73"/>
  <c r="AF7"/>
  <c r="AG14"/>
  <c r="AH14" s="1"/>
  <c r="U73"/>
  <c r="AG7"/>
  <c r="Z12" i="936"/>
  <c r="AF12" s="1"/>
  <c r="AG12" s="1"/>
  <c r="AH12" s="1"/>
  <c r="AG7"/>
  <c r="AH7" s="1"/>
  <c r="AG71"/>
  <c r="AH71" s="1"/>
  <c r="U73"/>
  <c r="Z73"/>
  <c r="AG70" i="935"/>
  <c r="AH70" s="1"/>
  <c r="AG12"/>
  <c r="AH12" s="1"/>
  <c r="AG71"/>
  <c r="AH71" s="1"/>
  <c r="AG69"/>
  <c r="AH69" s="1"/>
  <c r="U73"/>
  <c r="AG8"/>
  <c r="AH8" s="1"/>
  <c r="AG14"/>
  <c r="AH14" s="1"/>
  <c r="Z73"/>
  <c r="AF7"/>
  <c r="AF73" s="1"/>
  <c r="U70" i="934"/>
  <c r="AG70" s="1"/>
  <c r="AH70" s="1"/>
  <c r="U14"/>
  <c r="S73"/>
  <c r="AG17"/>
  <c r="AH17" s="1"/>
  <c r="AH7"/>
  <c r="AF73"/>
  <c r="Z73"/>
  <c r="AF73" i="933"/>
  <c r="AG69"/>
  <c r="AH69" s="1"/>
  <c r="U73"/>
  <c r="AG7"/>
  <c r="AG70"/>
  <c r="AH70" s="1"/>
  <c r="Z73"/>
  <c r="U73" i="932"/>
  <c r="AG70"/>
  <c r="AH70" s="1"/>
  <c r="AG40"/>
  <c r="AH40" s="1"/>
  <c r="AG11"/>
  <c r="AH11" s="1"/>
  <c r="AG28"/>
  <c r="AH28" s="1"/>
  <c r="Z73"/>
  <c r="AG69"/>
  <c r="AH69" s="1"/>
  <c r="AG12"/>
  <c r="AH12" s="1"/>
  <c r="AF73"/>
  <c r="AG7"/>
  <c r="AG71"/>
  <c r="AH71" s="1"/>
  <c r="AG42"/>
  <c r="AH42" s="1"/>
  <c r="AG70" i="931"/>
  <c r="AH70" s="1"/>
  <c r="AG71"/>
  <c r="AH71" s="1"/>
  <c r="Z14"/>
  <c r="AF14" s="1"/>
  <c r="AG14" s="1"/>
  <c r="AH14" s="1"/>
  <c r="S73"/>
  <c r="AG28"/>
  <c r="AH28" s="1"/>
  <c r="U12"/>
  <c r="Z12"/>
  <c r="AF12" s="1"/>
  <c r="AF7"/>
  <c r="AG69"/>
  <c r="AH69" s="1"/>
  <c r="U73"/>
  <c r="U14" i="930"/>
  <c r="U73" s="1"/>
  <c r="Z14"/>
  <c r="AF14" s="1"/>
  <c r="AF7"/>
  <c r="U25" i="929"/>
  <c r="U54"/>
  <c r="AG54" s="1"/>
  <c r="AH54" s="1"/>
  <c r="U62"/>
  <c r="U40"/>
  <c r="U39"/>
  <c r="U61"/>
  <c r="AG61" s="1"/>
  <c r="AH61" s="1"/>
  <c r="U26"/>
  <c r="U32"/>
  <c r="X118"/>
  <c r="R80"/>
  <c r="R73"/>
  <c r="D76" s="1"/>
  <c r="K73"/>
  <c r="S14"/>
  <c r="Z14" s="1"/>
  <c r="AF14" s="1"/>
  <c r="U30"/>
  <c r="U53"/>
  <c r="AG53" s="1"/>
  <c r="AH53" s="1"/>
  <c r="U56"/>
  <c r="AG56" s="1"/>
  <c r="AH56" s="1"/>
  <c r="U57"/>
  <c r="AG57" s="1"/>
  <c r="AH57" s="1"/>
  <c r="Z67"/>
  <c r="AF67" s="1"/>
  <c r="AG67" s="1"/>
  <c r="AH67" s="1"/>
  <c r="U70"/>
  <c r="AG70" s="1"/>
  <c r="AH70" s="1"/>
  <c r="AG11"/>
  <c r="AH11" s="1"/>
  <c r="U9"/>
  <c r="AG9" s="1"/>
  <c r="AH9" s="1"/>
  <c r="U47"/>
  <c r="AG47" s="1"/>
  <c r="AH47" s="1"/>
  <c r="Z48"/>
  <c r="AF48" s="1"/>
  <c r="AG48" s="1"/>
  <c r="AH48" s="1"/>
  <c r="Z49"/>
  <c r="AF49" s="1"/>
  <c r="AG49" s="1"/>
  <c r="AH49" s="1"/>
  <c r="U71"/>
  <c r="AG71" s="1"/>
  <c r="AH71" s="1"/>
  <c r="Q73"/>
  <c r="E74" s="1"/>
  <c r="U7"/>
  <c r="AG7" s="1"/>
  <c r="Z10"/>
  <c r="AF10" s="1"/>
  <c r="AG10" s="1"/>
  <c r="AH10" s="1"/>
  <c r="U24"/>
  <c r="AG24" s="1"/>
  <c r="AH24" s="1"/>
  <c r="U38"/>
  <c r="U60"/>
  <c r="AG60" s="1"/>
  <c r="AH60" s="1"/>
  <c r="AG25"/>
  <c r="AH25" s="1"/>
  <c r="AG26"/>
  <c r="AH26" s="1"/>
  <c r="AG31"/>
  <c r="AH31" s="1"/>
  <c r="AG32"/>
  <c r="AH32" s="1"/>
  <c r="AG39"/>
  <c r="AH39" s="1"/>
  <c r="AG40"/>
  <c r="AH40" s="1"/>
  <c r="U15"/>
  <c r="AG15" s="1"/>
  <c r="AH15" s="1"/>
  <c r="Z16"/>
  <c r="AF16" s="1"/>
  <c r="AG16" s="1"/>
  <c r="AH16" s="1"/>
  <c r="Z17"/>
  <c r="AF17" s="1"/>
  <c r="AG17" s="1"/>
  <c r="AH17" s="1"/>
  <c r="U20"/>
  <c r="AG20" s="1"/>
  <c r="AH20" s="1"/>
  <c r="Z21"/>
  <c r="AF21" s="1"/>
  <c r="AG21" s="1"/>
  <c r="AH21" s="1"/>
  <c r="Z22"/>
  <c r="AF22" s="1"/>
  <c r="AG22" s="1"/>
  <c r="AH22" s="1"/>
  <c r="U34"/>
  <c r="AG34" s="1"/>
  <c r="AH34" s="1"/>
  <c r="Z35"/>
  <c r="AF35" s="1"/>
  <c r="AG35" s="1"/>
  <c r="AH35" s="1"/>
  <c r="Z36"/>
  <c r="AF36" s="1"/>
  <c r="AG36" s="1"/>
  <c r="AH36" s="1"/>
  <c r="U42"/>
  <c r="AG42" s="1"/>
  <c r="AH42" s="1"/>
  <c r="Z44"/>
  <c r="AF44" s="1"/>
  <c r="AG44" s="1"/>
  <c r="AH44" s="1"/>
  <c r="Z45"/>
  <c r="AF45" s="1"/>
  <c r="AG45" s="1"/>
  <c r="AH45" s="1"/>
  <c r="U64"/>
  <c r="AG64" s="1"/>
  <c r="AH64" s="1"/>
  <c r="Z65"/>
  <c r="AF65" s="1"/>
  <c r="AG65" s="1"/>
  <c r="AH65" s="1"/>
  <c r="AG62"/>
  <c r="AH62" s="1"/>
  <c r="U52"/>
  <c r="AG52" s="1"/>
  <c r="AH52" s="1"/>
  <c r="U69"/>
  <c r="AG69" s="1"/>
  <c r="AH69" s="1"/>
  <c r="AF8"/>
  <c r="AG30"/>
  <c r="AH30" s="1"/>
  <c r="AG38"/>
  <c r="AH38" s="1"/>
  <c r="Z50"/>
  <c r="AF50" s="1"/>
  <c r="AG50" s="1"/>
  <c r="AH50" s="1"/>
  <c r="U8"/>
  <c r="S12"/>
  <c r="U13"/>
  <c r="AG13" s="1"/>
  <c r="AH13" s="1"/>
  <c r="U19"/>
  <c r="AG19" s="1"/>
  <c r="AH19" s="1"/>
  <c r="U23"/>
  <c r="AG23" s="1"/>
  <c r="AH23" s="1"/>
  <c r="U27"/>
  <c r="AG27" s="1"/>
  <c r="AH27" s="1"/>
  <c r="U28"/>
  <c r="AG28" s="1"/>
  <c r="AH28" s="1"/>
  <c r="U29"/>
  <c r="AG29" s="1"/>
  <c r="AH29" s="1"/>
  <c r="U33"/>
  <c r="AG33" s="1"/>
  <c r="AH33" s="1"/>
  <c r="U37"/>
  <c r="AG37" s="1"/>
  <c r="AH37" s="1"/>
  <c r="U41"/>
  <c r="AG41" s="1"/>
  <c r="AH41" s="1"/>
  <c r="U46"/>
  <c r="AG46" s="1"/>
  <c r="AH46" s="1"/>
  <c r="U51"/>
  <c r="AG51" s="1"/>
  <c r="AH51" s="1"/>
  <c r="U55"/>
  <c r="AG55" s="1"/>
  <c r="AH55" s="1"/>
  <c r="U59"/>
  <c r="AG59" s="1"/>
  <c r="AH59" s="1"/>
  <c r="U63"/>
  <c r="AG63" s="1"/>
  <c r="AH63" s="1"/>
  <c r="U68"/>
  <c r="AG68" s="1"/>
  <c r="AH68" s="1"/>
  <c r="AH7" i="943" l="1"/>
  <c r="AH73" s="1"/>
  <c r="AG73"/>
  <c r="AG73" i="941"/>
  <c r="AG73" i="940"/>
  <c r="AH73"/>
  <c r="U73" i="939"/>
  <c r="AF8"/>
  <c r="AF73" s="1"/>
  <c r="Z73"/>
  <c r="U73" i="938"/>
  <c r="AF68"/>
  <c r="AF73" s="1"/>
  <c r="Z73"/>
  <c r="AH7"/>
  <c r="AG68"/>
  <c r="AH68" s="1"/>
  <c r="AF73" i="937"/>
  <c r="AH7"/>
  <c r="AH73" s="1"/>
  <c r="AG73"/>
  <c r="AF73" i="936"/>
  <c r="AG73"/>
  <c r="AH73"/>
  <c r="AG7" i="935"/>
  <c r="U73" i="934"/>
  <c r="AG14"/>
  <c r="AH14" s="1"/>
  <c r="AH73" s="1"/>
  <c r="AH7" i="933"/>
  <c r="AH73" s="1"/>
  <c r="AG73"/>
  <c r="AG73" i="932"/>
  <c r="AH7"/>
  <c r="AH73" s="1"/>
  <c r="AF73" i="931"/>
  <c r="AG7"/>
  <c r="Z73"/>
  <c r="AG12"/>
  <c r="AH12" s="1"/>
  <c r="AG14" i="930"/>
  <c r="AH14" s="1"/>
  <c r="Z73"/>
  <c r="AF73"/>
  <c r="AG7"/>
  <c r="U14" i="929"/>
  <c r="AG14" s="1"/>
  <c r="AH14" s="1"/>
  <c r="AG8"/>
  <c r="AH8" s="1"/>
  <c r="U12"/>
  <c r="Z12"/>
  <c r="AH7"/>
  <c r="S73"/>
  <c r="AG8" i="939" l="1"/>
  <c r="AH73" i="938"/>
  <c r="AG73"/>
  <c r="AH7" i="935"/>
  <c r="AH73" s="1"/>
  <c r="AG73"/>
  <c r="AG73" i="934"/>
  <c r="AG73" i="931"/>
  <c r="AH7"/>
  <c r="AH73" s="1"/>
  <c r="AG73" i="930"/>
  <c r="AH7"/>
  <c r="AH73" s="1"/>
  <c r="AF12" i="929"/>
  <c r="AF73" s="1"/>
  <c r="Z73"/>
  <c r="U73"/>
  <c r="AH8" i="939" l="1"/>
  <c r="AH73" s="1"/>
  <c r="AG73"/>
  <c r="AG12" i="929"/>
  <c r="AH12" l="1"/>
  <c r="AH73" s="1"/>
  <c r="AG73"/>
  <c r="R14" i="692" l="1"/>
  <c r="R8"/>
  <c r="R50"/>
  <c r="R9"/>
  <c r="R10"/>
  <c r="R12"/>
  <c r="R13"/>
  <c r="R15"/>
  <c r="R16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"/>
  <c r="E7"/>
  <c r="F7"/>
  <c r="G7"/>
  <c r="H7"/>
  <c r="I7"/>
  <c r="J7"/>
  <c r="K7"/>
  <c r="L7"/>
  <c r="M7"/>
  <c r="N7"/>
  <c r="O7"/>
  <c r="P7"/>
  <c r="E8"/>
  <c r="F8"/>
  <c r="G8"/>
  <c r="H8"/>
  <c r="I8"/>
  <c r="J8"/>
  <c r="K8"/>
  <c r="L8"/>
  <c r="M8"/>
  <c r="N8"/>
  <c r="O8"/>
  <c r="P8"/>
  <c r="E9"/>
  <c r="F9"/>
  <c r="G9"/>
  <c r="H9"/>
  <c r="I9"/>
  <c r="J9"/>
  <c r="K9"/>
  <c r="L9"/>
  <c r="M9"/>
  <c r="N9"/>
  <c r="O9"/>
  <c r="P9"/>
  <c r="E10"/>
  <c r="F10"/>
  <c r="G10"/>
  <c r="H10"/>
  <c r="I10"/>
  <c r="J10"/>
  <c r="K10"/>
  <c r="L10"/>
  <c r="M10"/>
  <c r="N10"/>
  <c r="O10"/>
  <c r="P10"/>
  <c r="E11"/>
  <c r="F11"/>
  <c r="G11"/>
  <c r="H11"/>
  <c r="I11"/>
  <c r="J11"/>
  <c r="K11"/>
  <c r="L11"/>
  <c r="M11"/>
  <c r="N11"/>
  <c r="O11"/>
  <c r="P11"/>
  <c r="E12"/>
  <c r="F12"/>
  <c r="G12"/>
  <c r="H12"/>
  <c r="I12"/>
  <c r="J12"/>
  <c r="K12"/>
  <c r="L12"/>
  <c r="M12"/>
  <c r="N12"/>
  <c r="O12"/>
  <c r="P12"/>
  <c r="E13"/>
  <c r="F13"/>
  <c r="G13"/>
  <c r="H13"/>
  <c r="I13"/>
  <c r="J13"/>
  <c r="K13"/>
  <c r="L13"/>
  <c r="M13"/>
  <c r="N13"/>
  <c r="O13"/>
  <c r="P13"/>
  <c r="E14"/>
  <c r="F14"/>
  <c r="G14"/>
  <c r="H14"/>
  <c r="I14"/>
  <c r="J14"/>
  <c r="K14"/>
  <c r="L14"/>
  <c r="M14"/>
  <c r="N14"/>
  <c r="O14"/>
  <c r="P14"/>
  <c r="E15"/>
  <c r="F15"/>
  <c r="G15"/>
  <c r="H15"/>
  <c r="I15"/>
  <c r="J15"/>
  <c r="K15"/>
  <c r="L15"/>
  <c r="M15"/>
  <c r="N15"/>
  <c r="O15"/>
  <c r="P15"/>
  <c r="E16"/>
  <c r="F16"/>
  <c r="G16"/>
  <c r="H16"/>
  <c r="I16"/>
  <c r="J16"/>
  <c r="K16"/>
  <c r="L16"/>
  <c r="M16"/>
  <c r="N16"/>
  <c r="O16"/>
  <c r="P16"/>
  <c r="E17"/>
  <c r="F17"/>
  <c r="G17"/>
  <c r="H17"/>
  <c r="I17"/>
  <c r="J17"/>
  <c r="K17"/>
  <c r="L17"/>
  <c r="M17"/>
  <c r="N17"/>
  <c r="O17"/>
  <c r="P17"/>
  <c r="E18"/>
  <c r="F18"/>
  <c r="G18"/>
  <c r="H18"/>
  <c r="I18"/>
  <c r="J18"/>
  <c r="K18"/>
  <c r="L18"/>
  <c r="M18"/>
  <c r="N18"/>
  <c r="O18"/>
  <c r="P18"/>
  <c r="E19"/>
  <c r="F19"/>
  <c r="G19"/>
  <c r="H19"/>
  <c r="I19"/>
  <c r="J19"/>
  <c r="K19"/>
  <c r="L19"/>
  <c r="M19"/>
  <c r="N19"/>
  <c r="O19"/>
  <c r="P19"/>
  <c r="E20"/>
  <c r="F20"/>
  <c r="G20"/>
  <c r="H20"/>
  <c r="I20"/>
  <c r="J20"/>
  <c r="K20"/>
  <c r="L20"/>
  <c r="M20"/>
  <c r="N20"/>
  <c r="O20"/>
  <c r="P20"/>
  <c r="E21"/>
  <c r="F21"/>
  <c r="G21"/>
  <c r="H21"/>
  <c r="I21"/>
  <c r="J21"/>
  <c r="K21"/>
  <c r="L21"/>
  <c r="M21"/>
  <c r="N21"/>
  <c r="O21"/>
  <c r="P21"/>
  <c r="E22"/>
  <c r="F22"/>
  <c r="G22"/>
  <c r="H22"/>
  <c r="I22"/>
  <c r="J22"/>
  <c r="K22"/>
  <c r="L22"/>
  <c r="M22"/>
  <c r="N22"/>
  <c r="O22"/>
  <c r="P22"/>
  <c r="E23"/>
  <c r="F23"/>
  <c r="G23"/>
  <c r="H23"/>
  <c r="I23"/>
  <c r="J23"/>
  <c r="K23"/>
  <c r="L23"/>
  <c r="M23"/>
  <c r="N23"/>
  <c r="O23"/>
  <c r="P23"/>
  <c r="E24"/>
  <c r="F24"/>
  <c r="G24"/>
  <c r="H24"/>
  <c r="I24"/>
  <c r="J24"/>
  <c r="K24"/>
  <c r="L24"/>
  <c r="M24"/>
  <c r="N24"/>
  <c r="O24"/>
  <c r="P24"/>
  <c r="E25"/>
  <c r="F25"/>
  <c r="G25"/>
  <c r="H25"/>
  <c r="I25"/>
  <c r="J25"/>
  <c r="K25"/>
  <c r="L25"/>
  <c r="M25"/>
  <c r="N25"/>
  <c r="O25"/>
  <c r="P25"/>
  <c r="E26"/>
  <c r="F26"/>
  <c r="G26"/>
  <c r="H26"/>
  <c r="I26"/>
  <c r="J26"/>
  <c r="K26"/>
  <c r="L26"/>
  <c r="M26"/>
  <c r="N26"/>
  <c r="O26"/>
  <c r="P26"/>
  <c r="E27"/>
  <c r="F27"/>
  <c r="G27"/>
  <c r="H27"/>
  <c r="I27"/>
  <c r="J27"/>
  <c r="K27"/>
  <c r="L27"/>
  <c r="M27"/>
  <c r="N27"/>
  <c r="O27"/>
  <c r="P27"/>
  <c r="E28"/>
  <c r="F28"/>
  <c r="G28"/>
  <c r="H28"/>
  <c r="I28"/>
  <c r="J28"/>
  <c r="K28"/>
  <c r="L28"/>
  <c r="M28"/>
  <c r="N28"/>
  <c r="O28"/>
  <c r="P28"/>
  <c r="E29"/>
  <c r="F29"/>
  <c r="G29"/>
  <c r="H29"/>
  <c r="I29"/>
  <c r="J29"/>
  <c r="K29"/>
  <c r="L29"/>
  <c r="M29"/>
  <c r="N29"/>
  <c r="O29"/>
  <c r="P29"/>
  <c r="E30"/>
  <c r="F30"/>
  <c r="G30"/>
  <c r="H30"/>
  <c r="I30"/>
  <c r="J30"/>
  <c r="K30"/>
  <c r="L30"/>
  <c r="M30"/>
  <c r="N30"/>
  <c r="O30"/>
  <c r="P30"/>
  <c r="E31"/>
  <c r="F31"/>
  <c r="G31"/>
  <c r="H31"/>
  <c r="I31"/>
  <c r="J31"/>
  <c r="K31"/>
  <c r="L31"/>
  <c r="M31"/>
  <c r="N31"/>
  <c r="O31"/>
  <c r="P31"/>
  <c r="E32"/>
  <c r="F32"/>
  <c r="G32"/>
  <c r="H32"/>
  <c r="I32"/>
  <c r="J32"/>
  <c r="K32"/>
  <c r="L32"/>
  <c r="M32"/>
  <c r="N32"/>
  <c r="O32"/>
  <c r="P32"/>
  <c r="E33"/>
  <c r="F33"/>
  <c r="G33"/>
  <c r="H33"/>
  <c r="I33"/>
  <c r="J33"/>
  <c r="K33"/>
  <c r="L33"/>
  <c r="M33"/>
  <c r="N33"/>
  <c r="O33"/>
  <c r="P33"/>
  <c r="E34"/>
  <c r="F34"/>
  <c r="G34"/>
  <c r="H34"/>
  <c r="I34"/>
  <c r="J34"/>
  <c r="K34"/>
  <c r="L34"/>
  <c r="M34"/>
  <c r="N34"/>
  <c r="O34"/>
  <c r="P34"/>
  <c r="E35"/>
  <c r="F35"/>
  <c r="G35"/>
  <c r="H35"/>
  <c r="I35"/>
  <c r="J35"/>
  <c r="K35"/>
  <c r="L35"/>
  <c r="M35"/>
  <c r="N35"/>
  <c r="O35"/>
  <c r="P35"/>
  <c r="E36"/>
  <c r="F36"/>
  <c r="G36"/>
  <c r="H36"/>
  <c r="I36"/>
  <c r="J36"/>
  <c r="K36"/>
  <c r="L36"/>
  <c r="M36"/>
  <c r="N36"/>
  <c r="O36"/>
  <c r="P36"/>
  <c r="E37"/>
  <c r="F37"/>
  <c r="G37"/>
  <c r="H37"/>
  <c r="I37"/>
  <c r="J37"/>
  <c r="K37"/>
  <c r="L37"/>
  <c r="M37"/>
  <c r="N37"/>
  <c r="O37"/>
  <c r="P37"/>
  <c r="E38"/>
  <c r="F38"/>
  <c r="G38"/>
  <c r="H38"/>
  <c r="I38"/>
  <c r="J38"/>
  <c r="K38"/>
  <c r="L38"/>
  <c r="M38"/>
  <c r="N38"/>
  <c r="O38"/>
  <c r="P38"/>
  <c r="E39"/>
  <c r="F39"/>
  <c r="G39"/>
  <c r="H39"/>
  <c r="I39"/>
  <c r="J39"/>
  <c r="K39"/>
  <c r="L39"/>
  <c r="M39"/>
  <c r="N39"/>
  <c r="O39"/>
  <c r="P39"/>
  <c r="E40"/>
  <c r="F40"/>
  <c r="G40"/>
  <c r="H40"/>
  <c r="I40"/>
  <c r="J40"/>
  <c r="K40"/>
  <c r="L40"/>
  <c r="M40"/>
  <c r="N40"/>
  <c r="O40"/>
  <c r="P40"/>
  <c r="E41"/>
  <c r="F41"/>
  <c r="G41"/>
  <c r="H41"/>
  <c r="I41"/>
  <c r="J41"/>
  <c r="K41"/>
  <c r="L41"/>
  <c r="M41"/>
  <c r="N41"/>
  <c r="O41"/>
  <c r="P41"/>
  <c r="E42"/>
  <c r="F42"/>
  <c r="G42"/>
  <c r="H42"/>
  <c r="I42"/>
  <c r="J42"/>
  <c r="K42"/>
  <c r="L42"/>
  <c r="M42"/>
  <c r="N42"/>
  <c r="O42"/>
  <c r="P42"/>
  <c r="E43"/>
  <c r="F43"/>
  <c r="G43"/>
  <c r="H43"/>
  <c r="I43"/>
  <c r="J43"/>
  <c r="K43"/>
  <c r="L43"/>
  <c r="M43"/>
  <c r="N43"/>
  <c r="O43"/>
  <c r="P43"/>
  <c r="E44"/>
  <c r="F44"/>
  <c r="G44"/>
  <c r="H44"/>
  <c r="I44"/>
  <c r="J44"/>
  <c r="K44"/>
  <c r="L44"/>
  <c r="M44"/>
  <c r="N44"/>
  <c r="O44"/>
  <c r="P44"/>
  <c r="E45"/>
  <c r="F45"/>
  <c r="G45"/>
  <c r="H45"/>
  <c r="I45"/>
  <c r="J45"/>
  <c r="K45"/>
  <c r="L45"/>
  <c r="M45"/>
  <c r="N45"/>
  <c r="O45"/>
  <c r="P45"/>
  <c r="E46"/>
  <c r="F46"/>
  <c r="G46"/>
  <c r="H46"/>
  <c r="I46"/>
  <c r="J46"/>
  <c r="K46"/>
  <c r="L46"/>
  <c r="M46"/>
  <c r="N46"/>
  <c r="O46"/>
  <c r="P46"/>
  <c r="E47"/>
  <c r="F47"/>
  <c r="G47"/>
  <c r="H47"/>
  <c r="I47"/>
  <c r="J47"/>
  <c r="K47"/>
  <c r="L47"/>
  <c r="M47"/>
  <c r="N47"/>
  <c r="O47"/>
  <c r="P47"/>
  <c r="E48"/>
  <c r="F48"/>
  <c r="G48"/>
  <c r="H48"/>
  <c r="I48"/>
  <c r="J48"/>
  <c r="K48"/>
  <c r="L48"/>
  <c r="M48"/>
  <c r="N48"/>
  <c r="O48"/>
  <c r="P48"/>
  <c r="E49"/>
  <c r="F49"/>
  <c r="G49"/>
  <c r="H49"/>
  <c r="I49"/>
  <c r="J49"/>
  <c r="K49"/>
  <c r="L49"/>
  <c r="M49"/>
  <c r="N49"/>
  <c r="O49"/>
  <c r="P49"/>
  <c r="E50"/>
  <c r="F50"/>
  <c r="H50"/>
  <c r="I50"/>
  <c r="J50"/>
  <c r="K50"/>
  <c r="L50"/>
  <c r="M50"/>
  <c r="N50"/>
  <c r="O50"/>
  <c r="P50"/>
  <c r="E51"/>
  <c r="F51"/>
  <c r="G51"/>
  <c r="H51"/>
  <c r="I51"/>
  <c r="J51"/>
  <c r="K51"/>
  <c r="L51"/>
  <c r="M51"/>
  <c r="N51"/>
  <c r="O51"/>
  <c r="P51"/>
  <c r="E52"/>
  <c r="F52"/>
  <c r="G52"/>
  <c r="H52"/>
  <c r="I52"/>
  <c r="J52"/>
  <c r="K52"/>
  <c r="L52"/>
  <c r="M52"/>
  <c r="N52"/>
  <c r="O52"/>
  <c r="P52"/>
  <c r="E53"/>
  <c r="F53"/>
  <c r="G53"/>
  <c r="H53"/>
  <c r="I53"/>
  <c r="J53"/>
  <c r="K53"/>
  <c r="L53"/>
  <c r="M53"/>
  <c r="N53"/>
  <c r="O53"/>
  <c r="P53"/>
  <c r="E54"/>
  <c r="F54"/>
  <c r="G54"/>
  <c r="H54"/>
  <c r="I54"/>
  <c r="J54"/>
  <c r="K54"/>
  <c r="L54"/>
  <c r="M54"/>
  <c r="N54"/>
  <c r="O54"/>
  <c r="P54"/>
  <c r="E55"/>
  <c r="F55"/>
  <c r="G55"/>
  <c r="H55"/>
  <c r="I55"/>
  <c r="J55"/>
  <c r="K55"/>
  <c r="L55"/>
  <c r="M55"/>
  <c r="N55"/>
  <c r="O55"/>
  <c r="P55"/>
  <c r="E56"/>
  <c r="F56"/>
  <c r="G56"/>
  <c r="H56"/>
  <c r="I56"/>
  <c r="J56"/>
  <c r="K56"/>
  <c r="L56"/>
  <c r="M56"/>
  <c r="N56"/>
  <c r="O56"/>
  <c r="P56"/>
  <c r="E57"/>
  <c r="F57"/>
  <c r="G57"/>
  <c r="H57"/>
  <c r="I57"/>
  <c r="J57"/>
  <c r="K57"/>
  <c r="L57"/>
  <c r="M57"/>
  <c r="N57"/>
  <c r="O57"/>
  <c r="P57"/>
  <c r="E58"/>
  <c r="F58"/>
  <c r="G58"/>
  <c r="H58"/>
  <c r="I58"/>
  <c r="J58"/>
  <c r="K58"/>
  <c r="L58"/>
  <c r="M58"/>
  <c r="N58"/>
  <c r="O58"/>
  <c r="P58"/>
  <c r="E59"/>
  <c r="F59"/>
  <c r="G59"/>
  <c r="H59"/>
  <c r="I59"/>
  <c r="J59"/>
  <c r="K59"/>
  <c r="L59"/>
  <c r="M59"/>
  <c r="N59"/>
  <c r="O59"/>
  <c r="P59"/>
  <c r="E60"/>
  <c r="F60"/>
  <c r="G60"/>
  <c r="H60"/>
  <c r="I60"/>
  <c r="J60"/>
  <c r="K60"/>
  <c r="L60"/>
  <c r="M60"/>
  <c r="N60"/>
  <c r="O60"/>
  <c r="P60"/>
  <c r="E61"/>
  <c r="F61"/>
  <c r="G61"/>
  <c r="H61"/>
  <c r="I61"/>
  <c r="J61"/>
  <c r="K61"/>
  <c r="L61"/>
  <c r="M61"/>
  <c r="N61"/>
  <c r="O61"/>
  <c r="P61"/>
  <c r="E62"/>
  <c r="F62"/>
  <c r="G62"/>
  <c r="H62"/>
  <c r="I62"/>
  <c r="J62"/>
  <c r="K62"/>
  <c r="L62"/>
  <c r="M62"/>
  <c r="N62"/>
  <c r="O62"/>
  <c r="P62"/>
  <c r="E63"/>
  <c r="F63"/>
  <c r="G63"/>
  <c r="H63"/>
  <c r="I63"/>
  <c r="J63"/>
  <c r="K63"/>
  <c r="L63"/>
  <c r="M63"/>
  <c r="N63"/>
  <c r="O63"/>
  <c r="P63"/>
  <c r="E64"/>
  <c r="F64"/>
  <c r="G64"/>
  <c r="H64"/>
  <c r="I64"/>
  <c r="J64"/>
  <c r="K64"/>
  <c r="L64"/>
  <c r="M64"/>
  <c r="N64"/>
  <c r="O64"/>
  <c r="P64"/>
  <c r="E65"/>
  <c r="F65"/>
  <c r="G65"/>
  <c r="H65"/>
  <c r="I65"/>
  <c r="J65"/>
  <c r="K65"/>
  <c r="L65"/>
  <c r="M65"/>
  <c r="N65"/>
  <c r="O65"/>
  <c r="P65"/>
  <c r="E66"/>
  <c r="F66"/>
  <c r="G66"/>
  <c r="H66"/>
  <c r="I66"/>
  <c r="J66"/>
  <c r="K66"/>
  <c r="L66"/>
  <c r="M66"/>
  <c r="N66"/>
  <c r="O66"/>
  <c r="P66"/>
  <c r="E67"/>
  <c r="F67"/>
  <c r="G67"/>
  <c r="H67"/>
  <c r="I67"/>
  <c r="J67"/>
  <c r="K67"/>
  <c r="L67"/>
  <c r="M67"/>
  <c r="N67"/>
  <c r="O67"/>
  <c r="P67"/>
  <c r="E68"/>
  <c r="F68"/>
  <c r="G68"/>
  <c r="H68"/>
  <c r="I68"/>
  <c r="J68"/>
  <c r="K68"/>
  <c r="L68"/>
  <c r="M68"/>
  <c r="N68"/>
  <c r="O68"/>
  <c r="P68"/>
  <c r="E69"/>
  <c r="F69"/>
  <c r="G69"/>
  <c r="H69"/>
  <c r="I69"/>
  <c r="J69"/>
  <c r="K69"/>
  <c r="L69"/>
  <c r="M69"/>
  <c r="N69"/>
  <c r="O69"/>
  <c r="P69"/>
  <c r="E70"/>
  <c r="F70"/>
  <c r="G70"/>
  <c r="H70"/>
  <c r="I70"/>
  <c r="J70"/>
  <c r="K70"/>
  <c r="L70"/>
  <c r="M70"/>
  <c r="N70"/>
  <c r="O70"/>
  <c r="P70"/>
  <c r="E71"/>
  <c r="F71"/>
  <c r="G71"/>
  <c r="H71"/>
  <c r="I71"/>
  <c r="J71"/>
  <c r="K71"/>
  <c r="L71"/>
  <c r="M71"/>
  <c r="N71"/>
  <c r="O71"/>
  <c r="P71"/>
  <c r="D8"/>
  <c r="D9"/>
  <c r="D10"/>
  <c r="D11"/>
  <c r="D12"/>
  <c r="D13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"/>
  <c r="R11" l="1"/>
  <c r="R17"/>
  <c r="D14"/>
  <c r="G50"/>
  <c r="W117" l="1"/>
  <c r="V117"/>
  <c r="Q71" i="515"/>
  <c r="D69"/>
  <c r="E69"/>
  <c r="F69"/>
  <c r="G69"/>
  <c r="H69"/>
  <c r="I69"/>
  <c r="J69"/>
  <c r="K69"/>
  <c r="L69"/>
  <c r="M69"/>
  <c r="N69"/>
  <c r="O69"/>
  <c r="P69"/>
  <c r="Q69"/>
  <c r="D70"/>
  <c r="E70"/>
  <c r="F70"/>
  <c r="G70"/>
  <c r="H70"/>
  <c r="I70"/>
  <c r="J70"/>
  <c r="K70"/>
  <c r="L70"/>
  <c r="M70"/>
  <c r="N70"/>
  <c r="O70"/>
  <c r="P70"/>
  <c r="Q70"/>
  <c r="D71"/>
  <c r="E71"/>
  <c r="F71"/>
  <c r="G71"/>
  <c r="H71"/>
  <c r="I71"/>
  <c r="J71"/>
  <c r="K71"/>
  <c r="L71"/>
  <c r="M71"/>
  <c r="N71"/>
  <c r="O71"/>
  <c r="P71"/>
  <c r="D72"/>
  <c r="E72"/>
  <c r="F72"/>
  <c r="G72"/>
  <c r="H72"/>
  <c r="I72"/>
  <c r="J72"/>
  <c r="K72"/>
  <c r="L72"/>
  <c r="M72"/>
  <c r="N72"/>
  <c r="O72"/>
  <c r="P72"/>
  <c r="Q72"/>
  <c r="D73"/>
  <c r="E73"/>
  <c r="F73"/>
  <c r="G73"/>
  <c r="H73"/>
  <c r="I73"/>
  <c r="J73"/>
  <c r="K73"/>
  <c r="L73"/>
  <c r="M73"/>
  <c r="N73"/>
  <c r="O73"/>
  <c r="P73"/>
  <c r="Q73"/>
  <c r="C70"/>
  <c r="C71"/>
  <c r="C72"/>
  <c r="C73"/>
  <c r="C69"/>
  <c r="N74"/>
  <c r="O74"/>
  <c r="P74"/>
  <c r="Q74"/>
  <c r="C76" l="1"/>
  <c r="Q76"/>
  <c r="X117" i="692" l="1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M77"/>
  <c r="F77"/>
  <c r="S69" l="1"/>
  <c r="U69" s="1"/>
  <c r="AG69" s="1"/>
  <c r="AH69" s="1"/>
  <c r="S13"/>
  <c r="U13" s="1"/>
  <c r="AG13" s="1"/>
  <c r="AH13" s="1"/>
  <c r="S21"/>
  <c r="U21" s="1"/>
  <c r="AG21" s="1"/>
  <c r="AH21" s="1"/>
  <c r="S22"/>
  <c r="U22" s="1"/>
  <c r="AG22" s="1"/>
  <c r="AH22" s="1"/>
  <c r="S25"/>
  <c r="U25" s="1"/>
  <c r="AG25" s="1"/>
  <c r="AH25" s="1"/>
  <c r="S33"/>
  <c r="U33" s="1"/>
  <c r="AG33" s="1"/>
  <c r="AH33" s="1"/>
  <c r="S37"/>
  <c r="U37" s="1"/>
  <c r="AG37" s="1"/>
  <c r="AH37" s="1"/>
  <c r="S41"/>
  <c r="U41" s="1"/>
  <c r="AG41" s="1"/>
  <c r="AH41" s="1"/>
  <c r="S42"/>
  <c r="U42" s="1"/>
  <c r="AG42" s="1"/>
  <c r="AH42" s="1"/>
  <c r="S49"/>
  <c r="U49" s="1"/>
  <c r="AG49" s="1"/>
  <c r="AH49" s="1"/>
  <c r="N73"/>
  <c r="O73"/>
  <c r="Q9"/>
  <c r="Q21"/>
  <c r="E73"/>
  <c r="F73"/>
  <c r="I73"/>
  <c r="J73"/>
  <c r="M73"/>
  <c r="Q8"/>
  <c r="Q12"/>
  <c r="Q16"/>
  <c r="Q20"/>
  <c r="Q24"/>
  <c r="Q28"/>
  <c r="Q36"/>
  <c r="Q40"/>
  <c r="Q44"/>
  <c r="Q52"/>
  <c r="Q60"/>
  <c r="Q68"/>
  <c r="S11"/>
  <c r="U11" s="1"/>
  <c r="AG11" s="1"/>
  <c r="AH11" s="1"/>
  <c r="S12"/>
  <c r="U12" s="1"/>
  <c r="AG12" s="1"/>
  <c r="AH12" s="1"/>
  <c r="S15"/>
  <c r="U15" s="1"/>
  <c r="AG15" s="1"/>
  <c r="AH15" s="1"/>
  <c r="S20"/>
  <c r="U20" s="1"/>
  <c r="AG20" s="1"/>
  <c r="AH20" s="1"/>
  <c r="S23"/>
  <c r="U23" s="1"/>
  <c r="AG23" s="1"/>
  <c r="AH23" s="1"/>
  <c r="S27"/>
  <c r="U27" s="1"/>
  <c r="AG27" s="1"/>
  <c r="AH27" s="1"/>
  <c r="S31"/>
  <c r="U31" s="1"/>
  <c r="AG31" s="1"/>
  <c r="AH31" s="1"/>
  <c r="S35"/>
  <c r="U35" s="1"/>
  <c r="AG35" s="1"/>
  <c r="AH35" s="1"/>
  <c r="S47"/>
  <c r="U47" s="1"/>
  <c r="AG47" s="1"/>
  <c r="AH47" s="1"/>
  <c r="S48"/>
  <c r="U48" s="1"/>
  <c r="AG48" s="1"/>
  <c r="AH48" s="1"/>
  <c r="S55"/>
  <c r="U55" s="1"/>
  <c r="AG55" s="1"/>
  <c r="AH55" s="1"/>
  <c r="S63"/>
  <c r="U63" s="1"/>
  <c r="AG63" s="1"/>
  <c r="AH63" s="1"/>
  <c r="S68"/>
  <c r="U68" s="1"/>
  <c r="AG68" s="1"/>
  <c r="AH68" s="1"/>
  <c r="D73"/>
  <c r="E75" s="1"/>
  <c r="R75" s="1"/>
  <c r="W118"/>
  <c r="V118"/>
  <c r="T118"/>
  <c r="R77"/>
  <c r="AJ73"/>
  <c r="AI73"/>
  <c r="AE73"/>
  <c r="AD73"/>
  <c r="AC73"/>
  <c r="AB73"/>
  <c r="AA73"/>
  <c r="Z73"/>
  <c r="Y73"/>
  <c r="V73"/>
  <c r="P73"/>
  <c r="C73"/>
  <c r="AF72"/>
  <c r="AG72" s="1"/>
  <c r="AH72" s="1"/>
  <c r="AF71"/>
  <c r="T71"/>
  <c r="AF70"/>
  <c r="T70"/>
  <c r="AF69"/>
  <c r="T69"/>
  <c r="AF68"/>
  <c r="AF67"/>
  <c r="T67"/>
  <c r="AH66"/>
  <c r="AG66"/>
  <c r="AF66"/>
  <c r="AF65"/>
  <c r="AF64"/>
  <c r="AF63"/>
  <c r="AF62"/>
  <c r="S62"/>
  <c r="U62" s="1"/>
  <c r="AG62" s="1"/>
  <c r="AH62" s="1"/>
  <c r="AF61"/>
  <c r="AF60"/>
  <c r="AF59"/>
  <c r="S59"/>
  <c r="U59" s="1"/>
  <c r="AG59" s="1"/>
  <c r="AH59" s="1"/>
  <c r="AF58"/>
  <c r="U58"/>
  <c r="AG58" s="1"/>
  <c r="AH58" s="1"/>
  <c r="AF57"/>
  <c r="AF56"/>
  <c r="AF55"/>
  <c r="AF54"/>
  <c r="S54"/>
  <c r="U54" s="1"/>
  <c r="AG54" s="1"/>
  <c r="AH54" s="1"/>
  <c r="AF53"/>
  <c r="AF52"/>
  <c r="AF51"/>
  <c r="S51"/>
  <c r="U51" s="1"/>
  <c r="AG51" s="1"/>
  <c r="AH51" s="1"/>
  <c r="AF50"/>
  <c r="T50"/>
  <c r="AF49"/>
  <c r="AF48"/>
  <c r="AF47"/>
  <c r="V47"/>
  <c r="AF46"/>
  <c r="S46"/>
  <c r="U46" s="1"/>
  <c r="AG46" s="1"/>
  <c r="AH46" s="1"/>
  <c r="AF45"/>
  <c r="AF44"/>
  <c r="AH43"/>
  <c r="AG43"/>
  <c r="AF43"/>
  <c r="AF42"/>
  <c r="T42"/>
  <c r="AF41"/>
  <c r="AF40"/>
  <c r="AF39"/>
  <c r="S39"/>
  <c r="U39" s="1"/>
  <c r="AG39" s="1"/>
  <c r="AH39" s="1"/>
  <c r="AF38"/>
  <c r="AF37"/>
  <c r="AF36"/>
  <c r="AF35"/>
  <c r="AF34"/>
  <c r="AF33"/>
  <c r="AF32"/>
  <c r="T32"/>
  <c r="AF31"/>
  <c r="AF30"/>
  <c r="T30"/>
  <c r="AF29"/>
  <c r="AF28"/>
  <c r="AF27"/>
  <c r="AF26"/>
  <c r="AF25"/>
  <c r="AF24"/>
  <c r="AF23"/>
  <c r="AF22"/>
  <c r="AF21"/>
  <c r="AF20"/>
  <c r="AF19"/>
  <c r="AF18"/>
  <c r="AG18" s="1"/>
  <c r="AH18" s="1"/>
  <c r="AF17"/>
  <c r="T17"/>
  <c r="AF16"/>
  <c r="T16"/>
  <c r="AF15"/>
  <c r="T15"/>
  <c r="AF14"/>
  <c r="T14"/>
  <c r="AF13"/>
  <c r="AF12"/>
  <c r="T12"/>
  <c r="AF11"/>
  <c r="T11"/>
  <c r="AF10"/>
  <c r="AF9"/>
  <c r="AF73" s="1"/>
  <c r="T9"/>
  <c r="AF8"/>
  <c r="T8"/>
  <c r="AF7"/>
  <c r="T7"/>
  <c r="T73" s="1"/>
  <c r="X118" l="1"/>
  <c r="S67"/>
  <c r="U67" s="1"/>
  <c r="AG67" s="1"/>
  <c r="AH67" s="1"/>
  <c r="S71"/>
  <c r="U71" s="1"/>
  <c r="AG71" s="1"/>
  <c r="AH71" s="1"/>
  <c r="S16"/>
  <c r="U16" s="1"/>
  <c r="AG16" s="1"/>
  <c r="AH16" s="1"/>
  <c r="S19"/>
  <c r="U19" s="1"/>
  <c r="AG19" s="1"/>
  <c r="AH19" s="1"/>
  <c r="S70"/>
  <c r="U70" s="1"/>
  <c r="AG70" s="1"/>
  <c r="AH70" s="1"/>
  <c r="S17"/>
  <c r="U17" s="1"/>
  <c r="AG17" s="1"/>
  <c r="AH17" s="1"/>
  <c r="S50"/>
  <c r="U50" s="1"/>
  <c r="AG50" s="1"/>
  <c r="AH50" s="1"/>
  <c r="S38"/>
  <c r="U38" s="1"/>
  <c r="AG38" s="1"/>
  <c r="AH38" s="1"/>
  <c r="S14"/>
  <c r="U14" s="1"/>
  <c r="AG14" s="1"/>
  <c r="AH14" s="1"/>
  <c r="K73"/>
  <c r="G73"/>
  <c r="L73"/>
  <c r="H73"/>
  <c r="S7"/>
  <c r="U7" s="1"/>
  <c r="S36"/>
  <c r="U36" s="1"/>
  <c r="AG36" s="1"/>
  <c r="AH36" s="1"/>
  <c r="S56"/>
  <c r="U56" s="1"/>
  <c r="AG56" s="1"/>
  <c r="AH56" s="1"/>
  <c r="S44"/>
  <c r="U44" s="1"/>
  <c r="AG44" s="1"/>
  <c r="AH44" s="1"/>
  <c r="S28"/>
  <c r="U28" s="1"/>
  <c r="AG28" s="1"/>
  <c r="AH28" s="1"/>
  <c r="S8"/>
  <c r="U8" s="1"/>
  <c r="AG8" s="1"/>
  <c r="AH8" s="1"/>
  <c r="Q55"/>
  <c r="Q48"/>
  <c r="Q32"/>
  <c r="R73"/>
  <c r="D76" s="1"/>
  <c r="R76" s="1"/>
  <c r="R80" s="1"/>
  <c r="S34"/>
  <c r="U34" s="1"/>
  <c r="AG34" s="1"/>
  <c r="AH34" s="1"/>
  <c r="S30"/>
  <c r="U30" s="1"/>
  <c r="AG30" s="1"/>
  <c r="AH30" s="1"/>
  <c r="S26"/>
  <c r="U26" s="1"/>
  <c r="AG26" s="1"/>
  <c r="AH26" s="1"/>
  <c r="S10"/>
  <c r="U10" s="1"/>
  <c r="AG10" s="1"/>
  <c r="AH10" s="1"/>
  <c r="S64"/>
  <c r="U64" s="1"/>
  <c r="AG64" s="1"/>
  <c r="AH64" s="1"/>
  <c r="S60"/>
  <c r="U60" s="1"/>
  <c r="AG60" s="1"/>
  <c r="AH60" s="1"/>
  <c r="S52"/>
  <c r="U52" s="1"/>
  <c r="AG52" s="1"/>
  <c r="AH52" s="1"/>
  <c r="S40"/>
  <c r="U40" s="1"/>
  <c r="AG40" s="1"/>
  <c r="AH40" s="1"/>
  <c r="S32"/>
  <c r="U32" s="1"/>
  <c r="AG32" s="1"/>
  <c r="AH32" s="1"/>
  <c r="S24"/>
  <c r="U24" s="1"/>
  <c r="AG24" s="1"/>
  <c r="AH24" s="1"/>
  <c r="Q63"/>
  <c r="Q47"/>
  <c r="S61"/>
  <c r="U61" s="1"/>
  <c r="AG61" s="1"/>
  <c r="AH61" s="1"/>
  <c r="S57"/>
  <c r="U57" s="1"/>
  <c r="AG57" s="1"/>
  <c r="AH57" s="1"/>
  <c r="S53"/>
  <c r="U53" s="1"/>
  <c r="AG53" s="1"/>
  <c r="AH53" s="1"/>
  <c r="S45"/>
  <c r="U45" s="1"/>
  <c r="AG45" s="1"/>
  <c r="AH45" s="1"/>
  <c r="S29"/>
  <c r="U29" s="1"/>
  <c r="AG29" s="1"/>
  <c r="AH29" s="1"/>
  <c r="S9"/>
  <c r="U9" s="1"/>
  <c r="AG9" s="1"/>
  <c r="AH9" s="1"/>
  <c r="S65"/>
  <c r="U65" s="1"/>
  <c r="AG65" s="1"/>
  <c r="AH65" s="1"/>
  <c r="Q71"/>
  <c r="Q70"/>
  <c r="Q69"/>
  <c r="Q67"/>
  <c r="Q65"/>
  <c r="Q64"/>
  <c r="Q62"/>
  <c r="Q61"/>
  <c r="Q59"/>
  <c r="Q58"/>
  <c r="Q57"/>
  <c r="Q56"/>
  <c r="Q54"/>
  <c r="Q53"/>
  <c r="Q51"/>
  <c r="Q50"/>
  <c r="Q49"/>
  <c r="Q46"/>
  <c r="Q45"/>
  <c r="Q42"/>
  <c r="Q41"/>
  <c r="Q39"/>
  <c r="Q38"/>
  <c r="Q37"/>
  <c r="Q35"/>
  <c r="Q34"/>
  <c r="Q33"/>
  <c r="Q31"/>
  <c r="Q30"/>
  <c r="Q29"/>
  <c r="Q27"/>
  <c r="Q26"/>
  <c r="Q25"/>
  <c r="Q23"/>
  <c r="Q22"/>
  <c r="Q19"/>
  <c r="Q17"/>
  <c r="Q15"/>
  <c r="Q14"/>
  <c r="Q13"/>
  <c r="Q11"/>
  <c r="Q10"/>
  <c r="Q7"/>
  <c r="Q73" l="1"/>
  <c r="E74" s="1"/>
  <c r="R74" s="1"/>
  <c r="T74" s="1"/>
  <c r="S73"/>
  <c r="U73"/>
  <c r="AG7"/>
  <c r="AH7" l="1"/>
  <c r="AH73" s="1"/>
  <c r="AG73"/>
</calcChain>
</file>

<file path=xl/sharedStrings.xml><?xml version="1.0" encoding="utf-8"?>
<sst xmlns="http://schemas.openxmlformats.org/spreadsheetml/2006/main" count="3128" uniqueCount="178">
  <si>
    <t>Total</t>
  </si>
  <si>
    <t>Krishibid Feed Ltd.</t>
  </si>
  <si>
    <t>Nishinda, Bhaluka, Mymensingh</t>
  </si>
  <si>
    <t>Daily Finished Goods Statement</t>
  </si>
  <si>
    <t>Sl No</t>
  </si>
  <si>
    <t>Itame Name</t>
  </si>
  <si>
    <t>Production</t>
  </si>
  <si>
    <t>Delivery</t>
  </si>
  <si>
    <t>Return Feed</t>
  </si>
  <si>
    <t>Actual Monthly delivery</t>
  </si>
  <si>
    <t xml:space="preserve">Gross Total Stock                                                   </t>
  </si>
  <si>
    <t>Monthly dust stock</t>
  </si>
  <si>
    <t>Monthly KBD Delivery</t>
  </si>
  <si>
    <t>Cattle</t>
  </si>
  <si>
    <t>KFL</t>
  </si>
  <si>
    <t>Total cattle F/S</t>
  </si>
  <si>
    <t>Monthly Production-Rented</t>
  </si>
  <si>
    <t>Total Monthly Production</t>
  </si>
  <si>
    <t>Pran</t>
  </si>
  <si>
    <t>Broiler Starter</t>
  </si>
  <si>
    <t>Broiler Grower</t>
  </si>
  <si>
    <t>Broiler Finisher</t>
  </si>
  <si>
    <t>Broiler House Feed</t>
  </si>
  <si>
    <t>Layer Starter cr</t>
  </si>
  <si>
    <t>Layer Grower</t>
  </si>
  <si>
    <t>Sonali Starter</t>
  </si>
  <si>
    <t>Sonali Grower</t>
  </si>
  <si>
    <t>Pangus Starter-2</t>
  </si>
  <si>
    <t xml:space="preserve">Pangus Grower </t>
  </si>
  <si>
    <t>pangus Finisher</t>
  </si>
  <si>
    <t>Telapia Nursery-1</t>
  </si>
  <si>
    <t>Telapia Nursery-2</t>
  </si>
  <si>
    <t>Telapia Starter</t>
  </si>
  <si>
    <t>Telapia Grower</t>
  </si>
  <si>
    <t>Carp Starter</t>
  </si>
  <si>
    <t>Carp Grower</t>
  </si>
  <si>
    <t>Sing &amp; Magur Pre-St  Flot</t>
  </si>
  <si>
    <t>Koi Starter</t>
  </si>
  <si>
    <t>Shrimp Feed</t>
  </si>
  <si>
    <t>Golda Starter</t>
  </si>
  <si>
    <t>Golda Grower</t>
  </si>
  <si>
    <t>Bagda Starter</t>
  </si>
  <si>
    <t>Bagda Grower</t>
  </si>
  <si>
    <t>Beef Hi-Pro</t>
  </si>
  <si>
    <t>Beef Regular</t>
  </si>
  <si>
    <t>Dairy Hi-Pro</t>
  </si>
  <si>
    <t>Dairy Regular</t>
  </si>
  <si>
    <t>Hatchery</t>
  </si>
  <si>
    <t>Pangus Starter</t>
  </si>
  <si>
    <t>Pangus Finisher- F</t>
  </si>
  <si>
    <t>Pangus Grower- F</t>
  </si>
  <si>
    <t>Pangus Starter- F</t>
  </si>
  <si>
    <t>Pangus Grower- F(OC)</t>
  </si>
  <si>
    <t>Pangus Finisher- F (OC)</t>
  </si>
  <si>
    <t>Telapia Pre Starter- F</t>
  </si>
  <si>
    <t>Telapia Starter- F</t>
  </si>
  <si>
    <t>Telapia Grower- F</t>
  </si>
  <si>
    <t>Telapia Starter- F(OC)</t>
  </si>
  <si>
    <t>Telapia Grower- F (OC)</t>
  </si>
  <si>
    <t>Carp Grower- F</t>
  </si>
  <si>
    <t>Carp Grower- F (OC)</t>
  </si>
  <si>
    <t>Sing &amp; magur Grower- F</t>
  </si>
  <si>
    <t>Koi Starter- Floating</t>
  </si>
  <si>
    <t>D/R Mash</t>
  </si>
  <si>
    <t>Total  Poultry feed</t>
  </si>
  <si>
    <t>Total Sinking</t>
  </si>
  <si>
    <t>Floating Feed</t>
  </si>
  <si>
    <t>Poultry Feed</t>
  </si>
  <si>
    <t>Sinking Feed</t>
  </si>
  <si>
    <t>Sr. Asst.Manager (Store)</t>
  </si>
  <si>
    <t>Sing/Magur Grower</t>
  </si>
  <si>
    <t>Monthly KBD-F Delivery</t>
  </si>
  <si>
    <t>Total floating Feed</t>
  </si>
  <si>
    <t>Asst.Manager (Production)</t>
  </si>
  <si>
    <t>Prepared By:</t>
  </si>
  <si>
    <t>koi Sing &amp; Magur Pre-St- F(OC)</t>
  </si>
  <si>
    <t>Layer Layer-1 (PP Bag)</t>
  </si>
  <si>
    <t>Pangus Starter-1</t>
  </si>
  <si>
    <t>Pangus Pre  Starter- F</t>
  </si>
  <si>
    <t>Pangus Nursery 1</t>
  </si>
  <si>
    <t>Pangus Nursery 2</t>
  </si>
  <si>
    <t>Layer Grower Pellet</t>
  </si>
  <si>
    <t>Software Opening Balance</t>
  </si>
  <si>
    <t>Software Closing Balance</t>
  </si>
  <si>
    <t>Variance</t>
  </si>
  <si>
    <t>Physical Closing Balance</t>
  </si>
  <si>
    <t>Telapia Pre Str- F(OC)</t>
  </si>
  <si>
    <t>Remarks              (Reject Feed)</t>
  </si>
  <si>
    <t>Pangus  St  F (OC)</t>
  </si>
  <si>
    <t>Bahadurpur</t>
  </si>
  <si>
    <t>Boholi</t>
  </si>
  <si>
    <t>GLDL</t>
  </si>
  <si>
    <t>Poultry (Kua)</t>
  </si>
  <si>
    <t>Poultry (Gugium)</t>
  </si>
  <si>
    <t>Reprocess</t>
  </si>
  <si>
    <t>sathkira</t>
  </si>
  <si>
    <t>Koi Grower</t>
  </si>
  <si>
    <t>Sing/Magur Starter</t>
  </si>
  <si>
    <t>Bogra</t>
  </si>
  <si>
    <t>Jessore</t>
  </si>
  <si>
    <t>Comilla</t>
  </si>
  <si>
    <t>Cox</t>
  </si>
  <si>
    <t>Physical (Factory &amp; Depot)</t>
  </si>
  <si>
    <t>Depot stock</t>
  </si>
  <si>
    <t>Nursery 1.00mm</t>
  </si>
  <si>
    <t>Khulna</t>
  </si>
  <si>
    <t>Layer Layer-2</t>
  </si>
  <si>
    <t>Nursery 0.80mm</t>
  </si>
  <si>
    <t>Rangpur</t>
  </si>
  <si>
    <t>SFair</t>
  </si>
  <si>
    <t>Farmer</t>
  </si>
  <si>
    <t>Sorker</t>
  </si>
  <si>
    <t>Date: 01.10.18</t>
  </si>
  <si>
    <t>Koi Nursery</t>
  </si>
  <si>
    <t>Koi Grower Floating oc</t>
  </si>
  <si>
    <t>Sing &amp; Magur nursery</t>
  </si>
  <si>
    <t>Upto 01.10.18</t>
  </si>
  <si>
    <t>SL No.</t>
  </si>
  <si>
    <t>Remarks</t>
  </si>
  <si>
    <t>Finished Goods Variance report upto 01.10.18</t>
  </si>
  <si>
    <t>Physical              ( Depot)</t>
  </si>
  <si>
    <t>Physical (Factory)</t>
  </si>
  <si>
    <t>COO</t>
  </si>
  <si>
    <t>Asia</t>
  </si>
  <si>
    <t>Rent</t>
  </si>
  <si>
    <t>Max</t>
  </si>
  <si>
    <t>Date: 31.03.19</t>
  </si>
  <si>
    <t>Sumon</t>
  </si>
  <si>
    <t>Poultry (salt)</t>
  </si>
  <si>
    <t>Monowara</t>
  </si>
  <si>
    <t>Mondol</t>
  </si>
  <si>
    <t>Mostofa</t>
  </si>
  <si>
    <t>Pusti</t>
  </si>
  <si>
    <t>Milon</t>
  </si>
  <si>
    <t>kaligonj</t>
  </si>
  <si>
    <t>Manager (Store)</t>
  </si>
  <si>
    <t>Manager (Production)</t>
  </si>
  <si>
    <t>DCEO</t>
  </si>
  <si>
    <t>Sunmon</t>
  </si>
  <si>
    <t>Khadija</t>
  </si>
  <si>
    <t>Sonarbangla</t>
  </si>
  <si>
    <t>plty</t>
  </si>
  <si>
    <t>Sarker</t>
  </si>
  <si>
    <t>Bhaha</t>
  </si>
  <si>
    <t>GL</t>
  </si>
  <si>
    <t>pran</t>
  </si>
  <si>
    <t>asia</t>
  </si>
  <si>
    <t>A R</t>
  </si>
  <si>
    <t>Maysa</t>
  </si>
  <si>
    <t>FAO</t>
  </si>
  <si>
    <t>Bhaluka Feed</t>
  </si>
  <si>
    <t>Talukder Feed</t>
  </si>
  <si>
    <t>Date: 01.12.19</t>
  </si>
  <si>
    <t>Date: 02.12.19</t>
  </si>
  <si>
    <t>Date: 03.12.19</t>
  </si>
  <si>
    <t>Date: 04.12.19</t>
  </si>
  <si>
    <t>Date: 05.12.19</t>
  </si>
  <si>
    <t>Khokon</t>
  </si>
  <si>
    <t>Date: 06.12.19</t>
  </si>
  <si>
    <t>pusti power</t>
  </si>
  <si>
    <t>Date: 07.12.19</t>
  </si>
  <si>
    <t>Date: 08.12.19</t>
  </si>
  <si>
    <t>Date: 09.12.19</t>
  </si>
  <si>
    <t>Date: 10.12.19</t>
  </si>
  <si>
    <t>Date: 11.12.19</t>
  </si>
  <si>
    <t>Poultry (ku)</t>
  </si>
  <si>
    <t>Date: 12.12.19</t>
  </si>
  <si>
    <t>Talukder</t>
  </si>
  <si>
    <t>Azom</t>
  </si>
  <si>
    <t>Date: 13.12.19</t>
  </si>
  <si>
    <t>Date: 14.12.19</t>
  </si>
  <si>
    <t>Date: 15.12.19</t>
  </si>
  <si>
    <t>Date: 16.12.19</t>
  </si>
  <si>
    <t>Date: 17.12.19</t>
  </si>
  <si>
    <t>Date: 18.12.19</t>
  </si>
  <si>
    <t>Date: 19.12.19</t>
  </si>
  <si>
    <t>Date: 20.12.19</t>
  </si>
  <si>
    <t>Date: 21.12.19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</si>
</sst>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8"/>
      <name val="Arial Narrow"/>
      <family val="2"/>
    </font>
    <font>
      <sz val="9"/>
      <name val="Arial Narrow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Calibri"/>
      <family val="2"/>
      <scheme val="minor"/>
    </font>
    <font>
      <sz val="7"/>
      <name val="Times New Roman"/>
      <family val="1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Arial Narrow"/>
      <family val="2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9"/>
      <name val="Times New Roman"/>
      <family val="1"/>
    </font>
    <font>
      <sz val="5"/>
      <name val="Times New Roman"/>
      <family val="1"/>
    </font>
    <font>
      <sz val="4"/>
      <name val="Times New Roman"/>
      <family val="1"/>
    </font>
    <font>
      <sz val="6"/>
      <color rgb="FFFF0000"/>
      <name val="Calibri"/>
      <family val="2"/>
      <scheme val="minor"/>
    </font>
    <font>
      <sz val="7"/>
      <color rgb="FFFF0000"/>
      <name val="Times New Roman"/>
      <family val="1"/>
    </font>
    <font>
      <sz val="6"/>
      <name val="Calibri"/>
      <family val="2"/>
      <scheme val="minor"/>
    </font>
    <font>
      <b/>
      <sz val="6"/>
      <name val="Times New Roman"/>
      <family val="1"/>
    </font>
    <font>
      <sz val="5"/>
      <name val="Calibri"/>
      <family val="2"/>
      <scheme val="minor"/>
    </font>
    <font>
      <sz val="5"/>
      <color theme="5"/>
      <name val="Times New Roman"/>
      <family val="1"/>
    </font>
    <font>
      <sz val="6"/>
      <color theme="5"/>
      <name val="Times New Roman"/>
      <family val="1"/>
    </font>
    <font>
      <sz val="4"/>
      <color theme="5"/>
      <name val="Times New Roman"/>
      <family val="1"/>
    </font>
    <font>
      <sz val="3.5"/>
      <color rgb="FFFF0000"/>
      <name val="Arial Narrow"/>
      <family val="2"/>
    </font>
    <font>
      <sz val="5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name val="Times New Roman"/>
      <family val="1"/>
    </font>
    <font>
      <sz val="7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/>
    <xf numFmtId="0" fontId="2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/>
    <xf numFmtId="0" fontId="14" fillId="0" borderId="0" xfId="0" applyFont="1" applyBorder="1"/>
    <xf numFmtId="0" fontId="13" fillId="0" borderId="0" xfId="0" applyFont="1" applyBorder="1"/>
    <xf numFmtId="0" fontId="8" fillId="0" borderId="0" xfId="0" applyFont="1" applyBorder="1"/>
    <xf numFmtId="0" fontId="1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4" fillId="7" borderId="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8" fillId="0" borderId="0" xfId="0" applyFont="1"/>
    <xf numFmtId="0" fontId="26" fillId="7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0" borderId="0" xfId="0" applyFont="1"/>
    <xf numFmtId="0" fontId="15" fillId="1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/>
    <xf numFmtId="0" fontId="13" fillId="0" borderId="0" xfId="0" applyFont="1" applyFill="1" applyBorder="1" applyAlignment="1"/>
    <xf numFmtId="0" fontId="14" fillId="11" borderId="0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/>
    </xf>
    <xf numFmtId="0" fontId="13" fillId="0" borderId="0" xfId="0" applyFont="1"/>
    <xf numFmtId="0" fontId="28" fillId="0" borderId="0" xfId="0" applyFont="1" applyFill="1" applyBorder="1"/>
    <xf numFmtId="0" fontId="23" fillId="0" borderId="5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0" xfId="0" applyFont="1" applyAlignment="1"/>
    <xf numFmtId="0" fontId="1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0" fontId="30" fillId="0" borderId="2" xfId="0" applyFont="1" applyBorder="1" applyAlignment="1">
      <alignment vertical="center"/>
    </xf>
    <xf numFmtId="0" fontId="8" fillId="0" borderId="0" xfId="0" applyFont="1" applyFill="1"/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2" fillId="7" borderId="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left" vertical="center" textRotation="90" wrapText="1"/>
    </xf>
    <xf numFmtId="0" fontId="8" fillId="5" borderId="8" xfId="0" applyFont="1" applyFill="1" applyBorder="1" applyAlignment="1">
      <alignment horizontal="left" vertical="center" textRotation="90" wrapText="1"/>
    </xf>
    <xf numFmtId="0" fontId="8" fillId="5" borderId="5" xfId="0" applyFont="1" applyFill="1" applyBorder="1" applyAlignment="1">
      <alignment horizontal="left" vertical="center" textRotation="90" wrapText="1"/>
    </xf>
    <xf numFmtId="0" fontId="8" fillId="6" borderId="6" xfId="0" applyFont="1" applyFill="1" applyBorder="1" applyAlignment="1">
      <alignment horizontal="center" vertical="center" textRotation="90"/>
    </xf>
    <xf numFmtId="0" fontId="8" fillId="6" borderId="8" xfId="0" applyFont="1" applyFill="1" applyBorder="1" applyAlignment="1">
      <alignment horizontal="center" vertical="center" textRotation="90"/>
    </xf>
    <xf numFmtId="0" fontId="8" fillId="6" borderId="5" xfId="0" applyFont="1" applyFill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  <xf numFmtId="0" fontId="8" fillId="0" borderId="8" xfId="0" applyFont="1" applyBorder="1" applyAlignment="1">
      <alignment horizontal="center" vertical="center" textRotation="90"/>
    </xf>
    <xf numFmtId="0" fontId="8" fillId="0" borderId="5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 textRotation="90" wrapText="1"/>
    </xf>
    <xf numFmtId="0" fontId="6" fillId="7" borderId="6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0" fillId="12" borderId="6" xfId="0" applyFont="1" applyFill="1" applyBorder="1" applyAlignment="1">
      <alignment horizontal="center" vertical="center"/>
    </xf>
    <xf numFmtId="0" fontId="30" fillId="12" borderId="5" xfId="0" applyFont="1" applyFill="1" applyBorder="1" applyAlignment="1">
      <alignment horizontal="center" vertical="center"/>
    </xf>
    <xf numFmtId="0" fontId="30" fillId="12" borderId="6" xfId="0" applyFont="1" applyFill="1" applyBorder="1" applyAlignment="1">
      <alignment horizontal="center" vertical="center" wrapText="1"/>
    </xf>
    <xf numFmtId="0" fontId="30" fillId="12" borderId="5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2" activePane="bottomRight" state="frozen"/>
      <selection activeCell="O32" sqref="O32"/>
      <selection pane="topRight" activeCell="O32" sqref="O32"/>
      <selection pane="bottomLeft" activeCell="O32" sqref="O32"/>
      <selection pane="bottomRight" activeCell="D69" sqref="D69:D71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152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151</v>
      </c>
      <c r="P6" s="91" t="s">
        <v>150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12850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12850</v>
      </c>
      <c r="T7" s="34">
        <v>-9150</v>
      </c>
      <c r="U7" s="6">
        <f>S7+T7</f>
        <v>3700</v>
      </c>
      <c r="V7" s="52"/>
      <c r="W7" s="57"/>
      <c r="X7" s="46"/>
      <c r="Y7" s="65"/>
      <c r="Z7" s="66">
        <f>W7-S7</f>
        <v>-12850</v>
      </c>
      <c r="AA7" s="65"/>
      <c r="AB7" s="67"/>
      <c r="AC7" s="65"/>
      <c r="AD7" s="47"/>
      <c r="AE7" s="61"/>
      <c r="AF7" s="52">
        <f>SUM(Y7:AE7)</f>
        <v>-12850</v>
      </c>
      <c r="AG7" s="46">
        <f>U7+AF7</f>
        <v>-9150</v>
      </c>
      <c r="AH7" s="51">
        <f>AG7-S7</f>
        <v>-22000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38900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5000</v>
      </c>
      <c r="S8" s="6">
        <f t="shared" ref="S8:S71" si="1">C8+D8-R8</f>
        <v>33900</v>
      </c>
      <c r="T8" s="6">
        <v>-24350</v>
      </c>
      <c r="U8" s="6">
        <f t="shared" ref="U8:U71" si="2">S8+T8</f>
        <v>9550</v>
      </c>
      <c r="V8" s="52"/>
      <c r="W8" s="57"/>
      <c r="X8" s="46"/>
      <c r="Y8" s="61"/>
      <c r="Z8" s="66">
        <f t="shared" ref="Z8:Z71" si="3">W8-S8</f>
        <v>-33900</v>
      </c>
      <c r="AA8" s="61"/>
      <c r="AB8" s="67"/>
      <c r="AC8" s="61"/>
      <c r="AD8" s="66"/>
      <c r="AE8" s="61"/>
      <c r="AF8" s="52">
        <f t="shared" ref="AF8:AF71" si="4">SUM(Y8:AE8)</f>
        <v>-33900</v>
      </c>
      <c r="AG8" s="46">
        <f t="shared" ref="AG8:AG71" si="5">U8+AF8</f>
        <v>-24350</v>
      </c>
      <c r="AH8" s="51">
        <f t="shared" ref="AH8:AH71" si="6">AG8-S8</f>
        <v>-58250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5225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5225</v>
      </c>
      <c r="T10" s="6">
        <v>-5175</v>
      </c>
      <c r="U10" s="6">
        <f t="shared" si="2"/>
        <v>50</v>
      </c>
      <c r="V10" s="52"/>
      <c r="W10" s="57"/>
      <c r="X10" s="46"/>
      <c r="Y10" s="61"/>
      <c r="Z10" s="66">
        <f t="shared" si="3"/>
        <v>-5225</v>
      </c>
      <c r="AA10" s="61"/>
      <c r="AB10" s="67"/>
      <c r="AC10" s="61"/>
      <c r="AD10" s="66"/>
      <c r="AE10" s="61"/>
      <c r="AF10" s="52">
        <f t="shared" si="4"/>
        <v>-5225</v>
      </c>
      <c r="AG10" s="46">
        <f t="shared" si="5"/>
        <v>-5175</v>
      </c>
      <c r="AH10" s="51">
        <f t="shared" si="6"/>
        <v>-10400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5000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5000</v>
      </c>
      <c r="T11" s="6">
        <v>-3750</v>
      </c>
      <c r="U11" s="6">
        <f t="shared" si="2"/>
        <v>1250</v>
      </c>
      <c r="V11" s="52"/>
      <c r="W11" s="57"/>
      <c r="X11" s="46"/>
      <c r="Y11" s="61"/>
      <c r="Z11" s="66">
        <f t="shared" si="3"/>
        <v>-5000</v>
      </c>
      <c r="AA11" s="61"/>
      <c r="AB11" s="67"/>
      <c r="AC11" s="61"/>
      <c r="AD11" s="66"/>
      <c r="AE11" s="61"/>
      <c r="AF11" s="52">
        <f t="shared" si="4"/>
        <v>-5000</v>
      </c>
      <c r="AG11" s="46">
        <f t="shared" si="5"/>
        <v>-3750</v>
      </c>
      <c r="AH11" s="51">
        <f t="shared" si="6"/>
        <v>-8750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-650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1000</f>
        <v>1000</v>
      </c>
      <c r="S12" s="6">
        <f t="shared" si="1"/>
        <v>-1650</v>
      </c>
      <c r="T12" s="6">
        <v>4700</v>
      </c>
      <c r="U12" s="6">
        <f t="shared" si="2"/>
        <v>3050</v>
      </c>
      <c r="V12" s="52"/>
      <c r="W12" s="57"/>
      <c r="X12" s="46"/>
      <c r="Y12" s="61"/>
      <c r="Z12" s="66">
        <f t="shared" si="3"/>
        <v>1650</v>
      </c>
      <c r="AA12" s="61"/>
      <c r="AB12" s="67"/>
      <c r="AC12" s="61"/>
      <c r="AD12" s="66"/>
      <c r="AE12" s="61"/>
      <c r="AF12" s="52">
        <f t="shared" si="4"/>
        <v>1650</v>
      </c>
      <c r="AG12" s="46">
        <f t="shared" si="5"/>
        <v>4700</v>
      </c>
      <c r="AH12" s="51">
        <f t="shared" si="6"/>
        <v>6350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18460</v>
      </c>
      <c r="D14" s="6">
        <f>15100+2000</f>
        <v>17100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4000+2000+2000</f>
        <v>8000</v>
      </c>
      <c r="S14" s="6">
        <f t="shared" si="1"/>
        <v>27560</v>
      </c>
      <c r="T14" s="6">
        <v>-5760</v>
      </c>
      <c r="U14" s="6">
        <f t="shared" si="2"/>
        <v>21800</v>
      </c>
      <c r="V14" s="52"/>
      <c r="W14" s="57"/>
      <c r="X14" s="46"/>
      <c r="Y14" s="61"/>
      <c r="Z14" s="66">
        <f t="shared" si="3"/>
        <v>-27560</v>
      </c>
      <c r="AA14" s="61"/>
      <c r="AB14" s="66"/>
      <c r="AC14" s="61"/>
      <c r="AD14" s="66"/>
      <c r="AE14" s="61"/>
      <c r="AF14" s="52">
        <f t="shared" si="4"/>
        <v>-27560</v>
      </c>
      <c r="AG14" s="46">
        <f t="shared" si="5"/>
        <v>-5760</v>
      </c>
      <c r="AH14" s="51">
        <f t="shared" si="6"/>
        <v>-33320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11750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500</v>
      </c>
      <c r="S16" s="6">
        <f t="shared" si="1"/>
        <v>11250</v>
      </c>
      <c r="T16" s="34">
        <v>-10050</v>
      </c>
      <c r="U16" s="6">
        <f t="shared" si="2"/>
        <v>1200</v>
      </c>
      <c r="V16" s="52"/>
      <c r="W16" s="57"/>
      <c r="X16" s="46"/>
      <c r="Y16" s="61"/>
      <c r="Z16" s="66">
        <f t="shared" si="3"/>
        <v>-11250</v>
      </c>
      <c r="AA16" s="61"/>
      <c r="AB16" s="67"/>
      <c r="AC16" s="61"/>
      <c r="AD16" s="47"/>
      <c r="AE16" s="61"/>
      <c r="AF16" s="52">
        <f t="shared" si="4"/>
        <v>-11250</v>
      </c>
      <c r="AG16" s="46">
        <f t="shared" si="5"/>
        <v>-10050</v>
      </c>
      <c r="AH16" s="51">
        <f t="shared" si="6"/>
        <v>-21300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11250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11250</v>
      </c>
      <c r="T17" s="6">
        <v>-5000</v>
      </c>
      <c r="U17" s="6">
        <f t="shared" si="2"/>
        <v>6250</v>
      </c>
      <c r="V17" s="52"/>
      <c r="W17" s="57"/>
      <c r="X17" s="46"/>
      <c r="Y17" s="61"/>
      <c r="Z17" s="66">
        <f t="shared" si="3"/>
        <v>-11250</v>
      </c>
      <c r="AA17" s="61"/>
      <c r="AB17" s="66"/>
      <c r="AC17" s="61"/>
      <c r="AD17" s="66"/>
      <c r="AE17" s="61"/>
      <c r="AF17" s="52">
        <f t="shared" si="4"/>
        <v>-11250</v>
      </c>
      <c r="AG17" s="46">
        <f t="shared" si="5"/>
        <v>-5000</v>
      </c>
      <c r="AH17" s="51">
        <f t="shared" si="6"/>
        <v>-16250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7">
        <f t="shared" si="0"/>
        <v>0</v>
      </c>
      <c r="R22" s="95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7">
        <f t="shared" si="0"/>
        <v>0</v>
      </c>
      <c r="R24" s="95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7">
        <f t="shared" si="0"/>
        <v>0</v>
      </c>
      <c r="R25" s="95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7">
        <f t="shared" si="0"/>
        <v>0</v>
      </c>
      <c r="R26" s="95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5980</v>
      </c>
      <c r="D27" s="6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7">
        <f t="shared" si="0"/>
        <v>0</v>
      </c>
      <c r="R27" s="95"/>
      <c r="S27" s="6">
        <f t="shared" si="1"/>
        <v>5980</v>
      </c>
      <c r="T27" s="6">
        <v>-40</v>
      </c>
      <c r="U27" s="6">
        <f t="shared" si="2"/>
        <v>5940</v>
      </c>
      <c r="V27" s="52"/>
      <c r="W27" s="57"/>
      <c r="X27" s="46"/>
      <c r="Y27" s="61"/>
      <c r="Z27" s="66">
        <f t="shared" si="3"/>
        <v>-5980</v>
      </c>
      <c r="AA27" s="61"/>
      <c r="AB27" s="67"/>
      <c r="AC27" s="61"/>
      <c r="AD27" s="66"/>
      <c r="AE27" s="61"/>
      <c r="AF27" s="52">
        <f t="shared" si="4"/>
        <v>-5980</v>
      </c>
      <c r="AG27" s="46">
        <f t="shared" si="5"/>
        <v>-40</v>
      </c>
      <c r="AH27" s="51">
        <f t="shared" si="6"/>
        <v>-6020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2480</v>
      </c>
      <c r="D28" s="6">
        <v>3000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7">
        <f t="shared" si="0"/>
        <v>0</v>
      </c>
      <c r="R28" s="95"/>
      <c r="S28" s="6">
        <f t="shared" si="1"/>
        <v>5480</v>
      </c>
      <c r="T28" s="6">
        <f>-40-100</f>
        <v>-140</v>
      </c>
      <c r="U28" s="6">
        <f t="shared" si="2"/>
        <v>5340</v>
      </c>
      <c r="V28" s="52"/>
      <c r="W28" s="57"/>
      <c r="X28" s="46"/>
      <c r="Y28" s="61"/>
      <c r="Z28" s="66">
        <f t="shared" si="3"/>
        <v>-5480</v>
      </c>
      <c r="AA28" s="61"/>
      <c r="AB28" s="67"/>
      <c r="AC28" s="61"/>
      <c r="AD28" s="66"/>
      <c r="AE28" s="61"/>
      <c r="AF28" s="52">
        <f t="shared" si="4"/>
        <v>-5480</v>
      </c>
      <c r="AG28" s="46">
        <f t="shared" si="5"/>
        <v>-140</v>
      </c>
      <c r="AH28" s="51">
        <f t="shared" si="6"/>
        <v>-5620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1120</v>
      </c>
      <c r="D29" s="6">
        <v>2000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7">
        <f t="shared" si="0"/>
        <v>0</v>
      </c>
      <c r="R29" s="95"/>
      <c r="S29" s="6">
        <f t="shared" si="1"/>
        <v>3120</v>
      </c>
      <c r="T29" s="6">
        <f>860+100</f>
        <v>960</v>
      </c>
      <c r="U29" s="6">
        <f t="shared" si="2"/>
        <v>4080</v>
      </c>
      <c r="V29" s="52"/>
      <c r="W29" s="57"/>
      <c r="X29" s="46"/>
      <c r="Y29" s="61"/>
      <c r="Z29" s="66">
        <f t="shared" si="3"/>
        <v>-3120</v>
      </c>
      <c r="AA29" s="61"/>
      <c r="AB29" s="67"/>
      <c r="AC29" s="61"/>
      <c r="AD29" s="66"/>
      <c r="AE29" s="61"/>
      <c r="AF29" s="52">
        <f t="shared" si="4"/>
        <v>-3120</v>
      </c>
      <c r="AG29" s="46">
        <f t="shared" si="5"/>
        <v>960</v>
      </c>
      <c r="AH29" s="51">
        <f t="shared" si="6"/>
        <v>-2160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7">
        <f t="shared" si="0"/>
        <v>0</v>
      </c>
      <c r="R30" s="95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17140</v>
      </c>
      <c r="D31" s="6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7">
        <f t="shared" si="0"/>
        <v>0</v>
      </c>
      <c r="R31" s="95"/>
      <c r="S31" s="6">
        <f t="shared" si="1"/>
        <v>17140</v>
      </c>
      <c r="T31" s="6">
        <v>-17140</v>
      </c>
      <c r="U31" s="6">
        <f t="shared" si="2"/>
        <v>0</v>
      </c>
      <c r="V31" s="52"/>
      <c r="W31" s="57"/>
      <c r="X31" s="46"/>
      <c r="Y31" s="61"/>
      <c r="Z31" s="66">
        <f t="shared" si="3"/>
        <v>-17140</v>
      </c>
      <c r="AA31" s="61"/>
      <c r="AB31" s="64"/>
      <c r="AC31" s="61"/>
      <c r="AD31" s="66"/>
      <c r="AE31" s="61"/>
      <c r="AF31" s="52">
        <f t="shared" si="4"/>
        <v>-17140</v>
      </c>
      <c r="AG31" s="46">
        <f t="shared" si="5"/>
        <v>-17140</v>
      </c>
      <c r="AH31" s="51">
        <f t="shared" si="6"/>
        <v>-34280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30720</v>
      </c>
      <c r="D32" s="6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6"/>
      <c r="P32" s="6"/>
      <c r="Q32" s="7">
        <f>SUM(E32:P32)</f>
        <v>0</v>
      </c>
      <c r="R32" s="95"/>
      <c r="S32" s="6">
        <f t="shared" si="1"/>
        <v>30720</v>
      </c>
      <c r="T32" s="6">
        <v>-18280</v>
      </c>
      <c r="U32" s="6">
        <f t="shared" si="2"/>
        <v>12440</v>
      </c>
      <c r="V32" s="52"/>
      <c r="W32" s="57"/>
      <c r="X32" s="46"/>
      <c r="Y32" s="61"/>
      <c r="Z32" s="66">
        <f t="shared" si="3"/>
        <v>-30720</v>
      </c>
      <c r="AA32" s="61"/>
      <c r="AB32" s="67"/>
      <c r="AC32" s="61"/>
      <c r="AD32" s="66"/>
      <c r="AE32" s="61"/>
      <c r="AF32" s="52">
        <f t="shared" si="4"/>
        <v>-30720</v>
      </c>
      <c r="AG32" s="46">
        <f t="shared" si="5"/>
        <v>-18280</v>
      </c>
      <c r="AH32" s="51">
        <f t="shared" si="6"/>
        <v>-49000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7">
        <f t="shared" si="0"/>
        <v>0</v>
      </c>
      <c r="R33" s="95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95"/>
      <c r="F34" s="95"/>
      <c r="G34" s="95"/>
      <c r="H34" s="95"/>
      <c r="I34" s="95"/>
      <c r="J34" s="95"/>
      <c r="K34" s="6"/>
      <c r="L34" s="95"/>
      <c r="M34" s="95"/>
      <c r="N34" s="95"/>
      <c r="O34" s="95"/>
      <c r="P34" s="95"/>
      <c r="Q34" s="7">
        <f t="shared" si="0"/>
        <v>0</v>
      </c>
      <c r="R34" s="95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95"/>
      <c r="F35" s="95"/>
      <c r="G35" s="95"/>
      <c r="H35" s="95"/>
      <c r="I35" s="95"/>
      <c r="J35" s="95"/>
      <c r="K35" s="6"/>
      <c r="L35" s="95"/>
      <c r="M35" s="95"/>
      <c r="N35" s="95"/>
      <c r="O35" s="95"/>
      <c r="P35" s="95"/>
      <c r="Q35" s="7">
        <f t="shared" si="0"/>
        <v>0</v>
      </c>
      <c r="R35" s="95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7">
        <f t="shared" si="0"/>
        <v>0</v>
      </c>
      <c r="R36" s="95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7">
        <f t="shared" si="0"/>
        <v>0</v>
      </c>
      <c r="R37" s="95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980</v>
      </c>
      <c r="D38" s="6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7">
        <f>SUM(E38:P38)</f>
        <v>0</v>
      </c>
      <c r="R38" s="95"/>
      <c r="S38" s="6">
        <f t="shared" si="1"/>
        <v>980</v>
      </c>
      <c r="T38" s="6">
        <v>-980</v>
      </c>
      <c r="U38" s="6">
        <f t="shared" si="2"/>
        <v>0</v>
      </c>
      <c r="V38" s="52"/>
      <c r="W38" s="57"/>
      <c r="X38" s="46"/>
      <c r="Y38" s="61"/>
      <c r="Z38" s="66">
        <f t="shared" si="3"/>
        <v>-980</v>
      </c>
      <c r="AA38" s="61"/>
      <c r="AB38" s="64"/>
      <c r="AC38" s="61"/>
      <c r="AD38" s="66"/>
      <c r="AE38" s="61"/>
      <c r="AF38" s="52">
        <f t="shared" si="4"/>
        <v>-980</v>
      </c>
      <c r="AG38" s="46">
        <f t="shared" si="5"/>
        <v>-980</v>
      </c>
      <c r="AH38" s="51">
        <f t="shared" si="6"/>
        <v>-1960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7">
        <f>SUM(E39:P39)</f>
        <v>0</v>
      </c>
      <c r="R39" s="95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95"/>
      <c r="F40" s="95"/>
      <c r="G40" s="95"/>
      <c r="H40" s="27"/>
      <c r="I40" s="95"/>
      <c r="J40" s="95"/>
      <c r="K40" s="95"/>
      <c r="L40" s="95"/>
      <c r="M40" s="95"/>
      <c r="N40" s="95"/>
      <c r="O40" s="95"/>
      <c r="P40" s="95"/>
      <c r="Q40" s="7">
        <f>SUM(E40:P40)</f>
        <v>0</v>
      </c>
      <c r="R40" s="95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7">
        <f>SUM(E41:P41)</f>
        <v>0</v>
      </c>
      <c r="R41" s="95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1960</v>
      </c>
      <c r="D42" s="6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7">
        <f>SUM(E42:P42)</f>
        <v>0</v>
      </c>
      <c r="R42" s="95"/>
      <c r="S42" s="6">
        <f t="shared" si="1"/>
        <v>1960</v>
      </c>
      <c r="T42" s="6">
        <v>-1920</v>
      </c>
      <c r="U42" s="6">
        <f t="shared" si="2"/>
        <v>40</v>
      </c>
      <c r="V42" s="52"/>
      <c r="W42" s="57"/>
      <c r="X42" s="46"/>
      <c r="Y42" s="61"/>
      <c r="Z42" s="66">
        <f t="shared" si="3"/>
        <v>-1960</v>
      </c>
      <c r="AA42" s="61"/>
      <c r="AB42" s="67"/>
      <c r="AC42" s="61"/>
      <c r="AD42" s="66"/>
      <c r="AE42" s="61"/>
      <c r="AF42" s="52">
        <f t="shared" si="4"/>
        <v>-1960</v>
      </c>
      <c r="AG42" s="46">
        <f t="shared" si="5"/>
        <v>-1920</v>
      </c>
      <c r="AH42" s="51">
        <f t="shared" si="6"/>
        <v>-3880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7">
        <f t="shared" si="0"/>
        <v>0</v>
      </c>
      <c r="R44" s="95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7">
        <f t="shared" si="0"/>
        <v>0</v>
      </c>
      <c r="R45" s="95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7">
        <f t="shared" si="0"/>
        <v>0</v>
      </c>
      <c r="R46" s="95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7">
        <f t="shared" si="0"/>
        <v>0</v>
      </c>
      <c r="R47" s="95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7">
        <f t="shared" si="0"/>
        <v>0</v>
      </c>
      <c r="R48" s="95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7">
        <f t="shared" si="0"/>
        <v>0</v>
      </c>
      <c r="R49" s="95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4550</v>
      </c>
      <c r="D50" s="6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7">
        <f t="shared" si="0"/>
        <v>0</v>
      </c>
      <c r="R50" s="95"/>
      <c r="S50" s="6">
        <f t="shared" si="1"/>
        <v>4550</v>
      </c>
      <c r="T50" s="6">
        <f>-12000+8615</f>
        <v>-3385</v>
      </c>
      <c r="U50" s="6">
        <f t="shared" si="2"/>
        <v>1165</v>
      </c>
      <c r="V50" s="52"/>
      <c r="W50" s="57"/>
      <c r="X50" s="46"/>
      <c r="Y50" s="61"/>
      <c r="Z50" s="66">
        <f t="shared" si="3"/>
        <v>-4550</v>
      </c>
      <c r="AA50" s="61"/>
      <c r="AB50" s="64"/>
      <c r="AC50" s="61"/>
      <c r="AD50" s="66"/>
      <c r="AE50" s="61"/>
      <c r="AF50" s="52">
        <f t="shared" si="4"/>
        <v>-4550</v>
      </c>
      <c r="AG50" s="46">
        <f t="shared" si="5"/>
        <v>-3385</v>
      </c>
      <c r="AH50" s="51">
        <f t="shared" si="6"/>
        <v>-7935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7">
        <f t="shared" si="0"/>
        <v>0</v>
      </c>
      <c r="R51" s="95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2690</v>
      </c>
      <c r="D52" s="6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7">
        <f t="shared" si="0"/>
        <v>0</v>
      </c>
      <c r="R52" s="95"/>
      <c r="S52" s="6">
        <f t="shared" si="1"/>
        <v>2690</v>
      </c>
      <c r="T52" s="6">
        <v>-2510</v>
      </c>
      <c r="U52" s="6">
        <f t="shared" si="2"/>
        <v>180</v>
      </c>
      <c r="V52" s="52"/>
      <c r="W52" s="57"/>
      <c r="X52" s="46"/>
      <c r="Y52" s="61"/>
      <c r="Z52" s="66">
        <f t="shared" si="3"/>
        <v>-2690</v>
      </c>
      <c r="AA52" s="61"/>
      <c r="AB52" s="67"/>
      <c r="AC52" s="61"/>
      <c r="AD52" s="66"/>
      <c r="AE52" s="61"/>
      <c r="AF52" s="52">
        <f t="shared" si="4"/>
        <v>-2690</v>
      </c>
      <c r="AG52" s="46">
        <f t="shared" si="5"/>
        <v>-2510</v>
      </c>
      <c r="AH52" s="51">
        <f t="shared" si="6"/>
        <v>-5200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13025</v>
      </c>
      <c r="D53" s="6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7">
        <f t="shared" si="0"/>
        <v>0</v>
      </c>
      <c r="R53" s="95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6700</v>
      </c>
      <c r="D54" s="6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7">
        <f t="shared" si="0"/>
        <v>0</v>
      </c>
      <c r="R54" s="95"/>
      <c r="S54" s="6">
        <f t="shared" si="1"/>
        <v>6700</v>
      </c>
      <c r="T54" s="6">
        <v>-2850</v>
      </c>
      <c r="U54" s="6">
        <f t="shared" si="2"/>
        <v>3850</v>
      </c>
      <c r="V54" s="52"/>
      <c r="W54" s="57"/>
      <c r="X54" s="46"/>
      <c r="Y54" s="61"/>
      <c r="Z54" s="66">
        <f t="shared" si="3"/>
        <v>-6700</v>
      </c>
      <c r="AA54" s="61"/>
      <c r="AB54" s="67"/>
      <c r="AC54" s="61"/>
      <c r="AD54" s="66"/>
      <c r="AE54" s="61"/>
      <c r="AF54" s="52">
        <f t="shared" si="4"/>
        <v>-6700</v>
      </c>
      <c r="AG54" s="46">
        <f t="shared" si="5"/>
        <v>-2850</v>
      </c>
      <c r="AH54" s="51">
        <f t="shared" si="6"/>
        <v>-9550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7">
        <f t="shared" si="0"/>
        <v>0</v>
      </c>
      <c r="R55" s="95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7">
        <f>SUM(E56:P56)</f>
        <v>0</v>
      </c>
      <c r="R56" s="95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7">
        <f t="shared" si="0"/>
        <v>0</v>
      </c>
      <c r="R61" s="95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7">
        <f t="shared" si="0"/>
        <v>0</v>
      </c>
      <c r="R62" s="94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7">
        <f t="shared" si="0"/>
        <v>0</v>
      </c>
      <c r="R63" s="94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7">
        <f t="shared" si="0"/>
        <v>0</v>
      </c>
      <c r="R64" s="94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7">
        <f t="shared" si="0"/>
        <v>0</v>
      </c>
      <c r="R65" s="94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93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1775</v>
      </c>
      <c r="D67" s="95">
        <v>2000</v>
      </c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7">
        <f t="shared" si="0"/>
        <v>0</v>
      </c>
      <c r="R67" s="95"/>
      <c r="S67" s="6">
        <f t="shared" si="1"/>
        <v>3775</v>
      </c>
      <c r="T67" s="6">
        <v>-1525</v>
      </c>
      <c r="U67" s="6">
        <f t="shared" si="2"/>
        <v>2250</v>
      </c>
      <c r="V67" s="52"/>
      <c r="W67" s="57"/>
      <c r="X67" s="46"/>
      <c r="Y67" s="61"/>
      <c r="Z67" s="66">
        <f t="shared" si="3"/>
        <v>-3775</v>
      </c>
      <c r="AA67" s="61"/>
      <c r="AB67" s="67"/>
      <c r="AC67" s="61"/>
      <c r="AD67" s="66"/>
      <c r="AE67" s="61"/>
      <c r="AF67" s="52">
        <f t="shared" si="4"/>
        <v>-3775</v>
      </c>
      <c r="AG67" s="46">
        <f t="shared" si="5"/>
        <v>-1525</v>
      </c>
      <c r="AH67" s="51">
        <f t="shared" si="6"/>
        <v>-5300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4800</v>
      </c>
      <c r="D68" s="95">
        <f>6400+58000</f>
        <v>64400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7">
        <f t="shared" si="0"/>
        <v>0</v>
      </c>
      <c r="R68" s="95">
        <v>60000</v>
      </c>
      <c r="S68" s="6">
        <f t="shared" si="1"/>
        <v>9200</v>
      </c>
      <c r="T68" s="6">
        <v>0</v>
      </c>
      <c r="U68" s="6">
        <f t="shared" si="2"/>
        <v>9200</v>
      </c>
      <c r="V68" s="52"/>
      <c r="W68" s="57"/>
      <c r="X68" s="46"/>
      <c r="Y68" s="61"/>
      <c r="Z68" s="66">
        <f t="shared" si="3"/>
        <v>-9200</v>
      </c>
      <c r="AA68" s="61"/>
      <c r="AB68" s="67"/>
      <c r="AC68" s="61"/>
      <c r="AD68" s="66"/>
      <c r="AE68" s="61"/>
      <c r="AF68" s="52">
        <f t="shared" si="4"/>
        <v>-9200</v>
      </c>
      <c r="AG68" s="46">
        <f t="shared" si="5"/>
        <v>0</v>
      </c>
      <c r="AH68" s="51">
        <f t="shared" si="6"/>
        <v>-9200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18800</v>
      </c>
      <c r="D69" s="95">
        <v>13000</v>
      </c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7">
        <f t="shared" si="0"/>
        <v>0</v>
      </c>
      <c r="R69" s="95">
        <f>625+2000</f>
        <v>2625</v>
      </c>
      <c r="S69" s="6">
        <f t="shared" si="1"/>
        <v>29175</v>
      </c>
      <c r="T69" s="6">
        <v>-16950</v>
      </c>
      <c r="U69" s="6">
        <f t="shared" si="2"/>
        <v>12225</v>
      </c>
      <c r="V69" s="52"/>
      <c r="W69" s="57"/>
      <c r="X69" s="46"/>
      <c r="Y69" s="61"/>
      <c r="Z69" s="66">
        <f t="shared" si="3"/>
        <v>-29175</v>
      </c>
      <c r="AA69" s="61"/>
      <c r="AB69" s="64"/>
      <c r="AC69" s="61"/>
      <c r="AD69" s="66"/>
      <c r="AE69" s="61"/>
      <c r="AF69" s="52">
        <f t="shared" si="4"/>
        <v>-29175</v>
      </c>
      <c r="AG69" s="46">
        <f t="shared" si="5"/>
        <v>-16950</v>
      </c>
      <c r="AH69" s="51">
        <f t="shared" si="6"/>
        <v>-46125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10850</v>
      </c>
      <c r="D70" s="95">
        <v>5000</v>
      </c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7">
        <f t="shared" si="0"/>
        <v>0</v>
      </c>
      <c r="R70" s="95"/>
      <c r="S70" s="6">
        <f t="shared" si="1"/>
        <v>15850</v>
      </c>
      <c r="T70" s="6">
        <v>-9425</v>
      </c>
      <c r="U70" s="6">
        <f t="shared" si="2"/>
        <v>6425</v>
      </c>
      <c r="V70" s="52"/>
      <c r="W70" s="57"/>
      <c r="X70" s="46"/>
      <c r="Y70" s="61"/>
      <c r="Z70" s="66">
        <f t="shared" si="3"/>
        <v>-15850</v>
      </c>
      <c r="AA70" s="61"/>
      <c r="AB70" s="67"/>
      <c r="AC70" s="61"/>
      <c r="AD70" s="66"/>
      <c r="AE70" s="61"/>
      <c r="AF70" s="52">
        <f t="shared" si="4"/>
        <v>-15850</v>
      </c>
      <c r="AG70" s="46">
        <f t="shared" si="5"/>
        <v>-9425</v>
      </c>
      <c r="AH70" s="51">
        <f t="shared" si="6"/>
        <v>-25275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32775</v>
      </c>
      <c r="D71" s="95">
        <v>18000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7">
        <f t="shared" si="0"/>
        <v>0</v>
      </c>
      <c r="R71" s="95">
        <f>625+3000</f>
        <v>3625</v>
      </c>
      <c r="S71" s="6">
        <f t="shared" si="1"/>
        <v>47150</v>
      </c>
      <c r="T71" s="6">
        <v>-27500</v>
      </c>
      <c r="U71" s="6">
        <f t="shared" si="2"/>
        <v>19650</v>
      </c>
      <c r="V71" s="52"/>
      <c r="W71" s="57"/>
      <c r="X71" s="46"/>
      <c r="Y71" s="61"/>
      <c r="Z71" s="66">
        <f t="shared" si="3"/>
        <v>-47150</v>
      </c>
      <c r="AA71" s="61"/>
      <c r="AB71" s="64"/>
      <c r="AC71" s="61"/>
      <c r="AD71" s="66"/>
      <c r="AE71" s="61"/>
      <c r="AF71" s="52">
        <f t="shared" si="4"/>
        <v>-47150</v>
      </c>
      <c r="AG71" s="46">
        <f t="shared" si="5"/>
        <v>-27500</v>
      </c>
      <c r="AH71" s="51">
        <f t="shared" si="6"/>
        <v>-74650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95">
        <f>SUM(C7:C72)</f>
        <v>381805</v>
      </c>
      <c r="D73" s="95">
        <f t="shared" ref="D73:V73" si="11">SUM(D7:D72)</f>
        <v>124500</v>
      </c>
      <c r="E73" s="95">
        <f t="shared" si="11"/>
        <v>0</v>
      </c>
      <c r="F73" s="95">
        <f t="shared" si="11"/>
        <v>0</v>
      </c>
      <c r="G73" s="95">
        <f t="shared" si="11"/>
        <v>0</v>
      </c>
      <c r="H73" s="27">
        <f t="shared" si="11"/>
        <v>0</v>
      </c>
      <c r="I73" s="95">
        <f t="shared" si="11"/>
        <v>0</v>
      </c>
      <c r="J73" s="95">
        <f t="shared" si="11"/>
        <v>0</v>
      </c>
      <c r="K73" s="95">
        <f t="shared" si="11"/>
        <v>0</v>
      </c>
      <c r="L73" s="95">
        <f t="shared" si="11"/>
        <v>0</v>
      </c>
      <c r="M73" s="95">
        <f t="shared" si="11"/>
        <v>0</v>
      </c>
      <c r="N73" s="95">
        <f t="shared" si="11"/>
        <v>0</v>
      </c>
      <c r="O73" s="95">
        <f t="shared" si="11"/>
        <v>0</v>
      </c>
      <c r="P73" s="95">
        <f t="shared" si="11"/>
        <v>0</v>
      </c>
      <c r="Q73" s="95">
        <f t="shared" si="11"/>
        <v>0</v>
      </c>
      <c r="R73" s="95">
        <f t="shared" si="11"/>
        <v>80750</v>
      </c>
      <c r="S73" s="95">
        <f t="shared" si="11"/>
        <v>425555</v>
      </c>
      <c r="T73" s="95">
        <f t="shared" si="11"/>
        <v>-276370</v>
      </c>
      <c r="U73" s="95">
        <f t="shared" si="11"/>
        <v>149185</v>
      </c>
      <c r="V73" s="95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-425555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-425555</v>
      </c>
      <c r="AG73" s="43">
        <f t="shared" si="12"/>
        <v>-276370</v>
      </c>
      <c r="AH73" s="43">
        <f t="shared" si="12"/>
        <v>-701925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0</f>
        <v>0</v>
      </c>
      <c r="S74" s="179"/>
      <c r="T74" s="180">
        <f>R74+R75</f>
        <v>124500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124500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</f>
        <v>124500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80750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</f>
        <v>80750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</f>
        <v>7500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65">
        <f>Q77+O77+M77+J77+F77</f>
        <v>7500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66500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58000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73250</v>
      </c>
      <c r="S80" s="165"/>
      <c r="T80" s="22"/>
      <c r="U80" s="22"/>
      <c r="V80" s="2"/>
      <c r="X80" s="63">
        <f>SUM(X77:X79)</f>
        <v>124500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92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/>
      <c r="R88" s="36"/>
      <c r="S88" s="36">
        <v>2</v>
      </c>
      <c r="T88" s="36"/>
      <c r="U88" s="36">
        <v>2</v>
      </c>
      <c r="V88" s="36"/>
      <c r="W88" s="36"/>
      <c r="X88" s="36">
        <f t="shared" ref="X88:X117" si="13">SUM(V88:W88)</f>
        <v>0</v>
      </c>
      <c r="Z88" s="36"/>
      <c r="AA88" s="36"/>
    </row>
    <row r="89" spans="1:31">
      <c r="B89" s="36"/>
      <c r="Q89" s="63"/>
      <c r="R89" s="36"/>
      <c r="S89" s="36">
        <v>3</v>
      </c>
      <c r="T89" s="36"/>
      <c r="U89" s="36">
        <v>3</v>
      </c>
      <c r="V89" s="36"/>
      <c r="W89" s="36"/>
      <c r="X89" s="36">
        <f t="shared" si="13"/>
        <v>0</v>
      </c>
      <c r="Z89" s="36"/>
      <c r="AA89" s="36"/>
    </row>
    <row r="90" spans="1:31">
      <c r="B90" s="36"/>
      <c r="C90" s="36"/>
      <c r="Q90" s="63"/>
      <c r="R90" s="36"/>
      <c r="S90" s="36">
        <v>4</v>
      </c>
      <c r="T90" s="36"/>
      <c r="U90" s="36">
        <v>4</v>
      </c>
      <c r="V90" s="36"/>
      <c r="W90" s="36"/>
      <c r="X90" s="36">
        <f t="shared" si="13"/>
        <v>0</v>
      </c>
      <c r="Z90" s="36"/>
      <c r="AA90" s="36"/>
    </row>
    <row r="91" spans="1:31">
      <c r="B91" s="36"/>
      <c r="C91" s="36"/>
      <c r="Q91" s="63"/>
      <c r="R91" s="36"/>
      <c r="S91" s="36">
        <v>5</v>
      </c>
      <c r="T91" s="36"/>
      <c r="U91" s="36">
        <v>5</v>
      </c>
      <c r="V91" s="83"/>
      <c r="W91" s="83"/>
      <c r="X91" s="36">
        <f t="shared" si="13"/>
        <v>0</v>
      </c>
      <c r="Z91" s="36"/>
      <c r="AA91" s="36"/>
    </row>
    <row r="92" spans="1:31">
      <c r="B92" s="36"/>
      <c r="C92" s="36"/>
      <c r="Q92" s="63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0</v>
      </c>
      <c r="R118" s="63">
        <f t="shared" si="14"/>
        <v>7500</v>
      </c>
      <c r="S118" s="63"/>
      <c r="T118" s="63">
        <f>SUM(T87:T117)</f>
        <v>80750</v>
      </c>
      <c r="U118" s="63"/>
      <c r="V118" s="63">
        <f>SUM(V87:V117)</f>
        <v>0</v>
      </c>
      <c r="W118" s="63">
        <f>SUM(W87:W117)</f>
        <v>124500</v>
      </c>
      <c r="X118" s="36">
        <f>SUM(V118:W118)</f>
        <v>124500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T79" sqref="T79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163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159</v>
      </c>
      <c r="P6" s="91" t="s">
        <v>157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10050</v>
      </c>
      <c r="D7" s="6">
        <v>3000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2500</v>
      </c>
      <c r="S7" s="6">
        <f>C7+D7-R7</f>
        <v>10550</v>
      </c>
      <c r="T7" s="34">
        <v>-9150</v>
      </c>
      <c r="U7" s="6">
        <f>S7+T7</f>
        <v>1400</v>
      </c>
      <c r="V7" s="52"/>
      <c r="W7" s="57"/>
      <c r="X7" s="46"/>
      <c r="Y7" s="65"/>
      <c r="Z7" s="66">
        <f>W7-S7</f>
        <v>-10550</v>
      </c>
      <c r="AA7" s="65"/>
      <c r="AB7" s="67"/>
      <c r="AC7" s="65"/>
      <c r="AD7" s="47"/>
      <c r="AE7" s="61"/>
      <c r="AF7" s="52">
        <f>SUM(Y7:AE7)</f>
        <v>-10550</v>
      </c>
      <c r="AG7" s="46">
        <f>U7+AF7</f>
        <v>-9150</v>
      </c>
      <c r="AH7" s="51">
        <f>AG7-S7</f>
        <v>-19700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35550</v>
      </c>
      <c r="D8" s="6">
        <v>8100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500+7500</f>
        <v>8000</v>
      </c>
      <c r="S8" s="6">
        <f t="shared" ref="S8:S71" si="1">C8+D8-R8</f>
        <v>35650</v>
      </c>
      <c r="T8" s="6">
        <v>-24350</v>
      </c>
      <c r="U8" s="6">
        <f t="shared" ref="U8:U71" si="2">S8+T8</f>
        <v>11300</v>
      </c>
      <c r="V8" s="52"/>
      <c r="W8" s="57"/>
      <c r="X8" s="46"/>
      <c r="Y8" s="61"/>
      <c r="Z8" s="66">
        <f t="shared" ref="Z8:Z71" si="3">W8-S8</f>
        <v>-35650</v>
      </c>
      <c r="AA8" s="61"/>
      <c r="AB8" s="67"/>
      <c r="AC8" s="61"/>
      <c r="AD8" s="66"/>
      <c r="AE8" s="61"/>
      <c r="AF8" s="52">
        <f t="shared" ref="AF8:AF71" si="4">SUM(Y8:AE8)</f>
        <v>-35650</v>
      </c>
      <c r="AG8" s="46">
        <f t="shared" ref="AG8:AG71" si="5">U8+AF8</f>
        <v>-24350</v>
      </c>
      <c r="AH8" s="51">
        <f t="shared" ref="AH8:AH71" si="6">AG8-S8</f>
        <v>-60000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5950</v>
      </c>
      <c r="D10" s="6">
        <v>2800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8750</v>
      </c>
      <c r="T10" s="6">
        <v>-5175</v>
      </c>
      <c r="U10" s="6">
        <f t="shared" si="2"/>
        <v>3575</v>
      </c>
      <c r="V10" s="52"/>
      <c r="W10" s="57"/>
      <c r="X10" s="46"/>
      <c r="Y10" s="61"/>
      <c r="Z10" s="66">
        <f t="shared" si="3"/>
        <v>-8750</v>
      </c>
      <c r="AA10" s="61"/>
      <c r="AB10" s="67"/>
      <c r="AC10" s="61"/>
      <c r="AD10" s="66"/>
      <c r="AE10" s="61"/>
      <c r="AF10" s="52">
        <f t="shared" si="4"/>
        <v>-8750</v>
      </c>
      <c r="AG10" s="46">
        <f t="shared" si="5"/>
        <v>-5175</v>
      </c>
      <c r="AH10" s="51">
        <f t="shared" si="6"/>
        <v>-13925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5450</v>
      </c>
      <c r="D11" s="6">
        <v>2900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850+250+1000</f>
        <v>2100</v>
      </c>
      <c r="S11" s="6">
        <f t="shared" si="1"/>
        <v>6250</v>
      </c>
      <c r="T11" s="6">
        <v>-3750</v>
      </c>
      <c r="U11" s="6">
        <f t="shared" si="2"/>
        <v>2500</v>
      </c>
      <c r="V11" s="52"/>
      <c r="W11" s="57"/>
      <c r="X11" s="46"/>
      <c r="Y11" s="61"/>
      <c r="Z11" s="66">
        <f t="shared" si="3"/>
        <v>-6250</v>
      </c>
      <c r="AA11" s="61"/>
      <c r="AB11" s="67"/>
      <c r="AC11" s="61"/>
      <c r="AD11" s="66"/>
      <c r="AE11" s="61"/>
      <c r="AF11" s="52">
        <f t="shared" si="4"/>
        <v>-6250</v>
      </c>
      <c r="AG11" s="46">
        <f t="shared" si="5"/>
        <v>-3750</v>
      </c>
      <c r="AH11" s="51">
        <f t="shared" si="6"/>
        <v>-10000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-3150</v>
      </c>
      <c r="D12" s="6">
        <v>3900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1000+650+2000</f>
        <v>3650</v>
      </c>
      <c r="S12" s="6">
        <f t="shared" si="1"/>
        <v>-2900</v>
      </c>
      <c r="T12" s="6">
        <v>4700</v>
      </c>
      <c r="U12" s="6">
        <f t="shared" si="2"/>
        <v>1800</v>
      </c>
      <c r="V12" s="52"/>
      <c r="W12" s="57"/>
      <c r="X12" s="46"/>
      <c r="Y12" s="61"/>
      <c r="Z12" s="66">
        <f t="shared" si="3"/>
        <v>2900</v>
      </c>
      <c r="AA12" s="61"/>
      <c r="AB12" s="67"/>
      <c r="AC12" s="61"/>
      <c r="AD12" s="66"/>
      <c r="AE12" s="61"/>
      <c r="AF12" s="52">
        <f t="shared" si="4"/>
        <v>2900</v>
      </c>
      <c r="AG12" s="46">
        <f t="shared" si="5"/>
        <v>4700</v>
      </c>
      <c r="AH12" s="51">
        <f t="shared" si="6"/>
        <v>7600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14610</v>
      </c>
      <c r="D14" s="6">
        <f>10000+13000</f>
        <v>23000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1750+5150+3350+1750+250</f>
        <v>12250</v>
      </c>
      <c r="S14" s="6">
        <f t="shared" si="1"/>
        <v>25360</v>
      </c>
      <c r="T14" s="6">
        <v>-5760</v>
      </c>
      <c r="U14" s="6">
        <f t="shared" si="2"/>
        <v>19600</v>
      </c>
      <c r="V14" s="52"/>
      <c r="W14" s="57"/>
      <c r="X14" s="46"/>
      <c r="Y14" s="61"/>
      <c r="Z14" s="66">
        <f t="shared" si="3"/>
        <v>-25360</v>
      </c>
      <c r="AA14" s="61"/>
      <c r="AB14" s="66"/>
      <c r="AC14" s="61"/>
      <c r="AD14" s="66"/>
      <c r="AE14" s="61"/>
      <c r="AF14" s="52">
        <f t="shared" si="4"/>
        <v>-25360</v>
      </c>
      <c r="AG14" s="46">
        <f t="shared" si="5"/>
        <v>-5760</v>
      </c>
      <c r="AH14" s="51">
        <f t="shared" si="6"/>
        <v>-31120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10700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250</v>
      </c>
      <c r="S16" s="6">
        <f t="shared" si="1"/>
        <v>10450</v>
      </c>
      <c r="T16" s="34">
        <v>-10050</v>
      </c>
      <c r="U16" s="6">
        <f t="shared" si="2"/>
        <v>400</v>
      </c>
      <c r="V16" s="52"/>
      <c r="W16" s="57"/>
      <c r="X16" s="46"/>
      <c r="Y16" s="61"/>
      <c r="Z16" s="66">
        <f t="shared" si="3"/>
        <v>-10450</v>
      </c>
      <c r="AA16" s="61"/>
      <c r="AB16" s="67"/>
      <c r="AC16" s="61"/>
      <c r="AD16" s="47"/>
      <c r="AE16" s="61"/>
      <c r="AF16" s="52">
        <f t="shared" si="4"/>
        <v>-10450</v>
      </c>
      <c r="AG16" s="46">
        <f t="shared" si="5"/>
        <v>-10050</v>
      </c>
      <c r="AH16" s="51">
        <f t="shared" si="6"/>
        <v>-20500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6450</v>
      </c>
      <c r="D17" s="6">
        <f>2950+12750</f>
        <v>15700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2000+500+1000</f>
        <v>3500</v>
      </c>
      <c r="S17" s="6">
        <f t="shared" si="1"/>
        <v>18650</v>
      </c>
      <c r="T17" s="6">
        <v>-5000</v>
      </c>
      <c r="U17" s="6">
        <f t="shared" si="2"/>
        <v>13650</v>
      </c>
      <c r="V17" s="52"/>
      <c r="W17" s="57"/>
      <c r="X17" s="46"/>
      <c r="Y17" s="61"/>
      <c r="Z17" s="66">
        <f t="shared" si="3"/>
        <v>-18650</v>
      </c>
      <c r="AA17" s="61"/>
      <c r="AB17" s="66"/>
      <c r="AC17" s="61"/>
      <c r="AD17" s="66"/>
      <c r="AE17" s="61"/>
      <c r="AF17" s="52">
        <f t="shared" si="4"/>
        <v>-18650</v>
      </c>
      <c r="AG17" s="46">
        <f t="shared" si="5"/>
        <v>-5000</v>
      </c>
      <c r="AH17" s="51">
        <f t="shared" si="6"/>
        <v>-23650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7">
        <f t="shared" si="0"/>
        <v>0</v>
      </c>
      <c r="R22" s="127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7">
        <f t="shared" si="0"/>
        <v>0</v>
      </c>
      <c r="R24" s="127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7">
        <f t="shared" si="0"/>
        <v>0</v>
      </c>
      <c r="R25" s="127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7">
        <f t="shared" si="0"/>
        <v>0</v>
      </c>
      <c r="R26" s="127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7">
        <f t="shared" si="0"/>
        <v>0</v>
      </c>
      <c r="R27" s="127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2360</v>
      </c>
      <c r="D28" s="6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7">
        <f t="shared" si="0"/>
        <v>0</v>
      </c>
      <c r="R28" s="127"/>
      <c r="S28" s="6">
        <f t="shared" si="1"/>
        <v>2360</v>
      </c>
      <c r="T28" s="6">
        <f>-40-100</f>
        <v>-140</v>
      </c>
      <c r="U28" s="6">
        <f t="shared" si="2"/>
        <v>2220</v>
      </c>
      <c r="V28" s="52"/>
      <c r="W28" s="57"/>
      <c r="X28" s="46"/>
      <c r="Y28" s="61"/>
      <c r="Z28" s="66">
        <f t="shared" si="3"/>
        <v>-2360</v>
      </c>
      <c r="AA28" s="61"/>
      <c r="AB28" s="67"/>
      <c r="AC28" s="61"/>
      <c r="AD28" s="66"/>
      <c r="AE28" s="61"/>
      <c r="AF28" s="52">
        <f t="shared" si="4"/>
        <v>-2360</v>
      </c>
      <c r="AG28" s="46">
        <f t="shared" si="5"/>
        <v>-140</v>
      </c>
      <c r="AH28" s="51">
        <f t="shared" si="6"/>
        <v>-2500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7">
        <f t="shared" si="0"/>
        <v>0</v>
      </c>
      <c r="R29" s="127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7">
        <f t="shared" si="0"/>
        <v>0</v>
      </c>
      <c r="R30" s="127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7">
        <f t="shared" si="0"/>
        <v>0</v>
      </c>
      <c r="R31" s="127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30220</v>
      </c>
      <c r="D32" s="6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6"/>
      <c r="P32" s="6"/>
      <c r="Q32" s="7">
        <f>SUM(E32:P32)</f>
        <v>0</v>
      </c>
      <c r="R32" s="127"/>
      <c r="S32" s="6">
        <f t="shared" si="1"/>
        <v>30220</v>
      </c>
      <c r="T32" s="6">
        <v>-18280</v>
      </c>
      <c r="U32" s="6">
        <f t="shared" si="2"/>
        <v>11940</v>
      </c>
      <c r="V32" s="52"/>
      <c r="W32" s="57"/>
      <c r="X32" s="46"/>
      <c r="Y32" s="61"/>
      <c r="Z32" s="66">
        <f t="shared" si="3"/>
        <v>-30220</v>
      </c>
      <c r="AA32" s="61"/>
      <c r="AB32" s="67"/>
      <c r="AC32" s="61"/>
      <c r="AD32" s="66"/>
      <c r="AE32" s="61"/>
      <c r="AF32" s="52">
        <f t="shared" si="4"/>
        <v>-30220</v>
      </c>
      <c r="AG32" s="46">
        <f t="shared" si="5"/>
        <v>-18280</v>
      </c>
      <c r="AH32" s="51">
        <f t="shared" si="6"/>
        <v>-48500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7">
        <f t="shared" si="0"/>
        <v>0</v>
      </c>
      <c r="R33" s="127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27"/>
      <c r="F34" s="127"/>
      <c r="G34" s="127"/>
      <c r="H34" s="127"/>
      <c r="I34" s="127"/>
      <c r="J34" s="127"/>
      <c r="K34" s="6"/>
      <c r="L34" s="127"/>
      <c r="M34" s="127"/>
      <c r="N34" s="127"/>
      <c r="O34" s="127"/>
      <c r="P34" s="127"/>
      <c r="Q34" s="7">
        <f t="shared" si="0"/>
        <v>0</v>
      </c>
      <c r="R34" s="127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27"/>
      <c r="F35" s="127"/>
      <c r="G35" s="127"/>
      <c r="H35" s="127"/>
      <c r="I35" s="127"/>
      <c r="J35" s="127"/>
      <c r="K35" s="6"/>
      <c r="L35" s="127"/>
      <c r="M35" s="127"/>
      <c r="N35" s="127"/>
      <c r="O35" s="127"/>
      <c r="P35" s="127"/>
      <c r="Q35" s="7">
        <f t="shared" si="0"/>
        <v>0</v>
      </c>
      <c r="R35" s="127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7">
        <f t="shared" si="0"/>
        <v>0</v>
      </c>
      <c r="R36" s="127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7">
        <f t="shared" si="0"/>
        <v>0</v>
      </c>
      <c r="R37" s="127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>
        <v>4640</v>
      </c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7">
        <f>SUM(E38:P38)</f>
        <v>0</v>
      </c>
      <c r="R38" s="127"/>
      <c r="S38" s="6">
        <f t="shared" si="1"/>
        <v>2340</v>
      </c>
      <c r="T38" s="6">
        <v>2300</v>
      </c>
      <c r="U38" s="6">
        <f t="shared" si="2"/>
        <v>4640</v>
      </c>
      <c r="V38" s="52"/>
      <c r="W38" s="57"/>
      <c r="X38" s="46"/>
      <c r="Y38" s="61"/>
      <c r="Z38" s="66">
        <f t="shared" si="3"/>
        <v>-2340</v>
      </c>
      <c r="AA38" s="61"/>
      <c r="AB38" s="64"/>
      <c r="AC38" s="61"/>
      <c r="AD38" s="66"/>
      <c r="AE38" s="61"/>
      <c r="AF38" s="52">
        <f t="shared" si="4"/>
        <v>-2340</v>
      </c>
      <c r="AG38" s="46">
        <f t="shared" si="5"/>
        <v>2300</v>
      </c>
      <c r="AH38" s="51">
        <f t="shared" si="6"/>
        <v>-40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7">
        <f>SUM(E39:P39)</f>
        <v>0</v>
      </c>
      <c r="R39" s="127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27"/>
      <c r="F40" s="127"/>
      <c r="G40" s="127"/>
      <c r="H40" s="27"/>
      <c r="I40" s="127"/>
      <c r="J40" s="127"/>
      <c r="K40" s="127"/>
      <c r="L40" s="127"/>
      <c r="M40" s="127"/>
      <c r="N40" s="127"/>
      <c r="O40" s="127"/>
      <c r="P40" s="127"/>
      <c r="Q40" s="7">
        <f>SUM(E40:P40)</f>
        <v>0</v>
      </c>
      <c r="R40" s="127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7">
        <f>SUM(E41:P41)</f>
        <v>0</v>
      </c>
      <c r="R41" s="127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7">
        <f>SUM(E42:P42)</f>
        <v>0</v>
      </c>
      <c r="R42" s="127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7">
        <f t="shared" si="0"/>
        <v>0</v>
      </c>
      <c r="R44" s="127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7">
        <f t="shared" si="0"/>
        <v>0</v>
      </c>
      <c r="R45" s="127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7">
        <f t="shared" si="0"/>
        <v>0</v>
      </c>
      <c r="R46" s="127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7">
        <f t="shared" si="0"/>
        <v>0</v>
      </c>
      <c r="R47" s="127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7">
        <f t="shared" si="0"/>
        <v>0</v>
      </c>
      <c r="R48" s="127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7">
        <f t="shared" si="0"/>
        <v>0</v>
      </c>
      <c r="R49" s="127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9550</v>
      </c>
      <c r="D50" s="6">
        <v>10000</v>
      </c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7">
        <f t="shared" si="0"/>
        <v>0</v>
      </c>
      <c r="R50" s="127"/>
      <c r="S50" s="6">
        <f t="shared" si="1"/>
        <v>19550</v>
      </c>
      <c r="T50" s="6">
        <f>-12000+8615</f>
        <v>-3385</v>
      </c>
      <c r="U50" s="6">
        <f t="shared" si="2"/>
        <v>16165</v>
      </c>
      <c r="V50" s="52"/>
      <c r="W50" s="57"/>
      <c r="X50" s="46"/>
      <c r="Y50" s="61"/>
      <c r="Z50" s="66">
        <f t="shared" si="3"/>
        <v>-19550</v>
      </c>
      <c r="AA50" s="61"/>
      <c r="AB50" s="64"/>
      <c r="AC50" s="61"/>
      <c r="AD50" s="66"/>
      <c r="AE50" s="61"/>
      <c r="AF50" s="52">
        <f t="shared" si="4"/>
        <v>-19550</v>
      </c>
      <c r="AG50" s="46">
        <f t="shared" si="5"/>
        <v>-3385</v>
      </c>
      <c r="AH50" s="51">
        <f t="shared" si="6"/>
        <v>-22935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7">
        <f t="shared" si="0"/>
        <v>0</v>
      </c>
      <c r="R51" s="127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7">
        <f t="shared" si="0"/>
        <v>0</v>
      </c>
      <c r="R52" s="127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7">
        <f t="shared" si="0"/>
        <v>0</v>
      </c>
      <c r="R53" s="127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3875</v>
      </c>
      <c r="D54" s="6">
        <v>5575</v>
      </c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7">
        <f t="shared" si="0"/>
        <v>0</v>
      </c>
      <c r="R54" s="127"/>
      <c r="S54" s="6">
        <f t="shared" si="1"/>
        <v>9450</v>
      </c>
      <c r="T54" s="6">
        <v>-2850</v>
      </c>
      <c r="U54" s="6">
        <f t="shared" si="2"/>
        <v>6600</v>
      </c>
      <c r="V54" s="52"/>
      <c r="W54" s="57"/>
      <c r="X54" s="46"/>
      <c r="Y54" s="61"/>
      <c r="Z54" s="66">
        <f t="shared" si="3"/>
        <v>-9450</v>
      </c>
      <c r="AA54" s="61"/>
      <c r="AB54" s="67"/>
      <c r="AC54" s="61"/>
      <c r="AD54" s="66"/>
      <c r="AE54" s="61"/>
      <c r="AF54" s="52">
        <f t="shared" si="4"/>
        <v>-9450</v>
      </c>
      <c r="AG54" s="46">
        <f t="shared" si="5"/>
        <v>-2850</v>
      </c>
      <c r="AH54" s="51">
        <f t="shared" si="6"/>
        <v>-12300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7">
        <f t="shared" si="0"/>
        <v>0</v>
      </c>
      <c r="R55" s="127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7">
        <f>SUM(E56:P56)</f>
        <v>0</v>
      </c>
      <c r="R56" s="127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7">
        <f t="shared" si="0"/>
        <v>0</v>
      </c>
      <c r="R61" s="127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7">
        <f t="shared" si="0"/>
        <v>0</v>
      </c>
      <c r="R62" s="126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7">
        <f t="shared" si="0"/>
        <v>0</v>
      </c>
      <c r="R63" s="126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7">
        <f t="shared" si="0"/>
        <v>0</v>
      </c>
      <c r="R64" s="126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7">
        <f t="shared" si="0"/>
        <v>0</v>
      </c>
      <c r="R65" s="126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25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7">
        <f t="shared" si="0"/>
        <v>0</v>
      </c>
      <c r="R67" s="127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251250</v>
      </c>
      <c r="D68" s="127">
        <v>2000</v>
      </c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7">
        <f t="shared" si="0"/>
        <v>0</v>
      </c>
      <c r="R68" s="127"/>
      <c r="S68" s="6">
        <f t="shared" si="1"/>
        <v>253250</v>
      </c>
      <c r="T68" s="6">
        <v>0</v>
      </c>
      <c r="U68" s="6">
        <f t="shared" si="2"/>
        <v>253250</v>
      </c>
      <c r="V68" s="52"/>
      <c r="W68" s="57"/>
      <c r="X68" s="46"/>
      <c r="Y68" s="61"/>
      <c r="Z68" s="66">
        <f t="shared" si="3"/>
        <v>-253250</v>
      </c>
      <c r="AA68" s="61"/>
      <c r="AB68" s="67"/>
      <c r="AC68" s="61"/>
      <c r="AD68" s="66"/>
      <c r="AE68" s="61"/>
      <c r="AF68" s="52">
        <f t="shared" si="4"/>
        <v>-253250</v>
      </c>
      <c r="AG68" s="46">
        <f t="shared" si="5"/>
        <v>0</v>
      </c>
      <c r="AH68" s="51">
        <f t="shared" si="6"/>
        <v>-253250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16950</v>
      </c>
      <c r="D69" s="127">
        <v>4400</v>
      </c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7">
        <f t="shared" si="0"/>
        <v>0</v>
      </c>
      <c r="R69" s="127"/>
      <c r="S69" s="6">
        <f t="shared" si="1"/>
        <v>21350</v>
      </c>
      <c r="T69" s="6">
        <v>-16950</v>
      </c>
      <c r="U69" s="6">
        <f t="shared" si="2"/>
        <v>4400</v>
      </c>
      <c r="V69" s="52"/>
      <c r="W69" s="57"/>
      <c r="X69" s="46"/>
      <c r="Y69" s="61"/>
      <c r="Z69" s="66">
        <f t="shared" si="3"/>
        <v>-21350</v>
      </c>
      <c r="AA69" s="61"/>
      <c r="AB69" s="64"/>
      <c r="AC69" s="61"/>
      <c r="AD69" s="66"/>
      <c r="AE69" s="61"/>
      <c r="AF69" s="52">
        <f t="shared" si="4"/>
        <v>-21350</v>
      </c>
      <c r="AG69" s="46">
        <f t="shared" si="5"/>
        <v>-16950</v>
      </c>
      <c r="AH69" s="51">
        <f t="shared" si="6"/>
        <v>-38300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13625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7">
        <f t="shared" si="0"/>
        <v>0</v>
      </c>
      <c r="R70" s="127">
        <v>1000</v>
      </c>
      <c r="S70" s="6">
        <f t="shared" si="1"/>
        <v>12625</v>
      </c>
      <c r="T70" s="6">
        <v>-9425</v>
      </c>
      <c r="U70" s="6">
        <f t="shared" si="2"/>
        <v>3200</v>
      </c>
      <c r="V70" s="52"/>
      <c r="W70" s="57"/>
      <c r="X70" s="46"/>
      <c r="Y70" s="61"/>
      <c r="Z70" s="66">
        <f t="shared" si="3"/>
        <v>-12625</v>
      </c>
      <c r="AA70" s="61"/>
      <c r="AB70" s="67"/>
      <c r="AC70" s="61"/>
      <c r="AD70" s="66"/>
      <c r="AE70" s="61"/>
      <c r="AF70" s="52">
        <f t="shared" si="4"/>
        <v>-12625</v>
      </c>
      <c r="AG70" s="46">
        <f t="shared" si="5"/>
        <v>-9425</v>
      </c>
      <c r="AH70" s="51">
        <f t="shared" si="6"/>
        <v>-22050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32775</v>
      </c>
      <c r="D71" s="127">
        <v>6000</v>
      </c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7">
        <f t="shared" si="0"/>
        <v>0</v>
      </c>
      <c r="R71" s="127">
        <v>1500</v>
      </c>
      <c r="S71" s="6">
        <f t="shared" si="1"/>
        <v>37275</v>
      </c>
      <c r="T71" s="6">
        <v>-27500</v>
      </c>
      <c r="U71" s="6">
        <f t="shared" si="2"/>
        <v>9775</v>
      </c>
      <c r="V71" s="52"/>
      <c r="W71" s="57"/>
      <c r="X71" s="46"/>
      <c r="Y71" s="61"/>
      <c r="Z71" s="66">
        <f t="shared" si="3"/>
        <v>-37275</v>
      </c>
      <c r="AA71" s="61"/>
      <c r="AB71" s="64"/>
      <c r="AC71" s="61"/>
      <c r="AD71" s="66"/>
      <c r="AE71" s="61"/>
      <c r="AF71" s="52">
        <f t="shared" si="4"/>
        <v>-37275</v>
      </c>
      <c r="AG71" s="46">
        <f t="shared" si="5"/>
        <v>-27500</v>
      </c>
      <c r="AH71" s="51">
        <f t="shared" si="6"/>
        <v>-64775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27">
        <f>SUM(C7:C72)</f>
        <v>613435</v>
      </c>
      <c r="D73" s="127">
        <f t="shared" ref="D73:V73" si="11">SUM(D7:D72)</f>
        <v>92015</v>
      </c>
      <c r="E73" s="127">
        <f t="shared" si="11"/>
        <v>0</v>
      </c>
      <c r="F73" s="127">
        <f t="shared" si="11"/>
        <v>0</v>
      </c>
      <c r="G73" s="127">
        <f t="shared" si="11"/>
        <v>0</v>
      </c>
      <c r="H73" s="27">
        <f t="shared" si="11"/>
        <v>0</v>
      </c>
      <c r="I73" s="127">
        <f t="shared" si="11"/>
        <v>0</v>
      </c>
      <c r="J73" s="127">
        <f t="shared" si="11"/>
        <v>0</v>
      </c>
      <c r="K73" s="127">
        <f t="shared" si="11"/>
        <v>0</v>
      </c>
      <c r="L73" s="127">
        <f t="shared" si="11"/>
        <v>0</v>
      </c>
      <c r="M73" s="127">
        <f t="shared" si="11"/>
        <v>0</v>
      </c>
      <c r="N73" s="127">
        <f t="shared" si="11"/>
        <v>0</v>
      </c>
      <c r="O73" s="127">
        <f t="shared" si="11"/>
        <v>0</v>
      </c>
      <c r="P73" s="127">
        <f t="shared" si="11"/>
        <v>0</v>
      </c>
      <c r="Q73" s="127">
        <f t="shared" si="11"/>
        <v>0</v>
      </c>
      <c r="R73" s="127">
        <f t="shared" si="11"/>
        <v>34750</v>
      </c>
      <c r="S73" s="127">
        <f t="shared" si="11"/>
        <v>670700</v>
      </c>
      <c r="T73" s="127">
        <f t="shared" si="11"/>
        <v>-273090</v>
      </c>
      <c r="U73" s="127">
        <f t="shared" si="11"/>
        <v>397610</v>
      </c>
      <c r="V73" s="127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-670700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-670700</v>
      </c>
      <c r="AG73" s="43">
        <f t="shared" si="12"/>
        <v>-273090</v>
      </c>
      <c r="AH73" s="43">
        <f t="shared" si="12"/>
        <v>-943790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</f>
        <v>117380</v>
      </c>
      <c r="S74" s="179"/>
      <c r="T74" s="180">
        <f>R74+R75</f>
        <v>978740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92015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</f>
        <v>861360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34750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</f>
        <v>572465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</f>
        <v>74750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f>2140+9880+12320</f>
        <v>24340</v>
      </c>
      <c r="N77" s="40" t="s">
        <v>90</v>
      </c>
      <c r="O77" s="82">
        <v>0</v>
      </c>
      <c r="P77" s="40" t="s">
        <v>91</v>
      </c>
      <c r="Q77" s="40">
        <v>12000</v>
      </c>
      <c r="R77" s="165">
        <f>Q77+O77+M77+J77+F77</f>
        <v>111090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42250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49765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461375</v>
      </c>
      <c r="S80" s="165"/>
      <c r="T80" s="22"/>
      <c r="U80" s="22"/>
      <c r="V80" s="2"/>
      <c r="X80" s="63">
        <f>SUM(X77:X79)</f>
        <v>92015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24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0</v>
      </c>
      <c r="Q118" s="63">
        <f t="shared" si="14"/>
        <v>12020</v>
      </c>
      <c r="R118" s="63">
        <f t="shared" si="14"/>
        <v>94750</v>
      </c>
      <c r="S118" s="63"/>
      <c r="T118" s="63">
        <f>SUM(T87:T117)</f>
        <v>572465</v>
      </c>
      <c r="U118" s="63"/>
      <c r="V118" s="63">
        <f>SUM(V87:V117)</f>
        <v>117380</v>
      </c>
      <c r="W118" s="63">
        <f>SUM(W87:W117)</f>
        <v>861360</v>
      </c>
      <c r="X118" s="36">
        <f>SUM(V118:W118)</f>
        <v>978740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W25" sqref="W25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164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159</v>
      </c>
      <c r="P6" s="91" t="s">
        <v>157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10550</v>
      </c>
      <c r="D7" s="6"/>
      <c r="E7" s="6"/>
      <c r="F7" s="6"/>
      <c r="G7" s="6"/>
      <c r="H7" s="6"/>
      <c r="I7" s="6"/>
      <c r="J7" s="6"/>
      <c r="K7" s="6">
        <v>2000</v>
      </c>
      <c r="L7" s="6"/>
      <c r="M7" s="6"/>
      <c r="N7" s="6"/>
      <c r="O7" s="6"/>
      <c r="P7" s="6"/>
      <c r="Q7" s="7">
        <f t="shared" ref="Q7:Q71" si="0">SUM(E7:P7)</f>
        <v>2000</v>
      </c>
      <c r="R7" s="6"/>
      <c r="S7" s="6">
        <f>C7+D7-R7</f>
        <v>10550</v>
      </c>
      <c r="T7" s="34">
        <v>-9150</v>
      </c>
      <c r="U7" s="6">
        <f>S7+T7</f>
        <v>1400</v>
      </c>
      <c r="V7" s="52"/>
      <c r="W7" s="57"/>
      <c r="X7" s="46"/>
      <c r="Y7" s="65"/>
      <c r="Z7" s="66">
        <f>W7-S7</f>
        <v>-10550</v>
      </c>
      <c r="AA7" s="65"/>
      <c r="AB7" s="67"/>
      <c r="AC7" s="65"/>
      <c r="AD7" s="47"/>
      <c r="AE7" s="61"/>
      <c r="AF7" s="52">
        <f>SUM(Y7:AE7)</f>
        <v>-10550</v>
      </c>
      <c r="AG7" s="46">
        <f>U7+AF7</f>
        <v>-9150</v>
      </c>
      <c r="AH7" s="51">
        <f>AG7-S7</f>
        <v>-19700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35650</v>
      </c>
      <c r="D8" s="6">
        <v>5850</v>
      </c>
      <c r="E8" s="6"/>
      <c r="F8" s="6"/>
      <c r="G8" s="6"/>
      <c r="H8" s="6"/>
      <c r="I8" s="6"/>
      <c r="J8" s="6"/>
      <c r="K8" s="6">
        <v>6000</v>
      </c>
      <c r="L8" s="6"/>
      <c r="M8" s="6"/>
      <c r="N8" s="6"/>
      <c r="O8" s="6"/>
      <c r="P8" s="6"/>
      <c r="Q8" s="7">
        <f t="shared" si="0"/>
        <v>6000</v>
      </c>
      <c r="R8" s="6">
        <v>250</v>
      </c>
      <c r="S8" s="6">
        <f t="shared" ref="S8:S71" si="1">C8+D8-R8</f>
        <v>41250</v>
      </c>
      <c r="T8" s="6">
        <v>-24350</v>
      </c>
      <c r="U8" s="6">
        <f t="shared" ref="U8:U71" si="2">S8+T8</f>
        <v>16900</v>
      </c>
      <c r="V8" s="52"/>
      <c r="W8" s="57"/>
      <c r="X8" s="46"/>
      <c r="Y8" s="61"/>
      <c r="Z8" s="66">
        <f t="shared" ref="Z8:Z71" si="3">W8-S8</f>
        <v>-41250</v>
      </c>
      <c r="AA8" s="61"/>
      <c r="AB8" s="67"/>
      <c r="AC8" s="61"/>
      <c r="AD8" s="66"/>
      <c r="AE8" s="61"/>
      <c r="AF8" s="52">
        <f t="shared" ref="AF8:AF71" si="4">SUM(Y8:AE8)</f>
        <v>-41250</v>
      </c>
      <c r="AG8" s="46">
        <f t="shared" ref="AG8:AG71" si="5">U8+AF8</f>
        <v>-24350</v>
      </c>
      <c r="AH8" s="51">
        <f t="shared" ref="AH8:AH71" si="6">AG8-S8</f>
        <v>-65600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8750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8750</v>
      </c>
      <c r="T10" s="6">
        <v>-5175</v>
      </c>
      <c r="U10" s="6">
        <f t="shared" si="2"/>
        <v>3575</v>
      </c>
      <c r="V10" s="52"/>
      <c r="W10" s="57"/>
      <c r="X10" s="46"/>
      <c r="Y10" s="61"/>
      <c r="Z10" s="66">
        <f t="shared" si="3"/>
        <v>-8750</v>
      </c>
      <c r="AA10" s="61"/>
      <c r="AB10" s="67"/>
      <c r="AC10" s="61"/>
      <c r="AD10" s="66"/>
      <c r="AE10" s="61"/>
      <c r="AF10" s="52">
        <f t="shared" si="4"/>
        <v>-8750</v>
      </c>
      <c r="AG10" s="46">
        <f t="shared" si="5"/>
        <v>-5175</v>
      </c>
      <c r="AH10" s="51">
        <f t="shared" si="6"/>
        <v>-13925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6250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6250</v>
      </c>
      <c r="T11" s="6">
        <v>-3750</v>
      </c>
      <c r="U11" s="6">
        <f t="shared" si="2"/>
        <v>2500</v>
      </c>
      <c r="V11" s="52"/>
      <c r="W11" s="57"/>
      <c r="X11" s="46"/>
      <c r="Y11" s="61"/>
      <c r="Z11" s="66">
        <f t="shared" si="3"/>
        <v>-6250</v>
      </c>
      <c r="AA11" s="61"/>
      <c r="AB11" s="67"/>
      <c r="AC11" s="61"/>
      <c r="AD11" s="66"/>
      <c r="AE11" s="61"/>
      <c r="AF11" s="52">
        <f t="shared" si="4"/>
        <v>-6250</v>
      </c>
      <c r="AG11" s="46">
        <f t="shared" si="5"/>
        <v>-3750</v>
      </c>
      <c r="AH11" s="51">
        <f t="shared" si="6"/>
        <v>-10000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-2900</v>
      </c>
      <c r="D12" s="6">
        <v>5000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250</v>
      </c>
      <c r="S12" s="6">
        <f t="shared" si="1"/>
        <v>1850</v>
      </c>
      <c r="T12" s="6">
        <v>4700</v>
      </c>
      <c r="U12" s="6">
        <f t="shared" si="2"/>
        <v>6550</v>
      </c>
      <c r="V12" s="52"/>
      <c r="W12" s="57"/>
      <c r="X12" s="46"/>
      <c r="Y12" s="61"/>
      <c r="Z12" s="66">
        <f t="shared" si="3"/>
        <v>-1850</v>
      </c>
      <c r="AA12" s="61"/>
      <c r="AB12" s="67"/>
      <c r="AC12" s="61"/>
      <c r="AD12" s="66"/>
      <c r="AE12" s="61"/>
      <c r="AF12" s="52">
        <f t="shared" si="4"/>
        <v>-1850</v>
      </c>
      <c r="AG12" s="46">
        <f t="shared" si="5"/>
        <v>4700</v>
      </c>
      <c r="AH12" s="51">
        <f t="shared" si="6"/>
        <v>2850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25360</v>
      </c>
      <c r="D14" s="6">
        <f>24300+5000</f>
        <v>29300</v>
      </c>
      <c r="E14" s="6"/>
      <c r="F14" s="6"/>
      <c r="G14" s="6"/>
      <c r="H14" s="6"/>
      <c r="I14" s="6"/>
      <c r="J14" s="6"/>
      <c r="K14" s="6">
        <v>2000</v>
      </c>
      <c r="L14" s="6"/>
      <c r="M14" s="6"/>
      <c r="N14" s="6"/>
      <c r="O14" s="6"/>
      <c r="P14" s="6"/>
      <c r="Q14" s="7">
        <f t="shared" si="0"/>
        <v>2000</v>
      </c>
      <c r="R14" s="6">
        <f>3500+6000+2250</f>
        <v>11750</v>
      </c>
      <c r="S14" s="6">
        <f t="shared" si="1"/>
        <v>42910</v>
      </c>
      <c r="T14" s="6">
        <v>-5760</v>
      </c>
      <c r="U14" s="6">
        <f t="shared" si="2"/>
        <v>37150</v>
      </c>
      <c r="V14" s="52"/>
      <c r="W14" s="57"/>
      <c r="X14" s="46"/>
      <c r="Y14" s="61"/>
      <c r="Z14" s="66">
        <f t="shared" si="3"/>
        <v>-42910</v>
      </c>
      <c r="AA14" s="61"/>
      <c r="AB14" s="66"/>
      <c r="AC14" s="61"/>
      <c r="AD14" s="66"/>
      <c r="AE14" s="61"/>
      <c r="AF14" s="52">
        <f t="shared" si="4"/>
        <v>-42910</v>
      </c>
      <c r="AG14" s="46">
        <f t="shared" si="5"/>
        <v>-5760</v>
      </c>
      <c r="AH14" s="51">
        <f t="shared" si="6"/>
        <v>-48670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10450</v>
      </c>
      <c r="D16" s="6">
        <v>8400</v>
      </c>
      <c r="E16" s="6"/>
      <c r="F16" s="6"/>
      <c r="G16" s="6"/>
      <c r="H16" s="6"/>
      <c r="I16" s="6"/>
      <c r="J16" s="6"/>
      <c r="K16" s="6">
        <v>1500</v>
      </c>
      <c r="L16" s="6"/>
      <c r="M16" s="6"/>
      <c r="N16" s="6"/>
      <c r="O16" s="6"/>
      <c r="P16" s="6"/>
      <c r="Q16" s="7">
        <f t="shared" si="0"/>
        <v>1500</v>
      </c>
      <c r="R16" s="6">
        <v>7000</v>
      </c>
      <c r="S16" s="6">
        <f t="shared" si="1"/>
        <v>11850</v>
      </c>
      <c r="T16" s="34">
        <v>-10050</v>
      </c>
      <c r="U16" s="6">
        <f t="shared" si="2"/>
        <v>1800</v>
      </c>
      <c r="V16" s="52"/>
      <c r="W16" s="57"/>
      <c r="X16" s="46"/>
      <c r="Y16" s="61"/>
      <c r="Z16" s="66">
        <f t="shared" si="3"/>
        <v>-11850</v>
      </c>
      <c r="AA16" s="61"/>
      <c r="AB16" s="67"/>
      <c r="AC16" s="61"/>
      <c r="AD16" s="47"/>
      <c r="AE16" s="61"/>
      <c r="AF16" s="52">
        <f t="shared" si="4"/>
        <v>-11850</v>
      </c>
      <c r="AG16" s="46">
        <f t="shared" si="5"/>
        <v>-10050</v>
      </c>
      <c r="AH16" s="51">
        <f t="shared" si="6"/>
        <v>-21900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18650</v>
      </c>
      <c r="D17" s="6">
        <f>1950+2900</f>
        <v>4850</v>
      </c>
      <c r="E17" s="6"/>
      <c r="F17" s="6"/>
      <c r="G17" s="6"/>
      <c r="H17" s="6"/>
      <c r="I17" s="6"/>
      <c r="J17" s="6"/>
      <c r="K17" s="6">
        <f>4100+400</f>
        <v>4500</v>
      </c>
      <c r="L17" s="6"/>
      <c r="M17" s="6"/>
      <c r="N17" s="6"/>
      <c r="O17" s="6"/>
      <c r="P17" s="6"/>
      <c r="Q17" s="7">
        <f t="shared" si="0"/>
        <v>4500</v>
      </c>
      <c r="R17" s="6">
        <v>11000</v>
      </c>
      <c r="S17" s="6">
        <f t="shared" si="1"/>
        <v>12500</v>
      </c>
      <c r="T17" s="6">
        <v>-5000</v>
      </c>
      <c r="U17" s="6">
        <f t="shared" si="2"/>
        <v>7500</v>
      </c>
      <c r="V17" s="52"/>
      <c r="W17" s="57"/>
      <c r="X17" s="46"/>
      <c r="Y17" s="61"/>
      <c r="Z17" s="66">
        <f t="shared" si="3"/>
        <v>-12500</v>
      </c>
      <c r="AA17" s="61"/>
      <c r="AB17" s="66"/>
      <c r="AC17" s="61"/>
      <c r="AD17" s="66"/>
      <c r="AE17" s="61"/>
      <c r="AF17" s="52">
        <f t="shared" si="4"/>
        <v>-12500</v>
      </c>
      <c r="AG17" s="46">
        <f t="shared" si="5"/>
        <v>-5000</v>
      </c>
      <c r="AH17" s="51">
        <f t="shared" si="6"/>
        <v>-17500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7">
        <f t="shared" si="0"/>
        <v>0</v>
      </c>
      <c r="R22" s="131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7">
        <f t="shared" si="0"/>
        <v>0</v>
      </c>
      <c r="R24" s="131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7">
        <f t="shared" si="0"/>
        <v>0</v>
      </c>
      <c r="R25" s="131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7">
        <f t="shared" si="0"/>
        <v>0</v>
      </c>
      <c r="R26" s="131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7">
        <f t="shared" si="0"/>
        <v>0</v>
      </c>
      <c r="R27" s="131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2360</v>
      </c>
      <c r="D28" s="6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7">
        <f t="shared" si="0"/>
        <v>0</v>
      </c>
      <c r="R28" s="131"/>
      <c r="S28" s="6">
        <f t="shared" si="1"/>
        <v>2360</v>
      </c>
      <c r="T28" s="6">
        <f>-40-100</f>
        <v>-140</v>
      </c>
      <c r="U28" s="6">
        <f t="shared" si="2"/>
        <v>2220</v>
      </c>
      <c r="V28" s="52"/>
      <c r="W28" s="57"/>
      <c r="X28" s="46"/>
      <c r="Y28" s="61"/>
      <c r="Z28" s="66">
        <f t="shared" si="3"/>
        <v>-2360</v>
      </c>
      <c r="AA28" s="61"/>
      <c r="AB28" s="67"/>
      <c r="AC28" s="61"/>
      <c r="AD28" s="66"/>
      <c r="AE28" s="61"/>
      <c r="AF28" s="52">
        <f t="shared" si="4"/>
        <v>-2360</v>
      </c>
      <c r="AG28" s="46">
        <f t="shared" si="5"/>
        <v>-140</v>
      </c>
      <c r="AH28" s="51">
        <f t="shared" si="6"/>
        <v>-2500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7">
        <f t="shared" si="0"/>
        <v>0</v>
      </c>
      <c r="R29" s="131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7">
        <f t="shared" si="0"/>
        <v>0</v>
      </c>
      <c r="R30" s="131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7">
        <f t="shared" si="0"/>
        <v>0</v>
      </c>
      <c r="R31" s="131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30220</v>
      </c>
      <c r="D32" s="6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6"/>
      <c r="P32" s="6"/>
      <c r="Q32" s="7">
        <f>SUM(E32:P32)</f>
        <v>0</v>
      </c>
      <c r="R32" s="131"/>
      <c r="S32" s="6">
        <f t="shared" si="1"/>
        <v>30220</v>
      </c>
      <c r="T32" s="6">
        <v>-18280</v>
      </c>
      <c r="U32" s="6">
        <f t="shared" si="2"/>
        <v>11940</v>
      </c>
      <c r="V32" s="52"/>
      <c r="W32" s="57"/>
      <c r="X32" s="46"/>
      <c r="Y32" s="61"/>
      <c r="Z32" s="66">
        <f t="shared" si="3"/>
        <v>-30220</v>
      </c>
      <c r="AA32" s="61"/>
      <c r="AB32" s="67"/>
      <c r="AC32" s="61"/>
      <c r="AD32" s="66"/>
      <c r="AE32" s="61"/>
      <c r="AF32" s="52">
        <f t="shared" si="4"/>
        <v>-30220</v>
      </c>
      <c r="AG32" s="46">
        <f t="shared" si="5"/>
        <v>-18280</v>
      </c>
      <c r="AH32" s="51">
        <f t="shared" si="6"/>
        <v>-48500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7">
        <f t="shared" si="0"/>
        <v>0</v>
      </c>
      <c r="R33" s="131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31"/>
      <c r="F34" s="131"/>
      <c r="G34" s="131"/>
      <c r="H34" s="131"/>
      <c r="I34" s="131"/>
      <c r="J34" s="131"/>
      <c r="K34" s="6"/>
      <c r="L34" s="131"/>
      <c r="M34" s="131"/>
      <c r="N34" s="131"/>
      <c r="O34" s="131"/>
      <c r="P34" s="131"/>
      <c r="Q34" s="7">
        <f t="shared" si="0"/>
        <v>0</v>
      </c>
      <c r="R34" s="131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31"/>
      <c r="F35" s="131"/>
      <c r="G35" s="131"/>
      <c r="H35" s="131"/>
      <c r="I35" s="131"/>
      <c r="J35" s="131"/>
      <c r="K35" s="6">
        <v>11875</v>
      </c>
      <c r="L35" s="131"/>
      <c r="M35" s="131"/>
      <c r="N35" s="131"/>
      <c r="O35" s="131"/>
      <c r="P35" s="131"/>
      <c r="Q35" s="7">
        <f t="shared" si="0"/>
        <v>11875</v>
      </c>
      <c r="R35" s="131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7">
        <f t="shared" si="0"/>
        <v>0</v>
      </c>
      <c r="R36" s="131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7">
        <f t="shared" si="0"/>
        <v>0</v>
      </c>
      <c r="R37" s="131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2340</v>
      </c>
      <c r="D38" s="6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7">
        <f>SUM(E38:P38)</f>
        <v>0</v>
      </c>
      <c r="R38" s="131"/>
      <c r="S38" s="6">
        <f t="shared" si="1"/>
        <v>2340</v>
      </c>
      <c r="T38" s="6">
        <v>2300</v>
      </c>
      <c r="U38" s="6">
        <f t="shared" si="2"/>
        <v>4640</v>
      </c>
      <c r="V38" s="52"/>
      <c r="W38" s="57"/>
      <c r="X38" s="46"/>
      <c r="Y38" s="61"/>
      <c r="Z38" s="66">
        <f t="shared" si="3"/>
        <v>-2340</v>
      </c>
      <c r="AA38" s="61"/>
      <c r="AB38" s="64"/>
      <c r="AC38" s="61"/>
      <c r="AD38" s="66"/>
      <c r="AE38" s="61"/>
      <c r="AF38" s="52">
        <f t="shared" si="4"/>
        <v>-2340</v>
      </c>
      <c r="AG38" s="46">
        <f t="shared" si="5"/>
        <v>2300</v>
      </c>
      <c r="AH38" s="51">
        <f t="shared" si="6"/>
        <v>-40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7">
        <f>SUM(E39:P39)</f>
        <v>0</v>
      </c>
      <c r="R39" s="131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31"/>
      <c r="F40" s="131"/>
      <c r="G40" s="131"/>
      <c r="H40" s="27"/>
      <c r="I40" s="131"/>
      <c r="J40" s="131"/>
      <c r="K40" s="131"/>
      <c r="L40" s="131"/>
      <c r="M40" s="131"/>
      <c r="N40" s="131"/>
      <c r="O40" s="131"/>
      <c r="P40" s="131"/>
      <c r="Q40" s="7">
        <f>SUM(E40:P40)</f>
        <v>0</v>
      </c>
      <c r="R40" s="131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7">
        <f>SUM(E41:P41)</f>
        <v>0</v>
      </c>
      <c r="R41" s="131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7">
        <f>SUM(E42:P42)</f>
        <v>0</v>
      </c>
      <c r="R42" s="131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7">
        <f t="shared" si="0"/>
        <v>0</v>
      </c>
      <c r="R44" s="131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7">
        <f t="shared" si="0"/>
        <v>0</v>
      </c>
      <c r="R45" s="131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7">
        <f t="shared" si="0"/>
        <v>0</v>
      </c>
      <c r="R46" s="131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7">
        <f t="shared" si="0"/>
        <v>0</v>
      </c>
      <c r="R47" s="131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7">
        <f t="shared" si="0"/>
        <v>0</v>
      </c>
      <c r="R48" s="131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7">
        <f t="shared" si="0"/>
        <v>0</v>
      </c>
      <c r="R49" s="131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19550</v>
      </c>
      <c r="D50" s="6">
        <v>12000</v>
      </c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7">
        <f t="shared" si="0"/>
        <v>0</v>
      </c>
      <c r="R50" s="131">
        <v>20000</v>
      </c>
      <c r="S50" s="6">
        <f t="shared" si="1"/>
        <v>11550</v>
      </c>
      <c r="T50" s="6">
        <f>-12000+8615</f>
        <v>-3385</v>
      </c>
      <c r="U50" s="6">
        <f t="shared" si="2"/>
        <v>8165</v>
      </c>
      <c r="V50" s="52"/>
      <c r="W50" s="57"/>
      <c r="X50" s="46"/>
      <c r="Y50" s="61"/>
      <c r="Z50" s="66">
        <f t="shared" si="3"/>
        <v>-11550</v>
      </c>
      <c r="AA50" s="61"/>
      <c r="AB50" s="64"/>
      <c r="AC50" s="61"/>
      <c r="AD50" s="66"/>
      <c r="AE50" s="61"/>
      <c r="AF50" s="52">
        <f t="shared" si="4"/>
        <v>-11550</v>
      </c>
      <c r="AG50" s="46">
        <f t="shared" si="5"/>
        <v>-3385</v>
      </c>
      <c r="AH50" s="51">
        <f t="shared" si="6"/>
        <v>-14935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7">
        <f t="shared" si="0"/>
        <v>0</v>
      </c>
      <c r="R51" s="131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7">
        <f t="shared" si="0"/>
        <v>0</v>
      </c>
      <c r="R52" s="131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7">
        <f t="shared" si="0"/>
        <v>0</v>
      </c>
      <c r="R53" s="131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9450</v>
      </c>
      <c r="D54" s="6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7">
        <f t="shared" si="0"/>
        <v>0</v>
      </c>
      <c r="R54" s="131"/>
      <c r="S54" s="6">
        <f t="shared" si="1"/>
        <v>9450</v>
      </c>
      <c r="T54" s="6">
        <v>-2850</v>
      </c>
      <c r="U54" s="6">
        <f t="shared" si="2"/>
        <v>6600</v>
      </c>
      <c r="V54" s="52"/>
      <c r="W54" s="57"/>
      <c r="X54" s="46"/>
      <c r="Y54" s="61"/>
      <c r="Z54" s="66">
        <f t="shared" si="3"/>
        <v>-9450</v>
      </c>
      <c r="AA54" s="61"/>
      <c r="AB54" s="67"/>
      <c r="AC54" s="61"/>
      <c r="AD54" s="66"/>
      <c r="AE54" s="61"/>
      <c r="AF54" s="52">
        <f t="shared" si="4"/>
        <v>-9450</v>
      </c>
      <c r="AG54" s="46">
        <f t="shared" si="5"/>
        <v>-2850</v>
      </c>
      <c r="AH54" s="51">
        <f t="shared" si="6"/>
        <v>-12300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7">
        <f t="shared" si="0"/>
        <v>0</v>
      </c>
      <c r="R55" s="131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7">
        <f>SUM(E56:P56)</f>
        <v>0</v>
      </c>
      <c r="R56" s="131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7">
        <f t="shared" si="0"/>
        <v>0</v>
      </c>
      <c r="R61" s="131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7">
        <f t="shared" si="0"/>
        <v>0</v>
      </c>
      <c r="R62" s="130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7">
        <f t="shared" si="0"/>
        <v>0</v>
      </c>
      <c r="R63" s="130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7">
        <f t="shared" si="0"/>
        <v>0</v>
      </c>
      <c r="R64" s="130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7">
        <f t="shared" si="0"/>
        <v>0</v>
      </c>
      <c r="R65" s="130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29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7">
        <f t="shared" si="0"/>
        <v>0</v>
      </c>
      <c r="R67" s="131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253250</v>
      </c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7">
        <f t="shared" si="0"/>
        <v>0</v>
      </c>
      <c r="R68" s="131"/>
      <c r="S68" s="6">
        <f t="shared" si="1"/>
        <v>253250</v>
      </c>
      <c r="T68" s="6">
        <v>0</v>
      </c>
      <c r="U68" s="6">
        <f t="shared" si="2"/>
        <v>253250</v>
      </c>
      <c r="V68" s="52"/>
      <c r="W68" s="57"/>
      <c r="X68" s="46"/>
      <c r="Y68" s="61"/>
      <c r="Z68" s="66">
        <f t="shared" si="3"/>
        <v>-253250</v>
      </c>
      <c r="AA68" s="61"/>
      <c r="AB68" s="67"/>
      <c r="AC68" s="61"/>
      <c r="AD68" s="66"/>
      <c r="AE68" s="61"/>
      <c r="AF68" s="52">
        <f t="shared" si="4"/>
        <v>-253250</v>
      </c>
      <c r="AG68" s="46">
        <f t="shared" si="5"/>
        <v>0</v>
      </c>
      <c r="AH68" s="51">
        <f t="shared" si="6"/>
        <v>-253250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21350</v>
      </c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7">
        <f t="shared" si="0"/>
        <v>0</v>
      </c>
      <c r="R69" s="131">
        <v>2500</v>
      </c>
      <c r="S69" s="6">
        <f t="shared" si="1"/>
        <v>18850</v>
      </c>
      <c r="T69" s="6">
        <v>-16950</v>
      </c>
      <c r="U69" s="6">
        <f t="shared" si="2"/>
        <v>1900</v>
      </c>
      <c r="V69" s="52"/>
      <c r="W69" s="57"/>
      <c r="X69" s="46"/>
      <c r="Y69" s="61"/>
      <c r="Z69" s="66">
        <f t="shared" si="3"/>
        <v>-18850</v>
      </c>
      <c r="AA69" s="61"/>
      <c r="AB69" s="64"/>
      <c r="AC69" s="61"/>
      <c r="AD69" s="66"/>
      <c r="AE69" s="61"/>
      <c r="AF69" s="52">
        <f t="shared" si="4"/>
        <v>-18850</v>
      </c>
      <c r="AG69" s="46">
        <f t="shared" si="5"/>
        <v>-16950</v>
      </c>
      <c r="AH69" s="51">
        <f t="shared" si="6"/>
        <v>-35800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12625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7">
        <f t="shared" si="0"/>
        <v>0</v>
      </c>
      <c r="R70" s="131"/>
      <c r="S70" s="6">
        <f t="shared" si="1"/>
        <v>12625</v>
      </c>
      <c r="T70" s="6">
        <v>-9425</v>
      </c>
      <c r="U70" s="6">
        <f t="shared" si="2"/>
        <v>3200</v>
      </c>
      <c r="V70" s="52"/>
      <c r="W70" s="57"/>
      <c r="X70" s="46"/>
      <c r="Y70" s="61"/>
      <c r="Z70" s="66">
        <f t="shared" si="3"/>
        <v>-12625</v>
      </c>
      <c r="AA70" s="61"/>
      <c r="AB70" s="67"/>
      <c r="AC70" s="61"/>
      <c r="AD70" s="66"/>
      <c r="AE70" s="61"/>
      <c r="AF70" s="52">
        <f t="shared" si="4"/>
        <v>-12625</v>
      </c>
      <c r="AG70" s="46">
        <f t="shared" si="5"/>
        <v>-9425</v>
      </c>
      <c r="AH70" s="51">
        <f t="shared" si="6"/>
        <v>-22050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37275</v>
      </c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7">
        <f t="shared" si="0"/>
        <v>0</v>
      </c>
      <c r="R71" s="131">
        <v>2500</v>
      </c>
      <c r="S71" s="6">
        <f t="shared" si="1"/>
        <v>34775</v>
      </c>
      <c r="T71" s="6">
        <v>-27500</v>
      </c>
      <c r="U71" s="6">
        <f t="shared" si="2"/>
        <v>7275</v>
      </c>
      <c r="V71" s="52"/>
      <c r="W71" s="57"/>
      <c r="X71" s="46"/>
      <c r="Y71" s="61"/>
      <c r="Z71" s="66">
        <f t="shared" si="3"/>
        <v>-34775</v>
      </c>
      <c r="AA71" s="61"/>
      <c r="AB71" s="64"/>
      <c r="AC71" s="61"/>
      <c r="AD71" s="66"/>
      <c r="AE71" s="61"/>
      <c r="AF71" s="52">
        <f t="shared" si="4"/>
        <v>-34775</v>
      </c>
      <c r="AG71" s="46">
        <f t="shared" si="5"/>
        <v>-27500</v>
      </c>
      <c r="AH71" s="51">
        <f t="shared" si="6"/>
        <v>-62275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31">
        <f>SUM(C7:C72)</f>
        <v>670700</v>
      </c>
      <c r="D73" s="131">
        <f t="shared" ref="D73:V73" si="11">SUM(D7:D72)</f>
        <v>65400</v>
      </c>
      <c r="E73" s="131">
        <f t="shared" si="11"/>
        <v>0</v>
      </c>
      <c r="F73" s="131">
        <f t="shared" si="11"/>
        <v>0</v>
      </c>
      <c r="G73" s="131">
        <f t="shared" si="11"/>
        <v>0</v>
      </c>
      <c r="H73" s="27">
        <f t="shared" si="11"/>
        <v>0</v>
      </c>
      <c r="I73" s="131">
        <f t="shared" si="11"/>
        <v>0</v>
      </c>
      <c r="J73" s="131">
        <f t="shared" si="11"/>
        <v>0</v>
      </c>
      <c r="K73" s="131">
        <f t="shared" si="11"/>
        <v>27875</v>
      </c>
      <c r="L73" s="131">
        <f t="shared" si="11"/>
        <v>0</v>
      </c>
      <c r="M73" s="131">
        <f t="shared" si="11"/>
        <v>0</v>
      </c>
      <c r="N73" s="131">
        <f t="shared" si="11"/>
        <v>0</v>
      </c>
      <c r="O73" s="131">
        <f t="shared" si="11"/>
        <v>0</v>
      </c>
      <c r="P73" s="131">
        <f t="shared" si="11"/>
        <v>0</v>
      </c>
      <c r="Q73" s="131">
        <f t="shared" si="11"/>
        <v>27875</v>
      </c>
      <c r="R73" s="131">
        <f t="shared" si="11"/>
        <v>55250</v>
      </c>
      <c r="S73" s="131">
        <f t="shared" si="11"/>
        <v>680850</v>
      </c>
      <c r="T73" s="131">
        <f t="shared" si="11"/>
        <v>-273090</v>
      </c>
      <c r="U73" s="131">
        <f t="shared" si="11"/>
        <v>407760</v>
      </c>
      <c r="V73" s="131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-680850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-680850</v>
      </c>
      <c r="AG73" s="43">
        <f t="shared" si="12"/>
        <v>-273090</v>
      </c>
      <c r="AH73" s="43">
        <f t="shared" si="12"/>
        <v>-953940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27875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</f>
        <v>145255</v>
      </c>
      <c r="S74" s="179"/>
      <c r="T74" s="180">
        <f>R74+R75</f>
        <v>1072015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65400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</f>
        <v>926760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55250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</f>
        <v>627715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</f>
        <v>80750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</f>
        <v>44340</v>
      </c>
      <c r="N77" s="40" t="s">
        <v>90</v>
      </c>
      <c r="O77" s="82">
        <v>0</v>
      </c>
      <c r="P77" s="40" t="s">
        <v>91</v>
      </c>
      <c r="Q77" s="40">
        <v>12000</v>
      </c>
      <c r="R77" s="165">
        <f>Q77+O77+M77+J77+F77</f>
        <v>155090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39850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53425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472625</v>
      </c>
      <c r="S80" s="165"/>
      <c r="T80" s="22"/>
      <c r="U80" s="22"/>
      <c r="V80" s="2"/>
      <c r="X80" s="63">
        <f>SUM(X77:X79)</f>
        <v>93275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28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4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4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4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4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4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4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4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0</v>
      </c>
      <c r="Q118" s="63">
        <f t="shared" si="14"/>
        <v>32020</v>
      </c>
      <c r="R118" s="63">
        <f t="shared" si="14"/>
        <v>100750</v>
      </c>
      <c r="S118" s="63"/>
      <c r="T118" s="63">
        <f>SUM(T87:T117)</f>
        <v>627715</v>
      </c>
      <c r="U118" s="63"/>
      <c r="V118" s="63">
        <f>SUM(V87:V117)</f>
        <v>145255</v>
      </c>
      <c r="W118" s="63">
        <f>SUM(W87:W117)</f>
        <v>926760</v>
      </c>
      <c r="X118" s="36">
        <f>SUM(V118:W118)</f>
        <v>1072015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X76" sqref="X76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166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10550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300</v>
      </c>
      <c r="S7" s="6">
        <f>C7+D7-R7</f>
        <v>10250</v>
      </c>
      <c r="T7" s="34">
        <v>-9150</v>
      </c>
      <c r="U7" s="6">
        <f>S7+T7</f>
        <v>1100</v>
      </c>
      <c r="V7" s="52"/>
      <c r="W7" s="57"/>
      <c r="X7" s="46"/>
      <c r="Y7" s="65"/>
      <c r="Z7" s="66">
        <f>W7-S7</f>
        <v>-10250</v>
      </c>
      <c r="AA7" s="65"/>
      <c r="AB7" s="67"/>
      <c r="AC7" s="65"/>
      <c r="AD7" s="47"/>
      <c r="AE7" s="61"/>
      <c r="AF7" s="52">
        <f>SUM(Y7:AE7)</f>
        <v>-10250</v>
      </c>
      <c r="AG7" s="46">
        <f>U7+AF7</f>
        <v>-9150</v>
      </c>
      <c r="AH7" s="51">
        <f>AG7-S7</f>
        <v>-19400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41250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1000</f>
        <v>1000</v>
      </c>
      <c r="S8" s="6">
        <f t="shared" ref="S8:S71" si="1">C8+D8-R8</f>
        <v>40250</v>
      </c>
      <c r="T8" s="6">
        <v>-24350</v>
      </c>
      <c r="U8" s="6">
        <f t="shared" ref="U8:U71" si="2">S8+T8</f>
        <v>15900</v>
      </c>
      <c r="V8" s="52"/>
      <c r="W8" s="57"/>
      <c r="X8" s="46"/>
      <c r="Y8" s="61"/>
      <c r="Z8" s="66">
        <f t="shared" ref="Z8:Z71" si="3">W8-S8</f>
        <v>-40250</v>
      </c>
      <c r="AA8" s="61"/>
      <c r="AB8" s="67"/>
      <c r="AC8" s="61"/>
      <c r="AD8" s="66"/>
      <c r="AE8" s="61"/>
      <c r="AF8" s="52">
        <f t="shared" ref="AF8:AF71" si="4">SUM(Y8:AE8)</f>
        <v>-40250</v>
      </c>
      <c r="AG8" s="46">
        <f t="shared" ref="AG8:AG71" si="5">U8+AF8</f>
        <v>-24350</v>
      </c>
      <c r="AH8" s="51">
        <f t="shared" ref="AH8:AH71" si="6">AG8-S8</f>
        <v>-64600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8750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8750</v>
      </c>
      <c r="T10" s="6">
        <v>-5175</v>
      </c>
      <c r="U10" s="6">
        <f t="shared" si="2"/>
        <v>3575</v>
      </c>
      <c r="V10" s="52"/>
      <c r="W10" s="57"/>
      <c r="X10" s="46"/>
      <c r="Y10" s="61"/>
      <c r="Z10" s="66">
        <f t="shared" si="3"/>
        <v>-8750</v>
      </c>
      <c r="AA10" s="61"/>
      <c r="AB10" s="67"/>
      <c r="AC10" s="61"/>
      <c r="AD10" s="66"/>
      <c r="AE10" s="61"/>
      <c r="AF10" s="52">
        <f t="shared" si="4"/>
        <v>-8750</v>
      </c>
      <c r="AG10" s="46">
        <f t="shared" si="5"/>
        <v>-5175</v>
      </c>
      <c r="AH10" s="51">
        <f t="shared" si="6"/>
        <v>-13925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6250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1000</v>
      </c>
      <c r="S11" s="6">
        <f t="shared" si="1"/>
        <v>5250</v>
      </c>
      <c r="T11" s="6">
        <v>-3750</v>
      </c>
      <c r="U11" s="6">
        <f t="shared" si="2"/>
        <v>1500</v>
      </c>
      <c r="V11" s="52"/>
      <c r="W11" s="57"/>
      <c r="X11" s="46"/>
      <c r="Y11" s="61"/>
      <c r="Z11" s="66">
        <f t="shared" si="3"/>
        <v>-5250</v>
      </c>
      <c r="AA11" s="61"/>
      <c r="AB11" s="67"/>
      <c r="AC11" s="61"/>
      <c r="AD11" s="66"/>
      <c r="AE11" s="61"/>
      <c r="AF11" s="52">
        <f t="shared" si="4"/>
        <v>-5250</v>
      </c>
      <c r="AG11" s="46">
        <f t="shared" si="5"/>
        <v>-3750</v>
      </c>
      <c r="AH11" s="51">
        <f t="shared" si="6"/>
        <v>-9000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1850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2000+800+600</f>
        <v>3400</v>
      </c>
      <c r="S12" s="6">
        <f t="shared" si="1"/>
        <v>-1550</v>
      </c>
      <c r="T12" s="6">
        <v>4700</v>
      </c>
      <c r="U12" s="6">
        <f t="shared" si="2"/>
        <v>3150</v>
      </c>
      <c r="V12" s="52"/>
      <c r="W12" s="57"/>
      <c r="X12" s="46"/>
      <c r="Y12" s="61"/>
      <c r="Z12" s="66">
        <f t="shared" si="3"/>
        <v>1550</v>
      </c>
      <c r="AA12" s="61"/>
      <c r="AB12" s="67"/>
      <c r="AC12" s="61"/>
      <c r="AD12" s="66"/>
      <c r="AE12" s="61"/>
      <c r="AF12" s="52">
        <f t="shared" si="4"/>
        <v>1550</v>
      </c>
      <c r="AG12" s="46">
        <f t="shared" si="5"/>
        <v>4700</v>
      </c>
      <c r="AH12" s="51">
        <f t="shared" si="6"/>
        <v>6250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42910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500+4000+1500+900+300</f>
        <v>7200</v>
      </c>
      <c r="S14" s="6">
        <f t="shared" si="1"/>
        <v>35710</v>
      </c>
      <c r="T14" s="6">
        <v>-5760</v>
      </c>
      <c r="U14" s="6">
        <f t="shared" si="2"/>
        <v>29950</v>
      </c>
      <c r="V14" s="52"/>
      <c r="W14" s="57"/>
      <c r="X14" s="46"/>
      <c r="Y14" s="61"/>
      <c r="Z14" s="66">
        <f t="shared" si="3"/>
        <v>-35710</v>
      </c>
      <c r="AA14" s="61"/>
      <c r="AB14" s="66"/>
      <c r="AC14" s="61"/>
      <c r="AD14" s="66"/>
      <c r="AE14" s="61"/>
      <c r="AF14" s="52">
        <f t="shared" si="4"/>
        <v>-35710</v>
      </c>
      <c r="AG14" s="46">
        <f t="shared" si="5"/>
        <v>-5760</v>
      </c>
      <c r="AH14" s="51">
        <f t="shared" si="6"/>
        <v>-41470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11850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11850</v>
      </c>
      <c r="T16" s="34">
        <v>-10050</v>
      </c>
      <c r="U16" s="6">
        <f t="shared" si="2"/>
        <v>1800</v>
      </c>
      <c r="V16" s="52"/>
      <c r="W16" s="57"/>
      <c r="X16" s="46"/>
      <c r="Y16" s="61"/>
      <c r="Z16" s="66">
        <f t="shared" si="3"/>
        <v>-11850</v>
      </c>
      <c r="AA16" s="61"/>
      <c r="AB16" s="67"/>
      <c r="AC16" s="61"/>
      <c r="AD16" s="47"/>
      <c r="AE16" s="61"/>
      <c r="AF16" s="52">
        <f t="shared" si="4"/>
        <v>-11850</v>
      </c>
      <c r="AG16" s="46">
        <f t="shared" si="5"/>
        <v>-10050</v>
      </c>
      <c r="AH16" s="51">
        <f t="shared" si="6"/>
        <v>-21900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12500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12500</v>
      </c>
      <c r="T17" s="6">
        <v>-5000</v>
      </c>
      <c r="U17" s="6">
        <f t="shared" si="2"/>
        <v>7500</v>
      </c>
      <c r="V17" s="52"/>
      <c r="W17" s="57"/>
      <c r="X17" s="46"/>
      <c r="Y17" s="61"/>
      <c r="Z17" s="66">
        <f t="shared" si="3"/>
        <v>-12500</v>
      </c>
      <c r="AA17" s="61"/>
      <c r="AB17" s="66"/>
      <c r="AC17" s="61"/>
      <c r="AD17" s="66"/>
      <c r="AE17" s="61"/>
      <c r="AF17" s="52">
        <f t="shared" si="4"/>
        <v>-12500</v>
      </c>
      <c r="AG17" s="46">
        <f t="shared" si="5"/>
        <v>-5000</v>
      </c>
      <c r="AH17" s="51">
        <f t="shared" si="6"/>
        <v>-17500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7">
        <f t="shared" si="0"/>
        <v>0</v>
      </c>
      <c r="R22" s="133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7">
        <f t="shared" si="0"/>
        <v>0</v>
      </c>
      <c r="R24" s="133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7">
        <f t="shared" si="0"/>
        <v>0</v>
      </c>
      <c r="R25" s="133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7">
        <f t="shared" si="0"/>
        <v>0</v>
      </c>
      <c r="R26" s="133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7">
        <f t="shared" si="0"/>
        <v>0</v>
      </c>
      <c r="R27" s="133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2360</v>
      </c>
      <c r="D28" s="6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7">
        <f t="shared" si="0"/>
        <v>0</v>
      </c>
      <c r="R28" s="133"/>
      <c r="S28" s="6">
        <f t="shared" si="1"/>
        <v>2360</v>
      </c>
      <c r="T28" s="6">
        <f>-40-100</f>
        <v>-140</v>
      </c>
      <c r="U28" s="6">
        <f t="shared" si="2"/>
        <v>2220</v>
      </c>
      <c r="V28" s="52"/>
      <c r="W28" s="57"/>
      <c r="X28" s="46"/>
      <c r="Y28" s="61"/>
      <c r="Z28" s="66">
        <f t="shared" si="3"/>
        <v>-2360</v>
      </c>
      <c r="AA28" s="61"/>
      <c r="AB28" s="67"/>
      <c r="AC28" s="61"/>
      <c r="AD28" s="66"/>
      <c r="AE28" s="61"/>
      <c r="AF28" s="52">
        <f t="shared" si="4"/>
        <v>-2360</v>
      </c>
      <c r="AG28" s="46">
        <f t="shared" si="5"/>
        <v>-140</v>
      </c>
      <c r="AH28" s="51">
        <f t="shared" si="6"/>
        <v>-2500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7">
        <f t="shared" si="0"/>
        <v>0</v>
      </c>
      <c r="R29" s="133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7">
        <f t="shared" si="0"/>
        <v>0</v>
      </c>
      <c r="R30" s="133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7">
        <f t="shared" si="0"/>
        <v>0</v>
      </c>
      <c r="R31" s="133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30220</v>
      </c>
      <c r="D32" s="6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6"/>
      <c r="P32" s="6"/>
      <c r="Q32" s="7">
        <f>SUM(E32:P32)</f>
        <v>0</v>
      </c>
      <c r="R32" s="133"/>
      <c r="S32" s="6">
        <f t="shared" si="1"/>
        <v>30220</v>
      </c>
      <c r="T32" s="6">
        <v>-18280</v>
      </c>
      <c r="U32" s="6">
        <f t="shared" si="2"/>
        <v>11940</v>
      </c>
      <c r="V32" s="52"/>
      <c r="W32" s="57"/>
      <c r="X32" s="46"/>
      <c r="Y32" s="61"/>
      <c r="Z32" s="66">
        <f t="shared" si="3"/>
        <v>-30220</v>
      </c>
      <c r="AA32" s="61"/>
      <c r="AB32" s="67"/>
      <c r="AC32" s="61"/>
      <c r="AD32" s="66"/>
      <c r="AE32" s="61"/>
      <c r="AF32" s="52">
        <f t="shared" si="4"/>
        <v>-30220</v>
      </c>
      <c r="AG32" s="46">
        <f t="shared" si="5"/>
        <v>-18280</v>
      </c>
      <c r="AH32" s="51">
        <f t="shared" si="6"/>
        <v>-48500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7">
        <f t="shared" si="0"/>
        <v>0</v>
      </c>
      <c r="R33" s="133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33"/>
      <c r="F34" s="133"/>
      <c r="G34" s="133"/>
      <c r="H34" s="133"/>
      <c r="I34" s="133"/>
      <c r="J34" s="133"/>
      <c r="K34" s="6"/>
      <c r="L34" s="133"/>
      <c r="M34" s="133"/>
      <c r="N34" s="133"/>
      <c r="O34" s="133"/>
      <c r="P34" s="133"/>
      <c r="Q34" s="7">
        <f t="shared" si="0"/>
        <v>0</v>
      </c>
      <c r="R34" s="133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33"/>
      <c r="F35" s="133"/>
      <c r="G35" s="133"/>
      <c r="H35" s="133"/>
      <c r="I35" s="133"/>
      <c r="J35" s="133"/>
      <c r="K35" s="6">
        <v>125</v>
      </c>
      <c r="L35" s="133"/>
      <c r="M35" s="133"/>
      <c r="N35" s="133"/>
      <c r="O35" s="133"/>
      <c r="P35" s="133"/>
      <c r="Q35" s="7">
        <f t="shared" si="0"/>
        <v>125</v>
      </c>
      <c r="R35" s="133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33"/>
      <c r="F36" s="133"/>
      <c r="G36" s="133"/>
      <c r="H36" s="133"/>
      <c r="I36" s="133"/>
      <c r="J36" s="133"/>
      <c r="K36" s="133">
        <v>420</v>
      </c>
      <c r="L36" s="133"/>
      <c r="M36" s="133"/>
      <c r="N36" s="133"/>
      <c r="O36" s="133"/>
      <c r="P36" s="133"/>
      <c r="Q36" s="7">
        <f t="shared" si="0"/>
        <v>420</v>
      </c>
      <c r="R36" s="133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7">
        <f t="shared" si="0"/>
        <v>0</v>
      </c>
      <c r="R37" s="133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2340</v>
      </c>
      <c r="D38" s="6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>
        <v>5000</v>
      </c>
      <c r="P38" s="133"/>
      <c r="Q38" s="7">
        <f>SUM(E38:P38)</f>
        <v>5000</v>
      </c>
      <c r="R38" s="133">
        <f>2000+2000</f>
        <v>4000</v>
      </c>
      <c r="S38" s="6">
        <f t="shared" si="1"/>
        <v>-1660</v>
      </c>
      <c r="T38" s="6">
        <v>2300</v>
      </c>
      <c r="U38" s="6">
        <f t="shared" si="2"/>
        <v>640</v>
      </c>
      <c r="V38" s="52"/>
      <c r="W38" s="57"/>
      <c r="X38" s="46"/>
      <c r="Y38" s="61"/>
      <c r="Z38" s="66">
        <f t="shared" si="3"/>
        <v>1660</v>
      </c>
      <c r="AA38" s="61"/>
      <c r="AB38" s="64"/>
      <c r="AC38" s="61"/>
      <c r="AD38" s="66"/>
      <c r="AE38" s="61"/>
      <c r="AF38" s="52">
        <f t="shared" si="4"/>
        <v>1660</v>
      </c>
      <c r="AG38" s="46">
        <f t="shared" si="5"/>
        <v>2300</v>
      </c>
      <c r="AH38" s="51">
        <f t="shared" si="6"/>
        <v>3960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>
        <f>2050+4400+5250</f>
        <v>11700</v>
      </c>
      <c r="Q39" s="7">
        <f>SUM(E39:P39)</f>
        <v>11700</v>
      </c>
      <c r="R39" s="133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33"/>
      <c r="F40" s="133"/>
      <c r="G40" s="133"/>
      <c r="H40" s="27"/>
      <c r="I40" s="133"/>
      <c r="J40" s="133"/>
      <c r="K40" s="133"/>
      <c r="L40" s="133"/>
      <c r="M40" s="133"/>
      <c r="N40" s="133"/>
      <c r="O40" s="133"/>
      <c r="P40" s="133"/>
      <c r="Q40" s="7">
        <f>SUM(E40:P40)</f>
        <v>0</v>
      </c>
      <c r="R40" s="133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7">
        <f>SUM(E41:P41)</f>
        <v>0</v>
      </c>
      <c r="R41" s="133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7">
        <f>SUM(E42:P42)</f>
        <v>0</v>
      </c>
      <c r="R42" s="133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7">
        <f t="shared" si="0"/>
        <v>0</v>
      </c>
      <c r="R44" s="133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7">
        <f t="shared" si="0"/>
        <v>0</v>
      </c>
      <c r="R45" s="133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7">
        <f t="shared" si="0"/>
        <v>0</v>
      </c>
      <c r="R46" s="133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7">
        <f t="shared" si="0"/>
        <v>0</v>
      </c>
      <c r="R47" s="133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7">
        <f t="shared" si="0"/>
        <v>0</v>
      </c>
      <c r="R48" s="133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7">
        <f t="shared" si="0"/>
        <v>0</v>
      </c>
      <c r="R49" s="133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11550</v>
      </c>
      <c r="D50" s="6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7">
        <f t="shared" si="0"/>
        <v>0</v>
      </c>
      <c r="R50" s="133"/>
      <c r="S50" s="6">
        <f t="shared" si="1"/>
        <v>11550</v>
      </c>
      <c r="T50" s="6">
        <f>-12000+8615</f>
        <v>-3385</v>
      </c>
      <c r="U50" s="6">
        <f t="shared" si="2"/>
        <v>8165</v>
      </c>
      <c r="V50" s="52"/>
      <c r="W50" s="57"/>
      <c r="X50" s="46"/>
      <c r="Y50" s="61"/>
      <c r="Z50" s="66">
        <f t="shared" si="3"/>
        <v>-11550</v>
      </c>
      <c r="AA50" s="61"/>
      <c r="AB50" s="64"/>
      <c r="AC50" s="61"/>
      <c r="AD50" s="66"/>
      <c r="AE50" s="61"/>
      <c r="AF50" s="52">
        <f t="shared" si="4"/>
        <v>-11550</v>
      </c>
      <c r="AG50" s="46">
        <f t="shared" si="5"/>
        <v>-3385</v>
      </c>
      <c r="AH50" s="51">
        <f t="shared" si="6"/>
        <v>-14935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7">
        <f t="shared" si="0"/>
        <v>0</v>
      </c>
      <c r="R51" s="133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7">
        <f t="shared" si="0"/>
        <v>0</v>
      </c>
      <c r="R52" s="133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7">
        <f t="shared" si="0"/>
        <v>0</v>
      </c>
      <c r="R53" s="133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9450</v>
      </c>
      <c r="D54" s="6"/>
      <c r="E54" s="133"/>
      <c r="F54" s="133"/>
      <c r="G54" s="133"/>
      <c r="H54" s="133"/>
      <c r="I54" s="133"/>
      <c r="J54" s="133"/>
      <c r="K54" s="133">
        <f>4625+5000</f>
        <v>9625</v>
      </c>
      <c r="L54" s="133"/>
      <c r="M54" s="133"/>
      <c r="N54" s="133"/>
      <c r="O54" s="133"/>
      <c r="P54" s="133"/>
      <c r="Q54" s="7">
        <f t="shared" si="0"/>
        <v>9625</v>
      </c>
      <c r="R54" s="133"/>
      <c r="S54" s="6">
        <f t="shared" si="1"/>
        <v>9450</v>
      </c>
      <c r="T54" s="6">
        <v>-2850</v>
      </c>
      <c r="U54" s="6">
        <f t="shared" si="2"/>
        <v>6600</v>
      </c>
      <c r="V54" s="52"/>
      <c r="W54" s="57"/>
      <c r="X54" s="46"/>
      <c r="Y54" s="61"/>
      <c r="Z54" s="66">
        <f t="shared" si="3"/>
        <v>-9450</v>
      </c>
      <c r="AA54" s="61"/>
      <c r="AB54" s="67"/>
      <c r="AC54" s="61"/>
      <c r="AD54" s="66"/>
      <c r="AE54" s="61"/>
      <c r="AF54" s="52">
        <f t="shared" si="4"/>
        <v>-9450</v>
      </c>
      <c r="AG54" s="46">
        <f t="shared" si="5"/>
        <v>-2850</v>
      </c>
      <c r="AH54" s="51">
        <f t="shared" si="6"/>
        <v>-12300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7">
        <f t="shared" si="0"/>
        <v>0</v>
      </c>
      <c r="R55" s="133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7">
        <f>SUM(E56:P56)</f>
        <v>0</v>
      </c>
      <c r="R56" s="133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7">
        <f t="shared" si="0"/>
        <v>0</v>
      </c>
      <c r="R61" s="133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7">
        <f t="shared" si="0"/>
        <v>0</v>
      </c>
      <c r="R62" s="132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7">
        <f t="shared" si="0"/>
        <v>0</v>
      </c>
      <c r="R63" s="132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7">
        <f t="shared" si="0"/>
        <v>0</v>
      </c>
      <c r="R64" s="132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7">
        <f t="shared" si="0"/>
        <v>0</v>
      </c>
      <c r="R65" s="132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34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7">
        <f t="shared" si="0"/>
        <v>0</v>
      </c>
      <c r="R67" s="133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253250</v>
      </c>
      <c r="D68" s="133">
        <v>30000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7">
        <f t="shared" si="0"/>
        <v>0</v>
      </c>
      <c r="R68" s="133">
        <f>30000+52500</f>
        <v>82500</v>
      </c>
      <c r="S68" s="6">
        <f t="shared" si="1"/>
        <v>200750</v>
      </c>
      <c r="T68" s="6">
        <v>0</v>
      </c>
      <c r="U68" s="6">
        <f t="shared" si="2"/>
        <v>200750</v>
      </c>
      <c r="V68" s="52"/>
      <c r="W68" s="57"/>
      <c r="X68" s="46"/>
      <c r="Y68" s="61"/>
      <c r="Z68" s="66">
        <f t="shared" si="3"/>
        <v>-200750</v>
      </c>
      <c r="AA68" s="61"/>
      <c r="AB68" s="67"/>
      <c r="AC68" s="61"/>
      <c r="AD68" s="66"/>
      <c r="AE68" s="61"/>
      <c r="AF68" s="52">
        <f t="shared" si="4"/>
        <v>-200750</v>
      </c>
      <c r="AG68" s="46">
        <f t="shared" si="5"/>
        <v>0</v>
      </c>
      <c r="AH68" s="51">
        <f t="shared" si="6"/>
        <v>-200750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18850</v>
      </c>
      <c r="D69" s="133">
        <v>16200</v>
      </c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7">
        <f t="shared" si="0"/>
        <v>0</v>
      </c>
      <c r="R69" s="133">
        <f>1000+25+400+500</f>
        <v>1925</v>
      </c>
      <c r="S69" s="6">
        <f t="shared" si="1"/>
        <v>33125</v>
      </c>
      <c r="T69" s="6">
        <v>-16950</v>
      </c>
      <c r="U69" s="6">
        <f t="shared" si="2"/>
        <v>16175</v>
      </c>
      <c r="V69" s="52"/>
      <c r="W69" s="57"/>
      <c r="X69" s="46"/>
      <c r="Y69" s="61"/>
      <c r="Z69" s="66">
        <f t="shared" si="3"/>
        <v>-33125</v>
      </c>
      <c r="AA69" s="61"/>
      <c r="AB69" s="64"/>
      <c r="AC69" s="61"/>
      <c r="AD69" s="66"/>
      <c r="AE69" s="61"/>
      <c r="AF69" s="52">
        <f t="shared" si="4"/>
        <v>-33125</v>
      </c>
      <c r="AG69" s="46">
        <f t="shared" si="5"/>
        <v>-16950</v>
      </c>
      <c r="AH69" s="51">
        <f t="shared" si="6"/>
        <v>-50075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12625</v>
      </c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7">
        <f t="shared" si="0"/>
        <v>0</v>
      </c>
      <c r="R70" s="133">
        <v>200</v>
      </c>
      <c r="S70" s="6">
        <f t="shared" si="1"/>
        <v>12425</v>
      </c>
      <c r="T70" s="6">
        <v>-9425</v>
      </c>
      <c r="U70" s="6">
        <f t="shared" si="2"/>
        <v>3000</v>
      </c>
      <c r="V70" s="52"/>
      <c r="W70" s="57"/>
      <c r="X70" s="46"/>
      <c r="Y70" s="61"/>
      <c r="Z70" s="66">
        <f t="shared" si="3"/>
        <v>-12425</v>
      </c>
      <c r="AA70" s="61"/>
      <c r="AB70" s="67"/>
      <c r="AC70" s="61"/>
      <c r="AD70" s="66"/>
      <c r="AE70" s="61"/>
      <c r="AF70" s="52">
        <f t="shared" si="4"/>
        <v>-12425</v>
      </c>
      <c r="AG70" s="46">
        <f t="shared" si="5"/>
        <v>-9425</v>
      </c>
      <c r="AH70" s="51">
        <f t="shared" si="6"/>
        <v>-21850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34775</v>
      </c>
      <c r="D71" s="133">
        <v>15000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7">
        <f t="shared" si="0"/>
        <v>0</v>
      </c>
      <c r="R71" s="133">
        <f>1000+200</f>
        <v>1200</v>
      </c>
      <c r="S71" s="6">
        <f t="shared" si="1"/>
        <v>48575</v>
      </c>
      <c r="T71" s="6">
        <v>-27500</v>
      </c>
      <c r="U71" s="6">
        <f t="shared" si="2"/>
        <v>21075</v>
      </c>
      <c r="V71" s="52"/>
      <c r="W71" s="57"/>
      <c r="X71" s="46"/>
      <c r="Y71" s="61"/>
      <c r="Z71" s="66">
        <f t="shared" si="3"/>
        <v>-48575</v>
      </c>
      <c r="AA71" s="61"/>
      <c r="AB71" s="64"/>
      <c r="AC71" s="61"/>
      <c r="AD71" s="66"/>
      <c r="AE71" s="61"/>
      <c r="AF71" s="52">
        <f t="shared" si="4"/>
        <v>-48575</v>
      </c>
      <c r="AG71" s="46">
        <f t="shared" si="5"/>
        <v>-27500</v>
      </c>
      <c r="AH71" s="51">
        <f t="shared" si="6"/>
        <v>-76075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33">
        <f>SUM(C7:C72)</f>
        <v>680850</v>
      </c>
      <c r="D73" s="133">
        <f t="shared" ref="D73:V73" si="11">SUM(D7:D72)</f>
        <v>61200</v>
      </c>
      <c r="E73" s="133">
        <f t="shared" si="11"/>
        <v>0</v>
      </c>
      <c r="F73" s="133">
        <f t="shared" si="11"/>
        <v>0</v>
      </c>
      <c r="G73" s="133">
        <f t="shared" si="11"/>
        <v>0</v>
      </c>
      <c r="H73" s="27">
        <f t="shared" si="11"/>
        <v>0</v>
      </c>
      <c r="I73" s="133">
        <f t="shared" si="11"/>
        <v>0</v>
      </c>
      <c r="J73" s="133">
        <f t="shared" si="11"/>
        <v>0</v>
      </c>
      <c r="K73" s="133">
        <f t="shared" si="11"/>
        <v>10170</v>
      </c>
      <c r="L73" s="133">
        <f t="shared" si="11"/>
        <v>0</v>
      </c>
      <c r="M73" s="133">
        <f t="shared" si="11"/>
        <v>0</v>
      </c>
      <c r="N73" s="133">
        <f t="shared" si="11"/>
        <v>0</v>
      </c>
      <c r="O73" s="133">
        <f t="shared" si="11"/>
        <v>5000</v>
      </c>
      <c r="P73" s="133">
        <f t="shared" si="11"/>
        <v>11700</v>
      </c>
      <c r="Q73" s="133">
        <f t="shared" si="11"/>
        <v>26870</v>
      </c>
      <c r="R73" s="133">
        <f t="shared" si="11"/>
        <v>102725</v>
      </c>
      <c r="S73" s="133">
        <f t="shared" si="11"/>
        <v>639325</v>
      </c>
      <c r="T73" s="133">
        <f t="shared" si="11"/>
        <v>-273090</v>
      </c>
      <c r="U73" s="133">
        <f t="shared" si="11"/>
        <v>366235</v>
      </c>
      <c r="V73" s="133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-639325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-639325</v>
      </c>
      <c r="AG73" s="43">
        <f t="shared" si="12"/>
        <v>-273090</v>
      </c>
      <c r="AH73" s="43">
        <f t="shared" si="12"/>
        <v>-912415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26870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</f>
        <v>172125</v>
      </c>
      <c r="S74" s="179"/>
      <c r="T74" s="180">
        <f>R74+R75</f>
        <v>1160085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61200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</f>
        <v>987960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102725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</f>
        <v>730440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</f>
        <v>87750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</f>
        <v>44340</v>
      </c>
      <c r="N77" s="40" t="s">
        <v>90</v>
      </c>
      <c r="O77" s="82">
        <v>4000</v>
      </c>
      <c r="P77" s="40" t="s">
        <v>91</v>
      </c>
      <c r="Q77" s="40">
        <v>12000</v>
      </c>
      <c r="R77" s="165">
        <f>Q77+O77+M77+J77+F77</f>
        <v>166090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46075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41995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564350</v>
      </c>
      <c r="S80" s="165"/>
      <c r="T80" s="22"/>
      <c r="U80" s="22"/>
      <c r="V80" s="2"/>
      <c r="X80" s="63">
        <f>SUM(X77:X79)</f>
        <v>88070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35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4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4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4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4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4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4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4000</v>
      </c>
      <c r="Q118" s="63">
        <f t="shared" si="14"/>
        <v>32020</v>
      </c>
      <c r="R118" s="63">
        <f t="shared" si="14"/>
        <v>107750</v>
      </c>
      <c r="S118" s="63"/>
      <c r="T118" s="63">
        <f>SUM(T87:T117)</f>
        <v>730440</v>
      </c>
      <c r="U118" s="63"/>
      <c r="V118" s="63">
        <f>SUM(V87:V117)</f>
        <v>172125</v>
      </c>
      <c r="W118" s="63">
        <f>SUM(W87:W117)</f>
        <v>987960</v>
      </c>
      <c r="X118" s="36">
        <f>SUM(V118:W118)</f>
        <v>1160085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49" activePane="bottomRight" state="frozen"/>
      <selection activeCell="O32" sqref="O32"/>
      <selection pane="topRight" activeCell="O32" sqref="O32"/>
      <selection pane="bottomLeft" activeCell="O32" sqref="O32"/>
      <selection pane="bottomRight" activeCell="X30" sqref="X30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169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10250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10250</v>
      </c>
      <c r="T7" s="34">
        <v>-9150</v>
      </c>
      <c r="U7" s="6">
        <f>S7+T7</f>
        <v>1100</v>
      </c>
      <c r="V7" s="52"/>
      <c r="W7" s="57"/>
      <c r="X7" s="46"/>
      <c r="Y7" s="65"/>
      <c r="Z7" s="66">
        <f>W7-S7</f>
        <v>-10250</v>
      </c>
      <c r="AA7" s="65"/>
      <c r="AB7" s="67"/>
      <c r="AC7" s="65"/>
      <c r="AD7" s="47"/>
      <c r="AE7" s="61"/>
      <c r="AF7" s="52">
        <f>SUM(Y7:AE7)</f>
        <v>-10250</v>
      </c>
      <c r="AG7" s="46">
        <f>U7+AF7</f>
        <v>-9150</v>
      </c>
      <c r="AH7" s="51">
        <f>AG7-S7</f>
        <v>-19400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40250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250</v>
      </c>
      <c r="S8" s="6">
        <f t="shared" ref="S8:S71" si="1">C8+D8-R8</f>
        <v>40000</v>
      </c>
      <c r="T8" s="6">
        <v>-24350</v>
      </c>
      <c r="U8" s="6">
        <f t="shared" ref="U8:U71" si="2">S8+T8</f>
        <v>15650</v>
      </c>
      <c r="V8" s="52"/>
      <c r="W8" s="57"/>
      <c r="X8" s="46"/>
      <c r="Y8" s="61"/>
      <c r="Z8" s="66">
        <f t="shared" ref="Z8:Z71" si="3">W8-S8</f>
        <v>-40000</v>
      </c>
      <c r="AA8" s="61"/>
      <c r="AB8" s="67"/>
      <c r="AC8" s="61"/>
      <c r="AD8" s="66"/>
      <c r="AE8" s="61"/>
      <c r="AF8" s="52">
        <f t="shared" ref="AF8:AF71" si="4">SUM(Y8:AE8)</f>
        <v>-40000</v>
      </c>
      <c r="AG8" s="46">
        <f t="shared" ref="AG8:AG71" si="5">U8+AF8</f>
        <v>-24350</v>
      </c>
      <c r="AH8" s="51">
        <f t="shared" ref="AH8:AH71" si="6">AG8-S8</f>
        <v>-64350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8750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>
        <v>250</v>
      </c>
      <c r="S10" s="6">
        <f t="shared" si="1"/>
        <v>8500</v>
      </c>
      <c r="T10" s="6">
        <v>-5175</v>
      </c>
      <c r="U10" s="6">
        <f t="shared" si="2"/>
        <v>3325</v>
      </c>
      <c r="V10" s="52"/>
      <c r="W10" s="57"/>
      <c r="X10" s="46"/>
      <c r="Y10" s="61"/>
      <c r="Z10" s="66">
        <f t="shared" si="3"/>
        <v>-8500</v>
      </c>
      <c r="AA10" s="61"/>
      <c r="AB10" s="67"/>
      <c r="AC10" s="61"/>
      <c r="AD10" s="66"/>
      <c r="AE10" s="61"/>
      <c r="AF10" s="52">
        <f t="shared" si="4"/>
        <v>-8500</v>
      </c>
      <c r="AG10" s="46">
        <f t="shared" si="5"/>
        <v>-5175</v>
      </c>
      <c r="AH10" s="51">
        <f t="shared" si="6"/>
        <v>-13675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5250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950+250</f>
        <v>1200</v>
      </c>
      <c r="S11" s="6">
        <f t="shared" si="1"/>
        <v>4050</v>
      </c>
      <c r="T11" s="6">
        <v>-3750</v>
      </c>
      <c r="U11" s="6">
        <f t="shared" si="2"/>
        <v>300</v>
      </c>
      <c r="V11" s="52"/>
      <c r="W11" s="57"/>
      <c r="X11" s="46"/>
      <c r="Y11" s="61"/>
      <c r="Z11" s="66">
        <f t="shared" si="3"/>
        <v>-4050</v>
      </c>
      <c r="AA11" s="61"/>
      <c r="AB11" s="67"/>
      <c r="AC11" s="61"/>
      <c r="AD11" s="66"/>
      <c r="AE11" s="61"/>
      <c r="AF11" s="52">
        <f t="shared" si="4"/>
        <v>-4050</v>
      </c>
      <c r="AG11" s="46">
        <f t="shared" si="5"/>
        <v>-3750</v>
      </c>
      <c r="AH11" s="51">
        <f t="shared" si="6"/>
        <v>-7800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-1550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500</v>
      </c>
      <c r="S12" s="6">
        <f t="shared" si="1"/>
        <v>-2050</v>
      </c>
      <c r="T12" s="6">
        <v>4700</v>
      </c>
      <c r="U12" s="6">
        <f t="shared" si="2"/>
        <v>2650</v>
      </c>
      <c r="V12" s="52"/>
      <c r="W12" s="57"/>
      <c r="X12" s="46"/>
      <c r="Y12" s="61"/>
      <c r="Z12" s="66">
        <f t="shared" si="3"/>
        <v>2050</v>
      </c>
      <c r="AA12" s="61"/>
      <c r="AB12" s="67"/>
      <c r="AC12" s="61"/>
      <c r="AD12" s="66"/>
      <c r="AE12" s="61"/>
      <c r="AF12" s="52">
        <f t="shared" si="4"/>
        <v>2050</v>
      </c>
      <c r="AG12" s="46">
        <f t="shared" si="5"/>
        <v>4700</v>
      </c>
      <c r="AH12" s="51">
        <f t="shared" si="6"/>
        <v>6750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35710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6050+1000+2000+1000</f>
        <v>10050</v>
      </c>
      <c r="S14" s="6">
        <f t="shared" si="1"/>
        <v>25660</v>
      </c>
      <c r="T14" s="6">
        <v>-5760</v>
      </c>
      <c r="U14" s="6">
        <f t="shared" si="2"/>
        <v>19900</v>
      </c>
      <c r="V14" s="52"/>
      <c r="W14" s="57"/>
      <c r="X14" s="46"/>
      <c r="Y14" s="61"/>
      <c r="Z14" s="66">
        <f t="shared" si="3"/>
        <v>-25660</v>
      </c>
      <c r="AA14" s="61"/>
      <c r="AB14" s="66"/>
      <c r="AC14" s="61"/>
      <c r="AD14" s="66"/>
      <c r="AE14" s="61"/>
      <c r="AF14" s="52">
        <f t="shared" si="4"/>
        <v>-25660</v>
      </c>
      <c r="AG14" s="46">
        <f t="shared" si="5"/>
        <v>-5760</v>
      </c>
      <c r="AH14" s="51">
        <f t="shared" si="6"/>
        <v>-31420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11850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11850</v>
      </c>
      <c r="T16" s="34">
        <v>-10050</v>
      </c>
      <c r="U16" s="6">
        <f t="shared" si="2"/>
        <v>1800</v>
      </c>
      <c r="V16" s="52"/>
      <c r="W16" s="57"/>
      <c r="X16" s="46"/>
      <c r="Y16" s="61"/>
      <c r="Z16" s="66">
        <f t="shared" si="3"/>
        <v>-11850</v>
      </c>
      <c r="AA16" s="61"/>
      <c r="AB16" s="67"/>
      <c r="AC16" s="61"/>
      <c r="AD16" s="47"/>
      <c r="AE16" s="61"/>
      <c r="AF16" s="52">
        <f t="shared" si="4"/>
        <v>-11850</v>
      </c>
      <c r="AG16" s="46">
        <f t="shared" si="5"/>
        <v>-10050</v>
      </c>
      <c r="AH16" s="51">
        <f t="shared" si="6"/>
        <v>-21900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12500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250</v>
      </c>
      <c r="S17" s="6">
        <f t="shared" si="1"/>
        <v>12250</v>
      </c>
      <c r="T17" s="6">
        <v>-5000</v>
      </c>
      <c r="U17" s="6">
        <f t="shared" si="2"/>
        <v>7250</v>
      </c>
      <c r="V17" s="52"/>
      <c r="W17" s="57"/>
      <c r="X17" s="46"/>
      <c r="Y17" s="61"/>
      <c r="Z17" s="66">
        <f t="shared" si="3"/>
        <v>-12250</v>
      </c>
      <c r="AA17" s="61"/>
      <c r="AB17" s="66"/>
      <c r="AC17" s="61"/>
      <c r="AD17" s="66"/>
      <c r="AE17" s="61"/>
      <c r="AF17" s="52">
        <f t="shared" si="4"/>
        <v>-12250</v>
      </c>
      <c r="AG17" s="46">
        <f t="shared" si="5"/>
        <v>-5000</v>
      </c>
      <c r="AH17" s="51">
        <f t="shared" si="6"/>
        <v>-17250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7">
        <f t="shared" si="0"/>
        <v>0</v>
      </c>
      <c r="R22" s="133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7">
        <f t="shared" si="0"/>
        <v>0</v>
      </c>
      <c r="R24" s="133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7">
        <f t="shared" si="0"/>
        <v>0</v>
      </c>
      <c r="R25" s="133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7">
        <f t="shared" si="0"/>
        <v>0</v>
      </c>
      <c r="R26" s="133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7">
        <f t="shared" si="0"/>
        <v>0</v>
      </c>
      <c r="R27" s="133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2360</v>
      </c>
      <c r="D28" s="6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7">
        <f t="shared" si="0"/>
        <v>0</v>
      </c>
      <c r="R28" s="133"/>
      <c r="S28" s="6">
        <f t="shared" si="1"/>
        <v>2360</v>
      </c>
      <c r="T28" s="6">
        <f>-40-100</f>
        <v>-140</v>
      </c>
      <c r="U28" s="6">
        <f t="shared" si="2"/>
        <v>2220</v>
      </c>
      <c r="V28" s="52"/>
      <c r="W28" s="57"/>
      <c r="X28" s="46"/>
      <c r="Y28" s="61"/>
      <c r="Z28" s="66">
        <f t="shared" si="3"/>
        <v>-2360</v>
      </c>
      <c r="AA28" s="61"/>
      <c r="AB28" s="67"/>
      <c r="AC28" s="61"/>
      <c r="AD28" s="66"/>
      <c r="AE28" s="61"/>
      <c r="AF28" s="52">
        <f t="shared" si="4"/>
        <v>-2360</v>
      </c>
      <c r="AG28" s="46">
        <f t="shared" si="5"/>
        <v>-140</v>
      </c>
      <c r="AH28" s="51">
        <f t="shared" si="6"/>
        <v>-2500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7">
        <f t="shared" si="0"/>
        <v>0</v>
      </c>
      <c r="R29" s="133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7">
        <f t="shared" si="0"/>
        <v>0</v>
      </c>
      <c r="R30" s="133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7">
        <f t="shared" si="0"/>
        <v>0</v>
      </c>
      <c r="R31" s="133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30220</v>
      </c>
      <c r="D32" s="6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6"/>
      <c r="P32" s="6"/>
      <c r="Q32" s="7">
        <f>SUM(E32:P32)</f>
        <v>0</v>
      </c>
      <c r="R32" s="133"/>
      <c r="S32" s="6">
        <f t="shared" si="1"/>
        <v>30220</v>
      </c>
      <c r="T32" s="6">
        <v>-18280</v>
      </c>
      <c r="U32" s="6">
        <f t="shared" si="2"/>
        <v>11940</v>
      </c>
      <c r="V32" s="52"/>
      <c r="W32" s="57"/>
      <c r="X32" s="46"/>
      <c r="Y32" s="61"/>
      <c r="Z32" s="66">
        <f t="shared" si="3"/>
        <v>-30220</v>
      </c>
      <c r="AA32" s="61"/>
      <c r="AB32" s="67"/>
      <c r="AC32" s="61"/>
      <c r="AD32" s="66"/>
      <c r="AE32" s="61"/>
      <c r="AF32" s="52">
        <f t="shared" si="4"/>
        <v>-30220</v>
      </c>
      <c r="AG32" s="46">
        <f t="shared" si="5"/>
        <v>-18280</v>
      </c>
      <c r="AH32" s="51">
        <f t="shared" si="6"/>
        <v>-48500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7">
        <f t="shared" si="0"/>
        <v>0</v>
      </c>
      <c r="R33" s="133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33"/>
      <c r="F34" s="133"/>
      <c r="G34" s="133"/>
      <c r="H34" s="133"/>
      <c r="I34" s="133"/>
      <c r="J34" s="133"/>
      <c r="K34" s="6"/>
      <c r="L34" s="133"/>
      <c r="M34" s="133"/>
      <c r="N34" s="133"/>
      <c r="O34" s="133"/>
      <c r="P34" s="133"/>
      <c r="Q34" s="7">
        <f t="shared" si="0"/>
        <v>0</v>
      </c>
      <c r="R34" s="133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f>3220-400</f>
        <v>2820</v>
      </c>
      <c r="D35" s="6"/>
      <c r="E35" s="133"/>
      <c r="F35" s="133"/>
      <c r="G35" s="133"/>
      <c r="H35" s="133"/>
      <c r="I35" s="133"/>
      <c r="J35" s="133"/>
      <c r="K35" s="6"/>
      <c r="L35" s="133"/>
      <c r="M35" s="133"/>
      <c r="N35" s="133"/>
      <c r="O35" s="133"/>
      <c r="P35" s="133"/>
      <c r="Q35" s="7">
        <f t="shared" si="0"/>
        <v>0</v>
      </c>
      <c r="R35" s="133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7">
        <f t="shared" si="0"/>
        <v>0</v>
      </c>
      <c r="R36" s="133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7">
        <f t="shared" si="0"/>
        <v>0</v>
      </c>
      <c r="R37" s="133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f>-1660+360</f>
        <v>-1300</v>
      </c>
      <c r="D38" s="6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>
        <v>10680</v>
      </c>
      <c r="P38" s="133"/>
      <c r="Q38" s="7">
        <f>SUM(E38:P38)</f>
        <v>10680</v>
      </c>
      <c r="R38" s="133">
        <v>1000</v>
      </c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7">
        <f>SUM(E39:P39)</f>
        <v>0</v>
      </c>
      <c r="R39" s="133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33"/>
      <c r="F40" s="133"/>
      <c r="G40" s="133"/>
      <c r="H40" s="27"/>
      <c r="I40" s="133"/>
      <c r="J40" s="133"/>
      <c r="K40" s="133"/>
      <c r="L40" s="133"/>
      <c r="M40" s="133"/>
      <c r="N40" s="133"/>
      <c r="O40" s="133"/>
      <c r="P40" s="133"/>
      <c r="Q40" s="7">
        <f>SUM(E40:P40)</f>
        <v>0</v>
      </c>
      <c r="R40" s="133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7">
        <f>SUM(E41:P41)</f>
        <v>0</v>
      </c>
      <c r="R41" s="133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7">
        <f>SUM(E42:P42)</f>
        <v>0</v>
      </c>
      <c r="R42" s="133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7">
        <f t="shared" si="0"/>
        <v>0</v>
      </c>
      <c r="R44" s="133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7">
        <f t="shared" si="0"/>
        <v>0</v>
      </c>
      <c r="R45" s="133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7">
        <f t="shared" si="0"/>
        <v>0</v>
      </c>
      <c r="R46" s="133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7">
        <f t="shared" si="0"/>
        <v>0</v>
      </c>
      <c r="R47" s="133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7">
        <f t="shared" si="0"/>
        <v>0</v>
      </c>
      <c r="R48" s="133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7">
        <f t="shared" si="0"/>
        <v>0</v>
      </c>
      <c r="R49" s="133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11550</v>
      </c>
      <c r="D50" s="6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7">
        <f t="shared" si="0"/>
        <v>0</v>
      </c>
      <c r="R50" s="133"/>
      <c r="S50" s="6">
        <f t="shared" si="1"/>
        <v>11550</v>
      </c>
      <c r="T50" s="6">
        <f>-12000+8615</f>
        <v>-3385</v>
      </c>
      <c r="U50" s="6">
        <f t="shared" si="2"/>
        <v>8165</v>
      </c>
      <c r="V50" s="52"/>
      <c r="W50" s="57"/>
      <c r="X50" s="46"/>
      <c r="Y50" s="61"/>
      <c r="Z50" s="66">
        <f t="shared" si="3"/>
        <v>-11550</v>
      </c>
      <c r="AA50" s="61"/>
      <c r="AB50" s="64"/>
      <c r="AC50" s="61"/>
      <c r="AD50" s="66"/>
      <c r="AE50" s="61"/>
      <c r="AF50" s="52">
        <f t="shared" si="4"/>
        <v>-11550</v>
      </c>
      <c r="AG50" s="46">
        <f t="shared" si="5"/>
        <v>-3385</v>
      </c>
      <c r="AH50" s="51">
        <f t="shared" si="6"/>
        <v>-14935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7">
        <f t="shared" si="0"/>
        <v>0</v>
      </c>
      <c r="R51" s="133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7">
        <f t="shared" si="0"/>
        <v>0</v>
      </c>
      <c r="R52" s="133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7">
        <f t="shared" si="0"/>
        <v>0</v>
      </c>
      <c r="R53" s="133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9450</v>
      </c>
      <c r="D54" s="6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7">
        <f t="shared" si="0"/>
        <v>0</v>
      </c>
      <c r="R54" s="133"/>
      <c r="S54" s="6">
        <f t="shared" si="1"/>
        <v>9450</v>
      </c>
      <c r="T54" s="6">
        <v>-2850</v>
      </c>
      <c r="U54" s="6">
        <f t="shared" si="2"/>
        <v>6600</v>
      </c>
      <c r="V54" s="52"/>
      <c r="W54" s="57"/>
      <c r="X54" s="46"/>
      <c r="Y54" s="61"/>
      <c r="Z54" s="66">
        <f t="shared" si="3"/>
        <v>-9450</v>
      </c>
      <c r="AA54" s="61"/>
      <c r="AB54" s="67"/>
      <c r="AC54" s="61"/>
      <c r="AD54" s="66"/>
      <c r="AE54" s="61"/>
      <c r="AF54" s="52">
        <f t="shared" si="4"/>
        <v>-9450</v>
      </c>
      <c r="AG54" s="46">
        <f t="shared" si="5"/>
        <v>-2850</v>
      </c>
      <c r="AH54" s="51">
        <f t="shared" si="6"/>
        <v>-12300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7">
        <f t="shared" si="0"/>
        <v>0</v>
      </c>
      <c r="R55" s="133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7">
        <f>SUM(E56:P56)</f>
        <v>0</v>
      </c>
      <c r="R56" s="133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7">
        <f t="shared" si="0"/>
        <v>0</v>
      </c>
      <c r="R61" s="133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7">
        <f t="shared" si="0"/>
        <v>0</v>
      </c>
      <c r="R62" s="132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7">
        <f t="shared" si="0"/>
        <v>0</v>
      </c>
      <c r="R63" s="132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7">
        <f t="shared" si="0"/>
        <v>0</v>
      </c>
      <c r="R64" s="132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7">
        <f t="shared" si="0"/>
        <v>0</v>
      </c>
      <c r="R65" s="132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34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7">
        <f t="shared" si="0"/>
        <v>0</v>
      </c>
      <c r="R67" s="133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200750</v>
      </c>
      <c r="D68" s="133">
        <f>70000+24675</f>
        <v>94675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7">
        <f t="shared" si="0"/>
        <v>0</v>
      </c>
      <c r="R68" s="133">
        <v>15000</v>
      </c>
      <c r="S68" s="6">
        <f t="shared" si="1"/>
        <v>280425</v>
      </c>
      <c r="T68" s="6">
        <v>0</v>
      </c>
      <c r="U68" s="6">
        <f t="shared" si="2"/>
        <v>280425</v>
      </c>
      <c r="V68" s="52"/>
      <c r="W68" s="57"/>
      <c r="X68" s="46"/>
      <c r="Y68" s="61"/>
      <c r="Z68" s="66">
        <f t="shared" si="3"/>
        <v>-280425</v>
      </c>
      <c r="AA68" s="61"/>
      <c r="AB68" s="67"/>
      <c r="AC68" s="61"/>
      <c r="AD68" s="66"/>
      <c r="AE68" s="61"/>
      <c r="AF68" s="52">
        <f t="shared" si="4"/>
        <v>-280425</v>
      </c>
      <c r="AG68" s="46">
        <f t="shared" si="5"/>
        <v>0</v>
      </c>
      <c r="AH68" s="51">
        <f t="shared" si="6"/>
        <v>-280425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33125</v>
      </c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7">
        <f t="shared" si="0"/>
        <v>0</v>
      </c>
      <c r="R69" s="133">
        <v>6500</v>
      </c>
      <c r="S69" s="6">
        <f t="shared" si="1"/>
        <v>26625</v>
      </c>
      <c r="T69" s="6">
        <v>-16950</v>
      </c>
      <c r="U69" s="6">
        <f t="shared" si="2"/>
        <v>9675</v>
      </c>
      <c r="V69" s="52"/>
      <c r="W69" s="57"/>
      <c r="X69" s="46"/>
      <c r="Y69" s="61"/>
      <c r="Z69" s="66">
        <f t="shared" si="3"/>
        <v>-26625</v>
      </c>
      <c r="AA69" s="61"/>
      <c r="AB69" s="64"/>
      <c r="AC69" s="61"/>
      <c r="AD69" s="66"/>
      <c r="AE69" s="61"/>
      <c r="AF69" s="52">
        <f t="shared" si="4"/>
        <v>-26625</v>
      </c>
      <c r="AG69" s="46">
        <f t="shared" si="5"/>
        <v>-16950</v>
      </c>
      <c r="AH69" s="51">
        <f t="shared" si="6"/>
        <v>-43575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12425</v>
      </c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7">
        <f t="shared" si="0"/>
        <v>0</v>
      </c>
      <c r="R70" s="133"/>
      <c r="S70" s="6">
        <f t="shared" si="1"/>
        <v>12425</v>
      </c>
      <c r="T70" s="6">
        <v>-9425</v>
      </c>
      <c r="U70" s="6">
        <f t="shared" si="2"/>
        <v>3000</v>
      </c>
      <c r="V70" s="52"/>
      <c r="W70" s="57"/>
      <c r="X70" s="46"/>
      <c r="Y70" s="61"/>
      <c r="Z70" s="66">
        <f t="shared" si="3"/>
        <v>-12425</v>
      </c>
      <c r="AA70" s="61"/>
      <c r="AB70" s="67"/>
      <c r="AC70" s="61"/>
      <c r="AD70" s="66"/>
      <c r="AE70" s="61"/>
      <c r="AF70" s="52">
        <f t="shared" si="4"/>
        <v>-12425</v>
      </c>
      <c r="AG70" s="46">
        <f t="shared" si="5"/>
        <v>-9425</v>
      </c>
      <c r="AH70" s="51">
        <f t="shared" si="6"/>
        <v>-21850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48575</v>
      </c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7">
        <f t="shared" si="0"/>
        <v>0</v>
      </c>
      <c r="R71" s="133">
        <v>13500</v>
      </c>
      <c r="S71" s="6">
        <f t="shared" si="1"/>
        <v>35075</v>
      </c>
      <c r="T71" s="6">
        <v>-27500</v>
      </c>
      <c r="U71" s="6">
        <f t="shared" si="2"/>
        <v>7575</v>
      </c>
      <c r="V71" s="52"/>
      <c r="W71" s="57"/>
      <c r="X71" s="46"/>
      <c r="Y71" s="61"/>
      <c r="Z71" s="66">
        <f t="shared" si="3"/>
        <v>-35075</v>
      </c>
      <c r="AA71" s="61"/>
      <c r="AB71" s="64"/>
      <c r="AC71" s="61"/>
      <c r="AD71" s="66"/>
      <c r="AE71" s="61"/>
      <c r="AF71" s="52">
        <f t="shared" si="4"/>
        <v>-35075</v>
      </c>
      <c r="AG71" s="46">
        <f t="shared" si="5"/>
        <v>-27500</v>
      </c>
      <c r="AH71" s="51">
        <f t="shared" si="6"/>
        <v>-62575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33">
        <f>SUM(C7:C72)</f>
        <v>639285</v>
      </c>
      <c r="D73" s="133">
        <f t="shared" ref="D73:V73" si="11">SUM(D7:D72)</f>
        <v>94675</v>
      </c>
      <c r="E73" s="133">
        <f t="shared" si="11"/>
        <v>0</v>
      </c>
      <c r="F73" s="133">
        <f t="shared" si="11"/>
        <v>0</v>
      </c>
      <c r="G73" s="133">
        <f t="shared" si="11"/>
        <v>0</v>
      </c>
      <c r="H73" s="27">
        <f t="shared" si="11"/>
        <v>0</v>
      </c>
      <c r="I73" s="133">
        <f t="shared" si="11"/>
        <v>0</v>
      </c>
      <c r="J73" s="133">
        <f t="shared" si="11"/>
        <v>0</v>
      </c>
      <c r="K73" s="133">
        <f t="shared" si="11"/>
        <v>0</v>
      </c>
      <c r="L73" s="133">
        <f t="shared" si="11"/>
        <v>0</v>
      </c>
      <c r="M73" s="133">
        <f t="shared" si="11"/>
        <v>0</v>
      </c>
      <c r="N73" s="133">
        <f t="shared" si="11"/>
        <v>0</v>
      </c>
      <c r="O73" s="133">
        <f t="shared" si="11"/>
        <v>10680</v>
      </c>
      <c r="P73" s="133">
        <f t="shared" si="11"/>
        <v>0</v>
      </c>
      <c r="Q73" s="133">
        <f t="shared" si="11"/>
        <v>10680</v>
      </c>
      <c r="R73" s="133">
        <f t="shared" si="11"/>
        <v>48500</v>
      </c>
      <c r="S73" s="133">
        <f t="shared" si="11"/>
        <v>685460</v>
      </c>
      <c r="T73" s="133">
        <f t="shared" si="11"/>
        <v>-273090</v>
      </c>
      <c r="U73" s="133">
        <f t="shared" si="11"/>
        <v>412370</v>
      </c>
      <c r="V73" s="133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-685460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-685460</v>
      </c>
      <c r="AG73" s="43">
        <f t="shared" si="12"/>
        <v>-273090</v>
      </c>
      <c r="AH73" s="43">
        <f t="shared" si="12"/>
        <v>-958550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10680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</f>
        <v>182805</v>
      </c>
      <c r="S74" s="179"/>
      <c r="T74" s="180">
        <f>R74+R75</f>
        <v>1265440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94675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</f>
        <v>1082635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48500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</f>
        <v>778940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</f>
        <v>94750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</f>
        <v>44340</v>
      </c>
      <c r="N77" s="40" t="s">
        <v>90</v>
      </c>
      <c r="O77" s="82">
        <f>4000+1000</f>
        <v>5000</v>
      </c>
      <c r="P77" s="40" t="s">
        <v>91</v>
      </c>
      <c r="Q77" s="40">
        <v>12000</v>
      </c>
      <c r="R77" s="165">
        <f>Q77+O77+M77+J77+F77</f>
        <v>174090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70000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35355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604850</v>
      </c>
      <c r="S80" s="165"/>
      <c r="T80" s="22"/>
      <c r="U80" s="22"/>
      <c r="V80" s="2"/>
      <c r="X80" s="63">
        <f>SUM(X77:X79)</f>
        <v>105355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35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4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4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4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4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4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5000</v>
      </c>
      <c r="Q118" s="63">
        <f t="shared" si="14"/>
        <v>32020</v>
      </c>
      <c r="R118" s="63">
        <f t="shared" si="14"/>
        <v>114750</v>
      </c>
      <c r="S118" s="63"/>
      <c r="T118" s="63">
        <f>SUM(T87:T117)</f>
        <v>778940</v>
      </c>
      <c r="U118" s="63"/>
      <c r="V118" s="63">
        <f>SUM(V87:V117)</f>
        <v>182805</v>
      </c>
      <c r="W118" s="63">
        <f>SUM(W87:W117)</f>
        <v>1082635</v>
      </c>
      <c r="X118" s="36">
        <f>SUM(V118:W118)</f>
        <v>1265440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X23" sqref="X2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170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10250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10250</v>
      </c>
      <c r="T7" s="34">
        <v>-9150</v>
      </c>
      <c r="U7" s="6">
        <f>S7+T7</f>
        <v>1100</v>
      </c>
      <c r="V7" s="52"/>
      <c r="W7" s="57"/>
      <c r="X7" s="46"/>
      <c r="Y7" s="65"/>
      <c r="Z7" s="66">
        <f>W7-S7</f>
        <v>-10250</v>
      </c>
      <c r="AA7" s="65"/>
      <c r="AB7" s="67"/>
      <c r="AC7" s="65"/>
      <c r="AD7" s="47"/>
      <c r="AE7" s="61"/>
      <c r="AF7" s="52">
        <f>SUM(Y7:AE7)</f>
        <v>-10250</v>
      </c>
      <c r="AG7" s="46">
        <f>U7+AF7</f>
        <v>-9150</v>
      </c>
      <c r="AH7" s="51">
        <f>AG7-S7</f>
        <v>-19400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40000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40000</v>
      </c>
      <c r="T8" s="6">
        <v>-24350</v>
      </c>
      <c r="U8" s="6">
        <f t="shared" ref="U8:U71" si="2">S8+T8</f>
        <v>15650</v>
      </c>
      <c r="V8" s="52"/>
      <c r="W8" s="57"/>
      <c r="X8" s="46"/>
      <c r="Y8" s="61"/>
      <c r="Z8" s="66">
        <f t="shared" ref="Z8:Z71" si="3">W8-S8</f>
        <v>-40000</v>
      </c>
      <c r="AA8" s="61"/>
      <c r="AB8" s="67"/>
      <c r="AC8" s="61"/>
      <c r="AD8" s="66"/>
      <c r="AE8" s="61"/>
      <c r="AF8" s="52">
        <f t="shared" ref="AF8:AF71" si="4">SUM(Y8:AE8)</f>
        <v>-40000</v>
      </c>
      <c r="AG8" s="46">
        <f t="shared" ref="AG8:AG71" si="5">U8+AF8</f>
        <v>-24350</v>
      </c>
      <c r="AH8" s="51">
        <f t="shared" ref="AH8:AH71" si="6">AG8-S8</f>
        <v>-64350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8500</v>
      </c>
      <c r="D10" s="6"/>
      <c r="E10" s="6"/>
      <c r="F10" s="6"/>
      <c r="G10" s="6">
        <v>1000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1000</v>
      </c>
      <c r="R10" s="6"/>
      <c r="S10" s="6">
        <f t="shared" si="1"/>
        <v>8500</v>
      </c>
      <c r="T10" s="6">
        <v>-5175</v>
      </c>
      <c r="U10" s="6">
        <f t="shared" si="2"/>
        <v>3325</v>
      </c>
      <c r="V10" s="52"/>
      <c r="W10" s="57"/>
      <c r="X10" s="46"/>
      <c r="Y10" s="61"/>
      <c r="Z10" s="66">
        <f t="shared" si="3"/>
        <v>-8500</v>
      </c>
      <c r="AA10" s="61"/>
      <c r="AB10" s="67"/>
      <c r="AC10" s="61"/>
      <c r="AD10" s="66"/>
      <c r="AE10" s="61"/>
      <c r="AF10" s="52">
        <f t="shared" si="4"/>
        <v>-8500</v>
      </c>
      <c r="AG10" s="46">
        <f t="shared" si="5"/>
        <v>-5175</v>
      </c>
      <c r="AH10" s="51">
        <f t="shared" si="6"/>
        <v>-13675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4050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4050</v>
      </c>
      <c r="T11" s="6">
        <v>-3750</v>
      </c>
      <c r="U11" s="6">
        <f t="shared" si="2"/>
        <v>300</v>
      </c>
      <c r="V11" s="52"/>
      <c r="W11" s="57"/>
      <c r="X11" s="46"/>
      <c r="Y11" s="61"/>
      <c r="Z11" s="66">
        <f t="shared" si="3"/>
        <v>-4050</v>
      </c>
      <c r="AA11" s="61"/>
      <c r="AB11" s="67"/>
      <c r="AC11" s="61"/>
      <c r="AD11" s="66"/>
      <c r="AE11" s="61"/>
      <c r="AF11" s="52">
        <f t="shared" si="4"/>
        <v>-4050</v>
      </c>
      <c r="AG11" s="46">
        <f t="shared" si="5"/>
        <v>-3750</v>
      </c>
      <c r="AH11" s="51">
        <f t="shared" si="6"/>
        <v>-7800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-2050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-2050</v>
      </c>
      <c r="T12" s="6">
        <v>4700</v>
      </c>
      <c r="U12" s="6">
        <f t="shared" si="2"/>
        <v>2650</v>
      </c>
      <c r="V12" s="52"/>
      <c r="W12" s="57"/>
      <c r="X12" s="46"/>
      <c r="Y12" s="61"/>
      <c r="Z12" s="66">
        <f t="shared" si="3"/>
        <v>2050</v>
      </c>
      <c r="AA12" s="61"/>
      <c r="AB12" s="67"/>
      <c r="AC12" s="61"/>
      <c r="AD12" s="66"/>
      <c r="AE12" s="61"/>
      <c r="AF12" s="52">
        <f t="shared" si="4"/>
        <v>2050</v>
      </c>
      <c r="AG12" s="46">
        <f t="shared" si="5"/>
        <v>4700</v>
      </c>
      <c r="AH12" s="51">
        <f t="shared" si="6"/>
        <v>6750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25660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4500+2000</f>
        <v>6500</v>
      </c>
      <c r="S14" s="6">
        <f t="shared" si="1"/>
        <v>19160</v>
      </c>
      <c r="T14" s="6">
        <v>-5760</v>
      </c>
      <c r="U14" s="6">
        <f t="shared" si="2"/>
        <v>13400</v>
      </c>
      <c r="V14" s="52"/>
      <c r="W14" s="57"/>
      <c r="X14" s="46"/>
      <c r="Y14" s="61"/>
      <c r="Z14" s="66">
        <f t="shared" si="3"/>
        <v>-19160</v>
      </c>
      <c r="AA14" s="61"/>
      <c r="AB14" s="66"/>
      <c r="AC14" s="61"/>
      <c r="AD14" s="66"/>
      <c r="AE14" s="61"/>
      <c r="AF14" s="52">
        <f t="shared" si="4"/>
        <v>-19160</v>
      </c>
      <c r="AG14" s="46">
        <f t="shared" si="5"/>
        <v>-5760</v>
      </c>
      <c r="AH14" s="51">
        <f t="shared" si="6"/>
        <v>-24920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11850</v>
      </c>
      <c r="D16" s="6"/>
      <c r="E16" s="6"/>
      <c r="F16" s="6"/>
      <c r="G16" s="6">
        <v>4000</v>
      </c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4000</v>
      </c>
      <c r="R16" s="6"/>
      <c r="S16" s="6">
        <f t="shared" si="1"/>
        <v>11850</v>
      </c>
      <c r="T16" s="34">
        <v>-10050</v>
      </c>
      <c r="U16" s="6">
        <f t="shared" si="2"/>
        <v>1800</v>
      </c>
      <c r="V16" s="52"/>
      <c r="W16" s="57"/>
      <c r="X16" s="46"/>
      <c r="Y16" s="61"/>
      <c r="Z16" s="66">
        <f t="shared" si="3"/>
        <v>-11850</v>
      </c>
      <c r="AA16" s="61"/>
      <c r="AB16" s="67"/>
      <c r="AC16" s="61"/>
      <c r="AD16" s="47"/>
      <c r="AE16" s="61"/>
      <c r="AF16" s="52">
        <f t="shared" si="4"/>
        <v>-11850</v>
      </c>
      <c r="AG16" s="46">
        <f t="shared" si="5"/>
        <v>-10050</v>
      </c>
      <c r="AH16" s="51">
        <f t="shared" si="6"/>
        <v>-21900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12250</v>
      </c>
      <c r="D17" s="6"/>
      <c r="E17" s="6"/>
      <c r="F17" s="6"/>
      <c r="G17" s="6">
        <v>4000</v>
      </c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4000</v>
      </c>
      <c r="R17" s="6">
        <v>2500</v>
      </c>
      <c r="S17" s="6">
        <f t="shared" si="1"/>
        <v>9750</v>
      </c>
      <c r="T17" s="6">
        <v>-5000</v>
      </c>
      <c r="U17" s="6">
        <f t="shared" si="2"/>
        <v>4750</v>
      </c>
      <c r="V17" s="52"/>
      <c r="W17" s="57"/>
      <c r="X17" s="46"/>
      <c r="Y17" s="61"/>
      <c r="Z17" s="66">
        <f t="shared" si="3"/>
        <v>-9750</v>
      </c>
      <c r="AA17" s="61"/>
      <c r="AB17" s="66"/>
      <c r="AC17" s="61"/>
      <c r="AD17" s="66"/>
      <c r="AE17" s="61"/>
      <c r="AF17" s="52">
        <f t="shared" si="4"/>
        <v>-9750</v>
      </c>
      <c r="AG17" s="46">
        <f t="shared" si="5"/>
        <v>-5000</v>
      </c>
      <c r="AH17" s="51">
        <f t="shared" si="6"/>
        <v>-14750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7">
        <f t="shared" si="0"/>
        <v>0</v>
      </c>
      <c r="R22" s="139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7">
        <f t="shared" si="0"/>
        <v>0</v>
      </c>
      <c r="R24" s="139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7">
        <f t="shared" si="0"/>
        <v>0</v>
      </c>
      <c r="R25" s="139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7">
        <f t="shared" si="0"/>
        <v>0</v>
      </c>
      <c r="R26" s="139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7">
        <f t="shared" si="0"/>
        <v>0</v>
      </c>
      <c r="R27" s="139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2360</v>
      </c>
      <c r="D28" s="6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7">
        <f t="shared" si="0"/>
        <v>0</v>
      </c>
      <c r="R28" s="139"/>
      <c r="S28" s="6">
        <f t="shared" si="1"/>
        <v>2360</v>
      </c>
      <c r="T28" s="6">
        <f>-40-100</f>
        <v>-140</v>
      </c>
      <c r="U28" s="6">
        <f t="shared" si="2"/>
        <v>2220</v>
      </c>
      <c r="V28" s="52"/>
      <c r="W28" s="57"/>
      <c r="X28" s="46"/>
      <c r="Y28" s="61"/>
      <c r="Z28" s="66">
        <f t="shared" si="3"/>
        <v>-2360</v>
      </c>
      <c r="AA28" s="61"/>
      <c r="AB28" s="67"/>
      <c r="AC28" s="61"/>
      <c r="AD28" s="66"/>
      <c r="AE28" s="61"/>
      <c r="AF28" s="52">
        <f t="shared" si="4"/>
        <v>-2360</v>
      </c>
      <c r="AG28" s="46">
        <f t="shared" si="5"/>
        <v>-140</v>
      </c>
      <c r="AH28" s="51">
        <f t="shared" si="6"/>
        <v>-2500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7">
        <f t="shared" si="0"/>
        <v>0</v>
      </c>
      <c r="R29" s="139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7">
        <f t="shared" si="0"/>
        <v>0</v>
      </c>
      <c r="R30" s="139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7">
        <f t="shared" si="0"/>
        <v>0</v>
      </c>
      <c r="R31" s="139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30220</v>
      </c>
      <c r="D32" s="6">
        <v>6960</v>
      </c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6"/>
      <c r="P32" s="6"/>
      <c r="Q32" s="7">
        <f>SUM(E32:P32)</f>
        <v>0</v>
      </c>
      <c r="R32" s="139"/>
      <c r="S32" s="6">
        <f t="shared" si="1"/>
        <v>37180</v>
      </c>
      <c r="T32" s="6">
        <v>-18280</v>
      </c>
      <c r="U32" s="6">
        <f t="shared" si="2"/>
        <v>18900</v>
      </c>
      <c r="V32" s="52"/>
      <c r="W32" s="57"/>
      <c r="X32" s="46"/>
      <c r="Y32" s="61"/>
      <c r="Z32" s="66">
        <f t="shared" si="3"/>
        <v>-37180</v>
      </c>
      <c r="AA32" s="61"/>
      <c r="AB32" s="67"/>
      <c r="AC32" s="61"/>
      <c r="AD32" s="66"/>
      <c r="AE32" s="61"/>
      <c r="AF32" s="52">
        <f t="shared" si="4"/>
        <v>-37180</v>
      </c>
      <c r="AG32" s="46">
        <f t="shared" si="5"/>
        <v>-18280</v>
      </c>
      <c r="AH32" s="51">
        <f t="shared" si="6"/>
        <v>-55460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7">
        <f t="shared" si="0"/>
        <v>0</v>
      </c>
      <c r="R33" s="139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39"/>
      <c r="F34" s="139"/>
      <c r="G34" s="139"/>
      <c r="H34" s="139"/>
      <c r="I34" s="139"/>
      <c r="J34" s="139"/>
      <c r="K34" s="6"/>
      <c r="L34" s="139"/>
      <c r="M34" s="139"/>
      <c r="N34" s="139"/>
      <c r="O34" s="139"/>
      <c r="P34" s="139"/>
      <c r="Q34" s="7">
        <f t="shared" si="0"/>
        <v>0</v>
      </c>
      <c r="R34" s="139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2820</v>
      </c>
      <c r="D35" s="6"/>
      <c r="E35" s="139"/>
      <c r="F35" s="139"/>
      <c r="G35" s="139"/>
      <c r="H35" s="139"/>
      <c r="I35" s="139"/>
      <c r="J35" s="139"/>
      <c r="K35" s="6"/>
      <c r="L35" s="139"/>
      <c r="M35" s="139"/>
      <c r="N35" s="139"/>
      <c r="O35" s="139"/>
      <c r="P35" s="139"/>
      <c r="Q35" s="7">
        <f t="shared" si="0"/>
        <v>0</v>
      </c>
      <c r="R35" s="139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7">
        <f t="shared" si="0"/>
        <v>0</v>
      </c>
      <c r="R36" s="139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7">
        <f t="shared" si="0"/>
        <v>0</v>
      </c>
      <c r="R37" s="139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7">
        <f>SUM(E38:P38)</f>
        <v>0</v>
      </c>
      <c r="R38" s="139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7">
        <f>SUM(E39:P39)</f>
        <v>0</v>
      </c>
      <c r="R39" s="139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39"/>
      <c r="F40" s="139"/>
      <c r="G40" s="139"/>
      <c r="H40" s="27"/>
      <c r="I40" s="139"/>
      <c r="J40" s="139"/>
      <c r="K40" s="139"/>
      <c r="L40" s="139"/>
      <c r="M40" s="139"/>
      <c r="N40" s="139"/>
      <c r="O40" s="139"/>
      <c r="P40" s="139"/>
      <c r="Q40" s="7">
        <f>SUM(E40:P40)</f>
        <v>0</v>
      </c>
      <c r="R40" s="139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7">
        <f>SUM(E41:P41)</f>
        <v>0</v>
      </c>
      <c r="R41" s="139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7">
        <f>SUM(E42:P42)</f>
        <v>0</v>
      </c>
      <c r="R42" s="139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7">
        <f t="shared" si="0"/>
        <v>0</v>
      </c>
      <c r="R44" s="139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7">
        <f t="shared" si="0"/>
        <v>0</v>
      </c>
      <c r="R45" s="139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7">
        <f t="shared" si="0"/>
        <v>0</v>
      </c>
      <c r="R46" s="139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7">
        <f t="shared" si="0"/>
        <v>0</v>
      </c>
      <c r="R47" s="139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7">
        <f t="shared" si="0"/>
        <v>0</v>
      </c>
      <c r="R48" s="139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7">
        <f t="shared" si="0"/>
        <v>0</v>
      </c>
      <c r="R49" s="139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11550</v>
      </c>
      <c r="D50" s="6">
        <v>3840</v>
      </c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7">
        <f t="shared" si="0"/>
        <v>0</v>
      </c>
      <c r="R50" s="139"/>
      <c r="S50" s="6">
        <f t="shared" si="1"/>
        <v>15390</v>
      </c>
      <c r="T50" s="6">
        <f>-12000+8615</f>
        <v>-3385</v>
      </c>
      <c r="U50" s="6">
        <f t="shared" si="2"/>
        <v>12005</v>
      </c>
      <c r="V50" s="52"/>
      <c r="W50" s="57"/>
      <c r="X50" s="46"/>
      <c r="Y50" s="61"/>
      <c r="Z50" s="66">
        <f t="shared" si="3"/>
        <v>-15390</v>
      </c>
      <c r="AA50" s="61"/>
      <c r="AB50" s="64"/>
      <c r="AC50" s="61"/>
      <c r="AD50" s="66"/>
      <c r="AE50" s="61"/>
      <c r="AF50" s="52">
        <f t="shared" si="4"/>
        <v>-15390</v>
      </c>
      <c r="AG50" s="46">
        <f t="shared" si="5"/>
        <v>-3385</v>
      </c>
      <c r="AH50" s="51">
        <f t="shared" si="6"/>
        <v>-18775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7">
        <f t="shared" si="0"/>
        <v>0</v>
      </c>
      <c r="R51" s="139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7">
        <f t="shared" si="0"/>
        <v>0</v>
      </c>
      <c r="R52" s="139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7">
        <f t="shared" si="0"/>
        <v>0</v>
      </c>
      <c r="R53" s="139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9450</v>
      </c>
      <c r="D54" s="6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7">
        <f t="shared" si="0"/>
        <v>0</v>
      </c>
      <c r="R54" s="139"/>
      <c r="S54" s="6">
        <f t="shared" si="1"/>
        <v>9450</v>
      </c>
      <c r="T54" s="6">
        <v>-2850</v>
      </c>
      <c r="U54" s="6">
        <f t="shared" si="2"/>
        <v>6600</v>
      </c>
      <c r="V54" s="52"/>
      <c r="W54" s="57"/>
      <c r="X54" s="46"/>
      <c r="Y54" s="61"/>
      <c r="Z54" s="66">
        <f t="shared" si="3"/>
        <v>-9450</v>
      </c>
      <c r="AA54" s="61"/>
      <c r="AB54" s="67"/>
      <c r="AC54" s="61"/>
      <c r="AD54" s="66"/>
      <c r="AE54" s="61"/>
      <c r="AF54" s="52">
        <f t="shared" si="4"/>
        <v>-9450</v>
      </c>
      <c r="AG54" s="46">
        <f t="shared" si="5"/>
        <v>-2850</v>
      </c>
      <c r="AH54" s="51">
        <f t="shared" si="6"/>
        <v>-12300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7">
        <f t="shared" si="0"/>
        <v>0</v>
      </c>
      <c r="R55" s="139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7">
        <f>SUM(E56:P56)</f>
        <v>0</v>
      </c>
      <c r="R56" s="139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7">
        <f t="shared" si="0"/>
        <v>0</v>
      </c>
      <c r="R61" s="139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7">
        <f t="shared" si="0"/>
        <v>0</v>
      </c>
      <c r="R62" s="138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7">
        <f t="shared" si="0"/>
        <v>0</v>
      </c>
      <c r="R63" s="138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7">
        <f t="shared" si="0"/>
        <v>0</v>
      </c>
      <c r="R64" s="138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7">
        <f t="shared" si="0"/>
        <v>0</v>
      </c>
      <c r="R65" s="138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37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7">
        <f t="shared" si="0"/>
        <v>0</v>
      </c>
      <c r="R67" s="139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280425</v>
      </c>
      <c r="D68" s="139">
        <v>14800</v>
      </c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7">
        <f t="shared" si="0"/>
        <v>0</v>
      </c>
      <c r="R68" s="139"/>
      <c r="S68" s="6">
        <f t="shared" si="1"/>
        <v>295225</v>
      </c>
      <c r="T68" s="6">
        <v>0</v>
      </c>
      <c r="U68" s="6">
        <f t="shared" si="2"/>
        <v>295225</v>
      </c>
      <c r="V68" s="52"/>
      <c r="W68" s="57"/>
      <c r="X68" s="46"/>
      <c r="Y68" s="61"/>
      <c r="Z68" s="66">
        <f t="shared" si="3"/>
        <v>-295225</v>
      </c>
      <c r="AA68" s="61"/>
      <c r="AB68" s="67"/>
      <c r="AC68" s="61"/>
      <c r="AD68" s="66"/>
      <c r="AE68" s="61"/>
      <c r="AF68" s="52">
        <f t="shared" si="4"/>
        <v>-295225</v>
      </c>
      <c r="AG68" s="46">
        <f t="shared" si="5"/>
        <v>0</v>
      </c>
      <c r="AH68" s="51">
        <f t="shared" si="6"/>
        <v>-295225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26625</v>
      </c>
      <c r="D69" s="139">
        <v>5000</v>
      </c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7">
        <f t="shared" si="0"/>
        <v>0</v>
      </c>
      <c r="R69" s="139">
        <v>9000</v>
      </c>
      <c r="S69" s="6">
        <f t="shared" si="1"/>
        <v>22625</v>
      </c>
      <c r="T69" s="6">
        <v>-16950</v>
      </c>
      <c r="U69" s="6">
        <f t="shared" si="2"/>
        <v>5675</v>
      </c>
      <c r="V69" s="52"/>
      <c r="W69" s="57"/>
      <c r="X69" s="46"/>
      <c r="Y69" s="61"/>
      <c r="Z69" s="66">
        <f t="shared" si="3"/>
        <v>-22625</v>
      </c>
      <c r="AA69" s="61"/>
      <c r="AB69" s="64"/>
      <c r="AC69" s="61"/>
      <c r="AD69" s="66"/>
      <c r="AE69" s="61"/>
      <c r="AF69" s="52">
        <f t="shared" si="4"/>
        <v>-22625</v>
      </c>
      <c r="AG69" s="46">
        <f t="shared" si="5"/>
        <v>-16950</v>
      </c>
      <c r="AH69" s="51">
        <f t="shared" si="6"/>
        <v>-39575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12425</v>
      </c>
      <c r="D70" s="139">
        <v>5000</v>
      </c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7">
        <f t="shared" si="0"/>
        <v>0</v>
      </c>
      <c r="R70" s="139"/>
      <c r="S70" s="6">
        <f t="shared" si="1"/>
        <v>17425</v>
      </c>
      <c r="T70" s="6">
        <v>-9425</v>
      </c>
      <c r="U70" s="6">
        <f t="shared" si="2"/>
        <v>8000</v>
      </c>
      <c r="V70" s="52"/>
      <c r="W70" s="57"/>
      <c r="X70" s="46"/>
      <c r="Y70" s="61"/>
      <c r="Z70" s="66">
        <f t="shared" si="3"/>
        <v>-17425</v>
      </c>
      <c r="AA70" s="61"/>
      <c r="AB70" s="67"/>
      <c r="AC70" s="61"/>
      <c r="AD70" s="66"/>
      <c r="AE70" s="61"/>
      <c r="AF70" s="52">
        <f t="shared" si="4"/>
        <v>-17425</v>
      </c>
      <c r="AG70" s="46">
        <f t="shared" si="5"/>
        <v>-9425</v>
      </c>
      <c r="AH70" s="51">
        <f t="shared" si="6"/>
        <v>-26850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35075</v>
      </c>
      <c r="D71" s="139">
        <v>10000</v>
      </c>
      <c r="E71" s="139"/>
      <c r="F71" s="139"/>
      <c r="G71" s="139">
        <f>25440+5000</f>
        <v>30440</v>
      </c>
      <c r="H71" s="139"/>
      <c r="I71" s="139"/>
      <c r="J71" s="139"/>
      <c r="K71" s="139"/>
      <c r="L71" s="139"/>
      <c r="M71" s="139"/>
      <c r="N71" s="139"/>
      <c r="O71" s="139"/>
      <c r="P71" s="139"/>
      <c r="Q71" s="7">
        <f t="shared" si="0"/>
        <v>30440</v>
      </c>
      <c r="R71" s="139">
        <v>9000</v>
      </c>
      <c r="S71" s="6">
        <f t="shared" si="1"/>
        <v>36075</v>
      </c>
      <c r="T71" s="6">
        <v>-27500</v>
      </c>
      <c r="U71" s="6">
        <f t="shared" si="2"/>
        <v>8575</v>
      </c>
      <c r="V71" s="52"/>
      <c r="W71" s="57"/>
      <c r="X71" s="46"/>
      <c r="Y71" s="61"/>
      <c r="Z71" s="66">
        <f t="shared" si="3"/>
        <v>-36075</v>
      </c>
      <c r="AA71" s="61"/>
      <c r="AB71" s="64"/>
      <c r="AC71" s="61"/>
      <c r="AD71" s="66"/>
      <c r="AE71" s="61"/>
      <c r="AF71" s="52">
        <f t="shared" si="4"/>
        <v>-36075</v>
      </c>
      <c r="AG71" s="46">
        <f t="shared" si="5"/>
        <v>-27500</v>
      </c>
      <c r="AH71" s="51">
        <f t="shared" si="6"/>
        <v>-63575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39">
        <f>SUM(C7:C72)</f>
        <v>685460</v>
      </c>
      <c r="D73" s="139">
        <f t="shared" ref="D73:V73" si="11">SUM(D7:D72)</f>
        <v>45600</v>
      </c>
      <c r="E73" s="139">
        <f t="shared" si="11"/>
        <v>0</v>
      </c>
      <c r="F73" s="139">
        <f t="shared" si="11"/>
        <v>0</v>
      </c>
      <c r="G73" s="139">
        <f t="shared" si="11"/>
        <v>39440</v>
      </c>
      <c r="H73" s="27">
        <f t="shared" si="11"/>
        <v>0</v>
      </c>
      <c r="I73" s="139">
        <f t="shared" si="11"/>
        <v>0</v>
      </c>
      <c r="J73" s="139">
        <f t="shared" si="11"/>
        <v>0</v>
      </c>
      <c r="K73" s="139">
        <f t="shared" si="11"/>
        <v>0</v>
      </c>
      <c r="L73" s="139">
        <f t="shared" si="11"/>
        <v>0</v>
      </c>
      <c r="M73" s="139">
        <f t="shared" si="11"/>
        <v>0</v>
      </c>
      <c r="N73" s="139">
        <f t="shared" si="11"/>
        <v>0</v>
      </c>
      <c r="O73" s="139">
        <f t="shared" si="11"/>
        <v>0</v>
      </c>
      <c r="P73" s="139">
        <f t="shared" si="11"/>
        <v>0</v>
      </c>
      <c r="Q73" s="139">
        <f t="shared" si="11"/>
        <v>39440</v>
      </c>
      <c r="R73" s="139">
        <f t="shared" si="11"/>
        <v>27000</v>
      </c>
      <c r="S73" s="139">
        <f t="shared" si="11"/>
        <v>704060</v>
      </c>
      <c r="T73" s="139">
        <f t="shared" si="11"/>
        <v>-273090</v>
      </c>
      <c r="U73" s="139">
        <f t="shared" si="11"/>
        <v>430970</v>
      </c>
      <c r="V73" s="139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-704060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-704060</v>
      </c>
      <c r="AG73" s="43">
        <f t="shared" si="12"/>
        <v>-273090</v>
      </c>
      <c r="AH73" s="43">
        <f t="shared" si="12"/>
        <v>-977150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39440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12800+8740+39315+37885+14400+4240+27875+26870+10680+39440</f>
        <v>222245</v>
      </c>
      <c r="S74" s="179"/>
      <c r="T74" s="180">
        <f>R74+R75</f>
        <v>1350480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45600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124500+74250+83725+71820+71700+75700+47700+108850+111100+92015+65400+61200+94675+45600</f>
        <v>1128235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27000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80750+80950+66040+73470+44825+60325+42575+30900+34750+57880+55250+102725+48500+27000</f>
        <v>805940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7500+11500+17500+13000+7000+12400+5850+6000+7000+7000+7000</f>
        <v>101750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</f>
        <v>44340</v>
      </c>
      <c r="N77" s="40" t="s">
        <v>90</v>
      </c>
      <c r="O77" s="82">
        <f>4000+1000</f>
        <v>5000</v>
      </c>
      <c r="P77" s="40" t="s">
        <v>91</v>
      </c>
      <c r="Q77" s="40">
        <v>12000</v>
      </c>
      <c r="R77" s="165">
        <f>Q77+O77+M77+J77+F77</f>
        <v>181090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38280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46760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624850</v>
      </c>
      <c r="S80" s="165"/>
      <c r="T80" s="22"/>
      <c r="U80" s="22"/>
      <c r="V80" s="2"/>
      <c r="X80" s="63">
        <f>SUM(X77:X79)</f>
        <v>85040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36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>
        <v>7000</v>
      </c>
      <c r="S100" s="36">
        <v>14</v>
      </c>
      <c r="T100" s="36">
        <v>27000</v>
      </c>
      <c r="U100" s="36">
        <v>14</v>
      </c>
      <c r="V100" s="36">
        <v>39440</v>
      </c>
      <c r="W100" s="36">
        <v>45600</v>
      </c>
      <c r="X100" s="36">
        <f t="shared" si="13"/>
        <v>85040</v>
      </c>
    </row>
    <row r="101" spans="14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4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4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4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4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5000</v>
      </c>
      <c r="Q118" s="63">
        <f t="shared" si="14"/>
        <v>32020</v>
      </c>
      <c r="R118" s="63">
        <f t="shared" si="14"/>
        <v>121750</v>
      </c>
      <c r="S118" s="63"/>
      <c r="T118" s="63">
        <f>SUM(T87:T117)</f>
        <v>805940</v>
      </c>
      <c r="U118" s="63"/>
      <c r="V118" s="63">
        <f>SUM(V87:V117)</f>
        <v>222245</v>
      </c>
      <c r="W118" s="63">
        <f>SUM(W87:W117)</f>
        <v>1128235</v>
      </c>
      <c r="X118" s="36">
        <f>SUM(V118:W118)</f>
        <v>1350480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94" activePane="bottomRight" state="frozen"/>
      <selection activeCell="O32" sqref="O32"/>
      <selection pane="topRight" activeCell="O32" sqref="O32"/>
      <selection pane="bottomLeft" activeCell="O32" sqref="O32"/>
      <selection pane="bottomRight" activeCell="W101" sqref="W101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171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10250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250</v>
      </c>
      <c r="S7" s="6">
        <f>C7+D7-R7</f>
        <v>10000</v>
      </c>
      <c r="T7" s="34">
        <v>-9150</v>
      </c>
      <c r="U7" s="6">
        <f>S7+T7</f>
        <v>850</v>
      </c>
      <c r="V7" s="52"/>
      <c r="W7" s="57"/>
      <c r="X7" s="46"/>
      <c r="Y7" s="65"/>
      <c r="Z7" s="66">
        <f>W7-S7</f>
        <v>-10000</v>
      </c>
      <c r="AA7" s="65"/>
      <c r="AB7" s="67"/>
      <c r="AC7" s="65"/>
      <c r="AD7" s="47"/>
      <c r="AE7" s="61"/>
      <c r="AF7" s="52">
        <f>SUM(Y7:AE7)</f>
        <v>-10000</v>
      </c>
      <c r="AG7" s="46">
        <f>U7+AF7</f>
        <v>-9150</v>
      </c>
      <c r="AH7" s="51">
        <f>AG7-S7</f>
        <v>-19150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40000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150+750+250</f>
        <v>1150</v>
      </c>
      <c r="S8" s="6">
        <f t="shared" ref="S8:S71" si="1">C8+D8-R8</f>
        <v>38850</v>
      </c>
      <c r="T8" s="6">
        <v>-24350</v>
      </c>
      <c r="U8" s="6">
        <f t="shared" ref="U8:U71" si="2">S8+T8</f>
        <v>14500</v>
      </c>
      <c r="V8" s="52"/>
      <c r="W8" s="57"/>
      <c r="X8" s="46"/>
      <c r="Y8" s="61"/>
      <c r="Z8" s="66">
        <f t="shared" ref="Z8:Z71" si="3">W8-S8</f>
        <v>-38850</v>
      </c>
      <c r="AA8" s="61"/>
      <c r="AB8" s="67"/>
      <c r="AC8" s="61"/>
      <c r="AD8" s="66"/>
      <c r="AE8" s="61"/>
      <c r="AF8" s="52">
        <f t="shared" ref="AF8:AF71" si="4">SUM(Y8:AE8)</f>
        <v>-38850</v>
      </c>
      <c r="AG8" s="46">
        <f t="shared" ref="AG8:AG71" si="5">U8+AF8</f>
        <v>-24350</v>
      </c>
      <c r="AH8" s="51">
        <f t="shared" ref="AH8:AH71" si="6">AG8-S8</f>
        <v>-63200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8500</v>
      </c>
      <c r="D10" s="6"/>
      <c r="E10" s="6"/>
      <c r="F10" s="6"/>
      <c r="G10" s="6">
        <v>6300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6300</v>
      </c>
      <c r="R10" s="6">
        <f>1000+500</f>
        <v>1500</v>
      </c>
      <c r="S10" s="6">
        <f t="shared" si="1"/>
        <v>7000</v>
      </c>
      <c r="T10" s="6">
        <v>-5175</v>
      </c>
      <c r="U10" s="6">
        <f t="shared" si="2"/>
        <v>1825</v>
      </c>
      <c r="V10" s="52"/>
      <c r="W10" s="57"/>
      <c r="X10" s="46"/>
      <c r="Y10" s="61"/>
      <c r="Z10" s="66">
        <f t="shared" si="3"/>
        <v>-7000</v>
      </c>
      <c r="AA10" s="61"/>
      <c r="AB10" s="67"/>
      <c r="AC10" s="61"/>
      <c r="AD10" s="66"/>
      <c r="AE10" s="61"/>
      <c r="AF10" s="52">
        <f t="shared" si="4"/>
        <v>-7000</v>
      </c>
      <c r="AG10" s="46">
        <f t="shared" si="5"/>
        <v>-5175</v>
      </c>
      <c r="AH10" s="51">
        <f t="shared" si="6"/>
        <v>-12175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4050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4050</v>
      </c>
      <c r="T11" s="6">
        <v>-3750</v>
      </c>
      <c r="U11" s="6">
        <f t="shared" si="2"/>
        <v>300</v>
      </c>
      <c r="V11" s="52"/>
      <c r="W11" s="57"/>
      <c r="X11" s="46"/>
      <c r="Y11" s="61"/>
      <c r="Z11" s="66">
        <f t="shared" si="3"/>
        <v>-4050</v>
      </c>
      <c r="AA11" s="61"/>
      <c r="AB11" s="67"/>
      <c r="AC11" s="61"/>
      <c r="AD11" s="66"/>
      <c r="AE11" s="61"/>
      <c r="AF11" s="52">
        <f t="shared" si="4"/>
        <v>-4050</v>
      </c>
      <c r="AG11" s="46">
        <f t="shared" si="5"/>
        <v>-3750</v>
      </c>
      <c r="AH11" s="51">
        <f t="shared" si="6"/>
        <v>-7800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-2050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250+1000+400+1000</f>
        <v>2650</v>
      </c>
      <c r="S12" s="6">
        <f t="shared" si="1"/>
        <v>-4700</v>
      </c>
      <c r="T12" s="6">
        <v>4700</v>
      </c>
      <c r="U12" s="6">
        <f t="shared" si="2"/>
        <v>0</v>
      </c>
      <c r="V12" s="52"/>
      <c r="W12" s="57"/>
      <c r="X12" s="46"/>
      <c r="Y12" s="61"/>
      <c r="Z12" s="66">
        <f t="shared" si="3"/>
        <v>4700</v>
      </c>
      <c r="AA12" s="61"/>
      <c r="AB12" s="67"/>
      <c r="AC12" s="61"/>
      <c r="AD12" s="66"/>
      <c r="AE12" s="61"/>
      <c r="AF12" s="52">
        <f t="shared" si="4"/>
        <v>4700</v>
      </c>
      <c r="AG12" s="46">
        <f t="shared" si="5"/>
        <v>4700</v>
      </c>
      <c r="AH12" s="51">
        <f t="shared" si="6"/>
        <v>9400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19160</v>
      </c>
      <c r="D14" s="6">
        <f>7100+8000</f>
        <v>15100</v>
      </c>
      <c r="E14" s="6"/>
      <c r="F14" s="6"/>
      <c r="G14" s="6">
        <v>6300</v>
      </c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6300</v>
      </c>
      <c r="R14" s="6">
        <f>1750+1000+5000+500+3000</f>
        <v>11250</v>
      </c>
      <c r="S14" s="6">
        <f t="shared" si="1"/>
        <v>23010</v>
      </c>
      <c r="T14" s="6">
        <v>-5760</v>
      </c>
      <c r="U14" s="6">
        <f t="shared" si="2"/>
        <v>17250</v>
      </c>
      <c r="V14" s="52"/>
      <c r="W14" s="57"/>
      <c r="X14" s="46"/>
      <c r="Y14" s="61"/>
      <c r="Z14" s="66">
        <f t="shared" si="3"/>
        <v>-23010</v>
      </c>
      <c r="AA14" s="61"/>
      <c r="AB14" s="66"/>
      <c r="AC14" s="61"/>
      <c r="AD14" s="66"/>
      <c r="AE14" s="61"/>
      <c r="AF14" s="52">
        <f t="shared" si="4"/>
        <v>-23010</v>
      </c>
      <c r="AG14" s="46">
        <f t="shared" si="5"/>
        <v>-5760</v>
      </c>
      <c r="AH14" s="51">
        <f t="shared" si="6"/>
        <v>-28770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11850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500</v>
      </c>
      <c r="S16" s="6">
        <f t="shared" si="1"/>
        <v>11350</v>
      </c>
      <c r="T16" s="34">
        <v>-10050</v>
      </c>
      <c r="U16" s="6">
        <f t="shared" si="2"/>
        <v>1300</v>
      </c>
      <c r="V16" s="52"/>
      <c r="W16" s="57"/>
      <c r="X16" s="46"/>
      <c r="Y16" s="61"/>
      <c r="Z16" s="66">
        <f t="shared" si="3"/>
        <v>-11350</v>
      </c>
      <c r="AA16" s="61"/>
      <c r="AB16" s="67"/>
      <c r="AC16" s="61"/>
      <c r="AD16" s="47"/>
      <c r="AE16" s="61"/>
      <c r="AF16" s="52">
        <f t="shared" si="4"/>
        <v>-11350</v>
      </c>
      <c r="AG16" s="46">
        <f t="shared" si="5"/>
        <v>-10050</v>
      </c>
      <c r="AH16" s="51">
        <f t="shared" si="6"/>
        <v>-21400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9750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500</f>
        <v>500</v>
      </c>
      <c r="S17" s="6">
        <f t="shared" si="1"/>
        <v>9250</v>
      </c>
      <c r="T17" s="6">
        <v>-5000</v>
      </c>
      <c r="U17" s="6">
        <f t="shared" si="2"/>
        <v>4250</v>
      </c>
      <c r="V17" s="52"/>
      <c r="W17" s="57"/>
      <c r="X17" s="46"/>
      <c r="Y17" s="61"/>
      <c r="Z17" s="66">
        <f t="shared" si="3"/>
        <v>-9250</v>
      </c>
      <c r="AA17" s="61"/>
      <c r="AB17" s="66"/>
      <c r="AC17" s="61"/>
      <c r="AD17" s="66"/>
      <c r="AE17" s="61"/>
      <c r="AF17" s="52">
        <f t="shared" si="4"/>
        <v>-9250</v>
      </c>
      <c r="AG17" s="46">
        <f t="shared" si="5"/>
        <v>-5000</v>
      </c>
      <c r="AH17" s="51">
        <f t="shared" si="6"/>
        <v>-14250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7">
        <f t="shared" si="0"/>
        <v>0</v>
      </c>
      <c r="R22" s="141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7">
        <f t="shared" si="0"/>
        <v>0</v>
      </c>
      <c r="R24" s="141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7">
        <f t="shared" si="0"/>
        <v>0</v>
      </c>
      <c r="R25" s="141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7">
        <f t="shared" si="0"/>
        <v>0</v>
      </c>
      <c r="R26" s="141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7">
        <f t="shared" si="0"/>
        <v>0</v>
      </c>
      <c r="R27" s="141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2360</v>
      </c>
      <c r="D28" s="6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7">
        <f t="shared" si="0"/>
        <v>0</v>
      </c>
      <c r="R28" s="141">
        <v>100</v>
      </c>
      <c r="S28" s="6">
        <f t="shared" si="1"/>
        <v>2260</v>
      </c>
      <c r="T28" s="6">
        <f>-40-100</f>
        <v>-140</v>
      </c>
      <c r="U28" s="6">
        <f t="shared" si="2"/>
        <v>2120</v>
      </c>
      <c r="V28" s="52"/>
      <c r="W28" s="57"/>
      <c r="X28" s="46"/>
      <c r="Y28" s="61"/>
      <c r="Z28" s="66">
        <f t="shared" si="3"/>
        <v>-2260</v>
      </c>
      <c r="AA28" s="61"/>
      <c r="AB28" s="67"/>
      <c r="AC28" s="61"/>
      <c r="AD28" s="66"/>
      <c r="AE28" s="61"/>
      <c r="AF28" s="52">
        <f t="shared" si="4"/>
        <v>-2260</v>
      </c>
      <c r="AG28" s="46">
        <f t="shared" si="5"/>
        <v>-140</v>
      </c>
      <c r="AH28" s="51">
        <f t="shared" si="6"/>
        <v>-2400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7">
        <f t="shared" si="0"/>
        <v>0</v>
      </c>
      <c r="R29" s="141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7">
        <f t="shared" si="0"/>
        <v>0</v>
      </c>
      <c r="R30" s="141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7">
        <f t="shared" si="0"/>
        <v>0</v>
      </c>
      <c r="R31" s="141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37180</v>
      </c>
      <c r="D32" s="6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6"/>
      <c r="P32" s="6"/>
      <c r="Q32" s="7">
        <f>SUM(E32:P32)</f>
        <v>0</v>
      </c>
      <c r="R32" s="141"/>
      <c r="S32" s="6">
        <f t="shared" si="1"/>
        <v>37180</v>
      </c>
      <c r="T32" s="6">
        <v>-18280</v>
      </c>
      <c r="U32" s="6">
        <f t="shared" si="2"/>
        <v>18900</v>
      </c>
      <c r="V32" s="52"/>
      <c r="W32" s="57"/>
      <c r="X32" s="46"/>
      <c r="Y32" s="61"/>
      <c r="Z32" s="66">
        <f t="shared" si="3"/>
        <v>-37180</v>
      </c>
      <c r="AA32" s="61"/>
      <c r="AB32" s="67"/>
      <c r="AC32" s="61"/>
      <c r="AD32" s="66"/>
      <c r="AE32" s="61"/>
      <c r="AF32" s="52">
        <f t="shared" si="4"/>
        <v>-37180</v>
      </c>
      <c r="AG32" s="46">
        <f t="shared" si="5"/>
        <v>-18280</v>
      </c>
      <c r="AH32" s="51">
        <f t="shared" si="6"/>
        <v>-55460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7">
        <f t="shared" si="0"/>
        <v>0</v>
      </c>
      <c r="R33" s="141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41"/>
      <c r="F34" s="141"/>
      <c r="G34" s="141"/>
      <c r="H34" s="141"/>
      <c r="I34" s="141"/>
      <c r="J34" s="141"/>
      <c r="K34" s="6"/>
      <c r="L34" s="141"/>
      <c r="M34" s="141"/>
      <c r="N34" s="141"/>
      <c r="O34" s="141"/>
      <c r="P34" s="141"/>
      <c r="Q34" s="7">
        <f t="shared" si="0"/>
        <v>0</v>
      </c>
      <c r="R34" s="141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2820</v>
      </c>
      <c r="D35" s="6"/>
      <c r="E35" s="141"/>
      <c r="F35" s="141"/>
      <c r="G35" s="141"/>
      <c r="H35" s="141"/>
      <c r="I35" s="141"/>
      <c r="J35" s="141"/>
      <c r="K35" s="6"/>
      <c r="L35" s="141"/>
      <c r="M35" s="141"/>
      <c r="N35" s="141"/>
      <c r="O35" s="141"/>
      <c r="P35" s="141"/>
      <c r="Q35" s="7">
        <f t="shared" si="0"/>
        <v>0</v>
      </c>
      <c r="R35" s="141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7">
        <f t="shared" si="0"/>
        <v>0</v>
      </c>
      <c r="R36" s="141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7">
        <f t="shared" si="0"/>
        <v>0</v>
      </c>
      <c r="R37" s="141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7">
        <f>SUM(E38:P38)</f>
        <v>0</v>
      </c>
      <c r="R38" s="141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7">
        <f>SUM(E39:P39)</f>
        <v>0</v>
      </c>
      <c r="R39" s="141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41"/>
      <c r="F40" s="141"/>
      <c r="G40" s="141"/>
      <c r="H40" s="27"/>
      <c r="I40" s="141"/>
      <c r="J40" s="141"/>
      <c r="K40" s="141"/>
      <c r="L40" s="141"/>
      <c r="M40" s="141"/>
      <c r="N40" s="141"/>
      <c r="O40" s="141"/>
      <c r="P40" s="141"/>
      <c r="Q40" s="7">
        <f>SUM(E40:P40)</f>
        <v>0</v>
      </c>
      <c r="R40" s="141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7">
        <f>SUM(E41:P41)</f>
        <v>0</v>
      </c>
      <c r="R41" s="141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7">
        <f>SUM(E42:P42)</f>
        <v>0</v>
      </c>
      <c r="R42" s="141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7">
        <f t="shared" si="0"/>
        <v>0</v>
      </c>
      <c r="R44" s="141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7">
        <f t="shared" si="0"/>
        <v>0</v>
      </c>
      <c r="R45" s="141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7">
        <f t="shared" si="0"/>
        <v>0</v>
      </c>
      <c r="R46" s="141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7">
        <f t="shared" si="0"/>
        <v>0</v>
      </c>
      <c r="R47" s="141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7">
        <f t="shared" si="0"/>
        <v>0</v>
      </c>
      <c r="R48" s="141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7">
        <f t="shared" si="0"/>
        <v>0</v>
      </c>
      <c r="R49" s="141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15390</v>
      </c>
      <c r="D50" s="6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7">
        <f t="shared" si="0"/>
        <v>0</v>
      </c>
      <c r="R50" s="141">
        <v>6850</v>
      </c>
      <c r="S50" s="6">
        <f t="shared" si="1"/>
        <v>8540</v>
      </c>
      <c r="T50" s="6">
        <f>-12000+8615</f>
        <v>-3385</v>
      </c>
      <c r="U50" s="6">
        <f t="shared" si="2"/>
        <v>5155</v>
      </c>
      <c r="V50" s="52"/>
      <c r="W50" s="57"/>
      <c r="X50" s="46"/>
      <c r="Y50" s="61"/>
      <c r="Z50" s="66">
        <f t="shared" si="3"/>
        <v>-8540</v>
      </c>
      <c r="AA50" s="61"/>
      <c r="AB50" s="64"/>
      <c r="AC50" s="61"/>
      <c r="AD50" s="66"/>
      <c r="AE50" s="61"/>
      <c r="AF50" s="52">
        <f t="shared" si="4"/>
        <v>-8540</v>
      </c>
      <c r="AG50" s="46">
        <f t="shared" si="5"/>
        <v>-3385</v>
      </c>
      <c r="AH50" s="51">
        <f t="shared" si="6"/>
        <v>-11925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7">
        <f t="shared" si="0"/>
        <v>0</v>
      </c>
      <c r="R51" s="141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7">
        <f t="shared" si="0"/>
        <v>0</v>
      </c>
      <c r="R52" s="141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7">
        <f t="shared" si="0"/>
        <v>0</v>
      </c>
      <c r="R53" s="141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9450</v>
      </c>
      <c r="D54" s="6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7">
        <f t="shared" si="0"/>
        <v>0</v>
      </c>
      <c r="R54" s="141"/>
      <c r="S54" s="6">
        <f t="shared" si="1"/>
        <v>9450</v>
      </c>
      <c r="T54" s="6">
        <v>-2850</v>
      </c>
      <c r="U54" s="6">
        <f t="shared" si="2"/>
        <v>6600</v>
      </c>
      <c r="V54" s="52"/>
      <c r="W54" s="57"/>
      <c r="X54" s="46"/>
      <c r="Y54" s="61"/>
      <c r="Z54" s="66">
        <f t="shared" si="3"/>
        <v>-9450</v>
      </c>
      <c r="AA54" s="61"/>
      <c r="AB54" s="67"/>
      <c r="AC54" s="61"/>
      <c r="AD54" s="66"/>
      <c r="AE54" s="61"/>
      <c r="AF54" s="52">
        <f t="shared" si="4"/>
        <v>-9450</v>
      </c>
      <c r="AG54" s="46">
        <f t="shared" si="5"/>
        <v>-2850</v>
      </c>
      <c r="AH54" s="51">
        <f t="shared" si="6"/>
        <v>-12300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7">
        <f t="shared" si="0"/>
        <v>0</v>
      </c>
      <c r="R55" s="141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7">
        <f>SUM(E56:P56)</f>
        <v>0</v>
      </c>
      <c r="R56" s="141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7">
        <f t="shared" si="0"/>
        <v>0</v>
      </c>
      <c r="R61" s="141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7">
        <f t="shared" si="0"/>
        <v>0</v>
      </c>
      <c r="R62" s="140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7">
        <f t="shared" si="0"/>
        <v>0</v>
      </c>
      <c r="R63" s="140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7">
        <f t="shared" si="0"/>
        <v>0</v>
      </c>
      <c r="R64" s="140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7">
        <f t="shared" si="0"/>
        <v>0</v>
      </c>
      <c r="R65" s="140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42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7">
        <f t="shared" si="0"/>
        <v>0</v>
      </c>
      <c r="R67" s="141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295225</v>
      </c>
      <c r="D68" s="141">
        <f>28300+14150</f>
        <v>42450</v>
      </c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7">
        <f t="shared" si="0"/>
        <v>0</v>
      </c>
      <c r="R68" s="141"/>
      <c r="S68" s="6">
        <f t="shared" si="1"/>
        <v>337675</v>
      </c>
      <c r="T68" s="6">
        <v>0</v>
      </c>
      <c r="U68" s="6">
        <f t="shared" si="2"/>
        <v>337675</v>
      </c>
      <c r="V68" s="52"/>
      <c r="W68" s="57"/>
      <c r="X68" s="46"/>
      <c r="Y68" s="61"/>
      <c r="Z68" s="66">
        <f t="shared" si="3"/>
        <v>-337675</v>
      </c>
      <c r="AA68" s="61"/>
      <c r="AB68" s="67"/>
      <c r="AC68" s="61"/>
      <c r="AD68" s="66"/>
      <c r="AE68" s="61"/>
      <c r="AF68" s="52">
        <f t="shared" si="4"/>
        <v>-337675</v>
      </c>
      <c r="AG68" s="46">
        <f t="shared" si="5"/>
        <v>0</v>
      </c>
      <c r="AH68" s="51">
        <f t="shared" si="6"/>
        <v>-337675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22625</v>
      </c>
      <c r="D69" s="141"/>
      <c r="E69" s="141"/>
      <c r="F69" s="141"/>
      <c r="G69" s="141">
        <v>3000</v>
      </c>
      <c r="H69" s="141"/>
      <c r="I69" s="141"/>
      <c r="J69" s="141"/>
      <c r="K69" s="141"/>
      <c r="L69" s="141"/>
      <c r="M69" s="141"/>
      <c r="N69" s="141"/>
      <c r="O69" s="141"/>
      <c r="P69" s="141"/>
      <c r="Q69" s="7">
        <f t="shared" si="0"/>
        <v>3000</v>
      </c>
      <c r="R69" s="141">
        <f>1000+50+250+250+3000</f>
        <v>4550</v>
      </c>
      <c r="S69" s="6">
        <f t="shared" si="1"/>
        <v>18075</v>
      </c>
      <c r="T69" s="6">
        <v>-16950</v>
      </c>
      <c r="U69" s="6">
        <f t="shared" si="2"/>
        <v>1125</v>
      </c>
      <c r="V69" s="52"/>
      <c r="W69" s="57"/>
      <c r="X69" s="46"/>
      <c r="Y69" s="61"/>
      <c r="Z69" s="66">
        <f t="shared" si="3"/>
        <v>-18075</v>
      </c>
      <c r="AA69" s="61"/>
      <c r="AB69" s="64"/>
      <c r="AC69" s="61"/>
      <c r="AD69" s="66"/>
      <c r="AE69" s="61"/>
      <c r="AF69" s="52">
        <f t="shared" si="4"/>
        <v>-18075</v>
      </c>
      <c r="AG69" s="46">
        <f t="shared" si="5"/>
        <v>-16950</v>
      </c>
      <c r="AH69" s="51">
        <f t="shared" si="6"/>
        <v>-35025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17425</v>
      </c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7">
        <f t="shared" si="0"/>
        <v>0</v>
      </c>
      <c r="R70" s="141">
        <f>1000+500+5000</f>
        <v>6500</v>
      </c>
      <c r="S70" s="6">
        <f t="shared" si="1"/>
        <v>10925</v>
      </c>
      <c r="T70" s="6">
        <v>-9425</v>
      </c>
      <c r="U70" s="6">
        <f t="shared" si="2"/>
        <v>1500</v>
      </c>
      <c r="V70" s="52"/>
      <c r="W70" s="57"/>
      <c r="X70" s="46"/>
      <c r="Y70" s="61"/>
      <c r="Z70" s="66">
        <f t="shared" si="3"/>
        <v>-10925</v>
      </c>
      <c r="AA70" s="61"/>
      <c r="AB70" s="67"/>
      <c r="AC70" s="61"/>
      <c r="AD70" s="66"/>
      <c r="AE70" s="61"/>
      <c r="AF70" s="52">
        <f t="shared" si="4"/>
        <v>-10925</v>
      </c>
      <c r="AG70" s="46">
        <f t="shared" si="5"/>
        <v>-9425</v>
      </c>
      <c r="AH70" s="51">
        <f t="shared" si="6"/>
        <v>-20350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36075</v>
      </c>
      <c r="D71" s="141">
        <v>4000</v>
      </c>
      <c r="E71" s="141"/>
      <c r="F71" s="141"/>
      <c r="G71" s="141">
        <f>3000+4440</f>
        <v>7440</v>
      </c>
      <c r="H71" s="141"/>
      <c r="I71" s="141"/>
      <c r="J71" s="141"/>
      <c r="K71" s="141"/>
      <c r="L71" s="141"/>
      <c r="M71" s="141"/>
      <c r="N71" s="141"/>
      <c r="O71" s="141"/>
      <c r="P71" s="141"/>
      <c r="Q71" s="7">
        <f t="shared" si="0"/>
        <v>7440</v>
      </c>
      <c r="R71" s="141">
        <f>4000+750+3000+3000</f>
        <v>10750</v>
      </c>
      <c r="S71" s="6">
        <f t="shared" si="1"/>
        <v>29325</v>
      </c>
      <c r="T71" s="6">
        <v>-27500</v>
      </c>
      <c r="U71" s="6">
        <f t="shared" si="2"/>
        <v>1825</v>
      </c>
      <c r="V71" s="52"/>
      <c r="W71" s="57"/>
      <c r="X71" s="46"/>
      <c r="Y71" s="61"/>
      <c r="Z71" s="66">
        <f t="shared" si="3"/>
        <v>-29325</v>
      </c>
      <c r="AA71" s="61"/>
      <c r="AB71" s="64"/>
      <c r="AC71" s="61"/>
      <c r="AD71" s="66"/>
      <c r="AE71" s="61"/>
      <c r="AF71" s="52">
        <f t="shared" si="4"/>
        <v>-29325</v>
      </c>
      <c r="AG71" s="46">
        <f t="shared" si="5"/>
        <v>-27500</v>
      </c>
      <c r="AH71" s="51">
        <f t="shared" si="6"/>
        <v>-56825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41">
        <f>SUM(C7:C72)</f>
        <v>704060</v>
      </c>
      <c r="D73" s="141">
        <f t="shared" ref="D73:V73" si="11">SUM(D7:D72)</f>
        <v>61550</v>
      </c>
      <c r="E73" s="141">
        <f t="shared" si="11"/>
        <v>0</v>
      </c>
      <c r="F73" s="141">
        <f t="shared" si="11"/>
        <v>0</v>
      </c>
      <c r="G73" s="141">
        <f t="shared" si="11"/>
        <v>23040</v>
      </c>
      <c r="H73" s="27">
        <f t="shared" si="11"/>
        <v>0</v>
      </c>
      <c r="I73" s="141">
        <f t="shared" si="11"/>
        <v>0</v>
      </c>
      <c r="J73" s="141">
        <f t="shared" si="11"/>
        <v>0</v>
      </c>
      <c r="K73" s="141">
        <f t="shared" si="11"/>
        <v>0</v>
      </c>
      <c r="L73" s="141">
        <f t="shared" si="11"/>
        <v>0</v>
      </c>
      <c r="M73" s="141">
        <f t="shared" si="11"/>
        <v>0</v>
      </c>
      <c r="N73" s="141">
        <f t="shared" si="11"/>
        <v>0</v>
      </c>
      <c r="O73" s="141">
        <f t="shared" si="11"/>
        <v>0</v>
      </c>
      <c r="P73" s="141">
        <f t="shared" si="11"/>
        <v>0</v>
      </c>
      <c r="Q73" s="141">
        <f t="shared" si="11"/>
        <v>23040</v>
      </c>
      <c r="R73" s="141">
        <f t="shared" si="11"/>
        <v>46550</v>
      </c>
      <c r="S73" s="141">
        <f t="shared" si="11"/>
        <v>719060</v>
      </c>
      <c r="T73" s="141">
        <f t="shared" si="11"/>
        <v>-273090</v>
      </c>
      <c r="U73" s="141">
        <f t="shared" si="11"/>
        <v>445970</v>
      </c>
      <c r="V73" s="141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-719060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-719060</v>
      </c>
      <c r="AG73" s="43">
        <f t="shared" si="12"/>
        <v>-273090</v>
      </c>
      <c r="AH73" s="43">
        <f t="shared" si="12"/>
        <v>-992150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23040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12800+8740+39315+37885+14400+4240+27875+26870+10680+39440+23040</f>
        <v>245285</v>
      </c>
      <c r="S74" s="179"/>
      <c r="T74" s="180">
        <f>R74+R75</f>
        <v>1431070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61550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124500+74250+83725+71820+71700+75700+47700+108850+111100+92015+65400+61200+94675+45600+57550</f>
        <v>1185785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46550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80750+80950+66040+73470+44825+60325+42575+30900+34750+57880+55250+102725+48500+27000+46550</f>
        <v>852490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7500+11500+17500+13000+7000+12400+5850+6000+7000+7000+7000+6500</f>
        <v>108250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2140+9880+12320+20000+6850</f>
        <v>51190</v>
      </c>
      <c r="N77" s="40" t="s">
        <v>90</v>
      </c>
      <c r="O77" s="82">
        <f>4000+1000</f>
        <v>5000</v>
      </c>
      <c r="P77" s="40" t="s">
        <v>91</v>
      </c>
      <c r="Q77" s="40">
        <v>12000</v>
      </c>
      <c r="R77" s="165">
        <f>Q77+O77+M77+J77+F77</f>
        <v>194440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39400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45190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658050</v>
      </c>
      <c r="S80" s="165"/>
      <c r="T80" s="22"/>
      <c r="U80" s="22"/>
      <c r="V80" s="2"/>
      <c r="X80" s="63">
        <f>SUM(X77:X79)</f>
        <v>84590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43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>
        <v>7000</v>
      </c>
      <c r="S100" s="36">
        <v>14</v>
      </c>
      <c r="T100" s="36">
        <v>27000</v>
      </c>
      <c r="U100" s="36">
        <v>14</v>
      </c>
      <c r="V100" s="36">
        <v>39440</v>
      </c>
      <c r="W100" s="36">
        <v>45600</v>
      </c>
      <c r="X100" s="36">
        <f t="shared" si="13"/>
        <v>85040</v>
      </c>
    </row>
    <row r="101" spans="14:26">
      <c r="O101" s="36"/>
      <c r="P101" s="36"/>
      <c r="Q101" s="36">
        <v>6850</v>
      </c>
      <c r="R101" s="36">
        <v>6500</v>
      </c>
      <c r="S101" s="36">
        <v>15</v>
      </c>
      <c r="T101" s="36">
        <v>46550</v>
      </c>
      <c r="U101" s="36">
        <v>15</v>
      </c>
      <c r="V101" s="36">
        <v>23040</v>
      </c>
      <c r="W101" s="36">
        <v>61550</v>
      </c>
      <c r="X101" s="36">
        <f t="shared" si="13"/>
        <v>84590</v>
      </c>
    </row>
    <row r="102" spans="14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4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4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4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5000</v>
      </c>
      <c r="Q118" s="63">
        <f t="shared" si="14"/>
        <v>38870</v>
      </c>
      <c r="R118" s="63">
        <f t="shared" si="14"/>
        <v>128250</v>
      </c>
      <c r="S118" s="63"/>
      <c r="T118" s="63">
        <f>SUM(T87:T117)</f>
        <v>852490</v>
      </c>
      <c r="U118" s="63"/>
      <c r="V118" s="63">
        <f>SUM(V87:V117)</f>
        <v>245285</v>
      </c>
      <c r="W118" s="63">
        <f>SUM(W87:W117)</f>
        <v>1189785</v>
      </c>
      <c r="X118" s="36">
        <f>SUM(V118:W118)</f>
        <v>1435070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2" activePane="bottomRight" state="frozen"/>
      <selection activeCell="O32" sqref="O32"/>
      <selection pane="topRight" activeCell="O32" sqref="O32"/>
      <selection pane="bottomLeft" activeCell="O32" sqref="O32"/>
      <selection pane="bottomRight" activeCell="X25" sqref="X25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172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10000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10000</v>
      </c>
      <c r="T7" s="34">
        <v>-9150</v>
      </c>
      <c r="U7" s="6">
        <f>S7+T7</f>
        <v>850</v>
      </c>
      <c r="V7" s="52"/>
      <c r="W7" s="57"/>
      <c r="X7" s="46"/>
      <c r="Y7" s="65"/>
      <c r="Z7" s="66">
        <f>W7-S7</f>
        <v>-10000</v>
      </c>
      <c r="AA7" s="65"/>
      <c r="AB7" s="67"/>
      <c r="AC7" s="65"/>
      <c r="AD7" s="47"/>
      <c r="AE7" s="61"/>
      <c r="AF7" s="52">
        <f>SUM(Y7:AE7)</f>
        <v>-10000</v>
      </c>
      <c r="AG7" s="46">
        <f>U7+AF7</f>
        <v>-9150</v>
      </c>
      <c r="AH7" s="51">
        <f>AG7-S7</f>
        <v>-19150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38850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38850</v>
      </c>
      <c r="T8" s="6">
        <v>-24350</v>
      </c>
      <c r="U8" s="6">
        <f t="shared" ref="U8:U71" si="2">S8+T8</f>
        <v>14500</v>
      </c>
      <c r="V8" s="52"/>
      <c r="W8" s="57"/>
      <c r="X8" s="46"/>
      <c r="Y8" s="61"/>
      <c r="Z8" s="66">
        <f t="shared" ref="Z8:Z71" si="3">W8-S8</f>
        <v>-38850</v>
      </c>
      <c r="AA8" s="61"/>
      <c r="AB8" s="67"/>
      <c r="AC8" s="61"/>
      <c r="AD8" s="66"/>
      <c r="AE8" s="61"/>
      <c r="AF8" s="52">
        <f t="shared" ref="AF8:AF71" si="4">SUM(Y8:AE8)</f>
        <v>-38850</v>
      </c>
      <c r="AG8" s="46">
        <f t="shared" ref="AG8:AG71" si="5">U8+AF8</f>
        <v>-24350</v>
      </c>
      <c r="AH8" s="51">
        <f t="shared" ref="AH8:AH71" si="6">AG8-S8</f>
        <v>-63200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7000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7000</v>
      </c>
      <c r="T10" s="6">
        <v>-5175</v>
      </c>
      <c r="U10" s="6">
        <f t="shared" si="2"/>
        <v>1825</v>
      </c>
      <c r="V10" s="52"/>
      <c r="W10" s="57"/>
      <c r="X10" s="46"/>
      <c r="Y10" s="61"/>
      <c r="Z10" s="66">
        <f t="shared" si="3"/>
        <v>-7000</v>
      </c>
      <c r="AA10" s="61"/>
      <c r="AB10" s="67"/>
      <c r="AC10" s="61"/>
      <c r="AD10" s="66"/>
      <c r="AE10" s="61"/>
      <c r="AF10" s="52">
        <f t="shared" si="4"/>
        <v>-7000</v>
      </c>
      <c r="AG10" s="46">
        <f t="shared" si="5"/>
        <v>-5175</v>
      </c>
      <c r="AH10" s="51">
        <f t="shared" si="6"/>
        <v>-12175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4050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50</v>
      </c>
      <c r="S11" s="6">
        <f t="shared" si="1"/>
        <v>4000</v>
      </c>
      <c r="T11" s="6">
        <v>-3750</v>
      </c>
      <c r="U11" s="6">
        <f t="shared" si="2"/>
        <v>250</v>
      </c>
      <c r="V11" s="52"/>
      <c r="W11" s="57"/>
      <c r="X11" s="46"/>
      <c r="Y11" s="61"/>
      <c r="Z11" s="66">
        <f t="shared" si="3"/>
        <v>-4000</v>
      </c>
      <c r="AA11" s="61"/>
      <c r="AB11" s="67"/>
      <c r="AC11" s="61"/>
      <c r="AD11" s="66"/>
      <c r="AE11" s="61"/>
      <c r="AF11" s="52">
        <f t="shared" si="4"/>
        <v>-4000</v>
      </c>
      <c r="AG11" s="46">
        <f t="shared" si="5"/>
        <v>-3750</v>
      </c>
      <c r="AH11" s="51">
        <f t="shared" si="6"/>
        <v>-7750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-4700</v>
      </c>
      <c r="D12" s="6">
        <v>1850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250</v>
      </c>
      <c r="S12" s="6">
        <f t="shared" si="1"/>
        <v>-3100</v>
      </c>
      <c r="T12" s="6">
        <v>4700</v>
      </c>
      <c r="U12" s="6">
        <f t="shared" si="2"/>
        <v>1600</v>
      </c>
      <c r="V12" s="52"/>
      <c r="W12" s="57"/>
      <c r="X12" s="46"/>
      <c r="Y12" s="61"/>
      <c r="Z12" s="66">
        <f t="shared" si="3"/>
        <v>3100</v>
      </c>
      <c r="AA12" s="61"/>
      <c r="AB12" s="67"/>
      <c r="AC12" s="61"/>
      <c r="AD12" s="66"/>
      <c r="AE12" s="61"/>
      <c r="AF12" s="52">
        <f t="shared" si="4"/>
        <v>3100</v>
      </c>
      <c r="AG12" s="46">
        <f t="shared" si="5"/>
        <v>4700</v>
      </c>
      <c r="AH12" s="51">
        <f t="shared" si="6"/>
        <v>7800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23010</v>
      </c>
      <c r="D14" s="6">
        <v>10650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5900+1000+1400+1000</f>
        <v>9300</v>
      </c>
      <c r="S14" s="6">
        <f t="shared" si="1"/>
        <v>24360</v>
      </c>
      <c r="T14" s="6">
        <v>-5760</v>
      </c>
      <c r="U14" s="6">
        <f t="shared" si="2"/>
        <v>18600</v>
      </c>
      <c r="V14" s="52"/>
      <c r="W14" s="57"/>
      <c r="X14" s="46"/>
      <c r="Y14" s="61"/>
      <c r="Z14" s="66">
        <f t="shared" si="3"/>
        <v>-24360</v>
      </c>
      <c r="AA14" s="61"/>
      <c r="AB14" s="66"/>
      <c r="AC14" s="61"/>
      <c r="AD14" s="66"/>
      <c r="AE14" s="61"/>
      <c r="AF14" s="52">
        <f t="shared" si="4"/>
        <v>-24360</v>
      </c>
      <c r="AG14" s="46">
        <f t="shared" si="5"/>
        <v>-5760</v>
      </c>
      <c r="AH14" s="51">
        <f t="shared" si="6"/>
        <v>-30120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11350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11350</v>
      </c>
      <c r="T16" s="34">
        <v>-10050</v>
      </c>
      <c r="U16" s="6">
        <f t="shared" si="2"/>
        <v>1300</v>
      </c>
      <c r="V16" s="52"/>
      <c r="W16" s="57"/>
      <c r="X16" s="46"/>
      <c r="Y16" s="61"/>
      <c r="Z16" s="66">
        <f t="shared" si="3"/>
        <v>-11350</v>
      </c>
      <c r="AA16" s="61"/>
      <c r="AB16" s="67"/>
      <c r="AC16" s="61"/>
      <c r="AD16" s="47"/>
      <c r="AE16" s="61"/>
      <c r="AF16" s="52">
        <f t="shared" si="4"/>
        <v>-11350</v>
      </c>
      <c r="AG16" s="46">
        <f t="shared" si="5"/>
        <v>-10050</v>
      </c>
      <c r="AH16" s="51">
        <f t="shared" si="6"/>
        <v>-21400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9250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400</v>
      </c>
      <c r="S17" s="6">
        <f t="shared" si="1"/>
        <v>8850</v>
      </c>
      <c r="T17" s="6">
        <v>-5000</v>
      </c>
      <c r="U17" s="6">
        <f t="shared" si="2"/>
        <v>3850</v>
      </c>
      <c r="V17" s="52"/>
      <c r="W17" s="57"/>
      <c r="X17" s="46"/>
      <c r="Y17" s="61"/>
      <c r="Z17" s="66">
        <f t="shared" si="3"/>
        <v>-8850</v>
      </c>
      <c r="AA17" s="61"/>
      <c r="AB17" s="66"/>
      <c r="AC17" s="61"/>
      <c r="AD17" s="66"/>
      <c r="AE17" s="61"/>
      <c r="AF17" s="52">
        <f t="shared" si="4"/>
        <v>-8850</v>
      </c>
      <c r="AG17" s="46">
        <f t="shared" si="5"/>
        <v>-5000</v>
      </c>
      <c r="AH17" s="51">
        <f t="shared" si="6"/>
        <v>-13850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7">
        <f t="shared" si="0"/>
        <v>0</v>
      </c>
      <c r="R22" s="141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7">
        <f t="shared" si="0"/>
        <v>0</v>
      </c>
      <c r="R24" s="141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7">
        <f t="shared" si="0"/>
        <v>0</v>
      </c>
      <c r="R25" s="141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7">
        <f t="shared" si="0"/>
        <v>0</v>
      </c>
      <c r="R26" s="141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7">
        <f t="shared" si="0"/>
        <v>0</v>
      </c>
      <c r="R27" s="141">
        <v>300</v>
      </c>
      <c r="S27" s="6">
        <f t="shared" si="1"/>
        <v>5480</v>
      </c>
      <c r="T27" s="6">
        <v>-40</v>
      </c>
      <c r="U27" s="6">
        <f t="shared" si="2"/>
        <v>5440</v>
      </c>
      <c r="V27" s="52"/>
      <c r="W27" s="57"/>
      <c r="X27" s="46"/>
      <c r="Y27" s="61"/>
      <c r="Z27" s="66">
        <f t="shared" si="3"/>
        <v>-5480</v>
      </c>
      <c r="AA27" s="61"/>
      <c r="AB27" s="67"/>
      <c r="AC27" s="61"/>
      <c r="AD27" s="66"/>
      <c r="AE27" s="61"/>
      <c r="AF27" s="52">
        <f t="shared" si="4"/>
        <v>-5480</v>
      </c>
      <c r="AG27" s="46">
        <f t="shared" si="5"/>
        <v>-40</v>
      </c>
      <c r="AH27" s="51">
        <f t="shared" si="6"/>
        <v>-5520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2260</v>
      </c>
      <c r="D28" s="6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7">
        <f t="shared" si="0"/>
        <v>0</v>
      </c>
      <c r="R28" s="141">
        <v>300</v>
      </c>
      <c r="S28" s="6">
        <f t="shared" si="1"/>
        <v>1960</v>
      </c>
      <c r="T28" s="6">
        <f>-40-100</f>
        <v>-140</v>
      </c>
      <c r="U28" s="6">
        <f t="shared" si="2"/>
        <v>1820</v>
      </c>
      <c r="V28" s="52"/>
      <c r="W28" s="57"/>
      <c r="X28" s="46"/>
      <c r="Y28" s="61"/>
      <c r="Z28" s="66">
        <f t="shared" si="3"/>
        <v>-1960</v>
      </c>
      <c r="AA28" s="61"/>
      <c r="AB28" s="67"/>
      <c r="AC28" s="61"/>
      <c r="AD28" s="66"/>
      <c r="AE28" s="61"/>
      <c r="AF28" s="52">
        <f t="shared" si="4"/>
        <v>-1960</v>
      </c>
      <c r="AG28" s="46">
        <f t="shared" si="5"/>
        <v>-140</v>
      </c>
      <c r="AH28" s="51">
        <f t="shared" si="6"/>
        <v>-2100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7">
        <f t="shared" si="0"/>
        <v>0</v>
      </c>
      <c r="R29" s="141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7">
        <f t="shared" si="0"/>
        <v>0</v>
      </c>
      <c r="R30" s="141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7">
        <f t="shared" si="0"/>
        <v>0</v>
      </c>
      <c r="R31" s="141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37180</v>
      </c>
      <c r="D32" s="6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6"/>
      <c r="P32" s="6"/>
      <c r="Q32" s="7">
        <f>SUM(E32:P32)</f>
        <v>0</v>
      </c>
      <c r="R32" s="141"/>
      <c r="S32" s="6">
        <f t="shared" si="1"/>
        <v>37180</v>
      </c>
      <c r="T32" s="6">
        <v>-18280</v>
      </c>
      <c r="U32" s="6">
        <f t="shared" si="2"/>
        <v>18900</v>
      </c>
      <c r="V32" s="52"/>
      <c r="W32" s="57"/>
      <c r="X32" s="46"/>
      <c r="Y32" s="61"/>
      <c r="Z32" s="66">
        <f t="shared" si="3"/>
        <v>-37180</v>
      </c>
      <c r="AA32" s="61"/>
      <c r="AB32" s="67"/>
      <c r="AC32" s="61"/>
      <c r="AD32" s="66"/>
      <c r="AE32" s="61"/>
      <c r="AF32" s="52">
        <f t="shared" si="4"/>
        <v>-37180</v>
      </c>
      <c r="AG32" s="46">
        <f t="shared" si="5"/>
        <v>-18280</v>
      </c>
      <c r="AH32" s="51">
        <f t="shared" si="6"/>
        <v>-55460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7">
        <f t="shared" si="0"/>
        <v>0</v>
      </c>
      <c r="R33" s="141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41"/>
      <c r="F34" s="141"/>
      <c r="G34" s="141"/>
      <c r="H34" s="141"/>
      <c r="I34" s="141"/>
      <c r="J34" s="141"/>
      <c r="K34" s="6"/>
      <c r="L34" s="141"/>
      <c r="M34" s="141"/>
      <c r="N34" s="141"/>
      <c r="O34" s="141"/>
      <c r="P34" s="141"/>
      <c r="Q34" s="7">
        <f t="shared" si="0"/>
        <v>0</v>
      </c>
      <c r="R34" s="141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2820</v>
      </c>
      <c r="D35" s="6"/>
      <c r="E35" s="141"/>
      <c r="F35" s="141"/>
      <c r="G35" s="141"/>
      <c r="H35" s="141"/>
      <c r="I35" s="141"/>
      <c r="J35" s="141"/>
      <c r="K35" s="6"/>
      <c r="L35" s="141"/>
      <c r="M35" s="141"/>
      <c r="N35" s="141"/>
      <c r="O35" s="141"/>
      <c r="P35" s="141"/>
      <c r="Q35" s="7">
        <f t="shared" si="0"/>
        <v>0</v>
      </c>
      <c r="R35" s="141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7">
        <f t="shared" si="0"/>
        <v>0</v>
      </c>
      <c r="R36" s="141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7">
        <f t="shared" si="0"/>
        <v>0</v>
      </c>
      <c r="R37" s="141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7">
        <f>SUM(E38:P38)</f>
        <v>0</v>
      </c>
      <c r="R38" s="141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7">
        <f>SUM(E39:P39)</f>
        <v>0</v>
      </c>
      <c r="R39" s="141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41"/>
      <c r="F40" s="141"/>
      <c r="G40" s="141"/>
      <c r="H40" s="27"/>
      <c r="I40" s="141"/>
      <c r="J40" s="141"/>
      <c r="K40" s="141"/>
      <c r="L40" s="141"/>
      <c r="M40" s="141"/>
      <c r="N40" s="141"/>
      <c r="O40" s="141"/>
      <c r="P40" s="141"/>
      <c r="Q40" s="7">
        <f>SUM(E40:P40)</f>
        <v>0</v>
      </c>
      <c r="R40" s="141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7">
        <f>SUM(E41:P41)</f>
        <v>0</v>
      </c>
      <c r="R41" s="141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7">
        <f>SUM(E42:P42)</f>
        <v>0</v>
      </c>
      <c r="R42" s="141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7">
        <f t="shared" si="0"/>
        <v>0</v>
      </c>
      <c r="R44" s="141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7">
        <f t="shared" si="0"/>
        <v>0</v>
      </c>
      <c r="R45" s="141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7">
        <f t="shared" si="0"/>
        <v>0</v>
      </c>
      <c r="R46" s="141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7">
        <f t="shared" si="0"/>
        <v>0</v>
      </c>
      <c r="R47" s="141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7">
        <f t="shared" si="0"/>
        <v>0</v>
      </c>
      <c r="R48" s="141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7">
        <f t="shared" si="0"/>
        <v>0</v>
      </c>
      <c r="R49" s="141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8540</v>
      </c>
      <c r="D50" s="6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7">
        <f t="shared" si="0"/>
        <v>0</v>
      </c>
      <c r="R50" s="141"/>
      <c r="S50" s="6">
        <f t="shared" si="1"/>
        <v>8540</v>
      </c>
      <c r="T50" s="6">
        <f>-12000+8615</f>
        <v>-3385</v>
      </c>
      <c r="U50" s="6">
        <f t="shared" si="2"/>
        <v>5155</v>
      </c>
      <c r="V50" s="52"/>
      <c r="W50" s="57"/>
      <c r="X50" s="46"/>
      <c r="Y50" s="61"/>
      <c r="Z50" s="66">
        <f t="shared" si="3"/>
        <v>-8540</v>
      </c>
      <c r="AA50" s="61"/>
      <c r="AB50" s="64"/>
      <c r="AC50" s="61"/>
      <c r="AD50" s="66"/>
      <c r="AE50" s="61"/>
      <c r="AF50" s="52">
        <f t="shared" si="4"/>
        <v>-8540</v>
      </c>
      <c r="AG50" s="46">
        <f t="shared" si="5"/>
        <v>-3385</v>
      </c>
      <c r="AH50" s="51">
        <f t="shared" si="6"/>
        <v>-11925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7">
        <f t="shared" si="0"/>
        <v>0</v>
      </c>
      <c r="R51" s="141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7">
        <f t="shared" si="0"/>
        <v>0</v>
      </c>
      <c r="R52" s="141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>
        <v>2825</v>
      </c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7">
        <f t="shared" si="0"/>
        <v>0</v>
      </c>
      <c r="R53" s="141"/>
      <c r="S53" s="6">
        <f t="shared" si="1"/>
        <v>14950</v>
      </c>
      <c r="T53" s="6">
        <v>-11550</v>
      </c>
      <c r="U53" s="6">
        <f t="shared" si="2"/>
        <v>3400</v>
      </c>
      <c r="V53" s="52"/>
      <c r="W53" s="57"/>
      <c r="X53" s="46"/>
      <c r="Y53" s="61"/>
      <c r="Z53" s="66">
        <f t="shared" si="3"/>
        <v>-14950</v>
      </c>
      <c r="AA53" s="61"/>
      <c r="AB53" s="67"/>
      <c r="AC53" s="61"/>
      <c r="AD53" s="66"/>
      <c r="AE53" s="61"/>
      <c r="AF53" s="52">
        <f t="shared" si="4"/>
        <v>-14950</v>
      </c>
      <c r="AG53" s="46">
        <f t="shared" si="5"/>
        <v>-11550</v>
      </c>
      <c r="AH53" s="51">
        <f t="shared" si="6"/>
        <v>-26500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9450</v>
      </c>
      <c r="D54" s="6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7">
        <f t="shared" si="0"/>
        <v>0</v>
      </c>
      <c r="R54" s="141"/>
      <c r="S54" s="6">
        <f t="shared" si="1"/>
        <v>9450</v>
      </c>
      <c r="T54" s="6">
        <v>-2850</v>
      </c>
      <c r="U54" s="6">
        <f t="shared" si="2"/>
        <v>6600</v>
      </c>
      <c r="V54" s="52"/>
      <c r="W54" s="57"/>
      <c r="X54" s="46"/>
      <c r="Y54" s="61"/>
      <c r="Z54" s="66">
        <f t="shared" si="3"/>
        <v>-9450</v>
      </c>
      <c r="AA54" s="61"/>
      <c r="AB54" s="67"/>
      <c r="AC54" s="61"/>
      <c r="AD54" s="66"/>
      <c r="AE54" s="61"/>
      <c r="AF54" s="52">
        <f t="shared" si="4"/>
        <v>-9450</v>
      </c>
      <c r="AG54" s="46">
        <f t="shared" si="5"/>
        <v>-2850</v>
      </c>
      <c r="AH54" s="51">
        <f t="shared" si="6"/>
        <v>-12300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7">
        <f t="shared" si="0"/>
        <v>0</v>
      </c>
      <c r="R55" s="141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7">
        <f>SUM(E56:P56)</f>
        <v>0</v>
      </c>
      <c r="R56" s="141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7">
        <f t="shared" si="0"/>
        <v>0</v>
      </c>
      <c r="R61" s="141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7">
        <f t="shared" si="0"/>
        <v>0</v>
      </c>
      <c r="R62" s="140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7">
        <f t="shared" si="0"/>
        <v>0</v>
      </c>
      <c r="R63" s="140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7">
        <f t="shared" si="0"/>
        <v>0</v>
      </c>
      <c r="R64" s="140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7">
        <f t="shared" si="0"/>
        <v>0</v>
      </c>
      <c r="R65" s="140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42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7">
        <f t="shared" si="0"/>
        <v>0</v>
      </c>
      <c r="R67" s="141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337675</v>
      </c>
      <c r="D68" s="141">
        <f>22000+20000</f>
        <v>42000</v>
      </c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7">
        <f t="shared" si="0"/>
        <v>0</v>
      </c>
      <c r="R68" s="141">
        <v>75000</v>
      </c>
      <c r="S68" s="6">
        <f t="shared" si="1"/>
        <v>304675</v>
      </c>
      <c r="T68" s="6">
        <v>0</v>
      </c>
      <c r="U68" s="6">
        <f t="shared" si="2"/>
        <v>304675</v>
      </c>
      <c r="V68" s="52"/>
      <c r="W68" s="57"/>
      <c r="X68" s="46"/>
      <c r="Y68" s="61"/>
      <c r="Z68" s="66">
        <f t="shared" si="3"/>
        <v>-304675</v>
      </c>
      <c r="AA68" s="61"/>
      <c r="AB68" s="67"/>
      <c r="AC68" s="61"/>
      <c r="AD68" s="66"/>
      <c r="AE68" s="61"/>
      <c r="AF68" s="52">
        <f t="shared" si="4"/>
        <v>-304675</v>
      </c>
      <c r="AG68" s="46">
        <f t="shared" si="5"/>
        <v>0</v>
      </c>
      <c r="AH68" s="51">
        <f t="shared" si="6"/>
        <v>-304675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f>18075-675</f>
        <v>17400</v>
      </c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7">
        <f t="shared" si="0"/>
        <v>0</v>
      </c>
      <c r="R69" s="141">
        <v>500</v>
      </c>
      <c r="S69" s="6">
        <f t="shared" si="1"/>
        <v>16900</v>
      </c>
      <c r="T69" s="6">
        <v>-16950</v>
      </c>
      <c r="U69" s="6">
        <f t="shared" si="2"/>
        <v>-50</v>
      </c>
      <c r="V69" s="52"/>
      <c r="W69" s="57"/>
      <c r="X69" s="46"/>
      <c r="Y69" s="61"/>
      <c r="Z69" s="66">
        <f t="shared" si="3"/>
        <v>-16900</v>
      </c>
      <c r="AA69" s="61"/>
      <c r="AB69" s="64"/>
      <c r="AC69" s="61"/>
      <c r="AD69" s="66"/>
      <c r="AE69" s="61"/>
      <c r="AF69" s="52">
        <f t="shared" si="4"/>
        <v>-16900</v>
      </c>
      <c r="AG69" s="46">
        <f t="shared" si="5"/>
        <v>-16950</v>
      </c>
      <c r="AH69" s="51">
        <f t="shared" si="6"/>
        <v>-33850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10925</v>
      </c>
      <c r="D70" s="141">
        <v>2750</v>
      </c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7">
        <f t="shared" si="0"/>
        <v>0</v>
      </c>
      <c r="R70" s="141"/>
      <c r="S70" s="6">
        <f t="shared" si="1"/>
        <v>13675</v>
      </c>
      <c r="T70" s="6">
        <v>-9425</v>
      </c>
      <c r="U70" s="6">
        <f t="shared" si="2"/>
        <v>4250</v>
      </c>
      <c r="V70" s="52"/>
      <c r="W70" s="57"/>
      <c r="X70" s="46"/>
      <c r="Y70" s="61"/>
      <c r="Z70" s="66">
        <f t="shared" si="3"/>
        <v>-13675</v>
      </c>
      <c r="AA70" s="61"/>
      <c r="AB70" s="67"/>
      <c r="AC70" s="61"/>
      <c r="AD70" s="66"/>
      <c r="AE70" s="61"/>
      <c r="AF70" s="52">
        <f t="shared" si="4"/>
        <v>-13675</v>
      </c>
      <c r="AG70" s="46">
        <f t="shared" si="5"/>
        <v>-9425</v>
      </c>
      <c r="AH70" s="51">
        <f t="shared" si="6"/>
        <v>-23100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f>25325+675</f>
        <v>26000</v>
      </c>
      <c r="D71" s="141">
        <v>2000</v>
      </c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7">
        <f t="shared" si="0"/>
        <v>0</v>
      </c>
      <c r="R71" s="141">
        <v>500</v>
      </c>
      <c r="S71" s="6">
        <f t="shared" si="1"/>
        <v>27500</v>
      </c>
      <c r="T71" s="6">
        <v>-27500</v>
      </c>
      <c r="U71" s="6">
        <f t="shared" si="2"/>
        <v>0</v>
      </c>
      <c r="V71" s="52"/>
      <c r="W71" s="57"/>
      <c r="X71" s="46"/>
      <c r="Y71" s="61"/>
      <c r="Z71" s="66">
        <f t="shared" si="3"/>
        <v>-27500</v>
      </c>
      <c r="AA71" s="61"/>
      <c r="AB71" s="64"/>
      <c r="AC71" s="61"/>
      <c r="AD71" s="66"/>
      <c r="AE71" s="61"/>
      <c r="AF71" s="52">
        <f t="shared" si="4"/>
        <v>-27500</v>
      </c>
      <c r="AG71" s="46">
        <f t="shared" si="5"/>
        <v>-27500</v>
      </c>
      <c r="AH71" s="51">
        <f t="shared" si="6"/>
        <v>-55000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41">
        <f>SUM(C7:C72)</f>
        <v>715060</v>
      </c>
      <c r="D73" s="141">
        <f t="shared" ref="D73:V73" si="11">SUM(D7:D72)</f>
        <v>62075</v>
      </c>
      <c r="E73" s="141">
        <f t="shared" si="11"/>
        <v>0</v>
      </c>
      <c r="F73" s="141">
        <f t="shared" si="11"/>
        <v>0</v>
      </c>
      <c r="G73" s="141">
        <f t="shared" si="11"/>
        <v>0</v>
      </c>
      <c r="H73" s="27">
        <f t="shared" si="11"/>
        <v>0</v>
      </c>
      <c r="I73" s="141">
        <f t="shared" si="11"/>
        <v>0</v>
      </c>
      <c r="J73" s="141">
        <f t="shared" si="11"/>
        <v>0</v>
      </c>
      <c r="K73" s="141">
        <f t="shared" si="11"/>
        <v>0</v>
      </c>
      <c r="L73" s="141">
        <f t="shared" si="11"/>
        <v>0</v>
      </c>
      <c r="M73" s="141">
        <f t="shared" si="11"/>
        <v>0</v>
      </c>
      <c r="N73" s="141">
        <f t="shared" si="11"/>
        <v>0</v>
      </c>
      <c r="O73" s="141">
        <f t="shared" si="11"/>
        <v>0</v>
      </c>
      <c r="P73" s="141">
        <f t="shared" si="11"/>
        <v>0</v>
      </c>
      <c r="Q73" s="141">
        <f t="shared" si="11"/>
        <v>0</v>
      </c>
      <c r="R73" s="141">
        <f t="shared" si="11"/>
        <v>86600</v>
      </c>
      <c r="S73" s="141">
        <f t="shared" si="11"/>
        <v>690535</v>
      </c>
      <c r="T73" s="141">
        <f t="shared" si="11"/>
        <v>-273090</v>
      </c>
      <c r="U73" s="141">
        <f t="shared" si="11"/>
        <v>417445</v>
      </c>
      <c r="V73" s="141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-690535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-690535</v>
      </c>
      <c r="AG73" s="43">
        <f t="shared" si="12"/>
        <v>-273090</v>
      </c>
      <c r="AH73" s="43">
        <f t="shared" si="12"/>
        <v>-963625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12800+8740+39315+37885+14400+4240+27875+26870+10680+39440+23040</f>
        <v>245285</v>
      </c>
      <c r="S74" s="179"/>
      <c r="T74" s="180">
        <f>R74+R75</f>
        <v>1493145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62075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124500+74250+83725+71820+71700+75700+47700+108850+111100+92015+65400+61200+94675+45600+57550+62075</f>
        <v>1247860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86600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80750+80950+66040+73470+44825+60325+42575+30900+34750+57880+55250+102725+48500+27000+46550+86600</f>
        <v>939090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7500+11500+17500+13000+7000+12400+5850+6000+7000+7000+7000+6500+6300</f>
        <v>114550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2140+9880+12320+20000+6850</f>
        <v>51190</v>
      </c>
      <c r="N77" s="40" t="s">
        <v>90</v>
      </c>
      <c r="O77" s="82">
        <f>4000+1000</f>
        <v>5000</v>
      </c>
      <c r="P77" s="40" t="s">
        <v>91</v>
      </c>
      <c r="Q77" s="40">
        <v>12000</v>
      </c>
      <c r="R77" s="165">
        <f>Q77+O77+M77+J77+F77</f>
        <v>200740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34500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27575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738350</v>
      </c>
      <c r="S80" s="165"/>
      <c r="T80" s="22"/>
      <c r="U80" s="22"/>
      <c r="V80" s="2"/>
      <c r="X80" s="63">
        <f>SUM(X77:X79)</f>
        <v>62075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43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>
        <v>7000</v>
      </c>
      <c r="S100" s="36">
        <v>14</v>
      </c>
      <c r="T100" s="36">
        <v>27000</v>
      </c>
      <c r="U100" s="36">
        <v>14</v>
      </c>
      <c r="V100" s="36">
        <v>39440</v>
      </c>
      <c r="W100" s="36">
        <v>45600</v>
      </c>
      <c r="X100" s="36">
        <f t="shared" si="13"/>
        <v>85040</v>
      </c>
    </row>
    <row r="101" spans="14:26">
      <c r="O101" s="36"/>
      <c r="P101" s="36"/>
      <c r="Q101" s="36">
        <v>6850</v>
      </c>
      <c r="R101" s="36">
        <v>6500</v>
      </c>
      <c r="S101" s="36">
        <v>15</v>
      </c>
      <c r="T101" s="36">
        <v>46550</v>
      </c>
      <c r="U101" s="36">
        <v>15</v>
      </c>
      <c r="V101" s="36">
        <v>23040</v>
      </c>
      <c r="W101" s="36">
        <v>57550</v>
      </c>
      <c r="X101" s="36">
        <f t="shared" si="13"/>
        <v>80590</v>
      </c>
    </row>
    <row r="102" spans="14:26">
      <c r="O102" s="36"/>
      <c r="P102" s="36"/>
      <c r="Q102" s="36"/>
      <c r="R102" s="36">
        <v>6300</v>
      </c>
      <c r="S102" s="36">
        <v>16</v>
      </c>
      <c r="T102" s="36">
        <v>86600</v>
      </c>
      <c r="U102" s="36">
        <v>16</v>
      </c>
      <c r="V102" s="36"/>
      <c r="W102" s="36">
        <v>62075</v>
      </c>
      <c r="X102" s="36">
        <f t="shared" si="13"/>
        <v>62075</v>
      </c>
    </row>
    <row r="103" spans="14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4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4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5000</v>
      </c>
      <c r="Q118" s="63">
        <f t="shared" si="14"/>
        <v>38870</v>
      </c>
      <c r="R118" s="63">
        <f t="shared" si="14"/>
        <v>134550</v>
      </c>
      <c r="S118" s="63"/>
      <c r="T118" s="63">
        <f>SUM(T87:T117)</f>
        <v>939090</v>
      </c>
      <c r="U118" s="63"/>
      <c r="V118" s="63">
        <f>SUM(V87:V117)</f>
        <v>245285</v>
      </c>
      <c r="W118" s="63">
        <f>SUM(W87:W117)</f>
        <v>1247860</v>
      </c>
      <c r="X118" s="36">
        <f>SUM(V118:W118)</f>
        <v>1493145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7" activePane="bottomRight" state="frozen"/>
      <selection activeCell="O32" sqref="O32"/>
      <selection pane="topRight" activeCell="O32" sqref="O32"/>
      <selection pane="bottomLeft" activeCell="O32" sqref="O32"/>
      <selection pane="bottomRight" activeCell="AA78" sqref="AA78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173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10000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400</f>
        <v>400</v>
      </c>
      <c r="S7" s="6">
        <f>C7+D7-R7</f>
        <v>9600</v>
      </c>
      <c r="T7" s="34">
        <v>-9150</v>
      </c>
      <c r="U7" s="6">
        <f>S7+T7</f>
        <v>450</v>
      </c>
      <c r="V7" s="52"/>
      <c r="W7" s="57"/>
      <c r="X7" s="46"/>
      <c r="Y7" s="65"/>
      <c r="Z7" s="66">
        <f>W7-S7</f>
        <v>-9600</v>
      </c>
      <c r="AA7" s="65"/>
      <c r="AB7" s="67"/>
      <c r="AC7" s="65"/>
      <c r="AD7" s="47"/>
      <c r="AE7" s="61"/>
      <c r="AF7" s="52">
        <f>SUM(Y7:AE7)</f>
        <v>-9600</v>
      </c>
      <c r="AG7" s="46">
        <f>U7+AF7</f>
        <v>-9150</v>
      </c>
      <c r="AH7" s="51">
        <f>AG7-S7</f>
        <v>-18750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38850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600</f>
        <v>600</v>
      </c>
      <c r="S8" s="6">
        <f t="shared" ref="S8:S71" si="1">C8+D8-R8</f>
        <v>38250</v>
      </c>
      <c r="T8" s="6">
        <v>-24350</v>
      </c>
      <c r="U8" s="6">
        <f t="shared" ref="U8:U71" si="2">S8+T8</f>
        <v>13900</v>
      </c>
      <c r="V8" s="52"/>
      <c r="W8" s="57"/>
      <c r="X8" s="46"/>
      <c r="Y8" s="61"/>
      <c r="Z8" s="66">
        <f t="shared" ref="Z8:Z71" si="3">W8-S8</f>
        <v>-38250</v>
      </c>
      <c r="AA8" s="61"/>
      <c r="AB8" s="67"/>
      <c r="AC8" s="61"/>
      <c r="AD8" s="66"/>
      <c r="AE8" s="61"/>
      <c r="AF8" s="52">
        <f t="shared" ref="AF8:AF71" si="4">SUM(Y8:AE8)</f>
        <v>-38250</v>
      </c>
      <c r="AG8" s="46">
        <f t="shared" ref="AG8:AG71" si="5">U8+AF8</f>
        <v>-24350</v>
      </c>
      <c r="AH8" s="51">
        <f t="shared" ref="AH8:AH71" si="6">AG8-S8</f>
        <v>-62600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7000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7000</v>
      </c>
      <c r="T10" s="6">
        <v>-5175</v>
      </c>
      <c r="U10" s="6">
        <f t="shared" si="2"/>
        <v>1825</v>
      </c>
      <c r="V10" s="52"/>
      <c r="W10" s="57"/>
      <c r="X10" s="46"/>
      <c r="Y10" s="61"/>
      <c r="Z10" s="66">
        <f t="shared" si="3"/>
        <v>-7000</v>
      </c>
      <c r="AA10" s="61"/>
      <c r="AB10" s="67"/>
      <c r="AC10" s="61"/>
      <c r="AD10" s="66"/>
      <c r="AE10" s="61"/>
      <c r="AF10" s="52">
        <f t="shared" si="4"/>
        <v>-7000</v>
      </c>
      <c r="AG10" s="46">
        <f t="shared" si="5"/>
        <v>-5175</v>
      </c>
      <c r="AH10" s="51">
        <f t="shared" si="6"/>
        <v>-12175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4000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500</v>
      </c>
      <c r="S11" s="6">
        <f t="shared" si="1"/>
        <v>3500</v>
      </c>
      <c r="T11" s="6">
        <v>-3500</v>
      </c>
      <c r="U11" s="6">
        <f t="shared" si="2"/>
        <v>0</v>
      </c>
      <c r="V11" s="52"/>
      <c r="W11" s="57"/>
      <c r="X11" s="46"/>
      <c r="Y11" s="61"/>
      <c r="Z11" s="66">
        <f t="shared" si="3"/>
        <v>-3500</v>
      </c>
      <c r="AA11" s="61"/>
      <c r="AB11" s="67"/>
      <c r="AC11" s="61"/>
      <c r="AD11" s="66"/>
      <c r="AE11" s="61"/>
      <c r="AF11" s="52">
        <f t="shared" si="4"/>
        <v>-3500</v>
      </c>
      <c r="AG11" s="46">
        <f t="shared" si="5"/>
        <v>-3500</v>
      </c>
      <c r="AH11" s="51">
        <f t="shared" si="6"/>
        <v>-7000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-3100</v>
      </c>
      <c r="D12" s="6">
        <v>1950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1650</v>
      </c>
      <c r="S12" s="6">
        <f t="shared" si="1"/>
        <v>-2800</v>
      </c>
      <c r="T12" s="6">
        <v>4700</v>
      </c>
      <c r="U12" s="6">
        <f t="shared" si="2"/>
        <v>1900</v>
      </c>
      <c r="V12" s="52"/>
      <c r="W12" s="57"/>
      <c r="X12" s="46"/>
      <c r="Y12" s="61"/>
      <c r="Z12" s="66">
        <f t="shared" si="3"/>
        <v>2800</v>
      </c>
      <c r="AA12" s="61"/>
      <c r="AB12" s="67"/>
      <c r="AC12" s="61"/>
      <c r="AD12" s="66"/>
      <c r="AE12" s="61"/>
      <c r="AF12" s="52">
        <f t="shared" si="4"/>
        <v>2800</v>
      </c>
      <c r="AG12" s="46">
        <f t="shared" si="5"/>
        <v>4700</v>
      </c>
      <c r="AH12" s="51">
        <f t="shared" si="6"/>
        <v>7500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24360</v>
      </c>
      <c r="D14" s="6">
        <f>2850+7900</f>
        <v>10750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5000+3750+1500+2000+1300</f>
        <v>13550</v>
      </c>
      <c r="S14" s="6">
        <f t="shared" si="1"/>
        <v>21560</v>
      </c>
      <c r="T14" s="6">
        <v>-5760</v>
      </c>
      <c r="U14" s="6">
        <f t="shared" si="2"/>
        <v>15800</v>
      </c>
      <c r="V14" s="52"/>
      <c r="W14" s="57"/>
      <c r="X14" s="46"/>
      <c r="Y14" s="61"/>
      <c r="Z14" s="66">
        <f t="shared" si="3"/>
        <v>-21560</v>
      </c>
      <c r="AA14" s="61"/>
      <c r="AB14" s="66"/>
      <c r="AC14" s="61"/>
      <c r="AD14" s="66"/>
      <c r="AE14" s="61"/>
      <c r="AF14" s="52">
        <f t="shared" si="4"/>
        <v>-21560</v>
      </c>
      <c r="AG14" s="46">
        <f t="shared" si="5"/>
        <v>-5760</v>
      </c>
      <c r="AH14" s="51">
        <f t="shared" si="6"/>
        <v>-27320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11350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350</v>
      </c>
      <c r="S16" s="6">
        <f t="shared" si="1"/>
        <v>11000</v>
      </c>
      <c r="T16" s="34">
        <v>-10050</v>
      </c>
      <c r="U16" s="6">
        <f t="shared" si="2"/>
        <v>950</v>
      </c>
      <c r="V16" s="52"/>
      <c r="W16" s="57"/>
      <c r="X16" s="46"/>
      <c r="Y16" s="61"/>
      <c r="Z16" s="66">
        <f t="shared" si="3"/>
        <v>-11000</v>
      </c>
      <c r="AA16" s="61"/>
      <c r="AB16" s="67"/>
      <c r="AC16" s="61"/>
      <c r="AD16" s="47"/>
      <c r="AE16" s="61"/>
      <c r="AF16" s="52">
        <f t="shared" si="4"/>
        <v>-11000</v>
      </c>
      <c r="AG16" s="46">
        <f t="shared" si="5"/>
        <v>-10050</v>
      </c>
      <c r="AH16" s="51">
        <f t="shared" si="6"/>
        <v>-21050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8850</v>
      </c>
      <c r="D17" s="6">
        <v>1000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9850</v>
      </c>
      <c r="T17" s="6">
        <v>-5000</v>
      </c>
      <c r="U17" s="6">
        <f t="shared" si="2"/>
        <v>4850</v>
      </c>
      <c r="V17" s="52"/>
      <c r="W17" s="57"/>
      <c r="X17" s="46"/>
      <c r="Y17" s="61"/>
      <c r="Z17" s="66">
        <f t="shared" si="3"/>
        <v>-9850</v>
      </c>
      <c r="AA17" s="61"/>
      <c r="AB17" s="66"/>
      <c r="AC17" s="61"/>
      <c r="AD17" s="66"/>
      <c r="AE17" s="61"/>
      <c r="AF17" s="52">
        <f t="shared" si="4"/>
        <v>-9850</v>
      </c>
      <c r="AG17" s="46">
        <f t="shared" si="5"/>
        <v>-5000</v>
      </c>
      <c r="AH17" s="51">
        <f t="shared" si="6"/>
        <v>-14850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7">
        <f t="shared" si="0"/>
        <v>0</v>
      </c>
      <c r="R22" s="147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7">
        <f t="shared" si="0"/>
        <v>0</v>
      </c>
      <c r="R24" s="147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7">
        <f t="shared" si="0"/>
        <v>0</v>
      </c>
      <c r="R25" s="147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7">
        <f t="shared" si="0"/>
        <v>0</v>
      </c>
      <c r="R26" s="147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5480</v>
      </c>
      <c r="D27" s="6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7">
        <f t="shared" si="0"/>
        <v>0</v>
      </c>
      <c r="R27" s="147"/>
      <c r="S27" s="6">
        <f t="shared" si="1"/>
        <v>5480</v>
      </c>
      <c r="T27" s="6">
        <v>-40</v>
      </c>
      <c r="U27" s="6">
        <f t="shared" si="2"/>
        <v>5440</v>
      </c>
      <c r="V27" s="52"/>
      <c r="W27" s="57"/>
      <c r="X27" s="46"/>
      <c r="Y27" s="61"/>
      <c r="Z27" s="66">
        <f t="shared" si="3"/>
        <v>-5480</v>
      </c>
      <c r="AA27" s="61"/>
      <c r="AB27" s="67"/>
      <c r="AC27" s="61"/>
      <c r="AD27" s="66"/>
      <c r="AE27" s="61"/>
      <c r="AF27" s="52">
        <f t="shared" si="4"/>
        <v>-5480</v>
      </c>
      <c r="AG27" s="46">
        <f t="shared" si="5"/>
        <v>-40</v>
      </c>
      <c r="AH27" s="51">
        <f t="shared" si="6"/>
        <v>-5520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1960</v>
      </c>
      <c r="D28" s="6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7">
        <f t="shared" si="0"/>
        <v>0</v>
      </c>
      <c r="R28" s="147"/>
      <c r="S28" s="6">
        <f t="shared" si="1"/>
        <v>1960</v>
      </c>
      <c r="T28" s="6">
        <f>-40-100</f>
        <v>-140</v>
      </c>
      <c r="U28" s="6">
        <f t="shared" si="2"/>
        <v>1820</v>
      </c>
      <c r="V28" s="52"/>
      <c r="W28" s="57"/>
      <c r="X28" s="46"/>
      <c r="Y28" s="61"/>
      <c r="Z28" s="66">
        <f t="shared" si="3"/>
        <v>-1960</v>
      </c>
      <c r="AA28" s="61"/>
      <c r="AB28" s="67"/>
      <c r="AC28" s="61"/>
      <c r="AD28" s="66"/>
      <c r="AE28" s="61"/>
      <c r="AF28" s="52">
        <f t="shared" si="4"/>
        <v>-1960</v>
      </c>
      <c r="AG28" s="46">
        <f t="shared" si="5"/>
        <v>-140</v>
      </c>
      <c r="AH28" s="51">
        <f t="shared" si="6"/>
        <v>-2100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7">
        <f t="shared" si="0"/>
        <v>0</v>
      </c>
      <c r="R29" s="147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7">
        <f t="shared" si="0"/>
        <v>0</v>
      </c>
      <c r="R30" s="147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7">
        <f t="shared" si="0"/>
        <v>0</v>
      </c>
      <c r="R31" s="147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37180</v>
      </c>
      <c r="D32" s="6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6"/>
      <c r="P32" s="6"/>
      <c r="Q32" s="7">
        <f>SUM(E32:P32)</f>
        <v>0</v>
      </c>
      <c r="R32" s="147">
        <f>500+3000</f>
        <v>3500</v>
      </c>
      <c r="S32" s="6">
        <f t="shared" si="1"/>
        <v>33680</v>
      </c>
      <c r="T32" s="6">
        <v>-18280</v>
      </c>
      <c r="U32" s="6">
        <f t="shared" si="2"/>
        <v>15400</v>
      </c>
      <c r="V32" s="52"/>
      <c r="W32" s="57"/>
      <c r="X32" s="46"/>
      <c r="Y32" s="61"/>
      <c r="Z32" s="66">
        <f t="shared" si="3"/>
        <v>-33680</v>
      </c>
      <c r="AA32" s="61"/>
      <c r="AB32" s="67"/>
      <c r="AC32" s="61"/>
      <c r="AD32" s="66"/>
      <c r="AE32" s="61"/>
      <c r="AF32" s="52">
        <f t="shared" si="4"/>
        <v>-33680</v>
      </c>
      <c r="AG32" s="46">
        <f t="shared" si="5"/>
        <v>-18280</v>
      </c>
      <c r="AH32" s="51">
        <f t="shared" si="6"/>
        <v>-51960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7">
        <f t="shared" si="0"/>
        <v>0</v>
      </c>
      <c r="R33" s="147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47"/>
      <c r="F34" s="147"/>
      <c r="G34" s="147"/>
      <c r="H34" s="147"/>
      <c r="I34" s="147"/>
      <c r="J34" s="147"/>
      <c r="K34" s="6"/>
      <c r="L34" s="147"/>
      <c r="M34" s="147"/>
      <c r="N34" s="147"/>
      <c r="O34" s="147"/>
      <c r="P34" s="147"/>
      <c r="Q34" s="7">
        <f t="shared" si="0"/>
        <v>0</v>
      </c>
      <c r="R34" s="147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2820</v>
      </c>
      <c r="D35" s="6"/>
      <c r="E35" s="147"/>
      <c r="F35" s="147"/>
      <c r="G35" s="147"/>
      <c r="H35" s="147"/>
      <c r="I35" s="147"/>
      <c r="J35" s="147"/>
      <c r="K35" s="6"/>
      <c r="L35" s="147"/>
      <c r="M35" s="147"/>
      <c r="N35" s="147"/>
      <c r="O35" s="147"/>
      <c r="P35" s="147"/>
      <c r="Q35" s="7">
        <f t="shared" si="0"/>
        <v>0</v>
      </c>
      <c r="R35" s="147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7">
        <f t="shared" si="0"/>
        <v>0</v>
      </c>
      <c r="R36" s="147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7">
        <f t="shared" si="0"/>
        <v>0</v>
      </c>
      <c r="R37" s="147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7">
        <f>SUM(E38:P38)</f>
        <v>0</v>
      </c>
      <c r="R38" s="147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7">
        <f>SUM(E39:P39)</f>
        <v>0</v>
      </c>
      <c r="R39" s="147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47"/>
      <c r="F40" s="147"/>
      <c r="G40" s="147"/>
      <c r="H40" s="27"/>
      <c r="I40" s="147"/>
      <c r="J40" s="147"/>
      <c r="K40" s="147"/>
      <c r="L40" s="147"/>
      <c r="M40" s="147"/>
      <c r="N40" s="147"/>
      <c r="O40" s="147"/>
      <c r="P40" s="147"/>
      <c r="Q40" s="7">
        <f>SUM(E40:P40)</f>
        <v>0</v>
      </c>
      <c r="R40" s="147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7">
        <f>SUM(E41:P41)</f>
        <v>0</v>
      </c>
      <c r="R41" s="147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7">
        <f>SUM(E42:P42)</f>
        <v>0</v>
      </c>
      <c r="R42" s="147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7">
        <f t="shared" si="0"/>
        <v>0</v>
      </c>
      <c r="R44" s="147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7">
        <f t="shared" si="0"/>
        <v>0</v>
      </c>
      <c r="R45" s="147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7">
        <f t="shared" si="0"/>
        <v>0</v>
      </c>
      <c r="R46" s="147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7">
        <f t="shared" si="0"/>
        <v>0</v>
      </c>
      <c r="R47" s="147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7">
        <f t="shared" si="0"/>
        <v>0</v>
      </c>
      <c r="R48" s="147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7">
        <f t="shared" si="0"/>
        <v>0</v>
      </c>
      <c r="R49" s="147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8540</v>
      </c>
      <c r="D50" s="6">
        <v>5725</v>
      </c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7">
        <f t="shared" si="0"/>
        <v>0</v>
      </c>
      <c r="R50" s="147"/>
      <c r="S50" s="6">
        <f t="shared" si="1"/>
        <v>14265</v>
      </c>
      <c r="T50" s="6">
        <f>-12000+8615</f>
        <v>-3385</v>
      </c>
      <c r="U50" s="6">
        <f t="shared" si="2"/>
        <v>10880</v>
      </c>
      <c r="V50" s="52"/>
      <c r="W50" s="57"/>
      <c r="X50" s="46"/>
      <c r="Y50" s="61"/>
      <c r="Z50" s="66">
        <f t="shared" si="3"/>
        <v>-14265</v>
      </c>
      <c r="AA50" s="61"/>
      <c r="AB50" s="64"/>
      <c r="AC50" s="61"/>
      <c r="AD50" s="66"/>
      <c r="AE50" s="61"/>
      <c r="AF50" s="52">
        <f t="shared" si="4"/>
        <v>-14265</v>
      </c>
      <c r="AG50" s="46">
        <f t="shared" si="5"/>
        <v>-3385</v>
      </c>
      <c r="AH50" s="51">
        <f t="shared" si="6"/>
        <v>-17650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7">
        <f t="shared" si="0"/>
        <v>0</v>
      </c>
      <c r="R51" s="147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7">
        <f t="shared" si="0"/>
        <v>0</v>
      </c>
      <c r="R52" s="147">
        <v>1000</v>
      </c>
      <c r="S52" s="6">
        <f t="shared" si="1"/>
        <v>3410</v>
      </c>
      <c r="T52" s="6">
        <v>-2510</v>
      </c>
      <c r="U52" s="6">
        <f t="shared" si="2"/>
        <v>900</v>
      </c>
      <c r="V52" s="52"/>
      <c r="W52" s="57"/>
      <c r="X52" s="46"/>
      <c r="Y52" s="61"/>
      <c r="Z52" s="66">
        <f t="shared" si="3"/>
        <v>-3410</v>
      </c>
      <c r="AA52" s="61"/>
      <c r="AB52" s="67"/>
      <c r="AC52" s="61"/>
      <c r="AD52" s="66"/>
      <c r="AE52" s="61"/>
      <c r="AF52" s="52">
        <f t="shared" si="4"/>
        <v>-3410</v>
      </c>
      <c r="AG52" s="46">
        <f t="shared" si="5"/>
        <v>-2510</v>
      </c>
      <c r="AH52" s="51">
        <f t="shared" si="6"/>
        <v>-5920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14950</v>
      </c>
      <c r="D53" s="6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7">
        <f t="shared" si="0"/>
        <v>0</v>
      </c>
      <c r="R53" s="147">
        <v>2000</v>
      </c>
      <c r="S53" s="6">
        <f t="shared" si="1"/>
        <v>12950</v>
      </c>
      <c r="T53" s="6">
        <v>-11550</v>
      </c>
      <c r="U53" s="6">
        <f t="shared" si="2"/>
        <v>1400</v>
      </c>
      <c r="V53" s="52"/>
      <c r="W53" s="57"/>
      <c r="X53" s="46"/>
      <c r="Y53" s="61"/>
      <c r="Z53" s="66">
        <f t="shared" si="3"/>
        <v>-12950</v>
      </c>
      <c r="AA53" s="61"/>
      <c r="AB53" s="67"/>
      <c r="AC53" s="61"/>
      <c r="AD53" s="66"/>
      <c r="AE53" s="61"/>
      <c r="AF53" s="52">
        <f t="shared" si="4"/>
        <v>-12950</v>
      </c>
      <c r="AG53" s="46">
        <f t="shared" si="5"/>
        <v>-11550</v>
      </c>
      <c r="AH53" s="51">
        <f t="shared" si="6"/>
        <v>-24500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9450</v>
      </c>
      <c r="D54" s="6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7">
        <f t="shared" si="0"/>
        <v>0</v>
      </c>
      <c r="R54" s="147">
        <v>4000</v>
      </c>
      <c r="S54" s="6">
        <f t="shared" si="1"/>
        <v>5450</v>
      </c>
      <c r="T54" s="6">
        <v>-2850</v>
      </c>
      <c r="U54" s="6">
        <f t="shared" si="2"/>
        <v>2600</v>
      </c>
      <c r="V54" s="52"/>
      <c r="W54" s="57"/>
      <c r="X54" s="46"/>
      <c r="Y54" s="61"/>
      <c r="Z54" s="66">
        <f t="shared" si="3"/>
        <v>-5450</v>
      </c>
      <c r="AA54" s="61"/>
      <c r="AB54" s="67"/>
      <c r="AC54" s="61"/>
      <c r="AD54" s="66"/>
      <c r="AE54" s="61"/>
      <c r="AF54" s="52">
        <f t="shared" si="4"/>
        <v>-5450</v>
      </c>
      <c r="AG54" s="46">
        <f t="shared" si="5"/>
        <v>-2850</v>
      </c>
      <c r="AH54" s="51">
        <f t="shared" si="6"/>
        <v>-8300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7">
        <f t="shared" si="0"/>
        <v>0</v>
      </c>
      <c r="R55" s="147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7">
        <f>SUM(E56:P56)</f>
        <v>0</v>
      </c>
      <c r="R56" s="147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7">
        <f t="shared" si="0"/>
        <v>0</v>
      </c>
      <c r="R61" s="147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7">
        <f t="shared" si="0"/>
        <v>0</v>
      </c>
      <c r="R62" s="146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7">
        <f t="shared" si="0"/>
        <v>0</v>
      </c>
      <c r="R63" s="146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7">
        <f t="shared" si="0"/>
        <v>0</v>
      </c>
      <c r="R64" s="146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7">
        <f t="shared" si="0"/>
        <v>0</v>
      </c>
      <c r="R65" s="146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45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7">
        <f t="shared" si="0"/>
        <v>0</v>
      </c>
      <c r="R67" s="147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304675</v>
      </c>
      <c r="D68" s="147">
        <f>19000+20375</f>
        <v>39375</v>
      </c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7">
        <f t="shared" si="0"/>
        <v>0</v>
      </c>
      <c r="R68" s="147">
        <v>81000</v>
      </c>
      <c r="S68" s="6">
        <f t="shared" si="1"/>
        <v>263050</v>
      </c>
      <c r="T68" s="6">
        <v>0</v>
      </c>
      <c r="U68" s="6">
        <f t="shared" si="2"/>
        <v>263050</v>
      </c>
      <c r="V68" s="52"/>
      <c r="W68" s="57"/>
      <c r="X68" s="46"/>
      <c r="Y68" s="61"/>
      <c r="Z68" s="66">
        <f t="shared" si="3"/>
        <v>-263050</v>
      </c>
      <c r="AA68" s="61"/>
      <c r="AB68" s="67"/>
      <c r="AC68" s="61"/>
      <c r="AD68" s="66"/>
      <c r="AE68" s="61"/>
      <c r="AF68" s="52">
        <f t="shared" si="4"/>
        <v>-263050</v>
      </c>
      <c r="AG68" s="46">
        <f t="shared" si="5"/>
        <v>0</v>
      </c>
      <c r="AH68" s="51">
        <f t="shared" si="6"/>
        <v>-263050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16900</v>
      </c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7">
        <f t="shared" si="0"/>
        <v>0</v>
      </c>
      <c r="R69" s="147">
        <v>500</v>
      </c>
      <c r="S69" s="6">
        <f t="shared" si="1"/>
        <v>16400</v>
      </c>
      <c r="T69" s="6">
        <f>-16950+550</f>
        <v>-16400</v>
      </c>
      <c r="U69" s="6">
        <f t="shared" si="2"/>
        <v>0</v>
      </c>
      <c r="V69" s="52"/>
      <c r="W69" s="57"/>
      <c r="X69" s="46"/>
      <c r="Y69" s="61"/>
      <c r="Z69" s="66">
        <f t="shared" si="3"/>
        <v>-16400</v>
      </c>
      <c r="AA69" s="61"/>
      <c r="AB69" s="64"/>
      <c r="AC69" s="61"/>
      <c r="AD69" s="66"/>
      <c r="AE69" s="61"/>
      <c r="AF69" s="52">
        <f t="shared" si="4"/>
        <v>-16400</v>
      </c>
      <c r="AG69" s="46">
        <f t="shared" si="5"/>
        <v>-16400</v>
      </c>
      <c r="AH69" s="51">
        <f t="shared" si="6"/>
        <v>-32800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13675</v>
      </c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7">
        <f t="shared" si="0"/>
        <v>0</v>
      </c>
      <c r="R70" s="147">
        <v>1500</v>
      </c>
      <c r="S70" s="6">
        <f t="shared" si="1"/>
        <v>12175</v>
      </c>
      <c r="T70" s="6">
        <v>-9425</v>
      </c>
      <c r="U70" s="6">
        <f t="shared" si="2"/>
        <v>2750</v>
      </c>
      <c r="V70" s="52"/>
      <c r="W70" s="57"/>
      <c r="X70" s="46"/>
      <c r="Y70" s="61"/>
      <c r="Z70" s="66">
        <f t="shared" si="3"/>
        <v>-12175</v>
      </c>
      <c r="AA70" s="61"/>
      <c r="AB70" s="67"/>
      <c r="AC70" s="61"/>
      <c r="AD70" s="66"/>
      <c r="AE70" s="61"/>
      <c r="AF70" s="52">
        <f t="shared" si="4"/>
        <v>-12175</v>
      </c>
      <c r="AG70" s="46">
        <f t="shared" si="5"/>
        <v>-9425</v>
      </c>
      <c r="AH70" s="51">
        <f t="shared" si="6"/>
        <v>-21600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27500</v>
      </c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7">
        <f t="shared" si="0"/>
        <v>0</v>
      </c>
      <c r="R71" s="147">
        <f>1000</f>
        <v>1000</v>
      </c>
      <c r="S71" s="6">
        <f t="shared" si="1"/>
        <v>26500</v>
      </c>
      <c r="T71" s="6">
        <f>-27500+1000</f>
        <v>-26500</v>
      </c>
      <c r="U71" s="6">
        <f t="shared" si="2"/>
        <v>0</v>
      </c>
      <c r="V71" s="52"/>
      <c r="W71" s="57"/>
      <c r="X71" s="46"/>
      <c r="Y71" s="61"/>
      <c r="Z71" s="66">
        <f t="shared" si="3"/>
        <v>-26500</v>
      </c>
      <c r="AA71" s="61"/>
      <c r="AB71" s="64"/>
      <c r="AC71" s="61"/>
      <c r="AD71" s="66"/>
      <c r="AE71" s="61"/>
      <c r="AF71" s="52">
        <f t="shared" si="4"/>
        <v>-26500</v>
      </c>
      <c r="AG71" s="46">
        <f t="shared" si="5"/>
        <v>-26500</v>
      </c>
      <c r="AH71" s="51">
        <f t="shared" si="6"/>
        <v>-53000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47">
        <f>SUM(C7:C72)</f>
        <v>690535</v>
      </c>
      <c r="D73" s="147">
        <f t="shared" ref="D73:V73" si="11">SUM(D7:D72)</f>
        <v>58800</v>
      </c>
      <c r="E73" s="147">
        <f t="shared" si="11"/>
        <v>0</v>
      </c>
      <c r="F73" s="147">
        <f t="shared" si="11"/>
        <v>0</v>
      </c>
      <c r="G73" s="147">
        <f t="shared" si="11"/>
        <v>0</v>
      </c>
      <c r="H73" s="27">
        <f t="shared" si="11"/>
        <v>0</v>
      </c>
      <c r="I73" s="147">
        <f t="shared" si="11"/>
        <v>0</v>
      </c>
      <c r="J73" s="147">
        <f t="shared" si="11"/>
        <v>0</v>
      </c>
      <c r="K73" s="147">
        <f t="shared" si="11"/>
        <v>0</v>
      </c>
      <c r="L73" s="147">
        <f t="shared" si="11"/>
        <v>0</v>
      </c>
      <c r="M73" s="147">
        <f t="shared" si="11"/>
        <v>0</v>
      </c>
      <c r="N73" s="147">
        <f t="shared" si="11"/>
        <v>0</v>
      </c>
      <c r="O73" s="147">
        <f t="shared" si="11"/>
        <v>0</v>
      </c>
      <c r="P73" s="147">
        <f t="shared" si="11"/>
        <v>0</v>
      </c>
      <c r="Q73" s="147">
        <f t="shared" si="11"/>
        <v>0</v>
      </c>
      <c r="R73" s="147">
        <f t="shared" si="11"/>
        <v>111550</v>
      </c>
      <c r="S73" s="147">
        <f t="shared" si="11"/>
        <v>637785</v>
      </c>
      <c r="T73" s="147">
        <f t="shared" si="11"/>
        <v>-271290</v>
      </c>
      <c r="U73" s="147">
        <f t="shared" si="11"/>
        <v>366495</v>
      </c>
      <c r="V73" s="147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-637785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-637785</v>
      </c>
      <c r="AG73" s="43">
        <f t="shared" si="12"/>
        <v>-271290</v>
      </c>
      <c r="AH73" s="43">
        <f t="shared" si="12"/>
        <v>-909075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12800+8740+39315+37885+14400+4240+27875+26870+10680+39440+23040</f>
        <v>245285</v>
      </c>
      <c r="S74" s="179"/>
      <c r="T74" s="180">
        <f>R74+R75</f>
        <v>1551945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58800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124500+74250+83725+71820+71700+75700+47700+108850+111100+92015+65400+61200+94675+45600+57550+62075+58800</f>
        <v>1306660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111550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80750+80950+66040+73470+44825+60325+42575+30900+34750+57880+55250+102725+48500+27000+46550+86600+111550</f>
        <v>1050640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7500+11500+17500+13000+7000+12400+5850+6000+7000+7000+7000+6500+6300+7000+4250+10000+10000</f>
        <v>145800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2140+9880+12320+20000+6850</f>
        <v>51190</v>
      </c>
      <c r="N77" s="40" t="s">
        <v>90</v>
      </c>
      <c r="O77" s="82">
        <f>4000+1000</f>
        <v>5000</v>
      </c>
      <c r="P77" s="40" t="s">
        <v>91</v>
      </c>
      <c r="Q77" s="40">
        <v>12000</v>
      </c>
      <c r="R77" s="165">
        <f>Q77+O77+M77+J77+F77</f>
        <v>231990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26100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32700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818650</v>
      </c>
      <c r="S80" s="165"/>
      <c r="T80" s="22"/>
      <c r="U80" s="22"/>
      <c r="V80" s="2"/>
      <c r="X80" s="63">
        <f>SUM(X77:X79)</f>
        <v>58800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44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>
        <v>7000</v>
      </c>
      <c r="S100" s="36">
        <v>14</v>
      </c>
      <c r="T100" s="36">
        <v>27000</v>
      </c>
      <c r="U100" s="36">
        <v>14</v>
      </c>
      <c r="V100" s="36">
        <v>39440</v>
      </c>
      <c r="W100" s="36">
        <v>45600</v>
      </c>
      <c r="X100" s="36">
        <f t="shared" si="13"/>
        <v>85040</v>
      </c>
    </row>
    <row r="101" spans="14:26">
      <c r="O101" s="36"/>
      <c r="P101" s="36"/>
      <c r="Q101" s="36">
        <v>6850</v>
      </c>
      <c r="R101" s="36">
        <v>6500</v>
      </c>
      <c r="S101" s="36">
        <v>15</v>
      </c>
      <c r="T101" s="36">
        <v>46550</v>
      </c>
      <c r="U101" s="36">
        <v>15</v>
      </c>
      <c r="V101" s="36">
        <v>23040</v>
      </c>
      <c r="W101" s="36">
        <v>57550</v>
      </c>
      <c r="X101" s="36">
        <f t="shared" si="13"/>
        <v>80590</v>
      </c>
    </row>
    <row r="102" spans="14:26">
      <c r="O102" s="36"/>
      <c r="P102" s="36"/>
      <c r="Q102" s="36"/>
      <c r="R102" s="36">
        <v>6300</v>
      </c>
      <c r="S102" s="36">
        <v>16</v>
      </c>
      <c r="T102" s="36">
        <v>86600</v>
      </c>
      <c r="U102" s="36">
        <v>16</v>
      </c>
      <c r="V102" s="36"/>
      <c r="W102" s="36">
        <v>62075</v>
      </c>
      <c r="X102" s="36">
        <f t="shared" si="13"/>
        <v>62075</v>
      </c>
    </row>
    <row r="103" spans="14:26">
      <c r="O103" s="36"/>
      <c r="P103" s="36"/>
      <c r="Q103" s="36"/>
      <c r="R103" s="36">
        <v>11250</v>
      </c>
      <c r="S103" s="36">
        <v>17</v>
      </c>
      <c r="T103" s="36">
        <v>111550</v>
      </c>
      <c r="U103" s="36">
        <v>17</v>
      </c>
      <c r="V103" s="36"/>
      <c r="W103" s="36">
        <v>58800</v>
      </c>
      <c r="X103" s="36">
        <f t="shared" si="13"/>
        <v>58800</v>
      </c>
    </row>
    <row r="104" spans="14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4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5000</v>
      </c>
      <c r="Q118" s="63">
        <f t="shared" si="14"/>
        <v>38870</v>
      </c>
      <c r="R118" s="63">
        <f t="shared" si="14"/>
        <v>145800</v>
      </c>
      <c r="S118" s="63"/>
      <c r="T118" s="63">
        <f>SUM(T87:T117)</f>
        <v>1050640</v>
      </c>
      <c r="U118" s="63"/>
      <c r="V118" s="63">
        <f>SUM(V87:V117)</f>
        <v>245285</v>
      </c>
      <c r="W118" s="63">
        <f>SUM(W87:W117)</f>
        <v>1306660</v>
      </c>
      <c r="X118" s="36">
        <f>SUM(V118:W118)</f>
        <v>1551945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7" activePane="bottomRight" state="frozen"/>
      <selection activeCell="O32" sqref="O32"/>
      <selection pane="topRight" activeCell="O32" sqref="O32"/>
      <selection pane="bottomLeft" activeCell="O32" sqref="O32"/>
      <selection pane="bottomRight" activeCell="AC83" sqref="AC8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174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9600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350</v>
      </c>
      <c r="S7" s="6">
        <f>C7+D7-R7</f>
        <v>9250</v>
      </c>
      <c r="T7" s="34">
        <v>-9150</v>
      </c>
      <c r="U7" s="6">
        <f>S7+T7</f>
        <v>100</v>
      </c>
      <c r="V7" s="52"/>
      <c r="W7" s="57"/>
      <c r="X7" s="46"/>
      <c r="Y7" s="65"/>
      <c r="Z7" s="66">
        <f>W7-S7</f>
        <v>-9250</v>
      </c>
      <c r="AA7" s="65"/>
      <c r="AB7" s="67"/>
      <c r="AC7" s="65"/>
      <c r="AD7" s="47"/>
      <c r="AE7" s="61"/>
      <c r="AF7" s="52">
        <f>SUM(Y7:AE7)</f>
        <v>-9250</v>
      </c>
      <c r="AG7" s="46">
        <f>U7+AF7</f>
        <v>-9150</v>
      </c>
      <c r="AH7" s="51">
        <f>AG7-S7</f>
        <v>-18400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38250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900</v>
      </c>
      <c r="S8" s="6">
        <f t="shared" ref="S8:S71" si="1">C8+D8-R8</f>
        <v>37350</v>
      </c>
      <c r="T8" s="6">
        <v>-24350</v>
      </c>
      <c r="U8" s="6">
        <f t="shared" ref="U8:U71" si="2">S8+T8</f>
        <v>13000</v>
      </c>
      <c r="V8" s="52"/>
      <c r="W8" s="57"/>
      <c r="X8" s="46"/>
      <c r="Y8" s="61"/>
      <c r="Z8" s="66">
        <f t="shared" ref="Z8:Z71" si="3">W8-S8</f>
        <v>-37350</v>
      </c>
      <c r="AA8" s="61"/>
      <c r="AB8" s="67"/>
      <c r="AC8" s="61"/>
      <c r="AD8" s="66"/>
      <c r="AE8" s="61"/>
      <c r="AF8" s="52">
        <f t="shared" ref="AF8:AF71" si="4">SUM(Y8:AE8)</f>
        <v>-37350</v>
      </c>
      <c r="AG8" s="46">
        <f t="shared" ref="AG8:AG71" si="5">U8+AF8</f>
        <v>-24350</v>
      </c>
      <c r="AH8" s="51">
        <f t="shared" ref="AH8:AH71" si="6">AG8-S8</f>
        <v>-61700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7000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7000</v>
      </c>
      <c r="T10" s="6">
        <v>-5175</v>
      </c>
      <c r="U10" s="6">
        <f t="shared" si="2"/>
        <v>1825</v>
      </c>
      <c r="V10" s="52"/>
      <c r="W10" s="57"/>
      <c r="X10" s="46"/>
      <c r="Y10" s="61"/>
      <c r="Z10" s="66">
        <f t="shared" si="3"/>
        <v>-7000</v>
      </c>
      <c r="AA10" s="61"/>
      <c r="AB10" s="67"/>
      <c r="AC10" s="61"/>
      <c r="AD10" s="66"/>
      <c r="AE10" s="61"/>
      <c r="AF10" s="52">
        <f t="shared" si="4"/>
        <v>-7000</v>
      </c>
      <c r="AG10" s="46">
        <f t="shared" si="5"/>
        <v>-5175</v>
      </c>
      <c r="AH10" s="51">
        <f t="shared" si="6"/>
        <v>-12175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3500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3500</v>
      </c>
      <c r="T11" s="6">
        <v>-3500</v>
      </c>
      <c r="U11" s="6">
        <f t="shared" si="2"/>
        <v>0</v>
      </c>
      <c r="V11" s="52"/>
      <c r="W11" s="57"/>
      <c r="X11" s="46"/>
      <c r="Y11" s="61"/>
      <c r="Z11" s="66">
        <f t="shared" si="3"/>
        <v>-3500</v>
      </c>
      <c r="AA11" s="61"/>
      <c r="AB11" s="67"/>
      <c r="AC11" s="61"/>
      <c r="AD11" s="66"/>
      <c r="AE11" s="61"/>
      <c r="AF11" s="52">
        <f t="shared" si="4"/>
        <v>-3500</v>
      </c>
      <c r="AG11" s="46">
        <f t="shared" si="5"/>
        <v>-3500</v>
      </c>
      <c r="AH11" s="51">
        <f t="shared" si="6"/>
        <v>-7000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-2800</v>
      </c>
      <c r="D12" s="6">
        <v>5950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1950</v>
      </c>
      <c r="S12" s="6">
        <f t="shared" si="1"/>
        <v>1200</v>
      </c>
      <c r="T12" s="6">
        <v>4700</v>
      </c>
      <c r="U12" s="6">
        <f t="shared" si="2"/>
        <v>5900</v>
      </c>
      <c r="V12" s="52"/>
      <c r="W12" s="57"/>
      <c r="X12" s="46"/>
      <c r="Y12" s="61"/>
      <c r="Z12" s="66">
        <f t="shared" si="3"/>
        <v>-1200</v>
      </c>
      <c r="AA12" s="61"/>
      <c r="AB12" s="67"/>
      <c r="AC12" s="61"/>
      <c r="AD12" s="66"/>
      <c r="AE12" s="61"/>
      <c r="AF12" s="52">
        <f t="shared" si="4"/>
        <v>-1200</v>
      </c>
      <c r="AG12" s="46">
        <f t="shared" si="5"/>
        <v>4700</v>
      </c>
      <c r="AH12" s="51">
        <f t="shared" si="6"/>
        <v>3500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21560</v>
      </c>
      <c r="D14" s="6">
        <v>9950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5000+3900+4050+2000+5000+1000</f>
        <v>20950</v>
      </c>
      <c r="S14" s="6">
        <f t="shared" si="1"/>
        <v>10560</v>
      </c>
      <c r="T14" s="6">
        <v>-5760</v>
      </c>
      <c r="U14" s="6">
        <f t="shared" si="2"/>
        <v>4800</v>
      </c>
      <c r="V14" s="52"/>
      <c r="W14" s="57"/>
      <c r="X14" s="46"/>
      <c r="Y14" s="61"/>
      <c r="Z14" s="66">
        <f t="shared" si="3"/>
        <v>-10560</v>
      </c>
      <c r="AA14" s="61"/>
      <c r="AB14" s="66"/>
      <c r="AC14" s="61"/>
      <c r="AD14" s="66"/>
      <c r="AE14" s="61"/>
      <c r="AF14" s="52">
        <f t="shared" si="4"/>
        <v>-10560</v>
      </c>
      <c r="AG14" s="46">
        <f t="shared" si="5"/>
        <v>-5760</v>
      </c>
      <c r="AH14" s="51">
        <f t="shared" si="6"/>
        <v>-16320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11000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250</v>
      </c>
      <c r="S16" s="6">
        <f t="shared" si="1"/>
        <v>10750</v>
      </c>
      <c r="T16" s="34">
        <v>-10050</v>
      </c>
      <c r="U16" s="6">
        <f t="shared" si="2"/>
        <v>700</v>
      </c>
      <c r="V16" s="52"/>
      <c r="W16" s="57"/>
      <c r="X16" s="46"/>
      <c r="Y16" s="61"/>
      <c r="Z16" s="66">
        <f t="shared" si="3"/>
        <v>-10750</v>
      </c>
      <c r="AA16" s="61"/>
      <c r="AB16" s="67"/>
      <c r="AC16" s="61"/>
      <c r="AD16" s="47"/>
      <c r="AE16" s="61"/>
      <c r="AF16" s="52">
        <f t="shared" si="4"/>
        <v>-10750</v>
      </c>
      <c r="AG16" s="46">
        <f t="shared" si="5"/>
        <v>-10050</v>
      </c>
      <c r="AH16" s="51">
        <f t="shared" si="6"/>
        <v>-20800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9850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1000</v>
      </c>
      <c r="S17" s="6">
        <f t="shared" si="1"/>
        <v>8850</v>
      </c>
      <c r="T17" s="6">
        <v>-5000</v>
      </c>
      <c r="U17" s="6">
        <f t="shared" si="2"/>
        <v>3850</v>
      </c>
      <c r="V17" s="52"/>
      <c r="W17" s="57"/>
      <c r="X17" s="46"/>
      <c r="Y17" s="61"/>
      <c r="Z17" s="66">
        <f t="shared" si="3"/>
        <v>-8850</v>
      </c>
      <c r="AA17" s="61"/>
      <c r="AB17" s="66"/>
      <c r="AC17" s="61"/>
      <c r="AD17" s="66"/>
      <c r="AE17" s="61"/>
      <c r="AF17" s="52">
        <f t="shared" si="4"/>
        <v>-8850</v>
      </c>
      <c r="AG17" s="46">
        <f t="shared" si="5"/>
        <v>-5000</v>
      </c>
      <c r="AH17" s="51">
        <f t="shared" si="6"/>
        <v>-13850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>
        <v>1220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10620</v>
      </c>
      <c r="T19" s="6">
        <v>-8940</v>
      </c>
      <c r="U19" s="6">
        <f t="shared" si="2"/>
        <v>1680</v>
      </c>
      <c r="V19" s="52"/>
      <c r="W19" s="57"/>
      <c r="X19" s="46"/>
      <c r="Y19" s="61"/>
      <c r="Z19" s="66">
        <f t="shared" si="3"/>
        <v>-10620</v>
      </c>
      <c r="AA19" s="61"/>
      <c r="AB19" s="67"/>
      <c r="AC19" s="61"/>
      <c r="AD19" s="66"/>
      <c r="AE19" s="61"/>
      <c r="AF19" s="52">
        <f t="shared" si="4"/>
        <v>-10620</v>
      </c>
      <c r="AG19" s="46">
        <f t="shared" si="5"/>
        <v>-8940</v>
      </c>
      <c r="AH19" s="51">
        <f t="shared" si="6"/>
        <v>-19560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7">
        <f t="shared" si="0"/>
        <v>0</v>
      </c>
      <c r="R22" s="149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7">
        <f t="shared" si="0"/>
        <v>0</v>
      </c>
      <c r="R24" s="149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7">
        <f t="shared" si="0"/>
        <v>0</v>
      </c>
      <c r="R25" s="149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7">
        <f t="shared" si="0"/>
        <v>0</v>
      </c>
      <c r="R26" s="149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5480</v>
      </c>
      <c r="D27" s="6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7">
        <f t="shared" si="0"/>
        <v>0</v>
      </c>
      <c r="R27" s="149"/>
      <c r="S27" s="6">
        <f t="shared" si="1"/>
        <v>5480</v>
      </c>
      <c r="T27" s="6">
        <v>-40</v>
      </c>
      <c r="U27" s="6">
        <f t="shared" si="2"/>
        <v>5440</v>
      </c>
      <c r="V27" s="52"/>
      <c r="W27" s="57"/>
      <c r="X27" s="46"/>
      <c r="Y27" s="61"/>
      <c r="Z27" s="66">
        <f t="shared" si="3"/>
        <v>-5480</v>
      </c>
      <c r="AA27" s="61"/>
      <c r="AB27" s="67"/>
      <c r="AC27" s="61"/>
      <c r="AD27" s="66"/>
      <c r="AE27" s="61"/>
      <c r="AF27" s="52">
        <f t="shared" si="4"/>
        <v>-5480</v>
      </c>
      <c r="AG27" s="46">
        <f t="shared" si="5"/>
        <v>-40</v>
      </c>
      <c r="AH27" s="51">
        <f t="shared" si="6"/>
        <v>-5520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1960</v>
      </c>
      <c r="D28" s="6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7">
        <f t="shared" si="0"/>
        <v>0</v>
      </c>
      <c r="R28" s="149"/>
      <c r="S28" s="6">
        <f t="shared" si="1"/>
        <v>1960</v>
      </c>
      <c r="T28" s="6">
        <f>-40-100</f>
        <v>-140</v>
      </c>
      <c r="U28" s="6">
        <f t="shared" si="2"/>
        <v>1820</v>
      </c>
      <c r="V28" s="52"/>
      <c r="W28" s="57"/>
      <c r="X28" s="46"/>
      <c r="Y28" s="61"/>
      <c r="Z28" s="66">
        <f t="shared" si="3"/>
        <v>-1960</v>
      </c>
      <c r="AA28" s="61"/>
      <c r="AB28" s="67"/>
      <c r="AC28" s="61"/>
      <c r="AD28" s="66"/>
      <c r="AE28" s="61"/>
      <c r="AF28" s="52">
        <f t="shared" si="4"/>
        <v>-1960</v>
      </c>
      <c r="AG28" s="46">
        <f t="shared" si="5"/>
        <v>-140</v>
      </c>
      <c r="AH28" s="51">
        <f t="shared" si="6"/>
        <v>-2100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7">
        <f t="shared" si="0"/>
        <v>0</v>
      </c>
      <c r="R29" s="149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7">
        <f t="shared" si="0"/>
        <v>0</v>
      </c>
      <c r="R30" s="149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7">
        <f t="shared" si="0"/>
        <v>0</v>
      </c>
      <c r="R31" s="149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33680</v>
      </c>
      <c r="D32" s="6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6"/>
      <c r="P32" s="6"/>
      <c r="Q32" s="7">
        <f>SUM(E32:P32)</f>
        <v>0</v>
      </c>
      <c r="R32" s="149"/>
      <c r="S32" s="6">
        <f t="shared" si="1"/>
        <v>33680</v>
      </c>
      <c r="T32" s="6">
        <v>-18280</v>
      </c>
      <c r="U32" s="6">
        <f t="shared" si="2"/>
        <v>15400</v>
      </c>
      <c r="V32" s="52"/>
      <c r="W32" s="57"/>
      <c r="X32" s="46"/>
      <c r="Y32" s="61"/>
      <c r="Z32" s="66">
        <f t="shared" si="3"/>
        <v>-33680</v>
      </c>
      <c r="AA32" s="61"/>
      <c r="AB32" s="67"/>
      <c r="AC32" s="61"/>
      <c r="AD32" s="66"/>
      <c r="AE32" s="61"/>
      <c r="AF32" s="52">
        <f t="shared" si="4"/>
        <v>-33680</v>
      </c>
      <c r="AG32" s="46">
        <f t="shared" si="5"/>
        <v>-18280</v>
      </c>
      <c r="AH32" s="51">
        <f t="shared" si="6"/>
        <v>-51960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7">
        <f t="shared" si="0"/>
        <v>0</v>
      </c>
      <c r="R33" s="149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49"/>
      <c r="F34" s="149"/>
      <c r="G34" s="149"/>
      <c r="H34" s="149"/>
      <c r="I34" s="149"/>
      <c r="J34" s="149"/>
      <c r="K34" s="6"/>
      <c r="L34" s="149"/>
      <c r="M34" s="149"/>
      <c r="N34" s="149"/>
      <c r="O34" s="149"/>
      <c r="P34" s="149"/>
      <c r="Q34" s="7">
        <f t="shared" si="0"/>
        <v>0</v>
      </c>
      <c r="R34" s="149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2820</v>
      </c>
      <c r="D35" s="6"/>
      <c r="E35" s="149"/>
      <c r="F35" s="149"/>
      <c r="G35" s="149"/>
      <c r="H35" s="149"/>
      <c r="I35" s="149"/>
      <c r="J35" s="149"/>
      <c r="K35" s="6"/>
      <c r="L35" s="149"/>
      <c r="M35" s="149"/>
      <c r="N35" s="149"/>
      <c r="O35" s="149"/>
      <c r="P35" s="149"/>
      <c r="Q35" s="7">
        <f t="shared" si="0"/>
        <v>0</v>
      </c>
      <c r="R35" s="149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7">
        <f t="shared" si="0"/>
        <v>0</v>
      </c>
      <c r="R36" s="149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7">
        <f t="shared" si="0"/>
        <v>0</v>
      </c>
      <c r="R37" s="149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7">
        <f>SUM(E38:P38)</f>
        <v>0</v>
      </c>
      <c r="R38" s="149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7">
        <f>SUM(E39:P39)</f>
        <v>0</v>
      </c>
      <c r="R39" s="149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49"/>
      <c r="F40" s="149"/>
      <c r="G40" s="149"/>
      <c r="H40" s="27"/>
      <c r="I40" s="149"/>
      <c r="J40" s="149"/>
      <c r="K40" s="149"/>
      <c r="L40" s="149"/>
      <c r="M40" s="149"/>
      <c r="N40" s="149"/>
      <c r="O40" s="149"/>
      <c r="P40" s="149"/>
      <c r="Q40" s="7">
        <f>SUM(E40:P40)</f>
        <v>0</v>
      </c>
      <c r="R40" s="149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7">
        <f>SUM(E41:P41)</f>
        <v>0</v>
      </c>
      <c r="R41" s="149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7">
        <f>SUM(E42:P42)</f>
        <v>0</v>
      </c>
      <c r="R42" s="149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7">
        <f t="shared" si="0"/>
        <v>0</v>
      </c>
      <c r="R44" s="149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7">
        <f t="shared" si="0"/>
        <v>0</v>
      </c>
      <c r="R45" s="149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7">
        <f t="shared" si="0"/>
        <v>0</v>
      </c>
      <c r="R46" s="149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7">
        <f t="shared" si="0"/>
        <v>0</v>
      </c>
      <c r="R47" s="149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7">
        <f t="shared" si="0"/>
        <v>0</v>
      </c>
      <c r="R48" s="149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7">
        <f t="shared" si="0"/>
        <v>0</v>
      </c>
      <c r="R49" s="149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14265</v>
      </c>
      <c r="D50" s="6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7">
        <f t="shared" si="0"/>
        <v>0</v>
      </c>
      <c r="R50" s="149"/>
      <c r="S50" s="6">
        <f t="shared" si="1"/>
        <v>14265</v>
      </c>
      <c r="T50" s="6">
        <f>-12000+8615</f>
        <v>-3385</v>
      </c>
      <c r="U50" s="6">
        <f t="shared" si="2"/>
        <v>10880</v>
      </c>
      <c r="V50" s="52"/>
      <c r="W50" s="57"/>
      <c r="X50" s="46"/>
      <c r="Y50" s="61"/>
      <c r="Z50" s="66">
        <f t="shared" si="3"/>
        <v>-14265</v>
      </c>
      <c r="AA50" s="61"/>
      <c r="AB50" s="64"/>
      <c r="AC50" s="61"/>
      <c r="AD50" s="66"/>
      <c r="AE50" s="61"/>
      <c r="AF50" s="52">
        <f t="shared" si="4"/>
        <v>-14265</v>
      </c>
      <c r="AG50" s="46">
        <f t="shared" si="5"/>
        <v>-3385</v>
      </c>
      <c r="AH50" s="51">
        <f t="shared" si="6"/>
        <v>-17650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7">
        <f t="shared" si="0"/>
        <v>0</v>
      </c>
      <c r="R51" s="149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3410</v>
      </c>
      <c r="D52" s="6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7">
        <f t="shared" si="0"/>
        <v>0</v>
      </c>
      <c r="R52" s="149"/>
      <c r="S52" s="6">
        <f t="shared" si="1"/>
        <v>3410</v>
      </c>
      <c r="T52" s="6">
        <v>-2510</v>
      </c>
      <c r="U52" s="6">
        <f t="shared" si="2"/>
        <v>900</v>
      </c>
      <c r="V52" s="52"/>
      <c r="W52" s="57"/>
      <c r="X52" s="46"/>
      <c r="Y52" s="61"/>
      <c r="Z52" s="66">
        <f t="shared" si="3"/>
        <v>-3410</v>
      </c>
      <c r="AA52" s="61"/>
      <c r="AB52" s="67"/>
      <c r="AC52" s="61"/>
      <c r="AD52" s="66"/>
      <c r="AE52" s="61"/>
      <c r="AF52" s="52">
        <f t="shared" si="4"/>
        <v>-3410</v>
      </c>
      <c r="AG52" s="46">
        <f t="shared" si="5"/>
        <v>-2510</v>
      </c>
      <c r="AH52" s="51">
        <f t="shared" si="6"/>
        <v>-5920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12950</v>
      </c>
      <c r="D53" s="6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7">
        <f t="shared" si="0"/>
        <v>0</v>
      </c>
      <c r="R53" s="149"/>
      <c r="S53" s="6">
        <f t="shared" si="1"/>
        <v>12950</v>
      </c>
      <c r="T53" s="6">
        <v>-11550</v>
      </c>
      <c r="U53" s="6">
        <f t="shared" si="2"/>
        <v>1400</v>
      </c>
      <c r="V53" s="52"/>
      <c r="W53" s="57"/>
      <c r="X53" s="46"/>
      <c r="Y53" s="61"/>
      <c r="Z53" s="66">
        <f t="shared" si="3"/>
        <v>-12950</v>
      </c>
      <c r="AA53" s="61"/>
      <c r="AB53" s="67"/>
      <c r="AC53" s="61"/>
      <c r="AD53" s="66"/>
      <c r="AE53" s="61"/>
      <c r="AF53" s="52">
        <f t="shared" si="4"/>
        <v>-12950</v>
      </c>
      <c r="AG53" s="46">
        <f t="shared" si="5"/>
        <v>-11550</v>
      </c>
      <c r="AH53" s="51">
        <f t="shared" si="6"/>
        <v>-24500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5450</v>
      </c>
      <c r="D54" s="6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7">
        <f t="shared" si="0"/>
        <v>0</v>
      </c>
      <c r="R54" s="149"/>
      <c r="S54" s="6">
        <f t="shared" si="1"/>
        <v>5450</v>
      </c>
      <c r="T54" s="6">
        <v>-2850</v>
      </c>
      <c r="U54" s="6">
        <f t="shared" si="2"/>
        <v>2600</v>
      </c>
      <c r="V54" s="52"/>
      <c r="W54" s="57"/>
      <c r="X54" s="46"/>
      <c r="Y54" s="61"/>
      <c r="Z54" s="66">
        <f t="shared" si="3"/>
        <v>-5450</v>
      </c>
      <c r="AA54" s="61"/>
      <c r="AB54" s="67"/>
      <c r="AC54" s="61"/>
      <c r="AD54" s="66"/>
      <c r="AE54" s="61"/>
      <c r="AF54" s="52">
        <f t="shared" si="4"/>
        <v>-5450</v>
      </c>
      <c r="AG54" s="46">
        <f t="shared" si="5"/>
        <v>-2850</v>
      </c>
      <c r="AH54" s="51">
        <f t="shared" si="6"/>
        <v>-8300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7">
        <f t="shared" si="0"/>
        <v>0</v>
      </c>
      <c r="R55" s="149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7">
        <f>SUM(E56:P56)</f>
        <v>0</v>
      </c>
      <c r="R56" s="149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7">
        <f t="shared" si="0"/>
        <v>0</v>
      </c>
      <c r="R61" s="149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7">
        <f t="shared" si="0"/>
        <v>0</v>
      </c>
      <c r="R62" s="148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7">
        <f t="shared" si="0"/>
        <v>0</v>
      </c>
      <c r="R63" s="148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7">
        <f t="shared" si="0"/>
        <v>0</v>
      </c>
      <c r="R64" s="148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7">
        <f t="shared" si="0"/>
        <v>0</v>
      </c>
      <c r="R65" s="148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50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7">
        <f t="shared" si="0"/>
        <v>0</v>
      </c>
      <c r="R67" s="149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263050</v>
      </c>
      <c r="D68" s="149">
        <f>39100+4325</f>
        <v>43425</v>
      </c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7">
        <f t="shared" si="0"/>
        <v>0</v>
      </c>
      <c r="R68" s="149">
        <f>37500-5250</f>
        <v>32250</v>
      </c>
      <c r="S68" s="6">
        <f t="shared" si="1"/>
        <v>274225</v>
      </c>
      <c r="T68" s="6">
        <v>0</v>
      </c>
      <c r="U68" s="6">
        <f t="shared" si="2"/>
        <v>274225</v>
      </c>
      <c r="V68" s="52"/>
      <c r="W68" s="57"/>
      <c r="X68" s="46"/>
      <c r="Y68" s="61"/>
      <c r="Z68" s="66">
        <f t="shared" si="3"/>
        <v>-274225</v>
      </c>
      <c r="AA68" s="61"/>
      <c r="AB68" s="67"/>
      <c r="AC68" s="61"/>
      <c r="AD68" s="66"/>
      <c r="AE68" s="61"/>
      <c r="AF68" s="52">
        <f t="shared" si="4"/>
        <v>-274225</v>
      </c>
      <c r="AG68" s="46">
        <f t="shared" si="5"/>
        <v>0</v>
      </c>
      <c r="AH68" s="51">
        <f t="shared" si="6"/>
        <v>-274225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16400</v>
      </c>
      <c r="D69" s="149">
        <v>8000</v>
      </c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7">
        <f t="shared" si="0"/>
        <v>0</v>
      </c>
      <c r="R69" s="149">
        <v>6000</v>
      </c>
      <c r="S69" s="6">
        <f t="shared" si="1"/>
        <v>18400</v>
      </c>
      <c r="T69" s="6">
        <f>-16950+550</f>
        <v>-16400</v>
      </c>
      <c r="U69" s="6">
        <f t="shared" si="2"/>
        <v>2000</v>
      </c>
      <c r="V69" s="52"/>
      <c r="W69" s="57"/>
      <c r="X69" s="46"/>
      <c r="Y69" s="61"/>
      <c r="Z69" s="66">
        <f t="shared" si="3"/>
        <v>-18400</v>
      </c>
      <c r="AA69" s="61"/>
      <c r="AB69" s="64"/>
      <c r="AC69" s="61"/>
      <c r="AD69" s="66"/>
      <c r="AE69" s="61"/>
      <c r="AF69" s="52">
        <f t="shared" si="4"/>
        <v>-18400</v>
      </c>
      <c r="AG69" s="46">
        <f t="shared" si="5"/>
        <v>-16400</v>
      </c>
      <c r="AH69" s="51">
        <f t="shared" si="6"/>
        <v>-34800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12175</v>
      </c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7">
        <f t="shared" si="0"/>
        <v>0</v>
      </c>
      <c r="R70" s="149">
        <v>50</v>
      </c>
      <c r="S70" s="6">
        <f t="shared" si="1"/>
        <v>12125</v>
      </c>
      <c r="T70" s="6">
        <v>-9425</v>
      </c>
      <c r="U70" s="6">
        <f t="shared" si="2"/>
        <v>2700</v>
      </c>
      <c r="V70" s="52"/>
      <c r="W70" s="57"/>
      <c r="X70" s="46"/>
      <c r="Y70" s="61"/>
      <c r="Z70" s="66">
        <f t="shared" si="3"/>
        <v>-12125</v>
      </c>
      <c r="AA70" s="61"/>
      <c r="AB70" s="67"/>
      <c r="AC70" s="61"/>
      <c r="AD70" s="66"/>
      <c r="AE70" s="61"/>
      <c r="AF70" s="52">
        <f t="shared" si="4"/>
        <v>-12125</v>
      </c>
      <c r="AG70" s="46">
        <f t="shared" si="5"/>
        <v>-9425</v>
      </c>
      <c r="AH70" s="51">
        <f t="shared" si="6"/>
        <v>-21550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26500</v>
      </c>
      <c r="D71" s="149">
        <f>4000+18050</f>
        <v>22050</v>
      </c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7">
        <f t="shared" si="0"/>
        <v>0</v>
      </c>
      <c r="R71" s="149">
        <f>11000+9000</f>
        <v>20000</v>
      </c>
      <c r="S71" s="6">
        <f t="shared" si="1"/>
        <v>28550</v>
      </c>
      <c r="T71" s="6">
        <f>-27500+1000</f>
        <v>-26500</v>
      </c>
      <c r="U71" s="6">
        <f t="shared" si="2"/>
        <v>2050</v>
      </c>
      <c r="V71" s="52"/>
      <c r="W71" s="57"/>
      <c r="X71" s="46"/>
      <c r="Y71" s="61"/>
      <c r="Z71" s="66">
        <f t="shared" si="3"/>
        <v>-28550</v>
      </c>
      <c r="AA71" s="61"/>
      <c r="AB71" s="64"/>
      <c r="AC71" s="61"/>
      <c r="AD71" s="66"/>
      <c r="AE71" s="61"/>
      <c r="AF71" s="52">
        <f t="shared" si="4"/>
        <v>-28550</v>
      </c>
      <c r="AG71" s="46">
        <f t="shared" si="5"/>
        <v>-26500</v>
      </c>
      <c r="AH71" s="51">
        <f t="shared" si="6"/>
        <v>-55050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49">
        <f>SUM(C7:C72)</f>
        <v>637785</v>
      </c>
      <c r="D73" s="149">
        <f t="shared" ref="D73:V73" si="11">SUM(D7:D72)</f>
        <v>90595</v>
      </c>
      <c r="E73" s="149">
        <f t="shared" si="11"/>
        <v>0</v>
      </c>
      <c r="F73" s="149">
        <f t="shared" si="11"/>
        <v>0</v>
      </c>
      <c r="G73" s="149">
        <f t="shared" si="11"/>
        <v>0</v>
      </c>
      <c r="H73" s="27">
        <f t="shared" si="11"/>
        <v>0</v>
      </c>
      <c r="I73" s="149">
        <f t="shared" si="11"/>
        <v>0</v>
      </c>
      <c r="J73" s="149">
        <f t="shared" si="11"/>
        <v>0</v>
      </c>
      <c r="K73" s="149">
        <f t="shared" si="11"/>
        <v>0</v>
      </c>
      <c r="L73" s="149">
        <f t="shared" si="11"/>
        <v>0</v>
      </c>
      <c r="M73" s="149">
        <f t="shared" si="11"/>
        <v>0</v>
      </c>
      <c r="N73" s="149">
        <f t="shared" si="11"/>
        <v>0</v>
      </c>
      <c r="O73" s="149">
        <f t="shared" si="11"/>
        <v>0</v>
      </c>
      <c r="P73" s="149">
        <f t="shared" si="11"/>
        <v>0</v>
      </c>
      <c r="Q73" s="149">
        <f t="shared" si="11"/>
        <v>0</v>
      </c>
      <c r="R73" s="149">
        <f t="shared" si="11"/>
        <v>83700</v>
      </c>
      <c r="S73" s="149">
        <f t="shared" si="11"/>
        <v>644680</v>
      </c>
      <c r="T73" s="149">
        <f t="shared" si="11"/>
        <v>-271290</v>
      </c>
      <c r="U73" s="149">
        <f t="shared" si="11"/>
        <v>373390</v>
      </c>
      <c r="V73" s="149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-644680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-644680</v>
      </c>
      <c r="AG73" s="43">
        <f t="shared" si="12"/>
        <v>-271290</v>
      </c>
      <c r="AH73" s="43">
        <f t="shared" si="12"/>
        <v>-915970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12800+8740+39315+37885+14400+4240+27875+26870+10680+39440+23040</f>
        <v>245285</v>
      </c>
      <c r="S74" s="179"/>
      <c r="T74" s="180">
        <f>R74+R75</f>
        <v>1642540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90595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124500+74250+83725+71820+71700+75700+47700+108850+111100+92015+65400+61200+94675+45600+57550+62075+58800+90595</f>
        <v>1397255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83700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80750+80950+66040+73470+44825+60325+42575+30900+34750+57880+55250+102725+48500+27000+46550+86600+111550+83700</f>
        <v>1134340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7500+11500+17500+13000+7000+12400+5850+6000+7000+7000+7000+6500+6300+7000+4250+10000+10000+7000+4150</f>
        <v>156950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2140+9880+12320+20000+6850</f>
        <v>51190</v>
      </c>
      <c r="N77" s="40" t="s">
        <v>90</v>
      </c>
      <c r="O77" s="82">
        <f>4000+1000</f>
        <v>5000</v>
      </c>
      <c r="P77" s="40" t="s">
        <v>91</v>
      </c>
      <c r="Q77" s="40">
        <v>12000</v>
      </c>
      <c r="R77" s="165">
        <f>Q77+O77+M77+J77+F77</f>
        <v>243140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59000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31595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891200</v>
      </c>
      <c r="S80" s="165"/>
      <c r="T80" s="22"/>
      <c r="U80" s="22"/>
      <c r="V80" s="2"/>
      <c r="X80" s="63">
        <f>SUM(X77:X79)</f>
        <v>90595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51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>
        <v>7000</v>
      </c>
      <c r="S100" s="36">
        <v>14</v>
      </c>
      <c r="T100" s="36">
        <v>27000</v>
      </c>
      <c r="U100" s="36">
        <v>14</v>
      </c>
      <c r="V100" s="36">
        <v>39440</v>
      </c>
      <c r="W100" s="36">
        <v>45600</v>
      </c>
      <c r="X100" s="36">
        <f t="shared" si="13"/>
        <v>85040</v>
      </c>
    </row>
    <row r="101" spans="14:26">
      <c r="O101" s="36"/>
      <c r="P101" s="36"/>
      <c r="Q101" s="36">
        <v>6850</v>
      </c>
      <c r="R101" s="36">
        <v>6500</v>
      </c>
      <c r="S101" s="36">
        <v>15</v>
      </c>
      <c r="T101" s="36">
        <v>46550</v>
      </c>
      <c r="U101" s="36">
        <v>15</v>
      </c>
      <c r="V101" s="36">
        <v>23040</v>
      </c>
      <c r="W101" s="36">
        <v>57550</v>
      </c>
      <c r="X101" s="36">
        <f t="shared" si="13"/>
        <v>80590</v>
      </c>
    </row>
    <row r="102" spans="14:26">
      <c r="O102" s="36"/>
      <c r="P102" s="36"/>
      <c r="Q102" s="36"/>
      <c r="R102" s="36">
        <v>6300</v>
      </c>
      <c r="S102" s="36">
        <v>16</v>
      </c>
      <c r="T102" s="36">
        <v>86600</v>
      </c>
      <c r="U102" s="36">
        <v>16</v>
      </c>
      <c r="V102" s="36"/>
      <c r="W102" s="36">
        <v>62075</v>
      </c>
      <c r="X102" s="36">
        <f t="shared" si="13"/>
        <v>62075</v>
      </c>
    </row>
    <row r="103" spans="14:26">
      <c r="O103" s="36"/>
      <c r="P103" s="36"/>
      <c r="Q103" s="36"/>
      <c r="R103" s="36">
        <v>11250</v>
      </c>
      <c r="S103" s="36">
        <v>17</v>
      </c>
      <c r="T103" s="36">
        <v>111550</v>
      </c>
      <c r="U103" s="36">
        <v>17</v>
      </c>
      <c r="V103" s="36"/>
      <c r="W103" s="36">
        <v>58800</v>
      </c>
      <c r="X103" s="36">
        <f t="shared" si="13"/>
        <v>58800</v>
      </c>
    </row>
    <row r="104" spans="14:26">
      <c r="O104" s="36"/>
      <c r="P104" s="36"/>
      <c r="Q104" s="36"/>
      <c r="R104" s="36">
        <v>11150</v>
      </c>
      <c r="S104" s="36">
        <v>18</v>
      </c>
      <c r="T104" s="36">
        <v>83700</v>
      </c>
      <c r="U104" s="36">
        <v>18</v>
      </c>
      <c r="V104" s="36"/>
      <c r="W104" s="36">
        <v>90595</v>
      </c>
      <c r="X104" s="36">
        <f t="shared" si="13"/>
        <v>90595</v>
      </c>
    </row>
    <row r="105" spans="14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5000</v>
      </c>
      <c r="Q118" s="63">
        <f t="shared" si="14"/>
        <v>38870</v>
      </c>
      <c r="R118" s="63">
        <f t="shared" si="14"/>
        <v>156950</v>
      </c>
      <c r="S118" s="63"/>
      <c r="T118" s="63">
        <f>SUM(T87:T117)</f>
        <v>1134340</v>
      </c>
      <c r="U118" s="63"/>
      <c r="V118" s="63">
        <f>SUM(V87:V117)</f>
        <v>245285</v>
      </c>
      <c r="W118" s="63">
        <f>SUM(W87:W117)</f>
        <v>1397255</v>
      </c>
      <c r="X118" s="36">
        <f>SUM(V118:W118)</f>
        <v>1642540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49" activePane="bottomRight" state="frozen"/>
      <selection activeCell="O32" sqref="O32"/>
      <selection pane="topRight" activeCell="O32" sqref="O32"/>
      <selection pane="bottomLeft" activeCell="O32" sqref="O32"/>
      <selection pane="bottomRight" activeCell="O106" sqref="O106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175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9250</v>
      </c>
      <c r="D7" s="6">
        <v>6000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2000</v>
      </c>
      <c r="S7" s="6">
        <f>C7+D7-R7</f>
        <v>13250</v>
      </c>
      <c r="T7" s="34">
        <v>-9150</v>
      </c>
      <c r="U7" s="6">
        <f>S7+T7</f>
        <v>4100</v>
      </c>
      <c r="V7" s="52"/>
      <c r="W7" s="57"/>
      <c r="X7" s="46"/>
      <c r="Y7" s="65"/>
      <c r="Z7" s="66">
        <f>W7-S7</f>
        <v>-13250</v>
      </c>
      <c r="AA7" s="65"/>
      <c r="AB7" s="67"/>
      <c r="AC7" s="65"/>
      <c r="AD7" s="47"/>
      <c r="AE7" s="61"/>
      <c r="AF7" s="52">
        <f>SUM(Y7:AE7)</f>
        <v>-13250</v>
      </c>
      <c r="AG7" s="46">
        <f>U7+AF7</f>
        <v>-9150</v>
      </c>
      <c r="AH7" s="51">
        <f>AG7-S7</f>
        <v>-22400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37350</v>
      </c>
      <c r="D8" s="6">
        <v>6000</v>
      </c>
      <c r="E8" s="6"/>
      <c r="F8" s="6"/>
      <c r="G8" s="6"/>
      <c r="H8" s="6"/>
      <c r="I8" s="6"/>
      <c r="J8" s="6"/>
      <c r="K8" s="6">
        <v>3000</v>
      </c>
      <c r="L8" s="6"/>
      <c r="M8" s="6"/>
      <c r="N8" s="6"/>
      <c r="O8" s="6"/>
      <c r="P8" s="6"/>
      <c r="Q8" s="7">
        <f t="shared" si="0"/>
        <v>3000</v>
      </c>
      <c r="R8" s="6">
        <f>5000+150</f>
        <v>5150</v>
      </c>
      <c r="S8" s="6">
        <f t="shared" ref="S8:S71" si="1">C8+D8-R8</f>
        <v>38200</v>
      </c>
      <c r="T8" s="6">
        <v>-24350</v>
      </c>
      <c r="U8" s="6">
        <f t="shared" ref="U8:U71" si="2">S8+T8</f>
        <v>13850</v>
      </c>
      <c r="V8" s="52"/>
      <c r="W8" s="57"/>
      <c r="X8" s="46"/>
      <c r="Y8" s="61"/>
      <c r="Z8" s="66">
        <f t="shared" ref="Z8:Z71" si="3">W8-S8</f>
        <v>-38200</v>
      </c>
      <c r="AA8" s="61"/>
      <c r="AB8" s="67"/>
      <c r="AC8" s="61"/>
      <c r="AD8" s="66"/>
      <c r="AE8" s="61"/>
      <c r="AF8" s="52">
        <f t="shared" ref="AF8:AF71" si="4">SUM(Y8:AE8)</f>
        <v>-38200</v>
      </c>
      <c r="AG8" s="46">
        <f t="shared" ref="AG8:AG71" si="5">U8+AF8</f>
        <v>-24350</v>
      </c>
      <c r="AH8" s="51">
        <f t="shared" ref="AH8:AH71" si="6">AG8-S8</f>
        <v>-62550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7000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7000</v>
      </c>
      <c r="T10" s="6">
        <v>-5175</v>
      </c>
      <c r="U10" s="6">
        <f t="shared" si="2"/>
        <v>1825</v>
      </c>
      <c r="V10" s="52"/>
      <c r="W10" s="57"/>
      <c r="X10" s="46"/>
      <c r="Y10" s="61"/>
      <c r="Z10" s="66">
        <f t="shared" si="3"/>
        <v>-7000</v>
      </c>
      <c r="AA10" s="61"/>
      <c r="AB10" s="67"/>
      <c r="AC10" s="61"/>
      <c r="AD10" s="66"/>
      <c r="AE10" s="61"/>
      <c r="AF10" s="52">
        <f t="shared" si="4"/>
        <v>-7000</v>
      </c>
      <c r="AG10" s="46">
        <f t="shared" si="5"/>
        <v>-5175</v>
      </c>
      <c r="AH10" s="51">
        <f t="shared" si="6"/>
        <v>-12175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3500</v>
      </c>
      <c r="D11" s="6">
        <v>7000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4500</v>
      </c>
      <c r="S11" s="6">
        <f t="shared" si="1"/>
        <v>6000</v>
      </c>
      <c r="T11" s="6">
        <v>-3500</v>
      </c>
      <c r="U11" s="6">
        <f t="shared" si="2"/>
        <v>2500</v>
      </c>
      <c r="V11" s="52"/>
      <c r="W11" s="57"/>
      <c r="X11" s="46"/>
      <c r="Y11" s="61"/>
      <c r="Z11" s="66">
        <f t="shared" si="3"/>
        <v>-6000</v>
      </c>
      <c r="AA11" s="61"/>
      <c r="AB11" s="67"/>
      <c r="AC11" s="61"/>
      <c r="AD11" s="66"/>
      <c r="AE11" s="61"/>
      <c r="AF11" s="52">
        <f t="shared" si="4"/>
        <v>-6000</v>
      </c>
      <c r="AG11" s="46">
        <f t="shared" si="5"/>
        <v>-3500</v>
      </c>
      <c r="AH11" s="51">
        <f t="shared" si="6"/>
        <v>-9500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1200</v>
      </c>
      <c r="D12" s="6">
        <v>3000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600+500+500+2000</f>
        <v>3600</v>
      </c>
      <c r="S12" s="6">
        <f t="shared" si="1"/>
        <v>600</v>
      </c>
      <c r="T12" s="6">
        <v>4700</v>
      </c>
      <c r="U12" s="6">
        <f t="shared" si="2"/>
        <v>5300</v>
      </c>
      <c r="V12" s="52"/>
      <c r="W12" s="57"/>
      <c r="X12" s="46"/>
      <c r="Y12" s="61"/>
      <c r="Z12" s="66">
        <f t="shared" si="3"/>
        <v>-600</v>
      </c>
      <c r="AA12" s="61"/>
      <c r="AB12" s="67"/>
      <c r="AC12" s="61"/>
      <c r="AD12" s="66"/>
      <c r="AE12" s="61"/>
      <c r="AF12" s="52">
        <f t="shared" si="4"/>
        <v>-600</v>
      </c>
      <c r="AG12" s="46">
        <f t="shared" si="5"/>
        <v>4700</v>
      </c>
      <c r="AH12" s="51">
        <f t="shared" si="6"/>
        <v>4100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10560</v>
      </c>
      <c r="D14" s="6">
        <f>10200+6000</f>
        <v>16200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1000+50+3250+1800+1500+900+7000+3500</f>
        <v>19000</v>
      </c>
      <c r="S14" s="6">
        <f t="shared" si="1"/>
        <v>7760</v>
      </c>
      <c r="T14" s="6">
        <v>-5760</v>
      </c>
      <c r="U14" s="6">
        <f t="shared" si="2"/>
        <v>2000</v>
      </c>
      <c r="V14" s="52"/>
      <c r="W14" s="57"/>
      <c r="X14" s="46"/>
      <c r="Y14" s="61"/>
      <c r="Z14" s="66">
        <f t="shared" si="3"/>
        <v>-7760</v>
      </c>
      <c r="AA14" s="61"/>
      <c r="AB14" s="66"/>
      <c r="AC14" s="61"/>
      <c r="AD14" s="66"/>
      <c r="AE14" s="61"/>
      <c r="AF14" s="52">
        <f t="shared" si="4"/>
        <v>-7760</v>
      </c>
      <c r="AG14" s="46">
        <f t="shared" si="5"/>
        <v>-5760</v>
      </c>
      <c r="AH14" s="51">
        <f t="shared" si="6"/>
        <v>-13520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10750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10750</v>
      </c>
      <c r="T16" s="34">
        <v>-10050</v>
      </c>
      <c r="U16" s="6">
        <f t="shared" si="2"/>
        <v>700</v>
      </c>
      <c r="V16" s="52"/>
      <c r="W16" s="57"/>
      <c r="X16" s="46"/>
      <c r="Y16" s="61"/>
      <c r="Z16" s="66">
        <f t="shared" si="3"/>
        <v>-10750</v>
      </c>
      <c r="AA16" s="61"/>
      <c r="AB16" s="67"/>
      <c r="AC16" s="61"/>
      <c r="AD16" s="47"/>
      <c r="AE16" s="61"/>
      <c r="AF16" s="52">
        <f t="shared" si="4"/>
        <v>-10750</v>
      </c>
      <c r="AG16" s="46">
        <f t="shared" si="5"/>
        <v>-10050</v>
      </c>
      <c r="AH16" s="51">
        <f t="shared" si="6"/>
        <v>-20800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8850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150+1000</f>
        <v>1150</v>
      </c>
      <c r="S17" s="6">
        <f t="shared" si="1"/>
        <v>7700</v>
      </c>
      <c r="T17" s="6">
        <v>-5000</v>
      </c>
      <c r="U17" s="6">
        <f t="shared" si="2"/>
        <v>2700</v>
      </c>
      <c r="V17" s="52"/>
      <c r="W17" s="57"/>
      <c r="X17" s="46"/>
      <c r="Y17" s="61"/>
      <c r="Z17" s="66">
        <f t="shared" si="3"/>
        <v>-7700</v>
      </c>
      <c r="AA17" s="61"/>
      <c r="AB17" s="66"/>
      <c r="AC17" s="61"/>
      <c r="AD17" s="66"/>
      <c r="AE17" s="61"/>
      <c r="AF17" s="52">
        <f t="shared" si="4"/>
        <v>-7700</v>
      </c>
      <c r="AG17" s="46">
        <f t="shared" si="5"/>
        <v>-5000</v>
      </c>
      <c r="AH17" s="51">
        <f t="shared" si="6"/>
        <v>-12700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10620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10620</v>
      </c>
      <c r="T19" s="6">
        <v>-8940</v>
      </c>
      <c r="U19" s="6">
        <f t="shared" si="2"/>
        <v>1680</v>
      </c>
      <c r="V19" s="52"/>
      <c r="W19" s="57"/>
      <c r="X19" s="46"/>
      <c r="Y19" s="61"/>
      <c r="Z19" s="66">
        <f t="shared" si="3"/>
        <v>-10620</v>
      </c>
      <c r="AA19" s="61"/>
      <c r="AB19" s="67"/>
      <c r="AC19" s="61"/>
      <c r="AD19" s="66"/>
      <c r="AE19" s="61"/>
      <c r="AF19" s="52">
        <f t="shared" si="4"/>
        <v>-10620</v>
      </c>
      <c r="AG19" s="46">
        <f t="shared" si="5"/>
        <v>-8940</v>
      </c>
      <c r="AH19" s="51">
        <f t="shared" si="6"/>
        <v>-19560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7">
        <f t="shared" si="0"/>
        <v>0</v>
      </c>
      <c r="R22" s="155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7">
        <f t="shared" si="0"/>
        <v>0</v>
      </c>
      <c r="R24" s="155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7">
        <f t="shared" si="0"/>
        <v>0</v>
      </c>
      <c r="R25" s="155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7">
        <f t="shared" si="0"/>
        <v>0</v>
      </c>
      <c r="R26" s="155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5480</v>
      </c>
      <c r="D27" s="6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7">
        <f t="shared" si="0"/>
        <v>0</v>
      </c>
      <c r="R27" s="155"/>
      <c r="S27" s="6">
        <f t="shared" si="1"/>
        <v>5480</v>
      </c>
      <c r="T27" s="6">
        <v>-40</v>
      </c>
      <c r="U27" s="6">
        <f t="shared" si="2"/>
        <v>5440</v>
      </c>
      <c r="V27" s="52"/>
      <c r="W27" s="57"/>
      <c r="X27" s="46"/>
      <c r="Y27" s="61"/>
      <c r="Z27" s="66">
        <f t="shared" si="3"/>
        <v>-5480</v>
      </c>
      <c r="AA27" s="61"/>
      <c r="AB27" s="67"/>
      <c r="AC27" s="61"/>
      <c r="AD27" s="66"/>
      <c r="AE27" s="61"/>
      <c r="AF27" s="52">
        <f t="shared" si="4"/>
        <v>-5480</v>
      </c>
      <c r="AG27" s="46">
        <f t="shared" si="5"/>
        <v>-40</v>
      </c>
      <c r="AH27" s="51">
        <f t="shared" si="6"/>
        <v>-5520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1960</v>
      </c>
      <c r="D28" s="6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7">
        <f t="shared" si="0"/>
        <v>0</v>
      </c>
      <c r="R28" s="155"/>
      <c r="S28" s="6">
        <f t="shared" si="1"/>
        <v>1960</v>
      </c>
      <c r="T28" s="6">
        <f>-40-100</f>
        <v>-140</v>
      </c>
      <c r="U28" s="6">
        <f t="shared" si="2"/>
        <v>1820</v>
      </c>
      <c r="V28" s="52"/>
      <c r="W28" s="57"/>
      <c r="X28" s="46"/>
      <c r="Y28" s="61"/>
      <c r="Z28" s="66">
        <f t="shared" si="3"/>
        <v>-1960</v>
      </c>
      <c r="AA28" s="61"/>
      <c r="AB28" s="67"/>
      <c r="AC28" s="61"/>
      <c r="AD28" s="66"/>
      <c r="AE28" s="61"/>
      <c r="AF28" s="52">
        <f t="shared" si="4"/>
        <v>-1960</v>
      </c>
      <c r="AG28" s="46">
        <f t="shared" si="5"/>
        <v>-140</v>
      </c>
      <c r="AH28" s="51">
        <f t="shared" si="6"/>
        <v>-2100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7">
        <f t="shared" si="0"/>
        <v>0</v>
      </c>
      <c r="R29" s="155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7">
        <f t="shared" si="0"/>
        <v>0</v>
      </c>
      <c r="R30" s="155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7">
        <f t="shared" si="0"/>
        <v>0</v>
      </c>
      <c r="R31" s="155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33680</v>
      </c>
      <c r="D32" s="6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6"/>
      <c r="P32" s="6"/>
      <c r="Q32" s="7">
        <f>SUM(E32:P32)</f>
        <v>0</v>
      </c>
      <c r="R32" s="155"/>
      <c r="S32" s="6">
        <f t="shared" si="1"/>
        <v>33680</v>
      </c>
      <c r="T32" s="6">
        <v>-18280</v>
      </c>
      <c r="U32" s="6">
        <f t="shared" si="2"/>
        <v>15400</v>
      </c>
      <c r="V32" s="52"/>
      <c r="W32" s="57"/>
      <c r="X32" s="46"/>
      <c r="Y32" s="61"/>
      <c r="Z32" s="66">
        <f t="shared" si="3"/>
        <v>-33680</v>
      </c>
      <c r="AA32" s="61"/>
      <c r="AB32" s="67"/>
      <c r="AC32" s="61"/>
      <c r="AD32" s="66"/>
      <c r="AE32" s="61"/>
      <c r="AF32" s="52">
        <f t="shared" si="4"/>
        <v>-33680</v>
      </c>
      <c r="AG32" s="46">
        <f t="shared" si="5"/>
        <v>-18280</v>
      </c>
      <c r="AH32" s="51">
        <f t="shared" si="6"/>
        <v>-51960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7">
        <f t="shared" si="0"/>
        <v>0</v>
      </c>
      <c r="R33" s="155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55"/>
      <c r="F34" s="155"/>
      <c r="G34" s="155"/>
      <c r="H34" s="155"/>
      <c r="I34" s="155"/>
      <c r="J34" s="155"/>
      <c r="K34" s="6"/>
      <c r="L34" s="155"/>
      <c r="M34" s="155"/>
      <c r="N34" s="155"/>
      <c r="O34" s="155"/>
      <c r="P34" s="155"/>
      <c r="Q34" s="7">
        <f t="shared" si="0"/>
        <v>0</v>
      </c>
      <c r="R34" s="155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2820</v>
      </c>
      <c r="D35" s="6"/>
      <c r="E35" s="155"/>
      <c r="F35" s="155"/>
      <c r="G35" s="155"/>
      <c r="H35" s="155"/>
      <c r="I35" s="155"/>
      <c r="J35" s="155"/>
      <c r="K35" s="6">
        <v>4000</v>
      </c>
      <c r="L35" s="155"/>
      <c r="M35" s="155"/>
      <c r="N35" s="155"/>
      <c r="O35" s="155"/>
      <c r="P35" s="155"/>
      <c r="Q35" s="7">
        <f t="shared" si="0"/>
        <v>4000</v>
      </c>
      <c r="R35" s="155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7">
        <f t="shared" si="0"/>
        <v>0</v>
      </c>
      <c r="R36" s="155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7">
        <f t="shared" si="0"/>
        <v>0</v>
      </c>
      <c r="R37" s="155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7">
        <f>SUM(E38:P38)</f>
        <v>0</v>
      </c>
      <c r="R38" s="155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7">
        <f>SUM(E39:P39)</f>
        <v>0</v>
      </c>
      <c r="R39" s="155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55"/>
      <c r="F40" s="155"/>
      <c r="G40" s="155"/>
      <c r="H40" s="27"/>
      <c r="I40" s="155"/>
      <c r="J40" s="155"/>
      <c r="K40" s="155"/>
      <c r="L40" s="155"/>
      <c r="M40" s="155"/>
      <c r="N40" s="155"/>
      <c r="O40" s="155"/>
      <c r="P40" s="155"/>
      <c r="Q40" s="7">
        <f>SUM(E40:P40)</f>
        <v>0</v>
      </c>
      <c r="R40" s="155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7">
        <f>SUM(E41:P41)</f>
        <v>0</v>
      </c>
      <c r="R41" s="155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7">
        <f>SUM(E42:P42)</f>
        <v>0</v>
      </c>
      <c r="R42" s="155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7">
        <f t="shared" si="0"/>
        <v>0</v>
      </c>
      <c r="R44" s="155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7">
        <f t="shared" si="0"/>
        <v>0</v>
      </c>
      <c r="R45" s="155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7">
        <f t="shared" si="0"/>
        <v>0</v>
      </c>
      <c r="R46" s="155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7">
        <f t="shared" si="0"/>
        <v>0</v>
      </c>
      <c r="R47" s="155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7">
        <f t="shared" si="0"/>
        <v>0</v>
      </c>
      <c r="R48" s="155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7">
        <f t="shared" si="0"/>
        <v>0</v>
      </c>
      <c r="R49" s="155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14265</v>
      </c>
      <c r="D50" s="6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7">
        <f t="shared" si="0"/>
        <v>0</v>
      </c>
      <c r="R50" s="155"/>
      <c r="S50" s="6">
        <f t="shared" si="1"/>
        <v>14265</v>
      </c>
      <c r="T50" s="6">
        <f>-12000+8615</f>
        <v>-3385</v>
      </c>
      <c r="U50" s="6">
        <f t="shared" si="2"/>
        <v>10880</v>
      </c>
      <c r="V50" s="52"/>
      <c r="W50" s="57"/>
      <c r="X50" s="46"/>
      <c r="Y50" s="61"/>
      <c r="Z50" s="66">
        <f t="shared" si="3"/>
        <v>-14265</v>
      </c>
      <c r="AA50" s="61"/>
      <c r="AB50" s="64"/>
      <c r="AC50" s="61"/>
      <c r="AD50" s="66"/>
      <c r="AE50" s="61"/>
      <c r="AF50" s="52">
        <f t="shared" si="4"/>
        <v>-14265</v>
      </c>
      <c r="AG50" s="46">
        <f t="shared" si="5"/>
        <v>-3385</v>
      </c>
      <c r="AH50" s="51">
        <f t="shared" si="6"/>
        <v>-17650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7">
        <f t="shared" si="0"/>
        <v>0</v>
      </c>
      <c r="R51" s="155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3410</v>
      </c>
      <c r="D52" s="6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7">
        <f t="shared" si="0"/>
        <v>0</v>
      </c>
      <c r="R52" s="155"/>
      <c r="S52" s="6">
        <f t="shared" si="1"/>
        <v>3410</v>
      </c>
      <c r="T52" s="6">
        <v>-2510</v>
      </c>
      <c r="U52" s="6">
        <f t="shared" si="2"/>
        <v>900</v>
      </c>
      <c r="V52" s="52"/>
      <c r="W52" s="57"/>
      <c r="X52" s="46"/>
      <c r="Y52" s="61"/>
      <c r="Z52" s="66">
        <f t="shared" si="3"/>
        <v>-3410</v>
      </c>
      <c r="AA52" s="61"/>
      <c r="AB52" s="67"/>
      <c r="AC52" s="61"/>
      <c r="AD52" s="66"/>
      <c r="AE52" s="61"/>
      <c r="AF52" s="52">
        <f t="shared" si="4"/>
        <v>-3410</v>
      </c>
      <c r="AG52" s="46">
        <f t="shared" si="5"/>
        <v>-2510</v>
      </c>
      <c r="AH52" s="51">
        <f t="shared" si="6"/>
        <v>-5920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12950</v>
      </c>
      <c r="D53" s="6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7">
        <f t="shared" si="0"/>
        <v>0</v>
      </c>
      <c r="R53" s="155"/>
      <c r="S53" s="6">
        <f t="shared" si="1"/>
        <v>12950</v>
      </c>
      <c r="T53" s="6">
        <v>-11550</v>
      </c>
      <c r="U53" s="6">
        <f t="shared" si="2"/>
        <v>1400</v>
      </c>
      <c r="V53" s="52"/>
      <c r="W53" s="57"/>
      <c r="X53" s="46"/>
      <c r="Y53" s="61"/>
      <c r="Z53" s="66">
        <f t="shared" si="3"/>
        <v>-12950</v>
      </c>
      <c r="AA53" s="61"/>
      <c r="AB53" s="67"/>
      <c r="AC53" s="61"/>
      <c r="AD53" s="66"/>
      <c r="AE53" s="61"/>
      <c r="AF53" s="52">
        <f t="shared" si="4"/>
        <v>-12950</v>
      </c>
      <c r="AG53" s="46">
        <f t="shared" si="5"/>
        <v>-11550</v>
      </c>
      <c r="AH53" s="51">
        <f t="shared" si="6"/>
        <v>-24500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5450</v>
      </c>
      <c r="D54" s="6"/>
      <c r="E54" s="155"/>
      <c r="F54" s="155"/>
      <c r="G54" s="155"/>
      <c r="H54" s="155"/>
      <c r="I54" s="155"/>
      <c r="J54" s="155"/>
      <c r="K54" s="155">
        <v>5000</v>
      </c>
      <c r="L54" s="155"/>
      <c r="M54" s="155"/>
      <c r="N54" s="155"/>
      <c r="O54" s="155"/>
      <c r="P54" s="155"/>
      <c r="Q54" s="7">
        <f t="shared" si="0"/>
        <v>5000</v>
      </c>
      <c r="R54" s="155"/>
      <c r="S54" s="6">
        <f t="shared" si="1"/>
        <v>5450</v>
      </c>
      <c r="T54" s="6">
        <v>-2850</v>
      </c>
      <c r="U54" s="6">
        <f t="shared" si="2"/>
        <v>2600</v>
      </c>
      <c r="V54" s="52"/>
      <c r="W54" s="57"/>
      <c r="X54" s="46"/>
      <c r="Y54" s="61"/>
      <c r="Z54" s="66">
        <f t="shared" si="3"/>
        <v>-5450</v>
      </c>
      <c r="AA54" s="61"/>
      <c r="AB54" s="67"/>
      <c r="AC54" s="61"/>
      <c r="AD54" s="66"/>
      <c r="AE54" s="61"/>
      <c r="AF54" s="52">
        <f t="shared" si="4"/>
        <v>-5450</v>
      </c>
      <c r="AG54" s="46">
        <f t="shared" si="5"/>
        <v>-2850</v>
      </c>
      <c r="AH54" s="51">
        <f t="shared" si="6"/>
        <v>-8300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7">
        <f t="shared" si="0"/>
        <v>0</v>
      </c>
      <c r="R55" s="155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7">
        <f>SUM(E56:P56)</f>
        <v>0</v>
      </c>
      <c r="R56" s="155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7">
        <f t="shared" si="0"/>
        <v>0</v>
      </c>
      <c r="R61" s="155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7">
        <f t="shared" si="0"/>
        <v>0</v>
      </c>
      <c r="R62" s="154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7">
        <f t="shared" si="0"/>
        <v>0</v>
      </c>
      <c r="R63" s="154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7">
        <f t="shared" si="0"/>
        <v>0</v>
      </c>
      <c r="R64" s="154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7">
        <f t="shared" si="0"/>
        <v>0</v>
      </c>
      <c r="R65" s="154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53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7">
        <f t="shared" si="0"/>
        <v>0</v>
      </c>
      <c r="R67" s="155">
        <v>500</v>
      </c>
      <c r="S67" s="6">
        <f t="shared" si="1"/>
        <v>2350</v>
      </c>
      <c r="T67" s="6">
        <v>-1525</v>
      </c>
      <c r="U67" s="6">
        <f t="shared" si="2"/>
        <v>825</v>
      </c>
      <c r="V67" s="52"/>
      <c r="W67" s="57"/>
      <c r="X67" s="46"/>
      <c r="Y67" s="61"/>
      <c r="Z67" s="66">
        <f t="shared" si="3"/>
        <v>-2350</v>
      </c>
      <c r="AA67" s="61"/>
      <c r="AB67" s="67"/>
      <c r="AC67" s="61"/>
      <c r="AD67" s="66"/>
      <c r="AE67" s="61"/>
      <c r="AF67" s="52">
        <f t="shared" si="4"/>
        <v>-2350</v>
      </c>
      <c r="AG67" s="46">
        <f t="shared" si="5"/>
        <v>-1525</v>
      </c>
      <c r="AH67" s="51">
        <f t="shared" si="6"/>
        <v>-3875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274225</v>
      </c>
      <c r="D68" s="155">
        <v>18800</v>
      </c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7">
        <f t="shared" si="0"/>
        <v>0</v>
      </c>
      <c r="R68" s="155"/>
      <c r="S68" s="6">
        <f t="shared" si="1"/>
        <v>293025</v>
      </c>
      <c r="T68" s="6">
        <v>0</v>
      </c>
      <c r="U68" s="6">
        <f t="shared" si="2"/>
        <v>293025</v>
      </c>
      <c r="V68" s="52"/>
      <c r="W68" s="57"/>
      <c r="X68" s="46"/>
      <c r="Y68" s="61"/>
      <c r="Z68" s="66">
        <f t="shared" si="3"/>
        <v>-293025</v>
      </c>
      <c r="AA68" s="61"/>
      <c r="AB68" s="67"/>
      <c r="AC68" s="61"/>
      <c r="AD68" s="66"/>
      <c r="AE68" s="61"/>
      <c r="AF68" s="52">
        <f t="shared" si="4"/>
        <v>-293025</v>
      </c>
      <c r="AG68" s="46">
        <f t="shared" si="5"/>
        <v>0</v>
      </c>
      <c r="AH68" s="51">
        <f t="shared" si="6"/>
        <v>-293025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18400</v>
      </c>
      <c r="D69" s="155">
        <v>11300</v>
      </c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7">
        <f t="shared" si="0"/>
        <v>0</v>
      </c>
      <c r="R69" s="155">
        <f>375+625+250+1000</f>
        <v>2250</v>
      </c>
      <c r="S69" s="6">
        <f t="shared" si="1"/>
        <v>27450</v>
      </c>
      <c r="T69" s="6">
        <f>-16950+550</f>
        <v>-16400</v>
      </c>
      <c r="U69" s="6">
        <f t="shared" si="2"/>
        <v>11050</v>
      </c>
      <c r="V69" s="52"/>
      <c r="W69" s="57"/>
      <c r="X69" s="46"/>
      <c r="Y69" s="61"/>
      <c r="Z69" s="66">
        <f t="shared" si="3"/>
        <v>-27450</v>
      </c>
      <c r="AA69" s="61"/>
      <c r="AB69" s="64"/>
      <c r="AC69" s="61"/>
      <c r="AD69" s="66"/>
      <c r="AE69" s="61"/>
      <c r="AF69" s="52">
        <f t="shared" si="4"/>
        <v>-27450</v>
      </c>
      <c r="AG69" s="46">
        <f t="shared" si="5"/>
        <v>-16400</v>
      </c>
      <c r="AH69" s="51">
        <f t="shared" si="6"/>
        <v>-43850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12125</v>
      </c>
      <c r="D70" s="155">
        <v>3450</v>
      </c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7">
        <f t="shared" si="0"/>
        <v>0</v>
      </c>
      <c r="R70" s="155">
        <v>3000</v>
      </c>
      <c r="S70" s="6">
        <f t="shared" si="1"/>
        <v>12575</v>
      </c>
      <c r="T70" s="6">
        <v>-9425</v>
      </c>
      <c r="U70" s="6">
        <f t="shared" si="2"/>
        <v>3150</v>
      </c>
      <c r="V70" s="52"/>
      <c r="W70" s="57"/>
      <c r="X70" s="46"/>
      <c r="Y70" s="61"/>
      <c r="Z70" s="66">
        <f t="shared" si="3"/>
        <v>-12575</v>
      </c>
      <c r="AA70" s="61"/>
      <c r="AB70" s="67"/>
      <c r="AC70" s="61"/>
      <c r="AD70" s="66"/>
      <c r="AE70" s="61"/>
      <c r="AF70" s="52">
        <f t="shared" si="4"/>
        <v>-12575</v>
      </c>
      <c r="AG70" s="46">
        <f t="shared" si="5"/>
        <v>-9425</v>
      </c>
      <c r="AH70" s="51">
        <f t="shared" si="6"/>
        <v>-22000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28550</v>
      </c>
      <c r="D71" s="155">
        <f>3300+10500</f>
        <v>13800</v>
      </c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7">
        <f t="shared" si="0"/>
        <v>0</v>
      </c>
      <c r="R71" s="155">
        <f>1250+750+25+1500</f>
        <v>3525</v>
      </c>
      <c r="S71" s="6">
        <f t="shared" si="1"/>
        <v>38825</v>
      </c>
      <c r="T71" s="6">
        <f>-27500+1000</f>
        <v>-26500</v>
      </c>
      <c r="U71" s="6">
        <f t="shared" si="2"/>
        <v>12325</v>
      </c>
      <c r="V71" s="52"/>
      <c r="W71" s="57"/>
      <c r="X71" s="46"/>
      <c r="Y71" s="61"/>
      <c r="Z71" s="66">
        <f t="shared" si="3"/>
        <v>-38825</v>
      </c>
      <c r="AA71" s="61"/>
      <c r="AB71" s="64"/>
      <c r="AC71" s="61"/>
      <c r="AD71" s="66"/>
      <c r="AE71" s="61"/>
      <c r="AF71" s="52">
        <f t="shared" si="4"/>
        <v>-38825</v>
      </c>
      <c r="AG71" s="46">
        <f t="shared" si="5"/>
        <v>-26500</v>
      </c>
      <c r="AH71" s="51">
        <f t="shared" si="6"/>
        <v>-65325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55">
        <f>SUM(C7:C72)</f>
        <v>644680</v>
      </c>
      <c r="D73" s="155">
        <f t="shared" ref="D73:V73" si="11">SUM(D7:D72)</f>
        <v>85550</v>
      </c>
      <c r="E73" s="155">
        <f t="shared" si="11"/>
        <v>0</v>
      </c>
      <c r="F73" s="155">
        <f t="shared" si="11"/>
        <v>0</v>
      </c>
      <c r="G73" s="155">
        <f t="shared" si="11"/>
        <v>0</v>
      </c>
      <c r="H73" s="27">
        <f t="shared" si="11"/>
        <v>0</v>
      </c>
      <c r="I73" s="155">
        <f t="shared" si="11"/>
        <v>0</v>
      </c>
      <c r="J73" s="155">
        <f t="shared" si="11"/>
        <v>0</v>
      </c>
      <c r="K73" s="155">
        <f t="shared" si="11"/>
        <v>12000</v>
      </c>
      <c r="L73" s="155">
        <f t="shared" si="11"/>
        <v>0</v>
      </c>
      <c r="M73" s="155">
        <f t="shared" si="11"/>
        <v>0</v>
      </c>
      <c r="N73" s="155">
        <f t="shared" si="11"/>
        <v>0</v>
      </c>
      <c r="O73" s="155">
        <f t="shared" si="11"/>
        <v>0</v>
      </c>
      <c r="P73" s="155">
        <f t="shared" si="11"/>
        <v>0</v>
      </c>
      <c r="Q73" s="155">
        <f t="shared" si="11"/>
        <v>12000</v>
      </c>
      <c r="R73" s="155">
        <f t="shared" si="11"/>
        <v>44675</v>
      </c>
      <c r="S73" s="155">
        <f t="shared" si="11"/>
        <v>685555</v>
      </c>
      <c r="T73" s="155">
        <f t="shared" si="11"/>
        <v>-271290</v>
      </c>
      <c r="U73" s="155">
        <f t="shared" si="11"/>
        <v>414265</v>
      </c>
      <c r="V73" s="155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-685555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-685555</v>
      </c>
      <c r="AG73" s="43">
        <f t="shared" si="12"/>
        <v>-271290</v>
      </c>
      <c r="AH73" s="43">
        <f t="shared" si="12"/>
        <v>-956845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12000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12800+8740+39315+37885+14400+4240+27875+26870+10680+39440+23040+12000</f>
        <v>257285</v>
      </c>
      <c r="S74" s="179"/>
      <c r="T74" s="180">
        <f>R74+R75</f>
        <v>1740090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85550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124500+74250+83725+71820+71700+75700+47700+108850+111100+92015+65400+61200+94675+45600+57550+62075+58800+90595+85550</f>
        <v>1482805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44675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80750+80950+66040+73470+44825+60325+42575+30900+34750+57880+55250+102725+48500+27000+46550+86600+111550+83700+44675</f>
        <v>1179015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7500+11500+17500+13000+7000+12400+5850+6000+7000+7000+7000+6500+6300+7000+4250+10000+10000+7000+4150+10250</f>
        <v>167200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2140+9880+12320+20000+6850</f>
        <v>51190</v>
      </c>
      <c r="N77" s="40" t="s">
        <v>90</v>
      </c>
      <c r="O77" s="82">
        <f>4000+1000</f>
        <v>5000</v>
      </c>
      <c r="P77" s="40" t="s">
        <v>91</v>
      </c>
      <c r="Q77" s="40">
        <f>12000+10000</f>
        <v>22000</v>
      </c>
      <c r="R77" s="165">
        <f>Q77+O77+M77+J77+F77</f>
        <v>263390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56800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40750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915625</v>
      </c>
      <c r="S80" s="165"/>
      <c r="T80" s="22"/>
      <c r="U80" s="22"/>
      <c r="V80" s="2"/>
      <c r="X80" s="63">
        <f>SUM(X77:X79)</f>
        <v>97550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52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>
        <v>7000</v>
      </c>
      <c r="S100" s="36">
        <v>14</v>
      </c>
      <c r="T100" s="36">
        <v>27000</v>
      </c>
      <c r="U100" s="36">
        <v>14</v>
      </c>
      <c r="V100" s="36">
        <v>39440</v>
      </c>
      <c r="W100" s="36">
        <v>45600</v>
      </c>
      <c r="X100" s="36">
        <f t="shared" si="13"/>
        <v>85040</v>
      </c>
    </row>
    <row r="101" spans="14:26">
      <c r="O101" s="36"/>
      <c r="P101" s="36"/>
      <c r="Q101" s="36">
        <v>6850</v>
      </c>
      <c r="R101" s="36">
        <v>6500</v>
      </c>
      <c r="S101" s="36">
        <v>15</v>
      </c>
      <c r="T101" s="36">
        <v>46550</v>
      </c>
      <c r="U101" s="36">
        <v>15</v>
      </c>
      <c r="V101" s="36">
        <v>23040</v>
      </c>
      <c r="W101" s="36">
        <v>57550</v>
      </c>
      <c r="X101" s="36">
        <f t="shared" si="13"/>
        <v>80590</v>
      </c>
    </row>
    <row r="102" spans="14:26">
      <c r="O102" s="36"/>
      <c r="P102" s="36"/>
      <c r="Q102" s="36"/>
      <c r="R102" s="36">
        <v>6300</v>
      </c>
      <c r="S102" s="36">
        <v>16</v>
      </c>
      <c r="T102" s="36">
        <v>86600</v>
      </c>
      <c r="U102" s="36">
        <v>16</v>
      </c>
      <c r="V102" s="36"/>
      <c r="W102" s="36">
        <v>62075</v>
      </c>
      <c r="X102" s="36">
        <f t="shared" si="13"/>
        <v>62075</v>
      </c>
    </row>
    <row r="103" spans="14:26">
      <c r="O103" s="36"/>
      <c r="P103" s="36"/>
      <c r="Q103" s="36"/>
      <c r="R103" s="36">
        <v>11250</v>
      </c>
      <c r="S103" s="36">
        <v>17</v>
      </c>
      <c r="T103" s="36">
        <v>111550</v>
      </c>
      <c r="U103" s="36">
        <v>17</v>
      </c>
      <c r="V103" s="36"/>
      <c r="W103" s="36">
        <v>58800</v>
      </c>
      <c r="X103" s="36">
        <f t="shared" si="13"/>
        <v>58800</v>
      </c>
    </row>
    <row r="104" spans="14:26">
      <c r="O104" s="36"/>
      <c r="P104" s="36"/>
      <c r="Q104" s="36"/>
      <c r="R104" s="36">
        <v>11150</v>
      </c>
      <c r="S104" s="36">
        <v>18</v>
      </c>
      <c r="T104" s="36">
        <v>83700</v>
      </c>
      <c r="U104" s="36">
        <v>18</v>
      </c>
      <c r="V104" s="36"/>
      <c r="W104" s="36">
        <v>90595</v>
      </c>
      <c r="X104" s="36">
        <f t="shared" si="13"/>
        <v>90595</v>
      </c>
    </row>
    <row r="105" spans="14:26">
      <c r="O105" s="36">
        <v>10000</v>
      </c>
      <c r="P105" s="36"/>
      <c r="Q105" s="36"/>
      <c r="R105" s="36">
        <v>10250</v>
      </c>
      <c r="S105" s="36">
        <v>19</v>
      </c>
      <c r="T105" s="36">
        <v>44675</v>
      </c>
      <c r="U105" s="36">
        <v>19</v>
      </c>
      <c r="V105" s="36">
        <v>12000</v>
      </c>
      <c r="W105" s="36">
        <v>85550</v>
      </c>
      <c r="X105" s="36">
        <f t="shared" si="13"/>
        <v>97550</v>
      </c>
      <c r="Z105" s="36"/>
    </row>
    <row r="106" spans="14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22000</v>
      </c>
      <c r="P118" s="63">
        <f t="shared" si="14"/>
        <v>5000</v>
      </c>
      <c r="Q118" s="63">
        <f t="shared" si="14"/>
        <v>38870</v>
      </c>
      <c r="R118" s="63">
        <f t="shared" si="14"/>
        <v>167200</v>
      </c>
      <c r="S118" s="63"/>
      <c r="T118" s="63">
        <f>SUM(T87:T117)</f>
        <v>1179015</v>
      </c>
      <c r="U118" s="63"/>
      <c r="V118" s="63">
        <f>SUM(V87:V117)</f>
        <v>257285</v>
      </c>
      <c r="W118" s="63">
        <f>SUM(W87:W117)</f>
        <v>1482805</v>
      </c>
      <c r="X118" s="36">
        <f>SUM(V118:W118)</f>
        <v>1740090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1" activePane="bottomRight" state="frozen"/>
      <selection activeCell="O32" sqref="O32"/>
      <selection pane="topRight" activeCell="O32" sqref="O32"/>
      <selection pane="bottomLeft" activeCell="O32" sqref="O32"/>
      <selection pane="bottomRight" activeCell="D69" sqref="D69:D71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153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151</v>
      </c>
      <c r="P6" s="91" t="s">
        <v>150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12850</v>
      </c>
      <c r="D7" s="6">
        <v>4300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1000+3000+500</f>
        <v>4500</v>
      </c>
      <c r="S7" s="6">
        <f>C7+D7-R7</f>
        <v>12650</v>
      </c>
      <c r="T7" s="34">
        <v>-9150</v>
      </c>
      <c r="U7" s="6">
        <f>S7+T7</f>
        <v>3500</v>
      </c>
      <c r="V7" s="52"/>
      <c r="W7" s="57"/>
      <c r="X7" s="46"/>
      <c r="Y7" s="65"/>
      <c r="Z7" s="66">
        <f>W7-S7</f>
        <v>-12650</v>
      </c>
      <c r="AA7" s="65"/>
      <c r="AB7" s="67"/>
      <c r="AC7" s="65"/>
      <c r="AD7" s="47"/>
      <c r="AE7" s="61"/>
      <c r="AF7" s="52">
        <f>SUM(Y7:AE7)</f>
        <v>-12650</v>
      </c>
      <c r="AG7" s="46">
        <f>U7+AF7</f>
        <v>-9150</v>
      </c>
      <c r="AH7" s="51">
        <f>AG7-S7</f>
        <v>-21800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33900</v>
      </c>
      <c r="D8" s="6">
        <v>14900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3000+250+4500+4000+3000</f>
        <v>14750</v>
      </c>
      <c r="S8" s="6">
        <f t="shared" ref="S8:S71" si="1">C8+D8-R8</f>
        <v>34050</v>
      </c>
      <c r="T8" s="6">
        <v>-24350</v>
      </c>
      <c r="U8" s="6">
        <f t="shared" ref="U8:U71" si="2">S8+T8</f>
        <v>9700</v>
      </c>
      <c r="V8" s="52"/>
      <c r="W8" s="57"/>
      <c r="X8" s="46"/>
      <c r="Y8" s="61"/>
      <c r="Z8" s="66">
        <f t="shared" ref="Z8:Z71" si="3">W8-S8</f>
        <v>-34050</v>
      </c>
      <c r="AA8" s="61"/>
      <c r="AB8" s="67"/>
      <c r="AC8" s="61"/>
      <c r="AD8" s="66"/>
      <c r="AE8" s="61"/>
      <c r="AF8" s="52">
        <f t="shared" ref="AF8:AF71" si="4">SUM(Y8:AE8)</f>
        <v>-34050</v>
      </c>
      <c r="AG8" s="46">
        <f t="shared" ref="AG8:AG71" si="5">U8+AF8</f>
        <v>-24350</v>
      </c>
      <c r="AH8" s="51">
        <f t="shared" ref="AH8:AH71" si="6">AG8-S8</f>
        <v>-58400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5225</v>
      </c>
      <c r="D10" s="6">
        <v>2850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8075</v>
      </c>
      <c r="T10" s="6">
        <v>-5175</v>
      </c>
      <c r="U10" s="6">
        <f t="shared" si="2"/>
        <v>2900</v>
      </c>
      <c r="V10" s="52"/>
      <c r="W10" s="57"/>
      <c r="X10" s="46"/>
      <c r="Y10" s="61"/>
      <c r="Z10" s="66">
        <f t="shared" si="3"/>
        <v>-8075</v>
      </c>
      <c r="AA10" s="61"/>
      <c r="AB10" s="67"/>
      <c r="AC10" s="61"/>
      <c r="AD10" s="66"/>
      <c r="AE10" s="61"/>
      <c r="AF10" s="52">
        <f t="shared" si="4"/>
        <v>-8075</v>
      </c>
      <c r="AG10" s="46">
        <f t="shared" si="5"/>
        <v>-5175</v>
      </c>
      <c r="AH10" s="51">
        <f t="shared" si="6"/>
        <v>-13250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5000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500</v>
      </c>
      <c r="S11" s="6">
        <f t="shared" si="1"/>
        <v>4500</v>
      </c>
      <c r="T11" s="6">
        <v>-3750</v>
      </c>
      <c r="U11" s="6">
        <f t="shared" si="2"/>
        <v>750</v>
      </c>
      <c r="V11" s="52"/>
      <c r="W11" s="57"/>
      <c r="X11" s="46"/>
      <c r="Y11" s="61"/>
      <c r="Z11" s="66">
        <f t="shared" si="3"/>
        <v>-4500</v>
      </c>
      <c r="AA11" s="61"/>
      <c r="AB11" s="67"/>
      <c r="AC11" s="61"/>
      <c r="AD11" s="66"/>
      <c r="AE11" s="61"/>
      <c r="AF11" s="52">
        <f t="shared" si="4"/>
        <v>-4500</v>
      </c>
      <c r="AG11" s="46">
        <f t="shared" si="5"/>
        <v>-3750</v>
      </c>
      <c r="AH11" s="51">
        <f t="shared" si="6"/>
        <v>-8250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-1650</v>
      </c>
      <c r="D12" s="6">
        <f>2100+2750</f>
        <v>4850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1500+500</f>
        <v>2000</v>
      </c>
      <c r="S12" s="6">
        <f t="shared" si="1"/>
        <v>1200</v>
      </c>
      <c r="T12" s="6">
        <v>4700</v>
      </c>
      <c r="U12" s="6">
        <f t="shared" si="2"/>
        <v>5900</v>
      </c>
      <c r="V12" s="52"/>
      <c r="W12" s="57"/>
      <c r="X12" s="46"/>
      <c r="Y12" s="61"/>
      <c r="Z12" s="66">
        <f t="shared" si="3"/>
        <v>-1200</v>
      </c>
      <c r="AA12" s="61"/>
      <c r="AB12" s="67"/>
      <c r="AC12" s="61"/>
      <c r="AD12" s="66"/>
      <c r="AE12" s="61"/>
      <c r="AF12" s="52">
        <f t="shared" si="4"/>
        <v>-1200</v>
      </c>
      <c r="AG12" s="46">
        <f t="shared" si="5"/>
        <v>4700</v>
      </c>
      <c r="AH12" s="51">
        <f t="shared" si="6"/>
        <v>3500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27560</v>
      </c>
      <c r="D14" s="6">
        <f>9750+10000</f>
        <v>19750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6000+1450+3500+1000+500+1000+3000</f>
        <v>16450</v>
      </c>
      <c r="S14" s="6">
        <f t="shared" si="1"/>
        <v>30860</v>
      </c>
      <c r="T14" s="6">
        <v>-5760</v>
      </c>
      <c r="U14" s="6">
        <f t="shared" si="2"/>
        <v>25100</v>
      </c>
      <c r="V14" s="52"/>
      <c r="W14" s="57"/>
      <c r="X14" s="46"/>
      <c r="Y14" s="61"/>
      <c r="Z14" s="66">
        <f t="shared" si="3"/>
        <v>-30860</v>
      </c>
      <c r="AA14" s="61"/>
      <c r="AB14" s="66"/>
      <c r="AC14" s="61"/>
      <c r="AD14" s="66"/>
      <c r="AE14" s="61"/>
      <c r="AF14" s="52">
        <f t="shared" si="4"/>
        <v>-30860</v>
      </c>
      <c r="AG14" s="46">
        <f t="shared" si="5"/>
        <v>-5760</v>
      </c>
      <c r="AH14" s="51">
        <f t="shared" si="6"/>
        <v>-36620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11250</v>
      </c>
      <c r="D16" s="6"/>
      <c r="E16" s="6"/>
      <c r="F16" s="6"/>
      <c r="G16" s="6"/>
      <c r="H16" s="6"/>
      <c r="I16" s="6"/>
      <c r="J16" s="6"/>
      <c r="K16" s="6">
        <v>7000</v>
      </c>
      <c r="L16" s="6"/>
      <c r="M16" s="6"/>
      <c r="N16" s="6"/>
      <c r="O16" s="6"/>
      <c r="P16" s="6"/>
      <c r="Q16" s="7">
        <f t="shared" si="0"/>
        <v>7000</v>
      </c>
      <c r="R16" s="6">
        <v>50</v>
      </c>
      <c r="S16" s="6">
        <f t="shared" si="1"/>
        <v>11200</v>
      </c>
      <c r="T16" s="34">
        <v>-10050</v>
      </c>
      <c r="U16" s="6">
        <f t="shared" si="2"/>
        <v>1150</v>
      </c>
      <c r="V16" s="52"/>
      <c r="W16" s="57"/>
      <c r="X16" s="46"/>
      <c r="Y16" s="61"/>
      <c r="Z16" s="66">
        <f t="shared" si="3"/>
        <v>-11200</v>
      </c>
      <c r="AA16" s="61"/>
      <c r="AB16" s="67"/>
      <c r="AC16" s="61"/>
      <c r="AD16" s="47"/>
      <c r="AE16" s="61"/>
      <c r="AF16" s="52">
        <f t="shared" si="4"/>
        <v>-11200</v>
      </c>
      <c r="AG16" s="46">
        <f t="shared" si="5"/>
        <v>-10050</v>
      </c>
      <c r="AH16" s="51">
        <f t="shared" si="6"/>
        <v>-21250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11250</v>
      </c>
      <c r="D17" s="6">
        <v>1950</v>
      </c>
      <c r="E17" s="6"/>
      <c r="F17" s="6"/>
      <c r="G17" s="6"/>
      <c r="H17" s="6"/>
      <c r="I17" s="6"/>
      <c r="J17" s="6"/>
      <c r="K17" s="6">
        <v>5800</v>
      </c>
      <c r="L17" s="6"/>
      <c r="M17" s="6"/>
      <c r="N17" s="6"/>
      <c r="O17" s="6"/>
      <c r="P17" s="6"/>
      <c r="Q17" s="7">
        <f t="shared" si="0"/>
        <v>5800</v>
      </c>
      <c r="R17" s="6">
        <v>600</v>
      </c>
      <c r="S17" s="6">
        <f t="shared" si="1"/>
        <v>12600</v>
      </c>
      <c r="T17" s="6">
        <v>-5000</v>
      </c>
      <c r="U17" s="6">
        <f t="shared" si="2"/>
        <v>7600</v>
      </c>
      <c r="V17" s="52"/>
      <c r="W17" s="57"/>
      <c r="X17" s="46"/>
      <c r="Y17" s="61"/>
      <c r="Z17" s="66">
        <f t="shared" si="3"/>
        <v>-12600</v>
      </c>
      <c r="AA17" s="61"/>
      <c r="AB17" s="66"/>
      <c r="AC17" s="61"/>
      <c r="AD17" s="66"/>
      <c r="AE17" s="61"/>
      <c r="AF17" s="52">
        <f t="shared" si="4"/>
        <v>-12600</v>
      </c>
      <c r="AG17" s="46">
        <f t="shared" si="5"/>
        <v>-5000</v>
      </c>
      <c r="AH17" s="51">
        <f t="shared" si="6"/>
        <v>-17600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7">
        <f t="shared" si="0"/>
        <v>0</v>
      </c>
      <c r="R22" s="99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7">
        <f t="shared" si="0"/>
        <v>0</v>
      </c>
      <c r="R24" s="99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7">
        <f t="shared" si="0"/>
        <v>0</v>
      </c>
      <c r="R25" s="99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7">
        <f t="shared" si="0"/>
        <v>0</v>
      </c>
      <c r="R26" s="99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5980</v>
      </c>
      <c r="D27" s="6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7">
        <f t="shared" si="0"/>
        <v>0</v>
      </c>
      <c r="R27" s="99">
        <v>200</v>
      </c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5480</v>
      </c>
      <c r="D28" s="6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7">
        <f t="shared" si="0"/>
        <v>0</v>
      </c>
      <c r="R28" s="99">
        <f>100+1000</f>
        <v>1100</v>
      </c>
      <c r="S28" s="6">
        <f t="shared" si="1"/>
        <v>4380</v>
      </c>
      <c r="T28" s="6">
        <f>-40-100</f>
        <v>-140</v>
      </c>
      <c r="U28" s="6">
        <f t="shared" si="2"/>
        <v>4240</v>
      </c>
      <c r="V28" s="52"/>
      <c r="W28" s="57"/>
      <c r="X28" s="46"/>
      <c r="Y28" s="61"/>
      <c r="Z28" s="66">
        <f t="shared" si="3"/>
        <v>-4380</v>
      </c>
      <c r="AA28" s="61"/>
      <c r="AB28" s="67"/>
      <c r="AC28" s="61"/>
      <c r="AD28" s="66"/>
      <c r="AE28" s="61"/>
      <c r="AF28" s="52">
        <f t="shared" si="4"/>
        <v>-4380</v>
      </c>
      <c r="AG28" s="46">
        <f t="shared" si="5"/>
        <v>-140</v>
      </c>
      <c r="AH28" s="51">
        <f t="shared" si="6"/>
        <v>-4520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3120</v>
      </c>
      <c r="D29" s="6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7">
        <f t="shared" si="0"/>
        <v>0</v>
      </c>
      <c r="R29" s="99">
        <v>1300</v>
      </c>
      <c r="S29" s="6">
        <f t="shared" si="1"/>
        <v>1820</v>
      </c>
      <c r="T29" s="6">
        <f>860+100</f>
        <v>960</v>
      </c>
      <c r="U29" s="6">
        <f t="shared" si="2"/>
        <v>2780</v>
      </c>
      <c r="V29" s="52"/>
      <c r="W29" s="57"/>
      <c r="X29" s="46"/>
      <c r="Y29" s="61"/>
      <c r="Z29" s="66">
        <f t="shared" si="3"/>
        <v>-1820</v>
      </c>
      <c r="AA29" s="61"/>
      <c r="AB29" s="67"/>
      <c r="AC29" s="61"/>
      <c r="AD29" s="66"/>
      <c r="AE29" s="61"/>
      <c r="AF29" s="52">
        <f t="shared" si="4"/>
        <v>-1820</v>
      </c>
      <c r="AG29" s="46">
        <f t="shared" si="5"/>
        <v>960</v>
      </c>
      <c r="AH29" s="51">
        <f t="shared" si="6"/>
        <v>-860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7">
        <f t="shared" si="0"/>
        <v>0</v>
      </c>
      <c r="R30" s="99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17140</v>
      </c>
      <c r="D31" s="6">
        <v>2200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7">
        <f t="shared" si="0"/>
        <v>0</v>
      </c>
      <c r="R31" s="99">
        <v>1000</v>
      </c>
      <c r="S31" s="6">
        <f t="shared" si="1"/>
        <v>18340</v>
      </c>
      <c r="T31" s="6">
        <v>-17140</v>
      </c>
      <c r="U31" s="6">
        <f t="shared" si="2"/>
        <v>1200</v>
      </c>
      <c r="V31" s="52"/>
      <c r="W31" s="57"/>
      <c r="X31" s="46"/>
      <c r="Y31" s="61"/>
      <c r="Z31" s="66">
        <f t="shared" si="3"/>
        <v>-18340</v>
      </c>
      <c r="AA31" s="61"/>
      <c r="AB31" s="64"/>
      <c r="AC31" s="61"/>
      <c r="AD31" s="66"/>
      <c r="AE31" s="61"/>
      <c r="AF31" s="52">
        <f t="shared" si="4"/>
        <v>-18340</v>
      </c>
      <c r="AG31" s="46">
        <f t="shared" si="5"/>
        <v>-17140</v>
      </c>
      <c r="AH31" s="51">
        <f t="shared" si="6"/>
        <v>-35480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30720</v>
      </c>
      <c r="D32" s="6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6"/>
      <c r="P32" s="6"/>
      <c r="Q32" s="7">
        <f>SUM(E32:P32)</f>
        <v>0</v>
      </c>
      <c r="R32" s="99"/>
      <c r="S32" s="6">
        <f t="shared" si="1"/>
        <v>30720</v>
      </c>
      <c r="T32" s="6">
        <v>-18280</v>
      </c>
      <c r="U32" s="6">
        <f t="shared" si="2"/>
        <v>12440</v>
      </c>
      <c r="V32" s="52"/>
      <c r="W32" s="57"/>
      <c r="X32" s="46"/>
      <c r="Y32" s="61"/>
      <c r="Z32" s="66">
        <f t="shared" si="3"/>
        <v>-30720</v>
      </c>
      <c r="AA32" s="61"/>
      <c r="AB32" s="67"/>
      <c r="AC32" s="61"/>
      <c r="AD32" s="66"/>
      <c r="AE32" s="61"/>
      <c r="AF32" s="52">
        <f t="shared" si="4"/>
        <v>-30720</v>
      </c>
      <c r="AG32" s="46">
        <f t="shared" si="5"/>
        <v>-18280</v>
      </c>
      <c r="AH32" s="51">
        <f t="shared" si="6"/>
        <v>-49000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7">
        <f t="shared" si="0"/>
        <v>0</v>
      </c>
      <c r="R33" s="99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99"/>
      <c r="F34" s="99"/>
      <c r="G34" s="99"/>
      <c r="H34" s="99"/>
      <c r="I34" s="99"/>
      <c r="J34" s="99"/>
      <c r="K34" s="6"/>
      <c r="L34" s="99"/>
      <c r="M34" s="99"/>
      <c r="N34" s="99"/>
      <c r="O34" s="99"/>
      <c r="P34" s="99"/>
      <c r="Q34" s="7">
        <f t="shared" si="0"/>
        <v>0</v>
      </c>
      <c r="R34" s="99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99"/>
      <c r="F35" s="99"/>
      <c r="G35" s="99"/>
      <c r="H35" s="99"/>
      <c r="I35" s="99"/>
      <c r="J35" s="99"/>
      <c r="K35" s="6"/>
      <c r="L35" s="99"/>
      <c r="M35" s="99"/>
      <c r="N35" s="99"/>
      <c r="O35" s="99"/>
      <c r="P35" s="99"/>
      <c r="Q35" s="7">
        <f t="shared" si="0"/>
        <v>0</v>
      </c>
      <c r="R35" s="99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7">
        <f t="shared" si="0"/>
        <v>0</v>
      </c>
      <c r="R36" s="99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7">
        <f t="shared" si="0"/>
        <v>0</v>
      </c>
      <c r="R37" s="99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980</v>
      </c>
      <c r="D38" s="6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7">
        <f>SUM(E38:P38)</f>
        <v>0</v>
      </c>
      <c r="R38" s="99"/>
      <c r="S38" s="6">
        <f t="shared" si="1"/>
        <v>980</v>
      </c>
      <c r="T38" s="6">
        <v>-980</v>
      </c>
      <c r="U38" s="6">
        <f t="shared" si="2"/>
        <v>0</v>
      </c>
      <c r="V38" s="52"/>
      <c r="W38" s="57"/>
      <c r="X38" s="46"/>
      <c r="Y38" s="61"/>
      <c r="Z38" s="66">
        <f t="shared" si="3"/>
        <v>-980</v>
      </c>
      <c r="AA38" s="61"/>
      <c r="AB38" s="64"/>
      <c r="AC38" s="61"/>
      <c r="AD38" s="66"/>
      <c r="AE38" s="61"/>
      <c r="AF38" s="52">
        <f t="shared" si="4"/>
        <v>-980</v>
      </c>
      <c r="AG38" s="46">
        <f t="shared" si="5"/>
        <v>-980</v>
      </c>
      <c r="AH38" s="51">
        <f t="shared" si="6"/>
        <v>-1960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7">
        <f>SUM(E39:P39)</f>
        <v>0</v>
      </c>
      <c r="R39" s="99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99"/>
      <c r="F40" s="99"/>
      <c r="G40" s="99"/>
      <c r="H40" s="27"/>
      <c r="I40" s="99"/>
      <c r="J40" s="99"/>
      <c r="K40" s="99"/>
      <c r="L40" s="99"/>
      <c r="M40" s="99"/>
      <c r="N40" s="99"/>
      <c r="O40" s="99"/>
      <c r="P40" s="99"/>
      <c r="Q40" s="7">
        <f>SUM(E40:P40)</f>
        <v>0</v>
      </c>
      <c r="R40" s="99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7">
        <f>SUM(E41:P41)</f>
        <v>0</v>
      </c>
      <c r="R41" s="99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1960</v>
      </c>
      <c r="D42" s="6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7">
        <f>SUM(E42:P42)</f>
        <v>0</v>
      </c>
      <c r="R42" s="99"/>
      <c r="S42" s="6">
        <f t="shared" si="1"/>
        <v>1960</v>
      </c>
      <c r="T42" s="6">
        <v>-1920</v>
      </c>
      <c r="U42" s="6">
        <f t="shared" si="2"/>
        <v>40</v>
      </c>
      <c r="V42" s="52"/>
      <c r="W42" s="57"/>
      <c r="X42" s="46"/>
      <c r="Y42" s="61"/>
      <c r="Z42" s="66">
        <f t="shared" si="3"/>
        <v>-1960</v>
      </c>
      <c r="AA42" s="61"/>
      <c r="AB42" s="67"/>
      <c r="AC42" s="61"/>
      <c r="AD42" s="66"/>
      <c r="AE42" s="61"/>
      <c r="AF42" s="52">
        <f t="shared" si="4"/>
        <v>-1960</v>
      </c>
      <c r="AG42" s="46">
        <f t="shared" si="5"/>
        <v>-1920</v>
      </c>
      <c r="AH42" s="51">
        <f t="shared" si="6"/>
        <v>-3880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7">
        <f t="shared" si="0"/>
        <v>0</v>
      </c>
      <c r="R44" s="99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7">
        <f t="shared" si="0"/>
        <v>0</v>
      </c>
      <c r="R45" s="99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7">
        <f t="shared" si="0"/>
        <v>0</v>
      </c>
      <c r="R46" s="99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7">
        <f t="shared" si="0"/>
        <v>0</v>
      </c>
      <c r="R47" s="99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7">
        <f t="shared" si="0"/>
        <v>0</v>
      </c>
      <c r="R48" s="99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7">
        <f t="shared" si="0"/>
        <v>0</v>
      </c>
      <c r="R49" s="99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4550</v>
      </c>
      <c r="D50" s="6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7">
        <f t="shared" si="0"/>
        <v>0</v>
      </c>
      <c r="R50" s="99"/>
      <c r="S50" s="6">
        <f t="shared" si="1"/>
        <v>4550</v>
      </c>
      <c r="T50" s="6">
        <f>-12000+8615</f>
        <v>-3385</v>
      </c>
      <c r="U50" s="6">
        <f t="shared" si="2"/>
        <v>1165</v>
      </c>
      <c r="V50" s="52"/>
      <c r="W50" s="57"/>
      <c r="X50" s="46"/>
      <c r="Y50" s="61"/>
      <c r="Z50" s="66">
        <f t="shared" si="3"/>
        <v>-4550</v>
      </c>
      <c r="AA50" s="61"/>
      <c r="AB50" s="64"/>
      <c r="AC50" s="61"/>
      <c r="AD50" s="66"/>
      <c r="AE50" s="61"/>
      <c r="AF50" s="52">
        <f t="shared" si="4"/>
        <v>-4550</v>
      </c>
      <c r="AG50" s="46">
        <f t="shared" si="5"/>
        <v>-3385</v>
      </c>
      <c r="AH50" s="51">
        <f t="shared" si="6"/>
        <v>-7935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7">
        <f t="shared" si="0"/>
        <v>0</v>
      </c>
      <c r="R51" s="99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2690</v>
      </c>
      <c r="D52" s="6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7">
        <f t="shared" si="0"/>
        <v>0</v>
      </c>
      <c r="R52" s="99"/>
      <c r="S52" s="6">
        <f t="shared" si="1"/>
        <v>2690</v>
      </c>
      <c r="T52" s="6">
        <v>-2510</v>
      </c>
      <c r="U52" s="6">
        <f t="shared" si="2"/>
        <v>180</v>
      </c>
      <c r="V52" s="52"/>
      <c r="W52" s="57"/>
      <c r="X52" s="46"/>
      <c r="Y52" s="61"/>
      <c r="Z52" s="66">
        <f t="shared" si="3"/>
        <v>-2690</v>
      </c>
      <c r="AA52" s="61"/>
      <c r="AB52" s="67"/>
      <c r="AC52" s="61"/>
      <c r="AD52" s="66"/>
      <c r="AE52" s="61"/>
      <c r="AF52" s="52">
        <f t="shared" si="4"/>
        <v>-2690</v>
      </c>
      <c r="AG52" s="46">
        <f t="shared" si="5"/>
        <v>-2510</v>
      </c>
      <c r="AH52" s="51">
        <f t="shared" si="6"/>
        <v>-5200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13025</v>
      </c>
      <c r="D53" s="6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7">
        <f t="shared" si="0"/>
        <v>0</v>
      </c>
      <c r="R53" s="99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6700</v>
      </c>
      <c r="D54" s="6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7">
        <f t="shared" si="0"/>
        <v>0</v>
      </c>
      <c r="R54" s="99"/>
      <c r="S54" s="6">
        <f t="shared" si="1"/>
        <v>6700</v>
      </c>
      <c r="T54" s="6">
        <v>-2850</v>
      </c>
      <c r="U54" s="6">
        <f t="shared" si="2"/>
        <v>3850</v>
      </c>
      <c r="V54" s="52"/>
      <c r="W54" s="57"/>
      <c r="X54" s="46"/>
      <c r="Y54" s="61"/>
      <c r="Z54" s="66">
        <f t="shared" si="3"/>
        <v>-6700</v>
      </c>
      <c r="AA54" s="61"/>
      <c r="AB54" s="67"/>
      <c r="AC54" s="61"/>
      <c r="AD54" s="66"/>
      <c r="AE54" s="61"/>
      <c r="AF54" s="52">
        <f t="shared" si="4"/>
        <v>-6700</v>
      </c>
      <c r="AG54" s="46">
        <f t="shared" si="5"/>
        <v>-2850</v>
      </c>
      <c r="AH54" s="51">
        <f t="shared" si="6"/>
        <v>-9550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7">
        <f t="shared" si="0"/>
        <v>0</v>
      </c>
      <c r="R55" s="99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7">
        <f>SUM(E56:P56)</f>
        <v>0</v>
      </c>
      <c r="R56" s="99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7">
        <f t="shared" si="0"/>
        <v>0</v>
      </c>
      <c r="R61" s="99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7">
        <f t="shared" si="0"/>
        <v>0</v>
      </c>
      <c r="R62" s="98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7">
        <f t="shared" si="0"/>
        <v>0</v>
      </c>
      <c r="R63" s="98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7">
        <f t="shared" si="0"/>
        <v>0</v>
      </c>
      <c r="R64" s="98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7">
        <f t="shared" si="0"/>
        <v>0</v>
      </c>
      <c r="R65" s="98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97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3775</v>
      </c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7">
        <f t="shared" si="0"/>
        <v>0</v>
      </c>
      <c r="R67" s="99">
        <v>1000</v>
      </c>
      <c r="S67" s="6">
        <f t="shared" si="1"/>
        <v>2775</v>
      </c>
      <c r="T67" s="6">
        <v>-1525</v>
      </c>
      <c r="U67" s="6">
        <f t="shared" si="2"/>
        <v>1250</v>
      </c>
      <c r="V67" s="52"/>
      <c r="W67" s="57"/>
      <c r="X67" s="46"/>
      <c r="Y67" s="61"/>
      <c r="Z67" s="66">
        <f t="shared" si="3"/>
        <v>-2775</v>
      </c>
      <c r="AA67" s="61"/>
      <c r="AB67" s="67"/>
      <c r="AC67" s="61"/>
      <c r="AD67" s="66"/>
      <c r="AE67" s="61"/>
      <c r="AF67" s="52">
        <f t="shared" si="4"/>
        <v>-2775</v>
      </c>
      <c r="AG67" s="46">
        <f t="shared" si="5"/>
        <v>-1525</v>
      </c>
      <c r="AH67" s="51">
        <f t="shared" si="6"/>
        <v>-4300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9200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7">
        <f t="shared" si="0"/>
        <v>0</v>
      </c>
      <c r="R68" s="99"/>
      <c r="S68" s="6">
        <f t="shared" si="1"/>
        <v>9200</v>
      </c>
      <c r="T68" s="6">
        <v>0</v>
      </c>
      <c r="U68" s="6">
        <f t="shared" si="2"/>
        <v>9200</v>
      </c>
      <c r="V68" s="52"/>
      <c r="W68" s="57"/>
      <c r="X68" s="46"/>
      <c r="Y68" s="61"/>
      <c r="Z68" s="66">
        <f t="shared" si="3"/>
        <v>-9200</v>
      </c>
      <c r="AA68" s="61"/>
      <c r="AB68" s="67"/>
      <c r="AC68" s="61"/>
      <c r="AD68" s="66"/>
      <c r="AE68" s="61"/>
      <c r="AF68" s="52">
        <f t="shared" si="4"/>
        <v>-9200</v>
      </c>
      <c r="AG68" s="46">
        <f t="shared" si="5"/>
        <v>0</v>
      </c>
      <c r="AH68" s="51">
        <f t="shared" si="6"/>
        <v>-9200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29175</v>
      </c>
      <c r="D69" s="99">
        <f>7000+450</f>
        <v>7450</v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7">
        <f t="shared" si="0"/>
        <v>0</v>
      </c>
      <c r="R69" s="99">
        <f>7350+250+2000+3000</f>
        <v>12600</v>
      </c>
      <c r="S69" s="6">
        <f t="shared" si="1"/>
        <v>24025</v>
      </c>
      <c r="T69" s="6">
        <v>-16950</v>
      </c>
      <c r="U69" s="6">
        <f t="shared" si="2"/>
        <v>7075</v>
      </c>
      <c r="V69" s="52"/>
      <c r="W69" s="57"/>
      <c r="X69" s="46"/>
      <c r="Y69" s="61"/>
      <c r="Z69" s="66">
        <f t="shared" si="3"/>
        <v>-24025</v>
      </c>
      <c r="AA69" s="61"/>
      <c r="AB69" s="64"/>
      <c r="AC69" s="61"/>
      <c r="AD69" s="66"/>
      <c r="AE69" s="61"/>
      <c r="AF69" s="52">
        <f t="shared" si="4"/>
        <v>-24025</v>
      </c>
      <c r="AG69" s="46">
        <f t="shared" si="5"/>
        <v>-16950</v>
      </c>
      <c r="AH69" s="51">
        <f t="shared" si="6"/>
        <v>-40975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15850</v>
      </c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7">
        <f t="shared" si="0"/>
        <v>0</v>
      </c>
      <c r="R70" s="99">
        <f>3500+1000</f>
        <v>4500</v>
      </c>
      <c r="S70" s="6">
        <f t="shared" si="1"/>
        <v>11350</v>
      </c>
      <c r="T70" s="6">
        <v>-9425</v>
      </c>
      <c r="U70" s="6">
        <f t="shared" si="2"/>
        <v>1925</v>
      </c>
      <c r="V70" s="52"/>
      <c r="W70" s="57"/>
      <c r="X70" s="46"/>
      <c r="Y70" s="61"/>
      <c r="Z70" s="66">
        <f t="shared" si="3"/>
        <v>-11350</v>
      </c>
      <c r="AA70" s="61"/>
      <c r="AB70" s="67"/>
      <c r="AC70" s="61"/>
      <c r="AD70" s="66"/>
      <c r="AE70" s="61"/>
      <c r="AF70" s="52">
        <f t="shared" si="4"/>
        <v>-11350</v>
      </c>
      <c r="AG70" s="46">
        <f t="shared" si="5"/>
        <v>-9425</v>
      </c>
      <c r="AH70" s="51">
        <f t="shared" si="6"/>
        <v>-20775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47150</v>
      </c>
      <c r="D71" s="99">
        <v>16000</v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7">
        <f t="shared" si="0"/>
        <v>0</v>
      </c>
      <c r="R71" s="99">
        <f>11650+250+1000+2500+5000</f>
        <v>20400</v>
      </c>
      <c r="S71" s="6">
        <f t="shared" si="1"/>
        <v>42750</v>
      </c>
      <c r="T71" s="6">
        <v>-27500</v>
      </c>
      <c r="U71" s="6">
        <f t="shared" si="2"/>
        <v>15250</v>
      </c>
      <c r="V71" s="52"/>
      <c r="W71" s="57"/>
      <c r="X71" s="46"/>
      <c r="Y71" s="61"/>
      <c r="Z71" s="66">
        <f t="shared" si="3"/>
        <v>-42750</v>
      </c>
      <c r="AA71" s="61"/>
      <c r="AB71" s="64"/>
      <c r="AC71" s="61"/>
      <c r="AD71" s="66"/>
      <c r="AE71" s="61"/>
      <c r="AF71" s="52">
        <f t="shared" si="4"/>
        <v>-42750</v>
      </c>
      <c r="AG71" s="46">
        <f t="shared" si="5"/>
        <v>-27500</v>
      </c>
      <c r="AH71" s="51">
        <f t="shared" si="6"/>
        <v>-70250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99">
        <f>SUM(C7:C72)</f>
        <v>425555</v>
      </c>
      <c r="D73" s="99">
        <f t="shared" ref="D73:V73" si="11">SUM(D7:D72)</f>
        <v>74250</v>
      </c>
      <c r="E73" s="99">
        <f t="shared" si="11"/>
        <v>0</v>
      </c>
      <c r="F73" s="99">
        <f t="shared" si="11"/>
        <v>0</v>
      </c>
      <c r="G73" s="99">
        <f t="shared" si="11"/>
        <v>0</v>
      </c>
      <c r="H73" s="27">
        <f t="shared" si="11"/>
        <v>0</v>
      </c>
      <c r="I73" s="99">
        <f t="shared" si="11"/>
        <v>0</v>
      </c>
      <c r="J73" s="99">
        <f t="shared" si="11"/>
        <v>0</v>
      </c>
      <c r="K73" s="99">
        <f t="shared" si="11"/>
        <v>12800</v>
      </c>
      <c r="L73" s="99">
        <f t="shared" si="11"/>
        <v>0</v>
      </c>
      <c r="M73" s="99">
        <f t="shared" si="11"/>
        <v>0</v>
      </c>
      <c r="N73" s="99">
        <f t="shared" si="11"/>
        <v>0</v>
      </c>
      <c r="O73" s="99">
        <f t="shared" si="11"/>
        <v>0</v>
      </c>
      <c r="P73" s="99">
        <f t="shared" si="11"/>
        <v>0</v>
      </c>
      <c r="Q73" s="99">
        <f t="shared" si="11"/>
        <v>12800</v>
      </c>
      <c r="R73" s="99">
        <f t="shared" si="11"/>
        <v>80950</v>
      </c>
      <c r="S73" s="99">
        <f t="shared" si="11"/>
        <v>418855</v>
      </c>
      <c r="T73" s="99">
        <f t="shared" si="11"/>
        <v>-276370</v>
      </c>
      <c r="U73" s="99">
        <f t="shared" si="11"/>
        <v>142485</v>
      </c>
      <c r="V73" s="99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-418855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-418855</v>
      </c>
      <c r="AG73" s="43">
        <f t="shared" si="12"/>
        <v>-276370</v>
      </c>
      <c r="AH73" s="43">
        <f t="shared" si="12"/>
        <v>-695225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12800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</f>
        <v>12800</v>
      </c>
      <c r="S74" s="179"/>
      <c r="T74" s="180">
        <f>R74+R75</f>
        <v>211550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74250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</f>
        <v>198750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80950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</f>
        <v>161700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</f>
        <v>7500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65">
        <f>Q77+O77+M77+J77+F77</f>
        <v>7500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47650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39400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154200</v>
      </c>
      <c r="S80" s="165"/>
      <c r="T80" s="22"/>
      <c r="U80" s="22"/>
      <c r="V80" s="2"/>
      <c r="X80" s="63">
        <f>SUM(X77:X79)</f>
        <v>87050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96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/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/>
      <c r="R89" s="36"/>
      <c r="S89" s="36">
        <v>3</v>
      </c>
      <c r="T89" s="36"/>
      <c r="U89" s="36">
        <v>3</v>
      </c>
      <c r="V89" s="36"/>
      <c r="W89" s="36"/>
      <c r="X89" s="36">
        <f t="shared" si="13"/>
        <v>0</v>
      </c>
      <c r="Z89" s="36"/>
      <c r="AA89" s="36"/>
    </row>
    <row r="90" spans="1:31">
      <c r="B90" s="36"/>
      <c r="C90" s="36"/>
      <c r="Q90" s="63"/>
      <c r="R90" s="36"/>
      <c r="S90" s="36">
        <v>4</v>
      </c>
      <c r="T90" s="36"/>
      <c r="U90" s="36">
        <v>4</v>
      </c>
      <c r="V90" s="36"/>
      <c r="W90" s="36"/>
      <c r="X90" s="36">
        <f t="shared" si="13"/>
        <v>0</v>
      </c>
      <c r="Z90" s="36"/>
      <c r="AA90" s="36"/>
    </row>
    <row r="91" spans="1:31">
      <c r="B91" s="36"/>
      <c r="C91" s="36"/>
      <c r="Q91" s="63"/>
      <c r="R91" s="36"/>
      <c r="S91" s="36">
        <v>5</v>
      </c>
      <c r="T91" s="36"/>
      <c r="U91" s="36">
        <v>5</v>
      </c>
      <c r="V91" s="83"/>
      <c r="W91" s="83"/>
      <c r="X91" s="36">
        <f t="shared" si="13"/>
        <v>0</v>
      </c>
      <c r="Z91" s="36"/>
      <c r="AA91" s="36"/>
    </row>
    <row r="92" spans="1:31">
      <c r="B92" s="36"/>
      <c r="C92" s="36"/>
      <c r="Q92" s="63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0</v>
      </c>
      <c r="R118" s="63">
        <f t="shared" si="14"/>
        <v>19000</v>
      </c>
      <c r="S118" s="63"/>
      <c r="T118" s="63">
        <f>SUM(T87:T117)</f>
        <v>161700</v>
      </c>
      <c r="U118" s="63"/>
      <c r="V118" s="63">
        <f>SUM(V87:V117)</f>
        <v>12800</v>
      </c>
      <c r="W118" s="63">
        <f>SUM(W87:W117)</f>
        <v>198750</v>
      </c>
      <c r="X118" s="36">
        <f>SUM(V118:W118)</f>
        <v>211550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X24" sqref="X24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176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13250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2000+1000</f>
        <v>3000</v>
      </c>
      <c r="S7" s="6">
        <f>C7+D7-R7</f>
        <v>10250</v>
      </c>
      <c r="T7" s="34">
        <v>-9150</v>
      </c>
      <c r="U7" s="6">
        <f>S7+T7</f>
        <v>1100</v>
      </c>
      <c r="V7" s="52"/>
      <c r="W7" s="57"/>
      <c r="X7" s="46"/>
      <c r="Y7" s="65"/>
      <c r="Z7" s="66">
        <f>W7-S7</f>
        <v>-10250</v>
      </c>
      <c r="AA7" s="65"/>
      <c r="AB7" s="67"/>
      <c r="AC7" s="65"/>
      <c r="AD7" s="47"/>
      <c r="AE7" s="61"/>
      <c r="AF7" s="52">
        <f>SUM(Y7:AE7)</f>
        <v>-10250</v>
      </c>
      <c r="AG7" s="46">
        <f>U7+AF7</f>
        <v>-9150</v>
      </c>
      <c r="AH7" s="51">
        <f>AG7-S7</f>
        <v>-19400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38200</v>
      </c>
      <c r="D8" s="6">
        <v>4000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5000+3000</f>
        <v>8000</v>
      </c>
      <c r="S8" s="6">
        <f t="shared" ref="S8:S71" si="1">C8+D8-R8</f>
        <v>34200</v>
      </c>
      <c r="T8" s="6">
        <v>-24350</v>
      </c>
      <c r="U8" s="6">
        <f t="shared" ref="U8:U71" si="2">S8+T8</f>
        <v>9850</v>
      </c>
      <c r="V8" s="52"/>
      <c r="W8" s="57"/>
      <c r="X8" s="46"/>
      <c r="Y8" s="61"/>
      <c r="Z8" s="66">
        <f t="shared" ref="Z8:Z71" si="3">W8-S8</f>
        <v>-34200</v>
      </c>
      <c r="AA8" s="61"/>
      <c r="AB8" s="67"/>
      <c r="AC8" s="61"/>
      <c r="AD8" s="66"/>
      <c r="AE8" s="61"/>
      <c r="AF8" s="52">
        <f t="shared" ref="AF8:AF71" si="4">SUM(Y8:AE8)</f>
        <v>-34200</v>
      </c>
      <c r="AG8" s="46">
        <f t="shared" ref="AG8:AG71" si="5">U8+AF8</f>
        <v>-24350</v>
      </c>
      <c r="AH8" s="51">
        <f t="shared" ref="AH8:AH71" si="6">AG8-S8</f>
        <v>-58550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7000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7000</v>
      </c>
      <c r="T10" s="6">
        <v>-5175</v>
      </c>
      <c r="U10" s="6">
        <f t="shared" si="2"/>
        <v>1825</v>
      </c>
      <c r="V10" s="52"/>
      <c r="W10" s="57"/>
      <c r="X10" s="46"/>
      <c r="Y10" s="61"/>
      <c r="Z10" s="66">
        <f t="shared" si="3"/>
        <v>-7000</v>
      </c>
      <c r="AA10" s="61"/>
      <c r="AB10" s="67"/>
      <c r="AC10" s="61"/>
      <c r="AD10" s="66"/>
      <c r="AE10" s="61"/>
      <c r="AF10" s="52">
        <f t="shared" si="4"/>
        <v>-7000</v>
      </c>
      <c r="AG10" s="46">
        <f t="shared" si="5"/>
        <v>-5175</v>
      </c>
      <c r="AH10" s="51">
        <f t="shared" si="6"/>
        <v>-12175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6000</v>
      </c>
      <c r="D11" s="6">
        <v>6800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150+500</f>
        <v>650</v>
      </c>
      <c r="S11" s="6">
        <f t="shared" si="1"/>
        <v>12150</v>
      </c>
      <c r="T11" s="6">
        <v>-3500</v>
      </c>
      <c r="U11" s="6">
        <f t="shared" si="2"/>
        <v>8650</v>
      </c>
      <c r="V11" s="52"/>
      <c r="W11" s="57"/>
      <c r="X11" s="46"/>
      <c r="Y11" s="61"/>
      <c r="Z11" s="66">
        <f t="shared" si="3"/>
        <v>-12150</v>
      </c>
      <c r="AA11" s="61"/>
      <c r="AB11" s="67"/>
      <c r="AC11" s="61"/>
      <c r="AD11" s="66"/>
      <c r="AE11" s="61"/>
      <c r="AF11" s="52">
        <f t="shared" si="4"/>
        <v>-12150</v>
      </c>
      <c r="AG11" s="46">
        <f t="shared" si="5"/>
        <v>-3500</v>
      </c>
      <c r="AH11" s="51">
        <f t="shared" si="6"/>
        <v>-15650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600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600</v>
      </c>
      <c r="T12" s="6">
        <v>4700</v>
      </c>
      <c r="U12" s="6">
        <f t="shared" si="2"/>
        <v>5300</v>
      </c>
      <c r="V12" s="52"/>
      <c r="W12" s="57"/>
      <c r="X12" s="46"/>
      <c r="Y12" s="61"/>
      <c r="Z12" s="66">
        <f t="shared" si="3"/>
        <v>-600</v>
      </c>
      <c r="AA12" s="61"/>
      <c r="AB12" s="67"/>
      <c r="AC12" s="61"/>
      <c r="AD12" s="66"/>
      <c r="AE12" s="61"/>
      <c r="AF12" s="52">
        <f t="shared" si="4"/>
        <v>-600</v>
      </c>
      <c r="AG12" s="46">
        <f t="shared" si="5"/>
        <v>4700</v>
      </c>
      <c r="AH12" s="51">
        <f t="shared" si="6"/>
        <v>4100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7760</v>
      </c>
      <c r="D14" s="6">
        <f>5950+5000+10050+9950</f>
        <v>30950</v>
      </c>
      <c r="E14" s="6"/>
      <c r="F14" s="6"/>
      <c r="G14" s="6">
        <v>5000</v>
      </c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5000</v>
      </c>
      <c r="R14" s="6">
        <f>1500+2000+500+5900+1500</f>
        <v>11400</v>
      </c>
      <c r="S14" s="6">
        <f t="shared" si="1"/>
        <v>27310</v>
      </c>
      <c r="T14" s="6">
        <v>-5760</v>
      </c>
      <c r="U14" s="6">
        <f t="shared" si="2"/>
        <v>21550</v>
      </c>
      <c r="V14" s="52"/>
      <c r="W14" s="57"/>
      <c r="X14" s="46"/>
      <c r="Y14" s="61"/>
      <c r="Z14" s="66">
        <f t="shared" si="3"/>
        <v>-27310</v>
      </c>
      <c r="AA14" s="61"/>
      <c r="AB14" s="66"/>
      <c r="AC14" s="61"/>
      <c r="AD14" s="66"/>
      <c r="AE14" s="61"/>
      <c r="AF14" s="52">
        <f t="shared" si="4"/>
        <v>-27310</v>
      </c>
      <c r="AG14" s="46">
        <f t="shared" si="5"/>
        <v>-5760</v>
      </c>
      <c r="AH14" s="51">
        <f t="shared" si="6"/>
        <v>-33070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10750</v>
      </c>
      <c r="D16" s="6">
        <f>2000+4000</f>
        <v>6000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f>2000+2000</f>
        <v>4000</v>
      </c>
      <c r="S16" s="6">
        <f t="shared" si="1"/>
        <v>12750</v>
      </c>
      <c r="T16" s="34">
        <v>-10050</v>
      </c>
      <c r="U16" s="6">
        <f t="shared" si="2"/>
        <v>2700</v>
      </c>
      <c r="V16" s="52"/>
      <c r="W16" s="57"/>
      <c r="X16" s="46"/>
      <c r="Y16" s="61"/>
      <c r="Z16" s="66">
        <f t="shared" si="3"/>
        <v>-12750</v>
      </c>
      <c r="AA16" s="61"/>
      <c r="AB16" s="67"/>
      <c r="AC16" s="61"/>
      <c r="AD16" s="47"/>
      <c r="AE16" s="61"/>
      <c r="AF16" s="52">
        <f t="shared" si="4"/>
        <v>-12750</v>
      </c>
      <c r="AG16" s="46">
        <f t="shared" si="5"/>
        <v>-10050</v>
      </c>
      <c r="AH16" s="51">
        <f t="shared" si="6"/>
        <v>-22800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7700</v>
      </c>
      <c r="D17" s="6">
        <f>2000+8950</f>
        <v>10950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1750+1500</f>
        <v>3250</v>
      </c>
      <c r="S17" s="6">
        <f t="shared" si="1"/>
        <v>15400</v>
      </c>
      <c r="T17" s="6">
        <v>-5000</v>
      </c>
      <c r="U17" s="6">
        <f t="shared" si="2"/>
        <v>10400</v>
      </c>
      <c r="V17" s="52"/>
      <c r="W17" s="57"/>
      <c r="X17" s="46"/>
      <c r="Y17" s="61"/>
      <c r="Z17" s="66">
        <f t="shared" si="3"/>
        <v>-15400</v>
      </c>
      <c r="AA17" s="61"/>
      <c r="AB17" s="66"/>
      <c r="AC17" s="61"/>
      <c r="AD17" s="66"/>
      <c r="AE17" s="61"/>
      <c r="AF17" s="52">
        <f t="shared" si="4"/>
        <v>-15400</v>
      </c>
      <c r="AG17" s="46">
        <f t="shared" si="5"/>
        <v>-5000</v>
      </c>
      <c r="AH17" s="51">
        <f t="shared" si="6"/>
        <v>-20400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10620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>
        <v>500</v>
      </c>
      <c r="S19" s="6">
        <f t="shared" si="1"/>
        <v>10120</v>
      </c>
      <c r="T19" s="6">
        <v>-8940</v>
      </c>
      <c r="U19" s="6">
        <f t="shared" si="2"/>
        <v>1180</v>
      </c>
      <c r="V19" s="52"/>
      <c r="W19" s="57"/>
      <c r="X19" s="46"/>
      <c r="Y19" s="61"/>
      <c r="Z19" s="66">
        <f t="shared" si="3"/>
        <v>-10120</v>
      </c>
      <c r="AA19" s="61"/>
      <c r="AB19" s="67"/>
      <c r="AC19" s="61"/>
      <c r="AD19" s="66"/>
      <c r="AE19" s="61"/>
      <c r="AF19" s="52">
        <f t="shared" si="4"/>
        <v>-10120</v>
      </c>
      <c r="AG19" s="46">
        <f t="shared" si="5"/>
        <v>-8940</v>
      </c>
      <c r="AH19" s="51">
        <f t="shared" si="6"/>
        <v>-19060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7">
        <f t="shared" si="0"/>
        <v>0</v>
      </c>
      <c r="R22" s="155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7">
        <f t="shared" si="0"/>
        <v>0</v>
      </c>
      <c r="R24" s="155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7">
        <f t="shared" si="0"/>
        <v>0</v>
      </c>
      <c r="R25" s="155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7">
        <f t="shared" si="0"/>
        <v>0</v>
      </c>
      <c r="R26" s="155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5480</v>
      </c>
      <c r="D27" s="6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7">
        <f t="shared" si="0"/>
        <v>0</v>
      </c>
      <c r="R27" s="155"/>
      <c r="S27" s="6">
        <f t="shared" si="1"/>
        <v>5480</v>
      </c>
      <c r="T27" s="6">
        <v>-40</v>
      </c>
      <c r="U27" s="6">
        <f t="shared" si="2"/>
        <v>5440</v>
      </c>
      <c r="V27" s="52"/>
      <c r="W27" s="57"/>
      <c r="X27" s="46"/>
      <c r="Y27" s="61"/>
      <c r="Z27" s="66">
        <f t="shared" si="3"/>
        <v>-5480</v>
      </c>
      <c r="AA27" s="61"/>
      <c r="AB27" s="67"/>
      <c r="AC27" s="61"/>
      <c r="AD27" s="66"/>
      <c r="AE27" s="61"/>
      <c r="AF27" s="52">
        <f t="shared" si="4"/>
        <v>-5480</v>
      </c>
      <c r="AG27" s="46">
        <f t="shared" si="5"/>
        <v>-40</v>
      </c>
      <c r="AH27" s="51">
        <f t="shared" si="6"/>
        <v>-5520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1960</v>
      </c>
      <c r="D28" s="6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7">
        <f t="shared" si="0"/>
        <v>0</v>
      </c>
      <c r="R28" s="155">
        <v>1000</v>
      </c>
      <c r="S28" s="6">
        <f t="shared" si="1"/>
        <v>960</v>
      </c>
      <c r="T28" s="6">
        <f>-40-100</f>
        <v>-140</v>
      </c>
      <c r="U28" s="6">
        <f t="shared" si="2"/>
        <v>820</v>
      </c>
      <c r="V28" s="52"/>
      <c r="W28" s="57"/>
      <c r="X28" s="46"/>
      <c r="Y28" s="61"/>
      <c r="Z28" s="66">
        <f t="shared" si="3"/>
        <v>-960</v>
      </c>
      <c r="AA28" s="61"/>
      <c r="AB28" s="67"/>
      <c r="AC28" s="61"/>
      <c r="AD28" s="66"/>
      <c r="AE28" s="61"/>
      <c r="AF28" s="52">
        <f t="shared" si="4"/>
        <v>-960</v>
      </c>
      <c r="AG28" s="46">
        <f t="shared" si="5"/>
        <v>-140</v>
      </c>
      <c r="AH28" s="51">
        <f t="shared" si="6"/>
        <v>-1100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7">
        <f t="shared" si="0"/>
        <v>0</v>
      </c>
      <c r="R29" s="155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7">
        <f t="shared" si="0"/>
        <v>0</v>
      </c>
      <c r="R30" s="155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7">
        <f t="shared" si="0"/>
        <v>0</v>
      </c>
      <c r="R31" s="155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33680</v>
      </c>
      <c r="D32" s="6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6"/>
      <c r="P32" s="6"/>
      <c r="Q32" s="7">
        <f>SUM(E32:P32)</f>
        <v>0</v>
      </c>
      <c r="R32" s="155"/>
      <c r="S32" s="6">
        <f t="shared" si="1"/>
        <v>33680</v>
      </c>
      <c r="T32" s="6">
        <v>-18280</v>
      </c>
      <c r="U32" s="6">
        <f t="shared" si="2"/>
        <v>15400</v>
      </c>
      <c r="V32" s="52"/>
      <c r="W32" s="57"/>
      <c r="X32" s="46"/>
      <c r="Y32" s="61"/>
      <c r="Z32" s="66">
        <f t="shared" si="3"/>
        <v>-33680</v>
      </c>
      <c r="AA32" s="61"/>
      <c r="AB32" s="67"/>
      <c r="AC32" s="61"/>
      <c r="AD32" s="66"/>
      <c r="AE32" s="61"/>
      <c r="AF32" s="52">
        <f t="shared" si="4"/>
        <v>-33680</v>
      </c>
      <c r="AG32" s="46">
        <f t="shared" si="5"/>
        <v>-18280</v>
      </c>
      <c r="AH32" s="51">
        <f t="shared" si="6"/>
        <v>-51960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7">
        <f t="shared" si="0"/>
        <v>0</v>
      </c>
      <c r="R33" s="155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55"/>
      <c r="F34" s="155"/>
      <c r="G34" s="155"/>
      <c r="H34" s="155"/>
      <c r="I34" s="155"/>
      <c r="J34" s="155"/>
      <c r="K34" s="6"/>
      <c r="L34" s="155"/>
      <c r="M34" s="155"/>
      <c r="N34" s="155"/>
      <c r="O34" s="155"/>
      <c r="P34" s="155"/>
      <c r="Q34" s="7">
        <f t="shared" si="0"/>
        <v>0</v>
      </c>
      <c r="R34" s="155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2820</v>
      </c>
      <c r="D35" s="6"/>
      <c r="E35" s="155"/>
      <c r="F35" s="155"/>
      <c r="G35" s="155"/>
      <c r="H35" s="155"/>
      <c r="I35" s="155"/>
      <c r="J35" s="155"/>
      <c r="K35" s="6">
        <v>325</v>
      </c>
      <c r="L35" s="155"/>
      <c r="M35" s="155"/>
      <c r="N35" s="155"/>
      <c r="O35" s="155"/>
      <c r="P35" s="155"/>
      <c r="Q35" s="7">
        <f t="shared" si="0"/>
        <v>325</v>
      </c>
      <c r="R35" s="155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7">
        <f t="shared" si="0"/>
        <v>0</v>
      </c>
      <c r="R36" s="155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7">
        <f t="shared" si="0"/>
        <v>0</v>
      </c>
      <c r="R37" s="155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7">
        <f>SUM(E38:P38)</f>
        <v>0</v>
      </c>
      <c r="R38" s="155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7">
        <f>SUM(E39:P39)</f>
        <v>0</v>
      </c>
      <c r="R39" s="155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55"/>
      <c r="F40" s="155"/>
      <c r="G40" s="155"/>
      <c r="H40" s="27"/>
      <c r="I40" s="155"/>
      <c r="J40" s="155"/>
      <c r="K40" s="155"/>
      <c r="L40" s="155"/>
      <c r="M40" s="155"/>
      <c r="N40" s="155"/>
      <c r="O40" s="155"/>
      <c r="P40" s="155"/>
      <c r="Q40" s="7">
        <f>SUM(E40:P40)</f>
        <v>0</v>
      </c>
      <c r="R40" s="155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7">
        <f>SUM(E41:P41)</f>
        <v>0</v>
      </c>
      <c r="R41" s="155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7">
        <f>SUM(E42:P42)</f>
        <v>0</v>
      </c>
      <c r="R42" s="155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7">
        <f t="shared" si="0"/>
        <v>0</v>
      </c>
      <c r="R44" s="155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7">
        <f t="shared" si="0"/>
        <v>0</v>
      </c>
      <c r="R45" s="155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7">
        <f t="shared" si="0"/>
        <v>0</v>
      </c>
      <c r="R46" s="155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7">
        <f t="shared" si="0"/>
        <v>0</v>
      </c>
      <c r="R47" s="155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7">
        <f t="shared" si="0"/>
        <v>0</v>
      </c>
      <c r="R48" s="155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7">
        <f t="shared" si="0"/>
        <v>0</v>
      </c>
      <c r="R49" s="155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14265</v>
      </c>
      <c r="D50" s="6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7">
        <f t="shared" si="0"/>
        <v>0</v>
      </c>
      <c r="R50" s="155">
        <f>2000+500</f>
        <v>2500</v>
      </c>
      <c r="S50" s="6">
        <f t="shared" si="1"/>
        <v>11765</v>
      </c>
      <c r="T50" s="6">
        <f>-12000+8615</f>
        <v>-3385</v>
      </c>
      <c r="U50" s="6">
        <f t="shared" si="2"/>
        <v>8380</v>
      </c>
      <c r="V50" s="52"/>
      <c r="W50" s="57"/>
      <c r="X50" s="46"/>
      <c r="Y50" s="61"/>
      <c r="Z50" s="66">
        <f t="shared" si="3"/>
        <v>-11765</v>
      </c>
      <c r="AA50" s="61"/>
      <c r="AB50" s="64"/>
      <c r="AC50" s="61"/>
      <c r="AD50" s="66"/>
      <c r="AE50" s="61"/>
      <c r="AF50" s="52">
        <f t="shared" si="4"/>
        <v>-11765</v>
      </c>
      <c r="AG50" s="46">
        <f t="shared" si="5"/>
        <v>-3385</v>
      </c>
      <c r="AH50" s="51">
        <f t="shared" si="6"/>
        <v>-15150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7">
        <f t="shared" si="0"/>
        <v>0</v>
      </c>
      <c r="R51" s="155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3410</v>
      </c>
      <c r="D52" s="6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7">
        <f t="shared" si="0"/>
        <v>0</v>
      </c>
      <c r="R52" s="155"/>
      <c r="S52" s="6">
        <f t="shared" si="1"/>
        <v>3410</v>
      </c>
      <c r="T52" s="6">
        <v>-2510</v>
      </c>
      <c r="U52" s="6">
        <f t="shared" si="2"/>
        <v>900</v>
      </c>
      <c r="V52" s="52"/>
      <c r="W52" s="57"/>
      <c r="X52" s="46"/>
      <c r="Y52" s="61"/>
      <c r="Z52" s="66">
        <f t="shared" si="3"/>
        <v>-3410</v>
      </c>
      <c r="AA52" s="61"/>
      <c r="AB52" s="67"/>
      <c r="AC52" s="61"/>
      <c r="AD52" s="66"/>
      <c r="AE52" s="61"/>
      <c r="AF52" s="52">
        <f t="shared" si="4"/>
        <v>-3410</v>
      </c>
      <c r="AG52" s="46">
        <f t="shared" si="5"/>
        <v>-2510</v>
      </c>
      <c r="AH52" s="51">
        <f t="shared" si="6"/>
        <v>-5920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12950</v>
      </c>
      <c r="D53" s="6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7">
        <f t="shared" si="0"/>
        <v>0</v>
      </c>
      <c r="R53" s="155"/>
      <c r="S53" s="6">
        <f t="shared" si="1"/>
        <v>12950</v>
      </c>
      <c r="T53" s="6">
        <v>-11550</v>
      </c>
      <c r="U53" s="6">
        <f t="shared" si="2"/>
        <v>1400</v>
      </c>
      <c r="V53" s="52"/>
      <c r="W53" s="57"/>
      <c r="X53" s="46"/>
      <c r="Y53" s="61"/>
      <c r="Z53" s="66">
        <f t="shared" si="3"/>
        <v>-12950</v>
      </c>
      <c r="AA53" s="61"/>
      <c r="AB53" s="67"/>
      <c r="AC53" s="61"/>
      <c r="AD53" s="66"/>
      <c r="AE53" s="61"/>
      <c r="AF53" s="52">
        <f t="shared" si="4"/>
        <v>-12950</v>
      </c>
      <c r="AG53" s="46">
        <f t="shared" si="5"/>
        <v>-11550</v>
      </c>
      <c r="AH53" s="51">
        <f t="shared" si="6"/>
        <v>-24500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5450</v>
      </c>
      <c r="D54" s="6"/>
      <c r="E54" s="155"/>
      <c r="F54" s="155"/>
      <c r="G54" s="155"/>
      <c r="H54" s="155"/>
      <c r="I54" s="155"/>
      <c r="J54" s="155"/>
      <c r="K54" s="155">
        <v>7000</v>
      </c>
      <c r="L54" s="155"/>
      <c r="M54" s="155"/>
      <c r="N54" s="155"/>
      <c r="O54" s="155"/>
      <c r="P54" s="155"/>
      <c r="Q54" s="7">
        <f t="shared" si="0"/>
        <v>7000</v>
      </c>
      <c r="R54" s="155"/>
      <c r="S54" s="6">
        <f t="shared" si="1"/>
        <v>5450</v>
      </c>
      <c r="T54" s="6">
        <v>-2850</v>
      </c>
      <c r="U54" s="6">
        <f t="shared" si="2"/>
        <v>2600</v>
      </c>
      <c r="V54" s="52"/>
      <c r="W54" s="57"/>
      <c r="X54" s="46"/>
      <c r="Y54" s="61"/>
      <c r="Z54" s="66">
        <f t="shared" si="3"/>
        <v>-5450</v>
      </c>
      <c r="AA54" s="61"/>
      <c r="AB54" s="67"/>
      <c r="AC54" s="61"/>
      <c r="AD54" s="66"/>
      <c r="AE54" s="61"/>
      <c r="AF54" s="52">
        <f t="shared" si="4"/>
        <v>-5450</v>
      </c>
      <c r="AG54" s="46">
        <f t="shared" si="5"/>
        <v>-2850</v>
      </c>
      <c r="AH54" s="51">
        <f t="shared" si="6"/>
        <v>-8300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7">
        <f t="shared" si="0"/>
        <v>0</v>
      </c>
      <c r="R55" s="155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7">
        <f>SUM(E56:P56)</f>
        <v>0</v>
      </c>
      <c r="R56" s="155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7">
        <f t="shared" si="0"/>
        <v>0</v>
      </c>
      <c r="R61" s="155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7">
        <f t="shared" si="0"/>
        <v>0</v>
      </c>
      <c r="R62" s="154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7">
        <f t="shared" si="0"/>
        <v>0</v>
      </c>
      <c r="R63" s="154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7">
        <f t="shared" si="0"/>
        <v>0</v>
      </c>
      <c r="R64" s="154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7">
        <f t="shared" si="0"/>
        <v>0</v>
      </c>
      <c r="R65" s="154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53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2350</v>
      </c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7">
        <f t="shared" si="0"/>
        <v>0</v>
      </c>
      <c r="R67" s="155"/>
      <c r="S67" s="6">
        <f t="shared" si="1"/>
        <v>2350</v>
      </c>
      <c r="T67" s="6">
        <v>-1525</v>
      </c>
      <c r="U67" s="6">
        <f t="shared" si="2"/>
        <v>825</v>
      </c>
      <c r="V67" s="52"/>
      <c r="W67" s="57"/>
      <c r="X67" s="46"/>
      <c r="Y67" s="61"/>
      <c r="Z67" s="66">
        <f t="shared" si="3"/>
        <v>-2350</v>
      </c>
      <c r="AA67" s="61"/>
      <c r="AB67" s="67"/>
      <c r="AC67" s="61"/>
      <c r="AD67" s="66"/>
      <c r="AE67" s="61"/>
      <c r="AF67" s="52">
        <f t="shared" si="4"/>
        <v>-2350</v>
      </c>
      <c r="AG67" s="46">
        <f t="shared" si="5"/>
        <v>-1525</v>
      </c>
      <c r="AH67" s="51">
        <f t="shared" si="6"/>
        <v>-3875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293025</v>
      </c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7">
        <f t="shared" si="0"/>
        <v>0</v>
      </c>
      <c r="R68" s="155">
        <v>26325</v>
      </c>
      <c r="S68" s="6">
        <f t="shared" si="1"/>
        <v>266700</v>
      </c>
      <c r="T68" s="6">
        <v>0</v>
      </c>
      <c r="U68" s="6">
        <f t="shared" si="2"/>
        <v>266700</v>
      </c>
      <c r="V68" s="52"/>
      <c r="W68" s="57"/>
      <c r="X68" s="46"/>
      <c r="Y68" s="61"/>
      <c r="Z68" s="66">
        <f t="shared" si="3"/>
        <v>-266700</v>
      </c>
      <c r="AA68" s="61"/>
      <c r="AB68" s="67"/>
      <c r="AC68" s="61"/>
      <c r="AD68" s="66"/>
      <c r="AE68" s="61"/>
      <c r="AF68" s="52">
        <f t="shared" si="4"/>
        <v>-266700</v>
      </c>
      <c r="AG68" s="46">
        <f t="shared" si="5"/>
        <v>0</v>
      </c>
      <c r="AH68" s="51">
        <f t="shared" si="6"/>
        <v>-266700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27450</v>
      </c>
      <c r="D69" s="155">
        <v>5000</v>
      </c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7">
        <f t="shared" si="0"/>
        <v>0</v>
      </c>
      <c r="R69" s="155">
        <f>8000+1250+1000</f>
        <v>10250</v>
      </c>
      <c r="S69" s="6">
        <f t="shared" si="1"/>
        <v>22200</v>
      </c>
      <c r="T69" s="6">
        <f>-16950+550</f>
        <v>-16400</v>
      </c>
      <c r="U69" s="6">
        <f t="shared" si="2"/>
        <v>5800</v>
      </c>
      <c r="V69" s="52"/>
      <c r="W69" s="57"/>
      <c r="X69" s="46"/>
      <c r="Y69" s="61"/>
      <c r="Z69" s="66">
        <f t="shared" si="3"/>
        <v>-22200</v>
      </c>
      <c r="AA69" s="61"/>
      <c r="AB69" s="64"/>
      <c r="AC69" s="61"/>
      <c r="AD69" s="66"/>
      <c r="AE69" s="61"/>
      <c r="AF69" s="52">
        <f t="shared" si="4"/>
        <v>-22200</v>
      </c>
      <c r="AG69" s="46">
        <f t="shared" si="5"/>
        <v>-16400</v>
      </c>
      <c r="AH69" s="51">
        <f t="shared" si="6"/>
        <v>-38600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12575</v>
      </c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7">
        <f t="shared" si="0"/>
        <v>0</v>
      </c>
      <c r="R70" s="155"/>
      <c r="S70" s="6">
        <f t="shared" si="1"/>
        <v>12575</v>
      </c>
      <c r="T70" s="6">
        <v>-9425</v>
      </c>
      <c r="U70" s="6">
        <f t="shared" si="2"/>
        <v>3150</v>
      </c>
      <c r="V70" s="52"/>
      <c r="W70" s="57"/>
      <c r="X70" s="46"/>
      <c r="Y70" s="61"/>
      <c r="Z70" s="66">
        <f t="shared" si="3"/>
        <v>-12575</v>
      </c>
      <c r="AA70" s="61"/>
      <c r="AB70" s="67"/>
      <c r="AC70" s="61"/>
      <c r="AD70" s="66"/>
      <c r="AE70" s="61"/>
      <c r="AF70" s="52">
        <f t="shared" si="4"/>
        <v>-12575</v>
      </c>
      <c r="AG70" s="46">
        <f t="shared" si="5"/>
        <v>-9425</v>
      </c>
      <c r="AH70" s="51">
        <f t="shared" si="6"/>
        <v>-22000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f>38825+4000</f>
        <v>42825</v>
      </c>
      <c r="D71" s="155">
        <v>5000</v>
      </c>
      <c r="E71" s="155"/>
      <c r="F71" s="155"/>
      <c r="G71" s="155"/>
      <c r="H71" s="155">
        <v>2075</v>
      </c>
      <c r="I71" s="155"/>
      <c r="J71" s="155"/>
      <c r="K71" s="155"/>
      <c r="L71" s="155"/>
      <c r="M71" s="155"/>
      <c r="N71" s="155"/>
      <c r="O71" s="155"/>
      <c r="P71" s="155"/>
      <c r="Q71" s="7">
        <f t="shared" si="0"/>
        <v>2075</v>
      </c>
      <c r="R71" s="155">
        <f>12000+2000</f>
        <v>14000</v>
      </c>
      <c r="S71" s="6">
        <f t="shared" si="1"/>
        <v>33825</v>
      </c>
      <c r="T71" s="6">
        <f>-27500+1000</f>
        <v>-26500</v>
      </c>
      <c r="U71" s="6">
        <f t="shared" si="2"/>
        <v>7325</v>
      </c>
      <c r="V71" s="52"/>
      <c r="W71" s="57"/>
      <c r="X71" s="46"/>
      <c r="Y71" s="61"/>
      <c r="Z71" s="66">
        <f t="shared" si="3"/>
        <v>-33825</v>
      </c>
      <c r="AA71" s="61"/>
      <c r="AB71" s="64"/>
      <c r="AC71" s="61"/>
      <c r="AD71" s="66"/>
      <c r="AE71" s="61"/>
      <c r="AF71" s="52">
        <f t="shared" si="4"/>
        <v>-33825</v>
      </c>
      <c r="AG71" s="46">
        <f t="shared" si="5"/>
        <v>-26500</v>
      </c>
      <c r="AH71" s="51">
        <f t="shared" si="6"/>
        <v>-60325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55">
        <f>SUM(C7:C72)</f>
        <v>689555</v>
      </c>
      <c r="D73" s="155">
        <f t="shared" ref="D73:V73" si="11">SUM(D7:D72)</f>
        <v>68700</v>
      </c>
      <c r="E73" s="155">
        <f t="shared" si="11"/>
        <v>0</v>
      </c>
      <c r="F73" s="155">
        <f t="shared" si="11"/>
        <v>0</v>
      </c>
      <c r="G73" s="155">
        <f t="shared" si="11"/>
        <v>5000</v>
      </c>
      <c r="H73" s="27">
        <f t="shared" si="11"/>
        <v>2075</v>
      </c>
      <c r="I73" s="155">
        <f t="shared" si="11"/>
        <v>0</v>
      </c>
      <c r="J73" s="155">
        <f t="shared" si="11"/>
        <v>0</v>
      </c>
      <c r="K73" s="155">
        <f t="shared" si="11"/>
        <v>7325</v>
      </c>
      <c r="L73" s="155">
        <f t="shared" si="11"/>
        <v>0</v>
      </c>
      <c r="M73" s="155">
        <f t="shared" si="11"/>
        <v>0</v>
      </c>
      <c r="N73" s="155">
        <f t="shared" si="11"/>
        <v>0</v>
      </c>
      <c r="O73" s="155">
        <f t="shared" si="11"/>
        <v>0</v>
      </c>
      <c r="P73" s="155">
        <f t="shared" si="11"/>
        <v>0</v>
      </c>
      <c r="Q73" s="155">
        <f t="shared" si="11"/>
        <v>14400</v>
      </c>
      <c r="R73" s="155">
        <f t="shared" si="11"/>
        <v>84875</v>
      </c>
      <c r="S73" s="155">
        <f t="shared" si="11"/>
        <v>673380</v>
      </c>
      <c r="T73" s="155">
        <f t="shared" si="11"/>
        <v>-271290</v>
      </c>
      <c r="U73" s="155">
        <f t="shared" si="11"/>
        <v>402090</v>
      </c>
      <c r="V73" s="155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-673380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-673380</v>
      </c>
      <c r="AG73" s="43">
        <f t="shared" si="12"/>
        <v>-271290</v>
      </c>
      <c r="AH73" s="43">
        <f t="shared" si="12"/>
        <v>-944670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14400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12800+8740+39315+37885+14400+4240+27875+26870+10680+39440+23040+12000+14400</f>
        <v>271685</v>
      </c>
      <c r="S74" s="179"/>
      <c r="T74" s="180">
        <f>R74+R75</f>
        <v>1823190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68700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124500+74250+83725+71820+71700+75700+47700+108850+111100+92015+65400+61200+94675+45600+57550+62075+58800+90595+85550+68700</f>
        <v>1551505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84875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80750+80950+66040+73470+44825+60325+42575+30900+34750+57880+55250+102725+48500+27000+46550+86600+111550+83700+44675+84875</f>
        <v>1263890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7500+11500+17500+13000+7000+12400+5850+6000+7000+7000+7000+6500+6300+7000+4250+10000+10000+7000+4150+10250</f>
        <v>167200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2140+9880+12320+20000+6850</f>
        <v>51190</v>
      </c>
      <c r="N77" s="40" t="s">
        <v>90</v>
      </c>
      <c r="O77" s="82">
        <f>4000+1000</f>
        <v>5000</v>
      </c>
      <c r="P77" s="40" t="s">
        <v>91</v>
      </c>
      <c r="Q77" s="40">
        <f>12000+10000</f>
        <v>22000</v>
      </c>
      <c r="R77" s="165">
        <f>Q77+O77+M77+J77+F77</f>
        <v>263390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31275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51825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1000500</v>
      </c>
      <c r="S80" s="165"/>
      <c r="T80" s="22"/>
      <c r="U80" s="22"/>
      <c r="V80" s="2"/>
      <c r="X80" s="63">
        <f>SUM(X77:X79)</f>
        <v>83100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52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>
        <v>7000</v>
      </c>
      <c r="S100" s="36">
        <v>14</v>
      </c>
      <c r="T100" s="36">
        <v>27000</v>
      </c>
      <c r="U100" s="36">
        <v>14</v>
      </c>
      <c r="V100" s="36">
        <v>39440</v>
      </c>
      <c r="W100" s="36">
        <v>45600</v>
      </c>
      <c r="X100" s="36">
        <f t="shared" si="13"/>
        <v>85040</v>
      </c>
    </row>
    <row r="101" spans="14:26">
      <c r="O101" s="36"/>
      <c r="P101" s="36"/>
      <c r="Q101" s="36">
        <v>6850</v>
      </c>
      <c r="R101" s="36">
        <v>6500</v>
      </c>
      <c r="S101" s="36">
        <v>15</v>
      </c>
      <c r="T101" s="36">
        <v>46550</v>
      </c>
      <c r="U101" s="36">
        <v>15</v>
      </c>
      <c r="V101" s="36">
        <v>23040</v>
      </c>
      <c r="W101" s="36">
        <v>61550</v>
      </c>
      <c r="X101" s="36">
        <f t="shared" si="13"/>
        <v>84590</v>
      </c>
    </row>
    <row r="102" spans="14:26">
      <c r="O102" s="36"/>
      <c r="P102" s="36"/>
      <c r="Q102" s="36"/>
      <c r="R102" s="36">
        <v>6300</v>
      </c>
      <c r="S102" s="36">
        <v>16</v>
      </c>
      <c r="T102" s="36">
        <v>86600</v>
      </c>
      <c r="U102" s="36">
        <v>16</v>
      </c>
      <c r="V102" s="36"/>
      <c r="W102" s="36">
        <v>62075</v>
      </c>
      <c r="X102" s="36">
        <f t="shared" si="13"/>
        <v>62075</v>
      </c>
    </row>
    <row r="103" spans="14:26">
      <c r="O103" s="36"/>
      <c r="P103" s="36"/>
      <c r="Q103" s="36"/>
      <c r="R103" s="36">
        <v>11250</v>
      </c>
      <c r="S103" s="36">
        <v>17</v>
      </c>
      <c r="T103" s="36">
        <v>111550</v>
      </c>
      <c r="U103" s="36">
        <v>17</v>
      </c>
      <c r="V103" s="36"/>
      <c r="W103" s="36">
        <v>58800</v>
      </c>
      <c r="X103" s="36">
        <f t="shared" si="13"/>
        <v>58800</v>
      </c>
    </row>
    <row r="104" spans="14:26">
      <c r="O104" s="36"/>
      <c r="P104" s="36"/>
      <c r="Q104" s="36"/>
      <c r="R104" s="36">
        <v>11150</v>
      </c>
      <c r="S104" s="36">
        <v>18</v>
      </c>
      <c r="T104" s="36">
        <v>83700</v>
      </c>
      <c r="U104" s="36">
        <v>18</v>
      </c>
      <c r="V104" s="36"/>
      <c r="W104" s="36">
        <v>90595</v>
      </c>
      <c r="X104" s="36">
        <f t="shared" si="13"/>
        <v>90595</v>
      </c>
    </row>
    <row r="105" spans="14:26">
      <c r="O105" s="36">
        <v>10000</v>
      </c>
      <c r="P105" s="36"/>
      <c r="Q105" s="36"/>
      <c r="R105" s="36">
        <v>10250</v>
      </c>
      <c r="S105" s="36">
        <v>19</v>
      </c>
      <c r="T105" s="36">
        <v>44675</v>
      </c>
      <c r="U105" s="36">
        <v>19</v>
      </c>
      <c r="V105" s="36">
        <v>12000</v>
      </c>
      <c r="W105" s="36">
        <v>85550</v>
      </c>
      <c r="X105" s="36">
        <f t="shared" si="13"/>
        <v>97550</v>
      </c>
      <c r="Z105" s="36"/>
    </row>
    <row r="106" spans="14:26">
      <c r="O106" s="36"/>
      <c r="P106" s="36"/>
      <c r="Q106" s="36"/>
      <c r="R106" s="36">
        <v>6400</v>
      </c>
      <c r="S106" s="36">
        <v>20</v>
      </c>
      <c r="T106" s="36">
        <v>84875</v>
      </c>
      <c r="U106" s="36">
        <v>20</v>
      </c>
      <c r="V106" s="36">
        <v>14400</v>
      </c>
      <c r="W106" s="36">
        <v>68700</v>
      </c>
      <c r="X106" s="36">
        <f t="shared" si="13"/>
        <v>83100</v>
      </c>
    </row>
    <row r="107" spans="14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22000</v>
      </c>
      <c r="P118" s="63">
        <f t="shared" si="14"/>
        <v>5000</v>
      </c>
      <c r="Q118" s="63">
        <f t="shared" si="14"/>
        <v>38870</v>
      </c>
      <c r="R118" s="63">
        <f t="shared" si="14"/>
        <v>173600</v>
      </c>
      <c r="S118" s="63"/>
      <c r="T118" s="63">
        <f>SUM(T87:T117)</f>
        <v>1263890</v>
      </c>
      <c r="U118" s="63"/>
      <c r="V118" s="63">
        <f>SUM(V87:V117)</f>
        <v>271685</v>
      </c>
      <c r="W118" s="63">
        <f>SUM(W87:W117)</f>
        <v>1555505</v>
      </c>
      <c r="X118" s="36">
        <f>SUM(V118:W118)</f>
        <v>1827190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W145"/>
  <sheetViews>
    <sheetView tabSelected="1"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J12" sqref="J12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177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168</v>
      </c>
      <c r="P6" s="91" t="s">
        <v>167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10250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500</v>
      </c>
      <c r="S7" s="6">
        <f>C7+D7-R7</f>
        <v>9750</v>
      </c>
      <c r="T7" s="34">
        <v>-9150</v>
      </c>
      <c r="U7" s="6">
        <f>S7+T7</f>
        <v>600</v>
      </c>
      <c r="V7" s="52"/>
      <c r="W7" s="57"/>
      <c r="X7" s="46"/>
      <c r="Y7" s="65"/>
      <c r="Z7" s="66">
        <f>W7-S7</f>
        <v>-9750</v>
      </c>
      <c r="AA7" s="65"/>
      <c r="AB7" s="67"/>
      <c r="AC7" s="65"/>
      <c r="AD7" s="47"/>
      <c r="AE7" s="61"/>
      <c r="AF7" s="52">
        <f>SUM(Y7:AE7)</f>
        <v>-9750</v>
      </c>
      <c r="AG7" s="46">
        <f>U7+AF7</f>
        <v>-9150</v>
      </c>
      <c r="AH7" s="51">
        <f>AG7-S7</f>
        <v>-18900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34200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1000</v>
      </c>
      <c r="S8" s="6">
        <f t="shared" ref="S8:S71" si="1">C8+D8-R8</f>
        <v>33200</v>
      </c>
      <c r="T8" s="6">
        <v>-24350</v>
      </c>
      <c r="U8" s="6">
        <f t="shared" ref="U8:U71" si="2">S8+T8</f>
        <v>8850</v>
      </c>
      <c r="V8" s="52"/>
      <c r="W8" s="57"/>
      <c r="X8" s="46"/>
      <c r="Y8" s="61"/>
      <c r="Z8" s="66">
        <f t="shared" ref="Z8:Z71" si="3">W8-S8</f>
        <v>-33200</v>
      </c>
      <c r="AA8" s="61"/>
      <c r="AB8" s="67"/>
      <c r="AC8" s="61"/>
      <c r="AD8" s="66"/>
      <c r="AE8" s="61"/>
      <c r="AF8" s="52">
        <f t="shared" ref="AF8:AF71" si="4">SUM(Y8:AE8)</f>
        <v>-33200</v>
      </c>
      <c r="AG8" s="46">
        <f t="shared" ref="AG8:AG71" si="5">U8+AF8</f>
        <v>-24350</v>
      </c>
      <c r="AH8" s="51">
        <f t="shared" ref="AH8:AH71" si="6">AG8-S8</f>
        <v>-57550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7000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7000</v>
      </c>
      <c r="T10" s="6">
        <v>-5175</v>
      </c>
      <c r="U10" s="6">
        <f t="shared" si="2"/>
        <v>1825</v>
      </c>
      <c r="V10" s="52"/>
      <c r="W10" s="57"/>
      <c r="X10" s="46"/>
      <c r="Y10" s="61"/>
      <c r="Z10" s="66">
        <f t="shared" si="3"/>
        <v>-7000</v>
      </c>
      <c r="AA10" s="61"/>
      <c r="AB10" s="67"/>
      <c r="AC10" s="61"/>
      <c r="AD10" s="66"/>
      <c r="AE10" s="61"/>
      <c r="AF10" s="52">
        <f t="shared" si="4"/>
        <v>-7000</v>
      </c>
      <c r="AG10" s="46">
        <f t="shared" si="5"/>
        <v>-5175</v>
      </c>
      <c r="AH10" s="51">
        <f t="shared" si="6"/>
        <v>-12175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12150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7000+100</f>
        <v>7100</v>
      </c>
      <c r="S11" s="6">
        <f t="shared" si="1"/>
        <v>5050</v>
      </c>
      <c r="T11" s="6">
        <v>-3500</v>
      </c>
      <c r="U11" s="6">
        <f t="shared" si="2"/>
        <v>1550</v>
      </c>
      <c r="V11" s="52"/>
      <c r="W11" s="57"/>
      <c r="X11" s="46"/>
      <c r="Y11" s="61"/>
      <c r="Z11" s="66">
        <f t="shared" si="3"/>
        <v>-5050</v>
      </c>
      <c r="AA11" s="61"/>
      <c r="AB11" s="67"/>
      <c r="AC11" s="61"/>
      <c r="AD11" s="66"/>
      <c r="AE11" s="61"/>
      <c r="AF11" s="52">
        <f t="shared" si="4"/>
        <v>-5050</v>
      </c>
      <c r="AG11" s="46">
        <f t="shared" si="5"/>
        <v>-3500</v>
      </c>
      <c r="AH11" s="51">
        <f t="shared" si="6"/>
        <v>-8550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600</v>
      </c>
      <c r="D12" s="6">
        <v>4800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2100+400</f>
        <v>2500</v>
      </c>
      <c r="S12" s="6">
        <f t="shared" si="1"/>
        <v>2900</v>
      </c>
      <c r="T12" s="6">
        <v>4700</v>
      </c>
      <c r="U12" s="6">
        <f t="shared" si="2"/>
        <v>7600</v>
      </c>
      <c r="V12" s="52"/>
      <c r="W12" s="57"/>
      <c r="X12" s="46"/>
      <c r="Y12" s="61"/>
      <c r="Z12" s="66">
        <f t="shared" si="3"/>
        <v>-2900</v>
      </c>
      <c r="AA12" s="61"/>
      <c r="AB12" s="67"/>
      <c r="AC12" s="61"/>
      <c r="AD12" s="66"/>
      <c r="AE12" s="61"/>
      <c r="AF12" s="52">
        <f t="shared" si="4"/>
        <v>-2900</v>
      </c>
      <c r="AG12" s="46">
        <f t="shared" si="5"/>
        <v>4700</v>
      </c>
      <c r="AH12" s="51">
        <f t="shared" si="6"/>
        <v>1800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27310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3900+6100+1100+2500+250</f>
        <v>13850</v>
      </c>
      <c r="S14" s="6">
        <f t="shared" si="1"/>
        <v>13460</v>
      </c>
      <c r="T14" s="6">
        <v>-5760</v>
      </c>
      <c r="U14" s="6">
        <f t="shared" si="2"/>
        <v>7700</v>
      </c>
      <c r="V14" s="52"/>
      <c r="W14" s="57"/>
      <c r="X14" s="46"/>
      <c r="Y14" s="61"/>
      <c r="Z14" s="66">
        <f t="shared" si="3"/>
        <v>-13460</v>
      </c>
      <c r="AA14" s="61"/>
      <c r="AB14" s="66"/>
      <c r="AC14" s="61"/>
      <c r="AD14" s="66"/>
      <c r="AE14" s="61"/>
      <c r="AF14" s="52">
        <f t="shared" si="4"/>
        <v>-13460</v>
      </c>
      <c r="AG14" s="46">
        <f t="shared" si="5"/>
        <v>-5760</v>
      </c>
      <c r="AH14" s="51">
        <f t="shared" si="6"/>
        <v>-19220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12750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500</v>
      </c>
      <c r="S16" s="6">
        <f t="shared" si="1"/>
        <v>12250</v>
      </c>
      <c r="T16" s="34">
        <v>-10050</v>
      </c>
      <c r="U16" s="6">
        <f t="shared" si="2"/>
        <v>2200</v>
      </c>
      <c r="V16" s="52"/>
      <c r="W16" s="57"/>
      <c r="X16" s="46"/>
      <c r="Y16" s="61"/>
      <c r="Z16" s="66">
        <f t="shared" si="3"/>
        <v>-12250</v>
      </c>
      <c r="AA16" s="61"/>
      <c r="AB16" s="67"/>
      <c r="AC16" s="61"/>
      <c r="AD16" s="47"/>
      <c r="AE16" s="61"/>
      <c r="AF16" s="52">
        <f t="shared" si="4"/>
        <v>-12250</v>
      </c>
      <c r="AG16" s="46">
        <f t="shared" si="5"/>
        <v>-10050</v>
      </c>
      <c r="AH16" s="51">
        <f t="shared" si="6"/>
        <v>-22300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15400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7000+500</f>
        <v>7500</v>
      </c>
      <c r="S17" s="6">
        <f t="shared" si="1"/>
        <v>7900</v>
      </c>
      <c r="T17" s="6">
        <v>-5000</v>
      </c>
      <c r="U17" s="6">
        <f t="shared" si="2"/>
        <v>2900</v>
      </c>
      <c r="V17" s="52"/>
      <c r="W17" s="57"/>
      <c r="X17" s="46"/>
      <c r="Y17" s="61"/>
      <c r="Z17" s="66">
        <f t="shared" si="3"/>
        <v>-7900</v>
      </c>
      <c r="AA17" s="61"/>
      <c r="AB17" s="66"/>
      <c r="AC17" s="61"/>
      <c r="AD17" s="66"/>
      <c r="AE17" s="61"/>
      <c r="AF17" s="52">
        <f t="shared" si="4"/>
        <v>-7900</v>
      </c>
      <c r="AG17" s="46">
        <f t="shared" si="5"/>
        <v>-5000</v>
      </c>
      <c r="AH17" s="51">
        <f t="shared" si="6"/>
        <v>-12900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10120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10120</v>
      </c>
      <c r="T19" s="6">
        <v>-8940</v>
      </c>
      <c r="U19" s="6">
        <f t="shared" si="2"/>
        <v>1180</v>
      </c>
      <c r="V19" s="52"/>
      <c r="W19" s="57"/>
      <c r="X19" s="46"/>
      <c r="Y19" s="61"/>
      <c r="Z19" s="66">
        <f t="shared" si="3"/>
        <v>-10120</v>
      </c>
      <c r="AA19" s="61"/>
      <c r="AB19" s="67"/>
      <c r="AC19" s="61"/>
      <c r="AD19" s="66"/>
      <c r="AE19" s="61"/>
      <c r="AF19" s="52">
        <f t="shared" si="4"/>
        <v>-10120</v>
      </c>
      <c r="AG19" s="46">
        <f t="shared" si="5"/>
        <v>-8940</v>
      </c>
      <c r="AH19" s="51">
        <f t="shared" si="6"/>
        <v>-19060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7">
        <f t="shared" si="0"/>
        <v>0</v>
      </c>
      <c r="R22" s="159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7">
        <f t="shared" si="0"/>
        <v>0</v>
      </c>
      <c r="R24" s="159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7">
        <f t="shared" si="0"/>
        <v>0</v>
      </c>
      <c r="R25" s="159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7">
        <f t="shared" si="0"/>
        <v>0</v>
      </c>
      <c r="R26" s="159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5480</v>
      </c>
      <c r="D27" s="6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7">
        <f t="shared" si="0"/>
        <v>0</v>
      </c>
      <c r="R27" s="159"/>
      <c r="S27" s="6">
        <f t="shared" si="1"/>
        <v>5480</v>
      </c>
      <c r="T27" s="6">
        <v>-40</v>
      </c>
      <c r="U27" s="6">
        <f t="shared" si="2"/>
        <v>5440</v>
      </c>
      <c r="V27" s="52"/>
      <c r="W27" s="57"/>
      <c r="X27" s="46"/>
      <c r="Y27" s="61"/>
      <c r="Z27" s="66">
        <f t="shared" si="3"/>
        <v>-5480</v>
      </c>
      <c r="AA27" s="61"/>
      <c r="AB27" s="67"/>
      <c r="AC27" s="61"/>
      <c r="AD27" s="66"/>
      <c r="AE27" s="61"/>
      <c r="AF27" s="52">
        <f t="shared" si="4"/>
        <v>-5480</v>
      </c>
      <c r="AG27" s="46">
        <f t="shared" si="5"/>
        <v>-40</v>
      </c>
      <c r="AH27" s="51">
        <f t="shared" si="6"/>
        <v>-5520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960</v>
      </c>
      <c r="D28" s="6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7">
        <f t="shared" si="0"/>
        <v>0</v>
      </c>
      <c r="R28" s="159"/>
      <c r="S28" s="6">
        <f t="shared" si="1"/>
        <v>960</v>
      </c>
      <c r="T28" s="6">
        <f>-40-100</f>
        <v>-140</v>
      </c>
      <c r="U28" s="6">
        <f t="shared" si="2"/>
        <v>820</v>
      </c>
      <c r="V28" s="52"/>
      <c r="W28" s="57"/>
      <c r="X28" s="46"/>
      <c r="Y28" s="61"/>
      <c r="Z28" s="66">
        <f t="shared" si="3"/>
        <v>-960</v>
      </c>
      <c r="AA28" s="61"/>
      <c r="AB28" s="67"/>
      <c r="AC28" s="61"/>
      <c r="AD28" s="66"/>
      <c r="AE28" s="61"/>
      <c r="AF28" s="52">
        <f t="shared" si="4"/>
        <v>-960</v>
      </c>
      <c r="AG28" s="46">
        <f t="shared" si="5"/>
        <v>-140</v>
      </c>
      <c r="AH28" s="51">
        <f t="shared" si="6"/>
        <v>-1100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7">
        <f t="shared" si="0"/>
        <v>0</v>
      </c>
      <c r="R29" s="159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7">
        <f t="shared" si="0"/>
        <v>0</v>
      </c>
      <c r="R30" s="159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7">
        <f t="shared" si="0"/>
        <v>0</v>
      </c>
      <c r="R31" s="159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33680</v>
      </c>
      <c r="D32" s="6"/>
      <c r="E32" s="159"/>
      <c r="F32" s="159"/>
      <c r="G32" s="159"/>
      <c r="H32" s="159"/>
      <c r="I32" s="159"/>
      <c r="J32" s="159"/>
      <c r="K32" s="159">
        <v>5000</v>
      </c>
      <c r="L32" s="159"/>
      <c r="M32" s="159"/>
      <c r="N32" s="159"/>
      <c r="O32" s="6"/>
      <c r="P32" s="6"/>
      <c r="Q32" s="7">
        <f>SUM(E32:P32)</f>
        <v>5000</v>
      </c>
      <c r="R32" s="159"/>
      <c r="S32" s="6">
        <f t="shared" si="1"/>
        <v>33680</v>
      </c>
      <c r="T32" s="6">
        <v>-18280</v>
      </c>
      <c r="U32" s="6">
        <f t="shared" si="2"/>
        <v>15400</v>
      </c>
      <c r="V32" s="52"/>
      <c r="W32" s="57"/>
      <c r="X32" s="46"/>
      <c r="Y32" s="61"/>
      <c r="Z32" s="66">
        <f t="shared" si="3"/>
        <v>-33680</v>
      </c>
      <c r="AA32" s="61"/>
      <c r="AB32" s="67"/>
      <c r="AC32" s="61"/>
      <c r="AD32" s="66"/>
      <c r="AE32" s="61"/>
      <c r="AF32" s="52">
        <f t="shared" si="4"/>
        <v>-33680</v>
      </c>
      <c r="AG32" s="46">
        <f t="shared" si="5"/>
        <v>-18280</v>
      </c>
      <c r="AH32" s="51">
        <f t="shared" si="6"/>
        <v>-51960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7">
        <f t="shared" si="0"/>
        <v>0</v>
      </c>
      <c r="R33" s="159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59"/>
      <c r="F34" s="159"/>
      <c r="G34" s="159"/>
      <c r="H34" s="159"/>
      <c r="I34" s="159"/>
      <c r="J34" s="159"/>
      <c r="K34" s="6"/>
      <c r="L34" s="159"/>
      <c r="M34" s="159"/>
      <c r="N34" s="159"/>
      <c r="O34" s="159"/>
      <c r="P34" s="159"/>
      <c r="Q34" s="7">
        <f t="shared" si="0"/>
        <v>0</v>
      </c>
      <c r="R34" s="159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2820</v>
      </c>
      <c r="D35" s="6"/>
      <c r="E35" s="159"/>
      <c r="F35" s="159"/>
      <c r="G35" s="159"/>
      <c r="H35" s="159"/>
      <c r="I35" s="159"/>
      <c r="J35" s="159"/>
      <c r="K35" s="6"/>
      <c r="L35" s="159"/>
      <c r="M35" s="159"/>
      <c r="N35" s="159"/>
      <c r="O35" s="159"/>
      <c r="P35" s="159"/>
      <c r="Q35" s="7">
        <f t="shared" si="0"/>
        <v>0</v>
      </c>
      <c r="R35" s="159"/>
      <c r="S35" s="6">
        <f t="shared" si="1"/>
        <v>2820</v>
      </c>
      <c r="T35" s="6">
        <v>-1760</v>
      </c>
      <c r="U35" s="6">
        <f t="shared" si="2"/>
        <v>1060</v>
      </c>
      <c r="V35" s="52"/>
      <c r="W35" s="57"/>
      <c r="X35" s="46"/>
      <c r="Y35" s="61"/>
      <c r="Z35" s="66">
        <f t="shared" si="3"/>
        <v>-2820</v>
      </c>
      <c r="AA35" s="61"/>
      <c r="AB35" s="67"/>
      <c r="AC35" s="61"/>
      <c r="AD35" s="66"/>
      <c r="AE35" s="61"/>
      <c r="AF35" s="52">
        <f t="shared" si="4"/>
        <v>-2820</v>
      </c>
      <c r="AG35" s="46">
        <f t="shared" si="5"/>
        <v>-1760</v>
      </c>
      <c r="AH35" s="51">
        <f t="shared" si="6"/>
        <v>-4580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7">
        <f t="shared" si="0"/>
        <v>0</v>
      </c>
      <c r="R36" s="159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7">
        <f t="shared" si="0"/>
        <v>0</v>
      </c>
      <c r="R37" s="159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7">
        <f>SUM(E38:P38)</f>
        <v>0</v>
      </c>
      <c r="R38" s="159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7">
        <f>SUM(E39:P39)</f>
        <v>0</v>
      </c>
      <c r="R39" s="159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59"/>
      <c r="F40" s="159"/>
      <c r="G40" s="159"/>
      <c r="H40" s="27"/>
      <c r="I40" s="159"/>
      <c r="J40" s="159"/>
      <c r="K40" s="159"/>
      <c r="L40" s="159"/>
      <c r="M40" s="159"/>
      <c r="N40" s="159"/>
      <c r="O40" s="159"/>
      <c r="P40" s="159"/>
      <c r="Q40" s="7">
        <f>SUM(E40:P40)</f>
        <v>0</v>
      </c>
      <c r="R40" s="159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7">
        <f>SUM(E41:P41)</f>
        <v>0</v>
      </c>
      <c r="R41" s="159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7">
        <f>SUM(E42:P42)</f>
        <v>0</v>
      </c>
      <c r="R42" s="159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7">
        <f t="shared" si="0"/>
        <v>0</v>
      </c>
      <c r="R44" s="159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7">
        <f t="shared" si="0"/>
        <v>0</v>
      </c>
      <c r="R45" s="159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7">
        <f t="shared" si="0"/>
        <v>0</v>
      </c>
      <c r="R46" s="159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7">
        <f t="shared" si="0"/>
        <v>0</v>
      </c>
      <c r="R47" s="159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7">
        <f t="shared" si="0"/>
        <v>0</v>
      </c>
      <c r="R48" s="159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7">
        <f t="shared" si="0"/>
        <v>0</v>
      </c>
      <c r="R49" s="159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11765</v>
      </c>
      <c r="D50" s="6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7">
        <f t="shared" si="0"/>
        <v>0</v>
      </c>
      <c r="R50" s="159"/>
      <c r="S50" s="6">
        <f t="shared" si="1"/>
        <v>11765</v>
      </c>
      <c r="T50" s="6">
        <f>-12000+8615</f>
        <v>-3385</v>
      </c>
      <c r="U50" s="6">
        <f t="shared" si="2"/>
        <v>8380</v>
      </c>
      <c r="V50" s="52"/>
      <c r="W50" s="57"/>
      <c r="X50" s="46"/>
      <c r="Y50" s="61"/>
      <c r="Z50" s="66">
        <f t="shared" si="3"/>
        <v>-11765</v>
      </c>
      <c r="AA50" s="61"/>
      <c r="AB50" s="64"/>
      <c r="AC50" s="61"/>
      <c r="AD50" s="66"/>
      <c r="AE50" s="61"/>
      <c r="AF50" s="52">
        <f t="shared" si="4"/>
        <v>-11765</v>
      </c>
      <c r="AG50" s="46">
        <f t="shared" si="5"/>
        <v>-3385</v>
      </c>
      <c r="AH50" s="51">
        <f t="shared" si="6"/>
        <v>-15150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7">
        <f t="shared" si="0"/>
        <v>0</v>
      </c>
      <c r="R51" s="159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3410</v>
      </c>
      <c r="D52" s="6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7">
        <f t="shared" si="0"/>
        <v>0</v>
      </c>
      <c r="R52" s="159"/>
      <c r="S52" s="6">
        <f t="shared" si="1"/>
        <v>3410</v>
      </c>
      <c r="T52" s="6">
        <v>-2510</v>
      </c>
      <c r="U52" s="6">
        <f t="shared" si="2"/>
        <v>900</v>
      </c>
      <c r="V52" s="52"/>
      <c r="W52" s="57"/>
      <c r="X52" s="46"/>
      <c r="Y52" s="61"/>
      <c r="Z52" s="66">
        <f t="shared" si="3"/>
        <v>-3410</v>
      </c>
      <c r="AA52" s="61"/>
      <c r="AB52" s="67"/>
      <c r="AC52" s="61"/>
      <c r="AD52" s="66"/>
      <c r="AE52" s="61"/>
      <c r="AF52" s="52">
        <f t="shared" si="4"/>
        <v>-3410</v>
      </c>
      <c r="AG52" s="46">
        <f t="shared" si="5"/>
        <v>-2510</v>
      </c>
      <c r="AH52" s="51">
        <f t="shared" si="6"/>
        <v>-5920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12950</v>
      </c>
      <c r="D53" s="6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7">
        <f t="shared" si="0"/>
        <v>0</v>
      </c>
      <c r="R53" s="159"/>
      <c r="S53" s="6">
        <f t="shared" si="1"/>
        <v>12950</v>
      </c>
      <c r="T53" s="6">
        <v>-11550</v>
      </c>
      <c r="U53" s="6">
        <f t="shared" si="2"/>
        <v>1400</v>
      </c>
      <c r="V53" s="52"/>
      <c r="W53" s="57"/>
      <c r="X53" s="46"/>
      <c r="Y53" s="61"/>
      <c r="Z53" s="66">
        <f t="shared" si="3"/>
        <v>-12950</v>
      </c>
      <c r="AA53" s="61"/>
      <c r="AB53" s="67"/>
      <c r="AC53" s="61"/>
      <c r="AD53" s="66"/>
      <c r="AE53" s="61"/>
      <c r="AF53" s="52">
        <f t="shared" si="4"/>
        <v>-12950</v>
      </c>
      <c r="AG53" s="46">
        <f t="shared" si="5"/>
        <v>-11550</v>
      </c>
      <c r="AH53" s="51">
        <f t="shared" si="6"/>
        <v>-24500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5450</v>
      </c>
      <c r="D54" s="6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7">
        <f t="shared" si="0"/>
        <v>0</v>
      </c>
      <c r="R54" s="159"/>
      <c r="S54" s="6">
        <f t="shared" si="1"/>
        <v>5450</v>
      </c>
      <c r="T54" s="6">
        <v>-2850</v>
      </c>
      <c r="U54" s="6">
        <f t="shared" si="2"/>
        <v>2600</v>
      </c>
      <c r="V54" s="52"/>
      <c r="W54" s="57"/>
      <c r="X54" s="46"/>
      <c r="Y54" s="61"/>
      <c r="Z54" s="66">
        <f t="shared" si="3"/>
        <v>-5450</v>
      </c>
      <c r="AA54" s="61"/>
      <c r="AB54" s="67"/>
      <c r="AC54" s="61"/>
      <c r="AD54" s="66"/>
      <c r="AE54" s="61"/>
      <c r="AF54" s="52">
        <f t="shared" si="4"/>
        <v>-5450</v>
      </c>
      <c r="AG54" s="46">
        <f t="shared" si="5"/>
        <v>-2850</v>
      </c>
      <c r="AH54" s="51">
        <f t="shared" si="6"/>
        <v>-8300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7">
        <f t="shared" si="0"/>
        <v>0</v>
      </c>
      <c r="R55" s="159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7">
        <f>SUM(E56:P56)</f>
        <v>0</v>
      </c>
      <c r="R56" s="159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7">
        <f t="shared" si="0"/>
        <v>0</v>
      </c>
      <c r="R61" s="159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7">
        <f t="shared" si="0"/>
        <v>0</v>
      </c>
      <c r="R62" s="158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7">
        <f t="shared" si="0"/>
        <v>0</v>
      </c>
      <c r="R63" s="158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7">
        <f t="shared" si="0"/>
        <v>0</v>
      </c>
      <c r="R64" s="158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7">
        <f t="shared" si="0"/>
        <v>0</v>
      </c>
      <c r="R65" s="158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57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2350</v>
      </c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7">
        <f t="shared" si="0"/>
        <v>0</v>
      </c>
      <c r="R67" s="159"/>
      <c r="S67" s="6">
        <f t="shared" si="1"/>
        <v>2350</v>
      </c>
      <c r="T67" s="6">
        <v>-1525</v>
      </c>
      <c r="U67" s="6">
        <f t="shared" si="2"/>
        <v>825</v>
      </c>
      <c r="V67" s="52"/>
      <c r="W67" s="57"/>
      <c r="X67" s="46"/>
      <c r="Y67" s="61"/>
      <c r="Z67" s="66">
        <f t="shared" si="3"/>
        <v>-2350</v>
      </c>
      <c r="AA67" s="61"/>
      <c r="AB67" s="67"/>
      <c r="AC67" s="61"/>
      <c r="AD67" s="66"/>
      <c r="AE67" s="61"/>
      <c r="AF67" s="52">
        <f t="shared" si="4"/>
        <v>-2350</v>
      </c>
      <c r="AG67" s="46">
        <f t="shared" si="5"/>
        <v>-1525</v>
      </c>
      <c r="AH67" s="51">
        <f t="shared" si="6"/>
        <v>-3875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266700</v>
      </c>
      <c r="D68" s="159">
        <f>25000+27125</f>
        <v>52125</v>
      </c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7">
        <f t="shared" si="0"/>
        <v>0</v>
      </c>
      <c r="R68" s="159">
        <v>51750</v>
      </c>
      <c r="S68" s="6">
        <f t="shared" si="1"/>
        <v>267075</v>
      </c>
      <c r="T68" s="6">
        <v>0</v>
      </c>
      <c r="U68" s="6">
        <f t="shared" si="2"/>
        <v>267075</v>
      </c>
      <c r="V68" s="52"/>
      <c r="W68" s="57"/>
      <c r="X68" s="46"/>
      <c r="Y68" s="61"/>
      <c r="Z68" s="66">
        <f t="shared" si="3"/>
        <v>-267075</v>
      </c>
      <c r="AA68" s="61"/>
      <c r="AB68" s="67"/>
      <c r="AC68" s="61"/>
      <c r="AD68" s="66"/>
      <c r="AE68" s="61"/>
      <c r="AF68" s="52">
        <f t="shared" si="4"/>
        <v>-267075</v>
      </c>
      <c r="AG68" s="46">
        <f t="shared" si="5"/>
        <v>0</v>
      </c>
      <c r="AH68" s="51">
        <f t="shared" si="6"/>
        <v>-267075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22200</v>
      </c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7">
        <f t="shared" si="0"/>
        <v>0</v>
      </c>
      <c r="R69" s="159">
        <v>1000</v>
      </c>
      <c r="S69" s="6">
        <f t="shared" si="1"/>
        <v>21200</v>
      </c>
      <c r="T69" s="6">
        <f>-16950+550</f>
        <v>-16400</v>
      </c>
      <c r="U69" s="6">
        <f t="shared" si="2"/>
        <v>4800</v>
      </c>
      <c r="V69" s="52"/>
      <c r="W69" s="57"/>
      <c r="X69" s="46"/>
      <c r="Y69" s="61"/>
      <c r="Z69" s="66">
        <f t="shared" si="3"/>
        <v>-21200</v>
      </c>
      <c r="AA69" s="61"/>
      <c r="AB69" s="64"/>
      <c r="AC69" s="61"/>
      <c r="AD69" s="66"/>
      <c r="AE69" s="61"/>
      <c r="AF69" s="52">
        <f t="shared" si="4"/>
        <v>-21200</v>
      </c>
      <c r="AG69" s="46">
        <f t="shared" si="5"/>
        <v>-16400</v>
      </c>
      <c r="AH69" s="51">
        <f t="shared" si="6"/>
        <v>-37600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12575</v>
      </c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7">
        <f t="shared" si="0"/>
        <v>0</v>
      </c>
      <c r="R70" s="159">
        <f>1000+1000</f>
        <v>2000</v>
      </c>
      <c r="S70" s="6">
        <f t="shared" si="1"/>
        <v>10575</v>
      </c>
      <c r="T70" s="6">
        <v>-9425</v>
      </c>
      <c r="U70" s="6">
        <f t="shared" si="2"/>
        <v>1150</v>
      </c>
      <c r="V70" s="52"/>
      <c r="W70" s="57"/>
      <c r="X70" s="46"/>
      <c r="Y70" s="61"/>
      <c r="Z70" s="66">
        <f t="shared" si="3"/>
        <v>-10575</v>
      </c>
      <c r="AA70" s="61"/>
      <c r="AB70" s="67"/>
      <c r="AC70" s="61"/>
      <c r="AD70" s="66"/>
      <c r="AE70" s="61"/>
      <c r="AF70" s="52">
        <f t="shared" si="4"/>
        <v>-10575</v>
      </c>
      <c r="AG70" s="46">
        <f t="shared" si="5"/>
        <v>-9425</v>
      </c>
      <c r="AH70" s="51">
        <f t="shared" si="6"/>
        <v>-20000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33825</v>
      </c>
      <c r="D71" s="159">
        <v>22000</v>
      </c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7">
        <f t="shared" si="0"/>
        <v>0</v>
      </c>
      <c r="R71" s="159">
        <f>1000</f>
        <v>1000</v>
      </c>
      <c r="S71" s="6">
        <f t="shared" si="1"/>
        <v>54825</v>
      </c>
      <c r="T71" s="6">
        <f>-27500+1000</f>
        <v>-26500</v>
      </c>
      <c r="U71" s="6">
        <f t="shared" si="2"/>
        <v>28325</v>
      </c>
      <c r="V71" s="52"/>
      <c r="W71" s="57"/>
      <c r="X71" s="46"/>
      <c r="Y71" s="61"/>
      <c r="Z71" s="66">
        <f t="shared" si="3"/>
        <v>-54825</v>
      </c>
      <c r="AA71" s="61"/>
      <c r="AB71" s="64"/>
      <c r="AC71" s="61"/>
      <c r="AD71" s="66"/>
      <c r="AE71" s="61"/>
      <c r="AF71" s="52">
        <f t="shared" si="4"/>
        <v>-54825</v>
      </c>
      <c r="AG71" s="46">
        <f t="shared" si="5"/>
        <v>-26500</v>
      </c>
      <c r="AH71" s="51">
        <f t="shared" si="6"/>
        <v>-81325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59">
        <f>SUM(C7:C72)</f>
        <v>673380</v>
      </c>
      <c r="D73" s="159">
        <f t="shared" ref="D73:V73" si="11">SUM(D7:D72)</f>
        <v>78925</v>
      </c>
      <c r="E73" s="159">
        <f t="shared" si="11"/>
        <v>0</v>
      </c>
      <c r="F73" s="159">
        <f t="shared" si="11"/>
        <v>0</v>
      </c>
      <c r="G73" s="159">
        <f t="shared" si="11"/>
        <v>0</v>
      </c>
      <c r="H73" s="27">
        <f t="shared" si="11"/>
        <v>0</v>
      </c>
      <c r="I73" s="159">
        <f t="shared" si="11"/>
        <v>0</v>
      </c>
      <c r="J73" s="159">
        <f t="shared" si="11"/>
        <v>0</v>
      </c>
      <c r="K73" s="159">
        <f t="shared" si="11"/>
        <v>5000</v>
      </c>
      <c r="L73" s="159">
        <f t="shared" si="11"/>
        <v>0</v>
      </c>
      <c r="M73" s="159">
        <f t="shared" si="11"/>
        <v>0</v>
      </c>
      <c r="N73" s="159">
        <f t="shared" si="11"/>
        <v>0</v>
      </c>
      <c r="O73" s="159">
        <f t="shared" si="11"/>
        <v>0</v>
      </c>
      <c r="P73" s="159">
        <f t="shared" si="11"/>
        <v>0</v>
      </c>
      <c r="Q73" s="159">
        <f t="shared" si="11"/>
        <v>5000</v>
      </c>
      <c r="R73" s="159">
        <f t="shared" si="11"/>
        <v>88700</v>
      </c>
      <c r="S73" s="159">
        <f t="shared" si="11"/>
        <v>663605</v>
      </c>
      <c r="T73" s="159">
        <f t="shared" si="11"/>
        <v>-271290</v>
      </c>
      <c r="U73" s="159">
        <f t="shared" si="11"/>
        <v>392315</v>
      </c>
      <c r="V73" s="159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-663605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-663605</v>
      </c>
      <c r="AG73" s="43">
        <f t="shared" si="12"/>
        <v>-271290</v>
      </c>
      <c r="AH73" s="43">
        <f t="shared" si="12"/>
        <v>-934895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5000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12800+8740+39315+37885+14400+4240+27875+26870+10680+39440+23040+12000+14400+5000</f>
        <v>276685</v>
      </c>
      <c r="S74" s="179"/>
      <c r="T74" s="180">
        <f>R74+R75</f>
        <v>1911115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78925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124500+74250+83725+71820+71700+75700+47700+108850+111100+92015+65400+61200+94675+45600+57550+62075+58800+90595+85550+68700+78925+4000</f>
        <v>1634430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88700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80750+80950+66040+73470+44825+60325+42575+30900+34750+57880+55250+102725+48500+27000+46550+86600+111550+83700+44675+84875+88700</f>
        <v>1352590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7500+11500+17500+13000+7000+12400+5850+6000+7000+7000+7000+6500+6300+7000+4250+10000+10000+7000+4150+10250+13000</f>
        <v>180200</v>
      </c>
      <c r="G77" s="172"/>
      <c r="H77" s="171" t="s">
        <v>165</v>
      </c>
      <c r="I77" s="171"/>
      <c r="J77" s="172">
        <v>18000</v>
      </c>
      <c r="K77" s="172"/>
      <c r="L77" s="39" t="s">
        <v>89</v>
      </c>
      <c r="M77" s="40">
        <f>2140+9880+12320+20000+6850</f>
        <v>51190</v>
      </c>
      <c r="N77" s="40" t="s">
        <v>90</v>
      </c>
      <c r="O77" s="82">
        <f>4000+1000</f>
        <v>5000</v>
      </c>
      <c r="P77" s="40" t="s">
        <v>91</v>
      </c>
      <c r="Q77" s="40">
        <f>12000+10000</f>
        <v>22000</v>
      </c>
      <c r="R77" s="165">
        <f>Q77+O77+M77+J77+F77</f>
        <v>276390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29800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54125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1076200</v>
      </c>
      <c r="S80" s="165"/>
      <c r="T80" s="22"/>
      <c r="U80" s="22"/>
      <c r="V80" s="2"/>
      <c r="X80" s="63">
        <f>SUM(X77:X79)</f>
        <v>83925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56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>
        <v>13000</v>
      </c>
      <c r="S96" s="36">
        <v>10</v>
      </c>
      <c r="T96" s="36">
        <v>34750</v>
      </c>
      <c r="U96" s="36">
        <v>10</v>
      </c>
      <c r="V96" s="36"/>
      <c r="W96" s="36">
        <v>92015</v>
      </c>
      <c r="X96" s="36">
        <f t="shared" si="13"/>
        <v>92015</v>
      </c>
      <c r="Z96" s="36"/>
      <c r="AA96" s="36"/>
    </row>
    <row r="97" spans="14:26">
      <c r="N97" s="1">
        <v>18000</v>
      </c>
      <c r="O97" s="36"/>
      <c r="P97" s="36"/>
      <c r="Q97" s="36">
        <v>20000</v>
      </c>
      <c r="R97" s="36">
        <v>6000</v>
      </c>
      <c r="S97" s="36">
        <v>11</v>
      </c>
      <c r="T97" s="36">
        <v>55250</v>
      </c>
      <c r="U97" s="36">
        <v>11</v>
      </c>
      <c r="V97" s="36">
        <v>27875</v>
      </c>
      <c r="W97" s="36">
        <v>65400</v>
      </c>
      <c r="X97" s="36">
        <f t="shared" si="13"/>
        <v>93275</v>
      </c>
      <c r="Z97" s="36"/>
    </row>
    <row r="98" spans="14:26">
      <c r="O98" s="36"/>
      <c r="P98" s="36">
        <v>4000</v>
      </c>
      <c r="Q98" s="36"/>
      <c r="R98" s="36">
        <v>7000</v>
      </c>
      <c r="S98" s="36">
        <v>12</v>
      </c>
      <c r="T98" s="36">
        <v>102725</v>
      </c>
      <c r="U98" s="36">
        <v>12</v>
      </c>
      <c r="V98" s="36">
        <v>26870</v>
      </c>
      <c r="W98" s="36">
        <v>61200</v>
      </c>
      <c r="X98" s="36">
        <f t="shared" si="13"/>
        <v>88070</v>
      </c>
      <c r="Z98" s="36"/>
    </row>
    <row r="99" spans="14:26">
      <c r="O99" s="36"/>
      <c r="P99" s="36">
        <v>1000</v>
      </c>
      <c r="Q99" s="36"/>
      <c r="R99" s="36">
        <v>7000</v>
      </c>
      <c r="S99" s="36">
        <v>13</v>
      </c>
      <c r="T99" s="36">
        <v>48500</v>
      </c>
      <c r="U99" s="36">
        <v>13</v>
      </c>
      <c r="V99" s="36">
        <v>10680</v>
      </c>
      <c r="W99" s="36">
        <v>94675</v>
      </c>
      <c r="X99" s="36">
        <f t="shared" si="13"/>
        <v>105355</v>
      </c>
    </row>
    <row r="100" spans="14:26">
      <c r="O100" s="63"/>
      <c r="P100" s="36"/>
      <c r="Q100" s="36"/>
      <c r="R100" s="36">
        <v>7000</v>
      </c>
      <c r="S100" s="36">
        <v>14</v>
      </c>
      <c r="T100" s="36">
        <v>27000</v>
      </c>
      <c r="U100" s="36">
        <v>14</v>
      </c>
      <c r="V100" s="36">
        <v>39440</v>
      </c>
      <c r="W100" s="36">
        <v>45600</v>
      </c>
      <c r="X100" s="36">
        <f t="shared" si="13"/>
        <v>85040</v>
      </c>
    </row>
    <row r="101" spans="14:26">
      <c r="O101" s="36"/>
      <c r="P101" s="36"/>
      <c r="Q101" s="36">
        <v>6850</v>
      </c>
      <c r="R101" s="36">
        <v>6500</v>
      </c>
      <c r="S101" s="36">
        <v>15</v>
      </c>
      <c r="T101" s="36">
        <v>46550</v>
      </c>
      <c r="U101" s="36">
        <v>15</v>
      </c>
      <c r="V101" s="36">
        <v>23040</v>
      </c>
      <c r="W101" s="36">
        <v>61550</v>
      </c>
      <c r="X101" s="36">
        <f t="shared" si="13"/>
        <v>84590</v>
      </c>
    </row>
    <row r="102" spans="14:26">
      <c r="O102" s="36"/>
      <c r="P102" s="36"/>
      <c r="Q102" s="36"/>
      <c r="R102" s="36">
        <v>6300</v>
      </c>
      <c r="S102" s="36">
        <v>16</v>
      </c>
      <c r="T102" s="36">
        <v>86600</v>
      </c>
      <c r="U102" s="36">
        <v>16</v>
      </c>
      <c r="V102" s="36"/>
      <c r="W102" s="36">
        <v>62075</v>
      </c>
      <c r="X102" s="36">
        <f t="shared" si="13"/>
        <v>62075</v>
      </c>
    </row>
    <row r="103" spans="14:26">
      <c r="O103" s="36"/>
      <c r="P103" s="36"/>
      <c r="Q103" s="36"/>
      <c r="R103" s="36">
        <v>11250</v>
      </c>
      <c r="S103" s="36">
        <v>17</v>
      </c>
      <c r="T103" s="36">
        <v>111550</v>
      </c>
      <c r="U103" s="36">
        <v>17</v>
      </c>
      <c r="V103" s="36"/>
      <c r="W103" s="36">
        <v>58800</v>
      </c>
      <c r="X103" s="36">
        <f t="shared" si="13"/>
        <v>58800</v>
      </c>
    </row>
    <row r="104" spans="14:26">
      <c r="O104" s="36"/>
      <c r="P104" s="36"/>
      <c r="Q104" s="36"/>
      <c r="R104" s="36">
        <v>11150</v>
      </c>
      <c r="S104" s="36">
        <v>18</v>
      </c>
      <c r="T104" s="36">
        <v>83700</v>
      </c>
      <c r="U104" s="36">
        <v>18</v>
      </c>
      <c r="V104" s="36"/>
      <c r="W104" s="36">
        <v>90595</v>
      </c>
      <c r="X104" s="36">
        <f t="shared" si="13"/>
        <v>90595</v>
      </c>
    </row>
    <row r="105" spans="14:26">
      <c r="O105" s="36">
        <v>10000</v>
      </c>
      <c r="P105" s="36"/>
      <c r="Q105" s="36"/>
      <c r="R105" s="36">
        <v>10250</v>
      </c>
      <c r="S105" s="36">
        <v>19</v>
      </c>
      <c r="T105" s="36">
        <v>44675</v>
      </c>
      <c r="U105" s="36">
        <v>19</v>
      </c>
      <c r="V105" s="36">
        <v>12000</v>
      </c>
      <c r="W105" s="36">
        <v>85550</v>
      </c>
      <c r="X105" s="36">
        <f t="shared" si="13"/>
        <v>97550</v>
      </c>
      <c r="Z105" s="36"/>
    </row>
    <row r="106" spans="14:26">
      <c r="O106" s="36"/>
      <c r="P106" s="36"/>
      <c r="Q106" s="36"/>
      <c r="R106" s="36">
        <v>6400</v>
      </c>
      <c r="S106" s="36">
        <v>20</v>
      </c>
      <c r="T106" s="36">
        <v>84875</v>
      </c>
      <c r="U106" s="36">
        <v>20</v>
      </c>
      <c r="V106" s="36">
        <v>14400</v>
      </c>
      <c r="W106" s="36">
        <v>68700</v>
      </c>
      <c r="X106" s="36">
        <f t="shared" si="13"/>
        <v>83100</v>
      </c>
    </row>
    <row r="107" spans="14:26">
      <c r="O107" s="36"/>
      <c r="P107" s="36"/>
      <c r="Q107" s="36"/>
      <c r="R107" s="36">
        <v>13000</v>
      </c>
      <c r="S107" s="36">
        <v>21</v>
      </c>
      <c r="T107" s="36">
        <v>88700</v>
      </c>
      <c r="U107" s="36">
        <v>21</v>
      </c>
      <c r="V107" s="36">
        <v>5000</v>
      </c>
      <c r="W107" s="36">
        <v>78925</v>
      </c>
      <c r="X107" s="36">
        <f t="shared" si="13"/>
        <v>83925</v>
      </c>
    </row>
    <row r="108" spans="14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4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4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4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4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22000</v>
      </c>
      <c r="P118" s="63">
        <f t="shared" si="14"/>
        <v>5000</v>
      </c>
      <c r="Q118" s="63">
        <f t="shared" si="14"/>
        <v>38870</v>
      </c>
      <c r="R118" s="63">
        <f t="shared" si="14"/>
        <v>186600</v>
      </c>
      <c r="S118" s="63"/>
      <c r="T118" s="63">
        <f>SUM(T87:T117)</f>
        <v>1352590</v>
      </c>
      <c r="U118" s="63"/>
      <c r="V118" s="63">
        <f>SUM(V87:V117)</f>
        <v>276685</v>
      </c>
      <c r="W118" s="63">
        <f>SUM(W87:W117)</f>
        <v>1634430</v>
      </c>
      <c r="X118" s="36">
        <f>SUM(V118:W118)</f>
        <v>1911115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:A18"/>
    <mergeCell ref="A19:A43"/>
    <mergeCell ref="A44:A61"/>
    <mergeCell ref="A62:A65"/>
    <mergeCell ref="A67:A71"/>
    <mergeCell ref="A72:B72"/>
    <mergeCell ref="Y5:AF5"/>
    <mergeCell ref="AG5:AG6"/>
    <mergeCell ref="AH5:AH6"/>
    <mergeCell ref="AJ5:AM5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  <mergeCell ref="A5:A6"/>
    <mergeCell ref="B5:B6"/>
    <mergeCell ref="C5:C6"/>
    <mergeCell ref="D5:P5"/>
    <mergeCell ref="Q5:Q6"/>
  </mergeCells>
  <pageMargins left="0.2" right="0.2" top="0.25" bottom="0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W118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R7" sqref="R7:R71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4.77734375" style="1" customWidth="1"/>
    <col min="8" max="8" width="3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4414062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5.44140625" style="1" customWidth="1"/>
    <col min="25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10.199999999999999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126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/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0.199999999999999" customHeight="1">
      <c r="A6" s="191"/>
      <c r="B6" s="193"/>
      <c r="C6" s="195"/>
      <c r="D6" s="21" t="s">
        <v>14</v>
      </c>
      <c r="E6" s="37" t="s">
        <v>130</v>
      </c>
      <c r="F6" s="37" t="s">
        <v>125</v>
      </c>
      <c r="G6" s="31" t="s">
        <v>18</v>
      </c>
      <c r="H6" s="31" t="s">
        <v>109</v>
      </c>
      <c r="I6" s="37" t="s">
        <v>127</v>
      </c>
      <c r="J6" s="37" t="s">
        <v>129</v>
      </c>
      <c r="K6" s="31" t="s">
        <v>123</v>
      </c>
      <c r="L6" s="37" t="s">
        <v>132</v>
      </c>
      <c r="M6" s="37" t="s">
        <v>110</v>
      </c>
      <c r="N6" s="37" t="s">
        <v>111</v>
      </c>
      <c r="O6" s="37" t="s">
        <v>133</v>
      </c>
      <c r="P6" s="30" t="s">
        <v>131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/>
      <c r="D7" s="6" t="e">
        <f>#REF!+#REF!+#REF!+#REF!+#REF!+#REF!+#REF!+#REF!+#REF!+#REF!+#REF!+#REF!+#REF!+#REF!+#REF!+#REF!+#REF!+#REF!+#REF!+#REF!+#REF!+#REF!+#REF!+#REF!+#REF!+#REF!+#REF!+#REF!+#REF!+#REF!</f>
        <v>#REF!</v>
      </c>
      <c r="E7" s="6" t="e">
        <f>#REF!+#REF!+#REF!+#REF!+#REF!+#REF!+#REF!+#REF!+#REF!+#REF!+#REF!+#REF!+#REF!+#REF!+#REF!+#REF!+#REF!+#REF!+#REF!+#REF!+#REF!+#REF!+#REF!+#REF!+#REF!+#REF!+#REF!+#REF!+#REF!+#REF!</f>
        <v>#REF!</v>
      </c>
      <c r="F7" s="6" t="e">
        <f>#REF!+#REF!+#REF!+#REF!+#REF!+#REF!+#REF!+#REF!+#REF!+#REF!+#REF!+#REF!+#REF!+#REF!+#REF!+#REF!+#REF!+#REF!+#REF!+#REF!+#REF!+#REF!+#REF!+#REF!+#REF!+#REF!+#REF!+#REF!+#REF!+#REF!</f>
        <v>#REF!</v>
      </c>
      <c r="G7" s="6" t="e">
        <f>#REF!+#REF!+#REF!+#REF!+#REF!+#REF!+#REF!+#REF!+#REF!+#REF!+#REF!+#REF!+#REF!+#REF!+#REF!+#REF!+#REF!+#REF!+#REF!+#REF!+#REF!+#REF!+#REF!+#REF!+#REF!+#REF!+#REF!+#REF!+#REF!+#REF!</f>
        <v>#REF!</v>
      </c>
      <c r="H7" s="6" t="e">
        <f>#REF!+#REF!+#REF!+#REF!+#REF!+#REF!+#REF!+#REF!+#REF!+#REF!+#REF!+#REF!+#REF!+#REF!+#REF!+#REF!+#REF!+#REF!+#REF!+#REF!+#REF!+#REF!+#REF!+#REF!+#REF!+#REF!+#REF!+#REF!+#REF!+#REF!</f>
        <v>#REF!</v>
      </c>
      <c r="I7" s="6" t="e">
        <f>#REF!+#REF!+#REF!+#REF!+#REF!+#REF!+#REF!+#REF!+#REF!+#REF!+#REF!+#REF!+#REF!+#REF!+#REF!+#REF!+#REF!+#REF!+#REF!+#REF!+#REF!+#REF!+#REF!+#REF!+#REF!+#REF!+#REF!+#REF!+#REF!+#REF!</f>
        <v>#REF!</v>
      </c>
      <c r="J7" s="6" t="e">
        <f>#REF!+#REF!+#REF!+#REF!+#REF!+#REF!+#REF!+#REF!+#REF!+#REF!+#REF!+#REF!+#REF!+#REF!+#REF!+#REF!+#REF!+#REF!+#REF!+#REF!+#REF!+#REF!+#REF!+#REF!+#REF!+#REF!+#REF!+#REF!+#REF!+#REF!</f>
        <v>#REF!</v>
      </c>
      <c r="K7" s="6" t="e">
        <f>#REF!+#REF!+#REF!+#REF!+#REF!+#REF!+#REF!+#REF!+#REF!+#REF!+#REF!+#REF!+#REF!+#REF!+#REF!+#REF!+#REF!+#REF!+#REF!+#REF!+#REF!+#REF!+#REF!+#REF!+#REF!+#REF!+#REF!+#REF!+#REF!+#REF!</f>
        <v>#REF!</v>
      </c>
      <c r="L7" s="6" t="e">
        <f>#REF!+#REF!+#REF!+#REF!+#REF!+#REF!+#REF!+#REF!+#REF!+#REF!+#REF!+#REF!+#REF!+#REF!+#REF!+#REF!+#REF!+#REF!+#REF!+#REF!+#REF!+#REF!+#REF!+#REF!+#REF!+#REF!+#REF!+#REF!+#REF!+#REF!</f>
        <v>#REF!</v>
      </c>
      <c r="M7" s="6" t="e">
        <f>#REF!+#REF!+#REF!+#REF!+#REF!+#REF!+#REF!+#REF!+#REF!+#REF!+#REF!+#REF!+#REF!+#REF!+#REF!+#REF!+#REF!+#REF!+#REF!+#REF!+#REF!+#REF!+#REF!+#REF!+#REF!+#REF!+#REF!+#REF!+#REF!+#REF!</f>
        <v>#REF!</v>
      </c>
      <c r="N7" s="6" t="e">
        <f>#REF!+#REF!+#REF!+#REF!+#REF!+#REF!+#REF!+#REF!+#REF!+#REF!+#REF!+#REF!+#REF!+#REF!+#REF!+#REF!+#REF!+#REF!+#REF!+#REF!+#REF!+#REF!+#REF!+#REF!+#REF!+#REF!+#REF!+#REF!+#REF!+#REF!</f>
        <v>#REF!</v>
      </c>
      <c r="O7" s="6" t="e">
        <f>#REF!+#REF!+#REF!+#REF!+#REF!+#REF!+#REF!+#REF!+#REF!+#REF!+#REF!+#REF!+#REF!+#REF!+#REF!+#REF!+#REF!+#REF!+#REF!+#REF!+#REF!+#REF!+#REF!+#REF!+#REF!+#REF!+#REF!+#REF!+#REF!+#REF!</f>
        <v>#REF!</v>
      </c>
      <c r="P7" s="6" t="e">
        <f>#REF!+#REF!+#REF!+#REF!+#REF!+#REF!+#REF!+#REF!+#REF!+#REF!+#REF!+#REF!+#REF!+#REF!+#REF!+#REF!+#REF!+#REF!+#REF!+#REF!+#REF!+#REF!+#REF!+#REF!+#REF!+#REF!+#REF!+#REF!+#REF!+#REF!</f>
        <v>#REF!</v>
      </c>
      <c r="Q7" s="7" t="e">
        <f t="shared" ref="Q7:Q71" si="0">SUM(E7:P7)</f>
        <v>#REF!</v>
      </c>
      <c r="R7" s="6" t="e">
        <f>#REF!+#REF!+#REF!+#REF!+#REF!+#REF!+#REF!+#REF!+#REF!+#REF!+#REF!+#REF!+#REF!+#REF!+#REF!+#REF!+#REF!+#REF!+#REF!+#REF!+#REF!+#REF!+#REF!+#REF!+#REF!+#REF!+#REF!+#REF!+#REF!+#REF!</f>
        <v>#REF!</v>
      </c>
      <c r="S7" s="6" t="e">
        <f>C7+D7-R7</f>
        <v>#REF!</v>
      </c>
      <c r="T7" s="34">
        <f>-8750-100+100+150-3200+850</f>
        <v>-10950</v>
      </c>
      <c r="U7" s="6" t="e">
        <f>S7+T7</f>
        <v>#REF!</v>
      </c>
      <c r="V7" s="7"/>
      <c r="W7" s="57"/>
      <c r="X7" s="46"/>
      <c r="Y7" s="65"/>
      <c r="Z7" s="47"/>
      <c r="AA7" s="65"/>
      <c r="AB7" s="67"/>
      <c r="AC7" s="65"/>
      <c r="AD7" s="47"/>
      <c r="AE7" s="61"/>
      <c r="AF7" s="52">
        <f>SUM(Y7:AE7)</f>
        <v>0</v>
      </c>
      <c r="AG7" s="46" t="e">
        <f>U7+AF7</f>
        <v>#REF!</v>
      </c>
      <c r="AH7" s="51" t="e">
        <f>AG7-S7</f>
        <v>#REF!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/>
      <c r="D8" s="6" t="e">
        <f>#REF!+#REF!+#REF!+#REF!+#REF!+#REF!+#REF!+#REF!+#REF!+#REF!+#REF!+#REF!+#REF!+#REF!+#REF!+#REF!+#REF!+#REF!+#REF!+#REF!+#REF!+#REF!+#REF!+#REF!+#REF!+#REF!+#REF!+#REF!+#REF!+#REF!</f>
        <v>#REF!</v>
      </c>
      <c r="E8" s="6" t="e">
        <f>#REF!+#REF!+#REF!+#REF!+#REF!+#REF!+#REF!+#REF!+#REF!+#REF!+#REF!+#REF!+#REF!+#REF!+#REF!+#REF!+#REF!+#REF!+#REF!+#REF!+#REF!+#REF!+#REF!+#REF!+#REF!+#REF!+#REF!+#REF!+#REF!+#REF!</f>
        <v>#REF!</v>
      </c>
      <c r="F8" s="6" t="e">
        <f>#REF!+#REF!+#REF!+#REF!+#REF!+#REF!+#REF!+#REF!+#REF!+#REF!+#REF!+#REF!+#REF!+#REF!+#REF!+#REF!+#REF!+#REF!+#REF!+#REF!+#REF!+#REF!+#REF!+#REF!+#REF!+#REF!+#REF!+#REF!+#REF!+#REF!</f>
        <v>#REF!</v>
      </c>
      <c r="G8" s="6" t="e">
        <f>#REF!+#REF!+#REF!+#REF!+#REF!+#REF!+#REF!+#REF!+#REF!+#REF!+#REF!+#REF!+#REF!+#REF!+#REF!+#REF!+#REF!+#REF!+#REF!+#REF!+#REF!+#REF!+#REF!+#REF!+#REF!+#REF!+#REF!+#REF!+#REF!+#REF!</f>
        <v>#REF!</v>
      </c>
      <c r="H8" s="6" t="e">
        <f>#REF!+#REF!+#REF!+#REF!+#REF!+#REF!+#REF!+#REF!+#REF!+#REF!+#REF!+#REF!+#REF!+#REF!+#REF!+#REF!+#REF!+#REF!+#REF!+#REF!+#REF!+#REF!+#REF!+#REF!+#REF!+#REF!+#REF!+#REF!+#REF!+#REF!</f>
        <v>#REF!</v>
      </c>
      <c r="I8" s="6" t="e">
        <f>#REF!+#REF!+#REF!+#REF!+#REF!+#REF!+#REF!+#REF!+#REF!+#REF!+#REF!+#REF!+#REF!+#REF!+#REF!+#REF!+#REF!+#REF!+#REF!+#REF!+#REF!+#REF!+#REF!+#REF!+#REF!+#REF!+#REF!+#REF!+#REF!+#REF!</f>
        <v>#REF!</v>
      </c>
      <c r="J8" s="6" t="e">
        <f>#REF!+#REF!+#REF!+#REF!+#REF!+#REF!+#REF!+#REF!+#REF!+#REF!+#REF!+#REF!+#REF!+#REF!+#REF!+#REF!+#REF!+#REF!+#REF!+#REF!+#REF!+#REF!+#REF!+#REF!+#REF!+#REF!+#REF!+#REF!+#REF!+#REF!</f>
        <v>#REF!</v>
      </c>
      <c r="K8" s="6" t="e">
        <f>#REF!+#REF!+#REF!+#REF!+#REF!+#REF!+#REF!+#REF!+#REF!+#REF!+#REF!+#REF!+#REF!+#REF!+#REF!+#REF!+#REF!+#REF!+#REF!+#REF!+#REF!+#REF!+#REF!+#REF!+#REF!+#REF!+#REF!+#REF!+#REF!+#REF!</f>
        <v>#REF!</v>
      </c>
      <c r="L8" s="6" t="e">
        <f>#REF!+#REF!+#REF!+#REF!+#REF!+#REF!+#REF!+#REF!+#REF!+#REF!+#REF!+#REF!+#REF!+#REF!+#REF!+#REF!+#REF!+#REF!+#REF!+#REF!+#REF!+#REF!+#REF!+#REF!+#REF!+#REF!+#REF!+#REF!+#REF!+#REF!</f>
        <v>#REF!</v>
      </c>
      <c r="M8" s="6" t="e">
        <f>#REF!+#REF!+#REF!+#REF!+#REF!+#REF!+#REF!+#REF!+#REF!+#REF!+#REF!+#REF!+#REF!+#REF!+#REF!+#REF!+#REF!+#REF!+#REF!+#REF!+#REF!+#REF!+#REF!+#REF!+#REF!+#REF!+#REF!+#REF!+#REF!+#REF!</f>
        <v>#REF!</v>
      </c>
      <c r="N8" s="6" t="e">
        <f>#REF!+#REF!+#REF!+#REF!+#REF!+#REF!+#REF!+#REF!+#REF!+#REF!+#REF!+#REF!+#REF!+#REF!+#REF!+#REF!+#REF!+#REF!+#REF!+#REF!+#REF!+#REF!+#REF!+#REF!+#REF!+#REF!+#REF!+#REF!+#REF!+#REF!</f>
        <v>#REF!</v>
      </c>
      <c r="O8" s="6" t="e">
        <f>#REF!+#REF!+#REF!+#REF!+#REF!+#REF!+#REF!+#REF!+#REF!+#REF!+#REF!+#REF!+#REF!+#REF!+#REF!+#REF!+#REF!+#REF!+#REF!+#REF!+#REF!+#REF!+#REF!+#REF!+#REF!+#REF!+#REF!+#REF!+#REF!+#REF!</f>
        <v>#REF!</v>
      </c>
      <c r="P8" s="6" t="e">
        <f>#REF!+#REF!+#REF!+#REF!+#REF!+#REF!+#REF!+#REF!+#REF!+#REF!+#REF!+#REF!+#REF!+#REF!+#REF!+#REF!+#REF!+#REF!+#REF!+#REF!+#REF!+#REF!+#REF!+#REF!+#REF!+#REF!+#REF!+#REF!+#REF!+#REF!</f>
        <v>#REF!</v>
      </c>
      <c r="Q8" s="7" t="e">
        <f t="shared" si="0"/>
        <v>#REF!</v>
      </c>
      <c r="R8" s="6" t="e">
        <f>#REF!+#REF!+#REF!+#REF!+#REF!+#REF!+#REF!+#REF!+#REF!+#REF!+#REF!+#REF!+#REF!+#REF!+#REF!+#REF!+#REF!+#REF!+#REF!+#REF!+#REF!+#REF!+#REF!+#REF!+#REF!+#REF!+#REF!+#REF!+#REF!+#REF!</f>
        <v>#REF!</v>
      </c>
      <c r="S8" s="6" t="e">
        <f t="shared" ref="S8:S71" si="1">C8+D8-R8</f>
        <v>#REF!</v>
      </c>
      <c r="T8" s="6">
        <f>-26650-350+300-350</f>
        <v>-27050</v>
      </c>
      <c r="U8" s="6" t="e">
        <f t="shared" ref="U8:U71" si="2">S8+T8</f>
        <v>#REF!</v>
      </c>
      <c r="V8" s="7"/>
      <c r="W8" s="57"/>
      <c r="X8" s="46"/>
      <c r="Y8" s="61"/>
      <c r="Z8" s="47"/>
      <c r="AA8" s="61"/>
      <c r="AB8" s="67"/>
      <c r="AC8" s="61"/>
      <c r="AD8" s="66"/>
      <c r="AE8" s="61"/>
      <c r="AF8" s="52">
        <f t="shared" ref="AF8:AF71" si="3">SUM(Y8:AE8)</f>
        <v>0</v>
      </c>
      <c r="AG8" s="46" t="e">
        <f t="shared" ref="AG8:AG71" si="4">U8+AF8</f>
        <v>#REF!</v>
      </c>
      <c r="AH8" s="51" t="e">
        <f t="shared" ref="AH8:AH71" si="5">AG8-S8</f>
        <v>#REF!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/>
      <c r="D9" s="6" t="e">
        <f>#REF!+#REF!+#REF!+#REF!+#REF!+#REF!+#REF!+#REF!+#REF!+#REF!+#REF!+#REF!+#REF!+#REF!+#REF!+#REF!+#REF!+#REF!+#REF!+#REF!+#REF!+#REF!+#REF!+#REF!+#REF!+#REF!+#REF!+#REF!+#REF!+#REF!</f>
        <v>#REF!</v>
      </c>
      <c r="E9" s="6" t="e">
        <f>#REF!+#REF!+#REF!+#REF!+#REF!+#REF!+#REF!+#REF!+#REF!+#REF!+#REF!+#REF!+#REF!+#REF!+#REF!+#REF!+#REF!+#REF!+#REF!+#REF!+#REF!+#REF!+#REF!+#REF!+#REF!+#REF!+#REF!+#REF!+#REF!+#REF!</f>
        <v>#REF!</v>
      </c>
      <c r="F9" s="6" t="e">
        <f>#REF!+#REF!+#REF!+#REF!+#REF!+#REF!+#REF!+#REF!+#REF!+#REF!+#REF!+#REF!+#REF!+#REF!+#REF!+#REF!+#REF!+#REF!+#REF!+#REF!+#REF!+#REF!+#REF!+#REF!+#REF!+#REF!+#REF!+#REF!+#REF!+#REF!</f>
        <v>#REF!</v>
      </c>
      <c r="G9" s="6" t="e">
        <f>#REF!+#REF!+#REF!+#REF!+#REF!+#REF!+#REF!+#REF!+#REF!+#REF!+#REF!+#REF!+#REF!+#REF!+#REF!+#REF!+#REF!+#REF!+#REF!+#REF!+#REF!+#REF!+#REF!+#REF!+#REF!+#REF!+#REF!+#REF!+#REF!+#REF!</f>
        <v>#REF!</v>
      </c>
      <c r="H9" s="6" t="e">
        <f>#REF!+#REF!+#REF!+#REF!+#REF!+#REF!+#REF!+#REF!+#REF!+#REF!+#REF!+#REF!+#REF!+#REF!+#REF!+#REF!+#REF!+#REF!+#REF!+#REF!+#REF!+#REF!+#REF!+#REF!+#REF!+#REF!+#REF!+#REF!+#REF!+#REF!</f>
        <v>#REF!</v>
      </c>
      <c r="I9" s="6" t="e">
        <f>#REF!+#REF!+#REF!+#REF!+#REF!+#REF!+#REF!+#REF!+#REF!+#REF!+#REF!+#REF!+#REF!+#REF!+#REF!+#REF!+#REF!+#REF!+#REF!+#REF!+#REF!+#REF!+#REF!+#REF!+#REF!+#REF!+#REF!+#REF!+#REF!+#REF!</f>
        <v>#REF!</v>
      </c>
      <c r="J9" s="6" t="e">
        <f>#REF!+#REF!+#REF!+#REF!+#REF!+#REF!+#REF!+#REF!+#REF!+#REF!+#REF!+#REF!+#REF!+#REF!+#REF!+#REF!+#REF!+#REF!+#REF!+#REF!+#REF!+#REF!+#REF!+#REF!+#REF!+#REF!+#REF!+#REF!+#REF!+#REF!</f>
        <v>#REF!</v>
      </c>
      <c r="K9" s="6" t="e">
        <f>#REF!+#REF!+#REF!+#REF!+#REF!+#REF!+#REF!+#REF!+#REF!+#REF!+#REF!+#REF!+#REF!+#REF!+#REF!+#REF!+#REF!+#REF!+#REF!+#REF!+#REF!+#REF!+#REF!+#REF!+#REF!+#REF!+#REF!+#REF!+#REF!+#REF!</f>
        <v>#REF!</v>
      </c>
      <c r="L9" s="6" t="e">
        <f>#REF!+#REF!+#REF!+#REF!+#REF!+#REF!+#REF!+#REF!+#REF!+#REF!+#REF!+#REF!+#REF!+#REF!+#REF!+#REF!+#REF!+#REF!+#REF!+#REF!+#REF!+#REF!+#REF!+#REF!+#REF!+#REF!+#REF!+#REF!+#REF!+#REF!</f>
        <v>#REF!</v>
      </c>
      <c r="M9" s="6" t="e">
        <f>#REF!+#REF!+#REF!+#REF!+#REF!+#REF!+#REF!+#REF!+#REF!+#REF!+#REF!+#REF!+#REF!+#REF!+#REF!+#REF!+#REF!+#REF!+#REF!+#REF!+#REF!+#REF!+#REF!+#REF!+#REF!+#REF!+#REF!+#REF!+#REF!+#REF!</f>
        <v>#REF!</v>
      </c>
      <c r="N9" s="6" t="e">
        <f>#REF!+#REF!+#REF!+#REF!+#REF!+#REF!+#REF!+#REF!+#REF!+#REF!+#REF!+#REF!+#REF!+#REF!+#REF!+#REF!+#REF!+#REF!+#REF!+#REF!+#REF!+#REF!+#REF!+#REF!+#REF!+#REF!+#REF!+#REF!+#REF!+#REF!</f>
        <v>#REF!</v>
      </c>
      <c r="O9" s="6" t="e">
        <f>#REF!+#REF!+#REF!+#REF!+#REF!+#REF!+#REF!+#REF!+#REF!+#REF!+#REF!+#REF!+#REF!+#REF!+#REF!+#REF!+#REF!+#REF!+#REF!+#REF!+#REF!+#REF!+#REF!+#REF!+#REF!+#REF!+#REF!+#REF!+#REF!+#REF!</f>
        <v>#REF!</v>
      </c>
      <c r="P9" s="6" t="e">
        <f>#REF!+#REF!+#REF!+#REF!+#REF!+#REF!+#REF!+#REF!+#REF!+#REF!+#REF!+#REF!+#REF!+#REF!+#REF!+#REF!+#REF!+#REF!+#REF!+#REF!+#REF!+#REF!+#REF!+#REF!+#REF!+#REF!+#REF!+#REF!+#REF!+#REF!</f>
        <v>#REF!</v>
      </c>
      <c r="Q9" s="7" t="e">
        <f t="shared" si="0"/>
        <v>#REF!</v>
      </c>
      <c r="R9" s="6" t="e">
        <f>#REF!+#REF!+#REF!+#REF!+#REF!+#REF!+#REF!+#REF!+#REF!+#REF!+#REF!+#REF!+#REF!+#REF!+#REF!+#REF!+#REF!+#REF!+#REF!+#REF!+#REF!+#REF!+#REF!+#REF!+#REF!+#REF!+#REF!+#REF!+#REF!+#REF!</f>
        <v>#REF!</v>
      </c>
      <c r="S9" s="6" t="e">
        <f t="shared" si="1"/>
        <v>#REF!</v>
      </c>
      <c r="T9" s="6">
        <f>-5150+250</f>
        <v>-4900</v>
      </c>
      <c r="U9" s="6" t="e">
        <f t="shared" si="2"/>
        <v>#REF!</v>
      </c>
      <c r="V9" s="7"/>
      <c r="W9" s="57"/>
      <c r="X9" s="46"/>
      <c r="Y9" s="61"/>
      <c r="Z9" s="66"/>
      <c r="AA9" s="61"/>
      <c r="AB9" s="67"/>
      <c r="AC9" s="61"/>
      <c r="AD9" s="66"/>
      <c r="AE9" s="61"/>
      <c r="AF9" s="52">
        <f t="shared" si="3"/>
        <v>0</v>
      </c>
      <c r="AG9" s="46" t="e">
        <f t="shared" si="4"/>
        <v>#REF!</v>
      </c>
      <c r="AH9" s="51" t="e">
        <f t="shared" si="5"/>
        <v>#REF!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/>
      <c r="D10" s="6" t="e">
        <f>#REF!+#REF!+#REF!+#REF!+#REF!+#REF!+#REF!+#REF!+#REF!+#REF!+#REF!+#REF!+#REF!+#REF!+#REF!+#REF!+#REF!+#REF!+#REF!+#REF!+#REF!+#REF!+#REF!+#REF!+#REF!+#REF!+#REF!+#REF!+#REF!+#REF!</f>
        <v>#REF!</v>
      </c>
      <c r="E10" s="6" t="e">
        <f>#REF!+#REF!+#REF!+#REF!+#REF!+#REF!+#REF!+#REF!+#REF!+#REF!+#REF!+#REF!+#REF!+#REF!+#REF!+#REF!+#REF!+#REF!+#REF!+#REF!+#REF!+#REF!+#REF!+#REF!+#REF!+#REF!+#REF!+#REF!+#REF!+#REF!</f>
        <v>#REF!</v>
      </c>
      <c r="F10" s="6" t="e">
        <f>#REF!+#REF!+#REF!+#REF!+#REF!+#REF!+#REF!+#REF!+#REF!+#REF!+#REF!+#REF!+#REF!+#REF!+#REF!+#REF!+#REF!+#REF!+#REF!+#REF!+#REF!+#REF!+#REF!+#REF!+#REF!+#REF!+#REF!+#REF!+#REF!+#REF!</f>
        <v>#REF!</v>
      </c>
      <c r="G10" s="6" t="e">
        <f>#REF!+#REF!+#REF!+#REF!+#REF!+#REF!+#REF!+#REF!+#REF!+#REF!+#REF!+#REF!+#REF!+#REF!+#REF!+#REF!+#REF!+#REF!+#REF!+#REF!+#REF!+#REF!+#REF!+#REF!+#REF!+#REF!+#REF!+#REF!+#REF!+#REF!</f>
        <v>#REF!</v>
      </c>
      <c r="H10" s="6" t="e">
        <f>#REF!+#REF!+#REF!+#REF!+#REF!+#REF!+#REF!+#REF!+#REF!+#REF!+#REF!+#REF!+#REF!+#REF!+#REF!+#REF!+#REF!+#REF!+#REF!+#REF!+#REF!+#REF!+#REF!+#REF!+#REF!+#REF!+#REF!+#REF!+#REF!+#REF!</f>
        <v>#REF!</v>
      </c>
      <c r="I10" s="6" t="e">
        <f>#REF!+#REF!+#REF!+#REF!+#REF!+#REF!+#REF!+#REF!+#REF!+#REF!+#REF!+#REF!+#REF!+#REF!+#REF!+#REF!+#REF!+#REF!+#REF!+#REF!+#REF!+#REF!+#REF!+#REF!+#REF!+#REF!+#REF!+#REF!+#REF!+#REF!</f>
        <v>#REF!</v>
      </c>
      <c r="J10" s="6" t="e">
        <f>#REF!+#REF!+#REF!+#REF!+#REF!+#REF!+#REF!+#REF!+#REF!+#REF!+#REF!+#REF!+#REF!+#REF!+#REF!+#REF!+#REF!+#REF!+#REF!+#REF!+#REF!+#REF!+#REF!+#REF!+#REF!+#REF!+#REF!+#REF!+#REF!+#REF!</f>
        <v>#REF!</v>
      </c>
      <c r="K10" s="6" t="e">
        <f>#REF!+#REF!+#REF!+#REF!+#REF!+#REF!+#REF!+#REF!+#REF!+#REF!+#REF!+#REF!+#REF!+#REF!+#REF!+#REF!+#REF!+#REF!+#REF!+#REF!+#REF!+#REF!+#REF!+#REF!+#REF!+#REF!+#REF!+#REF!+#REF!+#REF!</f>
        <v>#REF!</v>
      </c>
      <c r="L10" s="6" t="e">
        <f>#REF!+#REF!+#REF!+#REF!+#REF!+#REF!+#REF!+#REF!+#REF!+#REF!+#REF!+#REF!+#REF!+#REF!+#REF!+#REF!+#REF!+#REF!+#REF!+#REF!+#REF!+#REF!+#REF!+#REF!+#REF!+#REF!+#REF!+#REF!+#REF!+#REF!</f>
        <v>#REF!</v>
      </c>
      <c r="M10" s="6" t="e">
        <f>#REF!+#REF!+#REF!+#REF!+#REF!+#REF!+#REF!+#REF!+#REF!+#REF!+#REF!+#REF!+#REF!+#REF!+#REF!+#REF!+#REF!+#REF!+#REF!+#REF!+#REF!+#REF!+#REF!+#REF!+#REF!+#REF!+#REF!+#REF!+#REF!+#REF!</f>
        <v>#REF!</v>
      </c>
      <c r="N10" s="6" t="e">
        <f>#REF!+#REF!+#REF!+#REF!+#REF!+#REF!+#REF!+#REF!+#REF!+#REF!+#REF!+#REF!+#REF!+#REF!+#REF!+#REF!+#REF!+#REF!+#REF!+#REF!+#REF!+#REF!+#REF!+#REF!+#REF!+#REF!+#REF!+#REF!+#REF!+#REF!</f>
        <v>#REF!</v>
      </c>
      <c r="O10" s="6" t="e">
        <f>#REF!+#REF!+#REF!+#REF!+#REF!+#REF!+#REF!+#REF!+#REF!+#REF!+#REF!+#REF!+#REF!+#REF!+#REF!+#REF!+#REF!+#REF!+#REF!+#REF!+#REF!+#REF!+#REF!+#REF!+#REF!+#REF!+#REF!+#REF!+#REF!+#REF!</f>
        <v>#REF!</v>
      </c>
      <c r="P10" s="6" t="e">
        <f>#REF!+#REF!+#REF!+#REF!+#REF!+#REF!+#REF!+#REF!+#REF!+#REF!+#REF!+#REF!+#REF!+#REF!+#REF!+#REF!+#REF!+#REF!+#REF!+#REF!+#REF!+#REF!+#REF!+#REF!+#REF!+#REF!+#REF!+#REF!+#REF!+#REF!</f>
        <v>#REF!</v>
      </c>
      <c r="Q10" s="7" t="e">
        <f t="shared" si="0"/>
        <v>#REF!</v>
      </c>
      <c r="R10" s="6" t="e">
        <f>#REF!+#REF!+#REF!+#REF!+#REF!+#REF!+#REF!+#REF!+#REF!+#REF!+#REF!+#REF!+#REF!+#REF!+#REF!+#REF!+#REF!+#REF!+#REF!+#REF!+#REF!+#REF!+#REF!+#REF!+#REF!+#REF!+#REF!+#REF!+#REF!+#REF!</f>
        <v>#REF!</v>
      </c>
      <c r="S10" s="6" t="e">
        <f t="shared" si="1"/>
        <v>#REF!</v>
      </c>
      <c r="T10" s="6">
        <v>-4450</v>
      </c>
      <c r="U10" s="6" t="e">
        <f t="shared" si="2"/>
        <v>#REF!</v>
      </c>
      <c r="V10" s="7">
        <v>200</v>
      </c>
      <c r="W10" s="57"/>
      <c r="X10" s="46"/>
      <c r="Y10" s="61"/>
      <c r="Z10" s="66"/>
      <c r="AA10" s="61"/>
      <c r="AB10" s="67"/>
      <c r="AC10" s="61"/>
      <c r="AD10" s="66"/>
      <c r="AE10" s="61"/>
      <c r="AF10" s="52">
        <f t="shared" si="3"/>
        <v>0</v>
      </c>
      <c r="AG10" s="46" t="e">
        <f t="shared" si="4"/>
        <v>#REF!</v>
      </c>
      <c r="AH10" s="51" t="e">
        <f t="shared" si="5"/>
        <v>#REF!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/>
      <c r="D11" s="6" t="e">
        <f>#REF!+#REF!+#REF!+#REF!+#REF!+#REF!+#REF!+#REF!+#REF!+#REF!+#REF!+#REF!+#REF!+#REF!+#REF!+#REF!+#REF!+#REF!+#REF!+#REF!+#REF!+#REF!+#REF!+#REF!+#REF!+#REF!+#REF!+#REF!+#REF!+#REF!</f>
        <v>#REF!</v>
      </c>
      <c r="E11" s="6" t="e">
        <f>#REF!+#REF!+#REF!+#REF!+#REF!+#REF!+#REF!+#REF!+#REF!+#REF!+#REF!+#REF!+#REF!+#REF!+#REF!+#REF!+#REF!+#REF!+#REF!+#REF!+#REF!+#REF!+#REF!+#REF!+#REF!+#REF!+#REF!+#REF!+#REF!+#REF!</f>
        <v>#REF!</v>
      </c>
      <c r="F11" s="6" t="e">
        <f>#REF!+#REF!+#REF!+#REF!+#REF!+#REF!+#REF!+#REF!+#REF!+#REF!+#REF!+#REF!+#REF!+#REF!+#REF!+#REF!+#REF!+#REF!+#REF!+#REF!+#REF!+#REF!+#REF!+#REF!+#REF!+#REF!+#REF!+#REF!+#REF!+#REF!</f>
        <v>#REF!</v>
      </c>
      <c r="G11" s="6" t="e">
        <f>#REF!+#REF!+#REF!+#REF!+#REF!+#REF!+#REF!+#REF!+#REF!+#REF!+#REF!+#REF!+#REF!+#REF!+#REF!+#REF!+#REF!+#REF!+#REF!+#REF!+#REF!+#REF!+#REF!+#REF!+#REF!+#REF!+#REF!+#REF!+#REF!+#REF!</f>
        <v>#REF!</v>
      </c>
      <c r="H11" s="6" t="e">
        <f>#REF!+#REF!+#REF!+#REF!+#REF!+#REF!+#REF!+#REF!+#REF!+#REF!+#REF!+#REF!+#REF!+#REF!+#REF!+#REF!+#REF!+#REF!+#REF!+#REF!+#REF!+#REF!+#REF!+#REF!+#REF!+#REF!+#REF!+#REF!+#REF!+#REF!</f>
        <v>#REF!</v>
      </c>
      <c r="I11" s="6" t="e">
        <f>#REF!+#REF!+#REF!+#REF!+#REF!+#REF!+#REF!+#REF!+#REF!+#REF!+#REF!+#REF!+#REF!+#REF!+#REF!+#REF!+#REF!+#REF!+#REF!+#REF!+#REF!+#REF!+#REF!+#REF!+#REF!+#REF!+#REF!+#REF!+#REF!+#REF!</f>
        <v>#REF!</v>
      </c>
      <c r="J11" s="6" t="e">
        <f>#REF!+#REF!+#REF!+#REF!+#REF!+#REF!+#REF!+#REF!+#REF!+#REF!+#REF!+#REF!+#REF!+#REF!+#REF!+#REF!+#REF!+#REF!+#REF!+#REF!+#REF!+#REF!+#REF!+#REF!+#REF!+#REF!+#REF!+#REF!+#REF!+#REF!</f>
        <v>#REF!</v>
      </c>
      <c r="K11" s="6" t="e">
        <f>#REF!+#REF!+#REF!+#REF!+#REF!+#REF!+#REF!+#REF!+#REF!+#REF!+#REF!+#REF!+#REF!+#REF!+#REF!+#REF!+#REF!+#REF!+#REF!+#REF!+#REF!+#REF!+#REF!+#REF!+#REF!+#REF!+#REF!+#REF!+#REF!+#REF!</f>
        <v>#REF!</v>
      </c>
      <c r="L11" s="6" t="e">
        <f>#REF!+#REF!+#REF!+#REF!+#REF!+#REF!+#REF!+#REF!+#REF!+#REF!+#REF!+#REF!+#REF!+#REF!+#REF!+#REF!+#REF!+#REF!+#REF!+#REF!+#REF!+#REF!+#REF!+#REF!+#REF!+#REF!+#REF!+#REF!+#REF!+#REF!</f>
        <v>#REF!</v>
      </c>
      <c r="M11" s="6" t="e">
        <f>#REF!+#REF!+#REF!+#REF!+#REF!+#REF!+#REF!+#REF!+#REF!+#REF!+#REF!+#REF!+#REF!+#REF!+#REF!+#REF!+#REF!+#REF!+#REF!+#REF!+#REF!+#REF!+#REF!+#REF!+#REF!+#REF!+#REF!+#REF!+#REF!+#REF!</f>
        <v>#REF!</v>
      </c>
      <c r="N11" s="6" t="e">
        <f>#REF!+#REF!+#REF!+#REF!+#REF!+#REF!+#REF!+#REF!+#REF!+#REF!+#REF!+#REF!+#REF!+#REF!+#REF!+#REF!+#REF!+#REF!+#REF!+#REF!+#REF!+#REF!+#REF!+#REF!+#REF!+#REF!+#REF!+#REF!+#REF!+#REF!</f>
        <v>#REF!</v>
      </c>
      <c r="O11" s="6" t="e">
        <f>#REF!+#REF!+#REF!+#REF!+#REF!+#REF!+#REF!+#REF!+#REF!+#REF!+#REF!+#REF!+#REF!+#REF!+#REF!+#REF!+#REF!+#REF!+#REF!+#REF!+#REF!+#REF!+#REF!+#REF!+#REF!+#REF!+#REF!+#REF!+#REF!+#REF!</f>
        <v>#REF!</v>
      </c>
      <c r="P11" s="6" t="e">
        <f>#REF!+#REF!+#REF!+#REF!+#REF!+#REF!+#REF!+#REF!+#REF!+#REF!+#REF!+#REF!+#REF!+#REF!+#REF!+#REF!+#REF!+#REF!+#REF!+#REF!+#REF!+#REF!+#REF!+#REF!+#REF!+#REF!+#REF!+#REF!+#REF!+#REF!</f>
        <v>#REF!</v>
      </c>
      <c r="Q11" s="7" t="e">
        <f t="shared" si="0"/>
        <v>#REF!</v>
      </c>
      <c r="R11" s="6" t="e">
        <f>#REF!+#REF!+#REF!+#REF!+#REF!+#REF!+#REF!+#REF!+#REF!+#REF!+#REF!+#REF!+#REF!+#REF!+#REF!+#REF!+#REF!+#REF!+#REF!+#REF!+#REF!+#REF!+#REF!+#REF!+#REF!+#REF!+#REF!+#REF!+#REF!+#REF!</f>
        <v>#REF!</v>
      </c>
      <c r="S11" s="6" t="e">
        <f t="shared" si="1"/>
        <v>#REF!</v>
      </c>
      <c r="T11" s="6">
        <f>-6700+500+2600+100</f>
        <v>-3500</v>
      </c>
      <c r="U11" s="6" t="e">
        <f t="shared" si="2"/>
        <v>#REF!</v>
      </c>
      <c r="V11" s="7"/>
      <c r="W11" s="57"/>
      <c r="X11" s="46"/>
      <c r="Y11" s="61"/>
      <c r="Z11" s="66"/>
      <c r="AA11" s="61"/>
      <c r="AB11" s="67"/>
      <c r="AC11" s="61"/>
      <c r="AD11" s="66"/>
      <c r="AE11" s="61"/>
      <c r="AF11" s="52">
        <f t="shared" si="3"/>
        <v>0</v>
      </c>
      <c r="AG11" s="46" t="e">
        <f t="shared" si="4"/>
        <v>#REF!</v>
      </c>
      <c r="AH11" s="51" t="e">
        <f t="shared" si="5"/>
        <v>#REF!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/>
      <c r="D12" s="6" t="e">
        <f>#REF!+#REF!+#REF!+#REF!+#REF!+#REF!+#REF!+#REF!+#REF!+#REF!+#REF!+#REF!+#REF!+#REF!+#REF!+#REF!+#REF!+#REF!+#REF!+#REF!+#REF!+#REF!+#REF!+#REF!+#REF!+#REF!+#REF!+#REF!+#REF!+#REF!</f>
        <v>#REF!</v>
      </c>
      <c r="E12" s="6" t="e">
        <f>#REF!+#REF!+#REF!+#REF!+#REF!+#REF!+#REF!+#REF!+#REF!+#REF!+#REF!+#REF!+#REF!+#REF!+#REF!+#REF!+#REF!+#REF!+#REF!+#REF!+#REF!+#REF!+#REF!+#REF!+#REF!+#REF!+#REF!+#REF!+#REF!+#REF!</f>
        <v>#REF!</v>
      </c>
      <c r="F12" s="6" t="e">
        <f>#REF!+#REF!+#REF!+#REF!+#REF!+#REF!+#REF!+#REF!+#REF!+#REF!+#REF!+#REF!+#REF!+#REF!+#REF!+#REF!+#REF!+#REF!+#REF!+#REF!+#REF!+#REF!+#REF!+#REF!+#REF!+#REF!+#REF!+#REF!+#REF!+#REF!</f>
        <v>#REF!</v>
      </c>
      <c r="G12" s="6" t="e">
        <f>#REF!+#REF!+#REF!+#REF!+#REF!+#REF!+#REF!+#REF!+#REF!+#REF!+#REF!+#REF!+#REF!+#REF!+#REF!+#REF!+#REF!+#REF!+#REF!+#REF!+#REF!+#REF!+#REF!+#REF!+#REF!+#REF!+#REF!+#REF!+#REF!+#REF!</f>
        <v>#REF!</v>
      </c>
      <c r="H12" s="6" t="e">
        <f>#REF!+#REF!+#REF!+#REF!+#REF!+#REF!+#REF!+#REF!+#REF!+#REF!+#REF!+#REF!+#REF!+#REF!+#REF!+#REF!+#REF!+#REF!+#REF!+#REF!+#REF!+#REF!+#REF!+#REF!+#REF!+#REF!+#REF!+#REF!+#REF!+#REF!</f>
        <v>#REF!</v>
      </c>
      <c r="I12" s="6" t="e">
        <f>#REF!+#REF!+#REF!+#REF!+#REF!+#REF!+#REF!+#REF!+#REF!+#REF!+#REF!+#REF!+#REF!+#REF!+#REF!+#REF!+#REF!+#REF!+#REF!+#REF!+#REF!+#REF!+#REF!+#REF!+#REF!+#REF!+#REF!+#REF!+#REF!+#REF!</f>
        <v>#REF!</v>
      </c>
      <c r="J12" s="6" t="e">
        <f>#REF!+#REF!+#REF!+#REF!+#REF!+#REF!+#REF!+#REF!+#REF!+#REF!+#REF!+#REF!+#REF!+#REF!+#REF!+#REF!+#REF!+#REF!+#REF!+#REF!+#REF!+#REF!+#REF!+#REF!+#REF!+#REF!+#REF!+#REF!+#REF!+#REF!</f>
        <v>#REF!</v>
      </c>
      <c r="K12" s="6" t="e">
        <f>#REF!+#REF!+#REF!+#REF!+#REF!+#REF!+#REF!+#REF!+#REF!+#REF!+#REF!+#REF!+#REF!+#REF!+#REF!+#REF!+#REF!+#REF!+#REF!+#REF!+#REF!+#REF!+#REF!+#REF!+#REF!+#REF!+#REF!+#REF!+#REF!+#REF!</f>
        <v>#REF!</v>
      </c>
      <c r="L12" s="6" t="e">
        <f>#REF!+#REF!+#REF!+#REF!+#REF!+#REF!+#REF!+#REF!+#REF!+#REF!+#REF!+#REF!+#REF!+#REF!+#REF!+#REF!+#REF!+#REF!+#REF!+#REF!+#REF!+#REF!+#REF!+#REF!+#REF!+#REF!+#REF!+#REF!+#REF!+#REF!</f>
        <v>#REF!</v>
      </c>
      <c r="M12" s="6" t="e">
        <f>#REF!+#REF!+#REF!+#REF!+#REF!+#REF!+#REF!+#REF!+#REF!+#REF!+#REF!+#REF!+#REF!+#REF!+#REF!+#REF!+#REF!+#REF!+#REF!+#REF!+#REF!+#REF!+#REF!+#REF!+#REF!+#REF!+#REF!+#REF!+#REF!+#REF!</f>
        <v>#REF!</v>
      </c>
      <c r="N12" s="6" t="e">
        <f>#REF!+#REF!+#REF!+#REF!+#REF!+#REF!+#REF!+#REF!+#REF!+#REF!+#REF!+#REF!+#REF!+#REF!+#REF!+#REF!+#REF!+#REF!+#REF!+#REF!+#REF!+#REF!+#REF!+#REF!+#REF!+#REF!+#REF!+#REF!+#REF!+#REF!</f>
        <v>#REF!</v>
      </c>
      <c r="O12" s="6" t="e">
        <f>#REF!+#REF!+#REF!+#REF!+#REF!+#REF!+#REF!+#REF!+#REF!+#REF!+#REF!+#REF!+#REF!+#REF!+#REF!+#REF!+#REF!+#REF!+#REF!+#REF!+#REF!+#REF!+#REF!+#REF!+#REF!+#REF!+#REF!+#REF!+#REF!+#REF!</f>
        <v>#REF!</v>
      </c>
      <c r="P12" s="6" t="e">
        <f>#REF!+#REF!+#REF!+#REF!+#REF!+#REF!+#REF!+#REF!+#REF!+#REF!+#REF!+#REF!+#REF!+#REF!+#REF!+#REF!+#REF!+#REF!+#REF!+#REF!+#REF!+#REF!+#REF!+#REF!+#REF!+#REF!+#REF!+#REF!+#REF!+#REF!</f>
        <v>#REF!</v>
      </c>
      <c r="Q12" s="7" t="e">
        <f t="shared" si="0"/>
        <v>#REF!</v>
      </c>
      <c r="R12" s="6" t="e">
        <f>#REF!+#REF!+#REF!+#REF!+#REF!+#REF!+#REF!+#REF!+#REF!+#REF!+#REF!+#REF!+#REF!+#REF!+#REF!+#REF!+#REF!+#REF!+#REF!+#REF!+#REF!+#REF!+#REF!+#REF!+#REF!+#REF!+#REF!+#REF!+#REF!+#REF!</f>
        <v>#REF!</v>
      </c>
      <c r="S12" s="6" t="e">
        <f t="shared" si="1"/>
        <v>#REF!</v>
      </c>
      <c r="T12" s="6">
        <f>3400+250+950+1000-100</f>
        <v>5500</v>
      </c>
      <c r="U12" s="6" t="e">
        <f t="shared" si="2"/>
        <v>#REF!</v>
      </c>
      <c r="V12" s="7"/>
      <c r="W12" s="57"/>
      <c r="X12" s="46"/>
      <c r="Y12" s="61"/>
      <c r="Z12" s="66"/>
      <c r="AA12" s="61"/>
      <c r="AB12" s="67"/>
      <c r="AC12" s="61"/>
      <c r="AD12" s="66"/>
      <c r="AE12" s="61"/>
      <c r="AF12" s="52">
        <f t="shared" si="3"/>
        <v>0</v>
      </c>
      <c r="AG12" s="46" t="e">
        <f t="shared" si="4"/>
        <v>#REF!</v>
      </c>
      <c r="AH12" s="51" t="e">
        <f t="shared" si="5"/>
        <v>#REF!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/>
      <c r="D13" s="6" t="e">
        <f>#REF!+#REF!+#REF!+#REF!+#REF!+#REF!+#REF!+#REF!+#REF!+#REF!+#REF!+#REF!+#REF!+#REF!+#REF!+#REF!+#REF!+#REF!+#REF!+#REF!+#REF!+#REF!+#REF!+#REF!+#REF!+#REF!+#REF!+#REF!+#REF!+#REF!</f>
        <v>#REF!</v>
      </c>
      <c r="E13" s="6" t="e">
        <f>#REF!+#REF!+#REF!+#REF!+#REF!+#REF!+#REF!+#REF!+#REF!+#REF!+#REF!+#REF!+#REF!+#REF!+#REF!+#REF!+#REF!+#REF!+#REF!+#REF!+#REF!+#REF!+#REF!+#REF!+#REF!+#REF!+#REF!+#REF!+#REF!+#REF!</f>
        <v>#REF!</v>
      </c>
      <c r="F13" s="6" t="e">
        <f>#REF!+#REF!+#REF!+#REF!+#REF!+#REF!+#REF!+#REF!+#REF!+#REF!+#REF!+#REF!+#REF!+#REF!+#REF!+#REF!+#REF!+#REF!+#REF!+#REF!+#REF!+#REF!+#REF!+#REF!+#REF!+#REF!+#REF!+#REF!+#REF!+#REF!</f>
        <v>#REF!</v>
      </c>
      <c r="G13" s="6" t="e">
        <f>#REF!+#REF!+#REF!+#REF!+#REF!+#REF!+#REF!+#REF!+#REF!+#REF!+#REF!+#REF!+#REF!+#REF!+#REF!+#REF!+#REF!+#REF!+#REF!+#REF!+#REF!+#REF!+#REF!+#REF!+#REF!+#REF!+#REF!+#REF!+#REF!+#REF!</f>
        <v>#REF!</v>
      </c>
      <c r="H13" s="6" t="e">
        <f>#REF!+#REF!+#REF!+#REF!+#REF!+#REF!+#REF!+#REF!+#REF!+#REF!+#REF!+#REF!+#REF!+#REF!+#REF!+#REF!+#REF!+#REF!+#REF!+#REF!+#REF!+#REF!+#REF!+#REF!+#REF!+#REF!+#REF!+#REF!+#REF!+#REF!</f>
        <v>#REF!</v>
      </c>
      <c r="I13" s="6" t="e">
        <f>#REF!+#REF!+#REF!+#REF!+#REF!+#REF!+#REF!+#REF!+#REF!+#REF!+#REF!+#REF!+#REF!+#REF!+#REF!+#REF!+#REF!+#REF!+#REF!+#REF!+#REF!+#REF!+#REF!+#REF!+#REF!+#REF!+#REF!+#REF!+#REF!+#REF!</f>
        <v>#REF!</v>
      </c>
      <c r="J13" s="6" t="e">
        <f>#REF!+#REF!+#REF!+#REF!+#REF!+#REF!+#REF!+#REF!+#REF!+#REF!+#REF!+#REF!+#REF!+#REF!+#REF!+#REF!+#REF!+#REF!+#REF!+#REF!+#REF!+#REF!+#REF!+#REF!+#REF!+#REF!+#REF!+#REF!+#REF!+#REF!</f>
        <v>#REF!</v>
      </c>
      <c r="K13" s="6" t="e">
        <f>#REF!+#REF!+#REF!+#REF!+#REF!+#REF!+#REF!+#REF!+#REF!+#REF!+#REF!+#REF!+#REF!+#REF!+#REF!+#REF!+#REF!+#REF!+#REF!+#REF!+#REF!+#REF!+#REF!+#REF!+#REF!+#REF!+#REF!+#REF!+#REF!+#REF!</f>
        <v>#REF!</v>
      </c>
      <c r="L13" s="6" t="e">
        <f>#REF!+#REF!+#REF!+#REF!+#REF!+#REF!+#REF!+#REF!+#REF!+#REF!+#REF!+#REF!+#REF!+#REF!+#REF!+#REF!+#REF!+#REF!+#REF!+#REF!+#REF!+#REF!+#REF!+#REF!+#REF!+#REF!+#REF!+#REF!+#REF!+#REF!</f>
        <v>#REF!</v>
      </c>
      <c r="M13" s="6" t="e">
        <f>#REF!+#REF!+#REF!+#REF!+#REF!+#REF!+#REF!+#REF!+#REF!+#REF!+#REF!+#REF!+#REF!+#REF!+#REF!+#REF!+#REF!+#REF!+#REF!+#REF!+#REF!+#REF!+#REF!+#REF!+#REF!+#REF!+#REF!+#REF!+#REF!+#REF!</f>
        <v>#REF!</v>
      </c>
      <c r="N13" s="6" t="e">
        <f>#REF!+#REF!+#REF!+#REF!+#REF!+#REF!+#REF!+#REF!+#REF!+#REF!+#REF!+#REF!+#REF!+#REF!+#REF!+#REF!+#REF!+#REF!+#REF!+#REF!+#REF!+#REF!+#REF!+#REF!+#REF!+#REF!+#REF!+#REF!+#REF!+#REF!</f>
        <v>#REF!</v>
      </c>
      <c r="O13" s="6" t="e">
        <f>#REF!+#REF!+#REF!+#REF!+#REF!+#REF!+#REF!+#REF!+#REF!+#REF!+#REF!+#REF!+#REF!+#REF!+#REF!+#REF!+#REF!+#REF!+#REF!+#REF!+#REF!+#REF!+#REF!+#REF!+#REF!+#REF!+#REF!+#REF!+#REF!+#REF!</f>
        <v>#REF!</v>
      </c>
      <c r="P13" s="6" t="e">
        <f>#REF!+#REF!+#REF!+#REF!+#REF!+#REF!+#REF!+#REF!+#REF!+#REF!+#REF!+#REF!+#REF!+#REF!+#REF!+#REF!+#REF!+#REF!+#REF!+#REF!+#REF!+#REF!+#REF!+#REF!+#REF!+#REF!+#REF!+#REF!+#REF!+#REF!</f>
        <v>#REF!</v>
      </c>
      <c r="Q13" s="7" t="e">
        <f t="shared" si="0"/>
        <v>#REF!</v>
      </c>
      <c r="R13" s="6" t="e">
        <f>#REF!+#REF!+#REF!+#REF!+#REF!+#REF!+#REF!+#REF!+#REF!+#REF!+#REF!+#REF!+#REF!+#REF!+#REF!+#REF!+#REF!+#REF!+#REF!+#REF!+#REF!+#REF!+#REF!+#REF!+#REF!+#REF!+#REF!+#REF!+#REF!+#REF!</f>
        <v>#REF!</v>
      </c>
      <c r="S13" s="6" t="e">
        <f t="shared" si="1"/>
        <v>#REF!</v>
      </c>
      <c r="T13" s="6">
        <v>-50</v>
      </c>
      <c r="U13" s="6" t="e">
        <f t="shared" si="2"/>
        <v>#REF!</v>
      </c>
      <c r="V13" s="7"/>
      <c r="W13" s="57"/>
      <c r="X13" s="46"/>
      <c r="Y13" s="61"/>
      <c r="Z13" s="66"/>
      <c r="AA13" s="61"/>
      <c r="AB13" s="67"/>
      <c r="AC13" s="61"/>
      <c r="AD13" s="66"/>
      <c r="AE13" s="61"/>
      <c r="AF13" s="52">
        <f t="shared" si="3"/>
        <v>0</v>
      </c>
      <c r="AG13" s="46" t="e">
        <f t="shared" si="4"/>
        <v>#REF!</v>
      </c>
      <c r="AH13" s="51" t="e">
        <f t="shared" si="5"/>
        <v>#REF!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/>
      <c r="D14" s="6" t="e">
        <f>#REF!+#REF!+#REF!+#REF!+#REF!+#REF!+#REF!+#REF!+#REF!+#REF!+#REF!+#REF!+#REF!+#REF!+#REF!+#REF!+#REF!+#REF!+#REF!+#REF!+#REF!+#REF!+#REF!+#REF!+#REF!+#REF!+#REF!+#REF!+#REF!+#REF!</f>
        <v>#REF!</v>
      </c>
      <c r="E14" s="6" t="e">
        <f>#REF!+#REF!+#REF!+#REF!+#REF!+#REF!+#REF!+#REF!+#REF!+#REF!+#REF!+#REF!+#REF!+#REF!+#REF!+#REF!+#REF!+#REF!+#REF!+#REF!+#REF!+#REF!+#REF!+#REF!+#REF!+#REF!+#REF!+#REF!+#REF!+#REF!</f>
        <v>#REF!</v>
      </c>
      <c r="F14" s="6" t="e">
        <f>#REF!+#REF!+#REF!+#REF!+#REF!+#REF!+#REF!+#REF!+#REF!+#REF!+#REF!+#REF!+#REF!+#REF!+#REF!+#REF!+#REF!+#REF!+#REF!+#REF!+#REF!+#REF!+#REF!+#REF!+#REF!+#REF!+#REF!+#REF!+#REF!+#REF!</f>
        <v>#REF!</v>
      </c>
      <c r="G14" s="6" t="e">
        <f>#REF!+#REF!+#REF!+#REF!+#REF!+#REF!+#REF!+#REF!+#REF!+#REF!+#REF!+#REF!+#REF!+#REF!+#REF!+#REF!+#REF!+#REF!+#REF!+#REF!+#REF!+#REF!+#REF!+#REF!+#REF!+#REF!+#REF!+#REF!+#REF!+#REF!</f>
        <v>#REF!</v>
      </c>
      <c r="H14" s="6" t="e">
        <f>#REF!+#REF!+#REF!+#REF!+#REF!+#REF!+#REF!+#REF!+#REF!+#REF!+#REF!+#REF!+#REF!+#REF!+#REF!+#REF!+#REF!+#REF!+#REF!+#REF!+#REF!+#REF!+#REF!+#REF!+#REF!+#REF!+#REF!+#REF!+#REF!+#REF!</f>
        <v>#REF!</v>
      </c>
      <c r="I14" s="6" t="e">
        <f>#REF!+#REF!+#REF!+#REF!+#REF!+#REF!+#REF!+#REF!+#REF!+#REF!+#REF!+#REF!+#REF!+#REF!+#REF!+#REF!+#REF!+#REF!+#REF!+#REF!+#REF!+#REF!+#REF!+#REF!+#REF!+#REF!+#REF!+#REF!+#REF!+#REF!</f>
        <v>#REF!</v>
      </c>
      <c r="J14" s="6" t="e">
        <f>#REF!+#REF!+#REF!+#REF!+#REF!+#REF!+#REF!+#REF!+#REF!+#REF!+#REF!+#REF!+#REF!+#REF!+#REF!+#REF!+#REF!+#REF!+#REF!+#REF!+#REF!+#REF!+#REF!+#REF!+#REF!+#REF!+#REF!+#REF!+#REF!+#REF!</f>
        <v>#REF!</v>
      </c>
      <c r="K14" s="6" t="e">
        <f>#REF!+#REF!+#REF!+#REF!+#REF!+#REF!+#REF!+#REF!+#REF!+#REF!+#REF!+#REF!+#REF!+#REF!+#REF!+#REF!+#REF!+#REF!+#REF!+#REF!+#REF!+#REF!+#REF!+#REF!+#REF!+#REF!+#REF!+#REF!+#REF!+#REF!</f>
        <v>#REF!</v>
      </c>
      <c r="L14" s="6" t="e">
        <f>#REF!+#REF!+#REF!+#REF!+#REF!+#REF!+#REF!+#REF!+#REF!+#REF!+#REF!+#REF!+#REF!+#REF!+#REF!+#REF!+#REF!+#REF!+#REF!+#REF!+#REF!+#REF!+#REF!+#REF!+#REF!+#REF!+#REF!+#REF!+#REF!+#REF!</f>
        <v>#REF!</v>
      </c>
      <c r="M14" s="6" t="e">
        <f>#REF!+#REF!+#REF!+#REF!+#REF!+#REF!+#REF!+#REF!+#REF!+#REF!+#REF!+#REF!+#REF!+#REF!+#REF!+#REF!+#REF!+#REF!+#REF!+#REF!+#REF!+#REF!+#REF!+#REF!+#REF!+#REF!+#REF!+#REF!+#REF!+#REF!</f>
        <v>#REF!</v>
      </c>
      <c r="N14" s="6" t="e">
        <f>#REF!+#REF!+#REF!+#REF!+#REF!+#REF!+#REF!+#REF!+#REF!+#REF!+#REF!+#REF!+#REF!+#REF!+#REF!+#REF!+#REF!+#REF!+#REF!+#REF!+#REF!+#REF!+#REF!+#REF!+#REF!+#REF!+#REF!+#REF!+#REF!+#REF!</f>
        <v>#REF!</v>
      </c>
      <c r="O14" s="6" t="e">
        <f>#REF!+#REF!+#REF!+#REF!+#REF!+#REF!+#REF!+#REF!+#REF!+#REF!+#REF!+#REF!+#REF!+#REF!+#REF!+#REF!+#REF!+#REF!+#REF!+#REF!+#REF!+#REF!+#REF!+#REF!+#REF!+#REF!+#REF!+#REF!+#REF!+#REF!</f>
        <v>#REF!</v>
      </c>
      <c r="P14" s="6" t="e">
        <f>#REF!+#REF!+#REF!+#REF!+#REF!+#REF!+#REF!+#REF!+#REF!+#REF!+#REF!+#REF!+#REF!+#REF!+#REF!+#REF!+#REF!+#REF!+#REF!+#REF!+#REF!+#REF!+#REF!+#REF!+#REF!+#REF!+#REF!+#REF!+#REF!+#REF!</f>
        <v>#REF!</v>
      </c>
      <c r="Q14" s="7" t="e">
        <f t="shared" si="0"/>
        <v>#REF!</v>
      </c>
      <c r="R14" s="6" t="e">
        <f>#REF!+#REF!+#REF!+#REF!+#REF!+#REF!+#REF!+#REF!+#REF!+#REF!+#REF!+#REF!+#REF!+#REF!+#REF!+#REF!+#REF!+#REF!+#REF!+#REF!+#REF!+#REF!+#REF!+#REF!+#REF!+#REF!+#REF!+#REF!+#REF!+#REF!</f>
        <v>#REF!</v>
      </c>
      <c r="S14" s="6" t="e">
        <f t="shared" si="1"/>
        <v>#REF!</v>
      </c>
      <c r="T14" s="6">
        <f>-6750-5600+200+850+850</f>
        <v>-10450</v>
      </c>
      <c r="U14" s="6" t="e">
        <f t="shared" si="2"/>
        <v>#REF!</v>
      </c>
      <c r="V14" s="7"/>
      <c r="W14" s="57"/>
      <c r="X14" s="46"/>
      <c r="Y14" s="61"/>
      <c r="Z14" s="47"/>
      <c r="AA14" s="61"/>
      <c r="AB14" s="66"/>
      <c r="AC14" s="61"/>
      <c r="AD14" s="66"/>
      <c r="AE14" s="61"/>
      <c r="AF14" s="52">
        <f t="shared" si="3"/>
        <v>0</v>
      </c>
      <c r="AG14" s="46" t="e">
        <f t="shared" si="4"/>
        <v>#REF!</v>
      </c>
      <c r="AH14" s="51" t="e">
        <f t="shared" si="5"/>
        <v>#REF!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/>
      <c r="D15" s="6" t="e">
        <f>#REF!+#REF!+#REF!+#REF!+#REF!+#REF!+#REF!+#REF!+#REF!+#REF!+#REF!+#REF!+#REF!+#REF!+#REF!+#REF!+#REF!+#REF!+#REF!+#REF!+#REF!+#REF!+#REF!+#REF!+#REF!+#REF!+#REF!+#REF!+#REF!+#REF!</f>
        <v>#REF!</v>
      </c>
      <c r="E15" s="6" t="e">
        <f>#REF!+#REF!+#REF!+#REF!+#REF!+#REF!+#REF!+#REF!+#REF!+#REF!+#REF!+#REF!+#REF!+#REF!+#REF!+#REF!+#REF!+#REF!+#REF!+#REF!+#REF!+#REF!+#REF!+#REF!+#REF!+#REF!+#REF!+#REF!+#REF!+#REF!</f>
        <v>#REF!</v>
      </c>
      <c r="F15" s="6" t="e">
        <f>#REF!+#REF!+#REF!+#REF!+#REF!+#REF!+#REF!+#REF!+#REF!+#REF!+#REF!+#REF!+#REF!+#REF!+#REF!+#REF!+#REF!+#REF!+#REF!+#REF!+#REF!+#REF!+#REF!+#REF!+#REF!+#REF!+#REF!+#REF!+#REF!+#REF!</f>
        <v>#REF!</v>
      </c>
      <c r="G15" s="6" t="e">
        <f>#REF!+#REF!+#REF!+#REF!+#REF!+#REF!+#REF!+#REF!+#REF!+#REF!+#REF!+#REF!+#REF!+#REF!+#REF!+#REF!+#REF!+#REF!+#REF!+#REF!+#REF!+#REF!+#REF!+#REF!+#REF!+#REF!+#REF!+#REF!+#REF!+#REF!</f>
        <v>#REF!</v>
      </c>
      <c r="H15" s="6" t="e">
        <f>#REF!+#REF!+#REF!+#REF!+#REF!+#REF!+#REF!+#REF!+#REF!+#REF!+#REF!+#REF!+#REF!+#REF!+#REF!+#REF!+#REF!+#REF!+#REF!+#REF!+#REF!+#REF!+#REF!+#REF!+#REF!+#REF!+#REF!+#REF!+#REF!+#REF!</f>
        <v>#REF!</v>
      </c>
      <c r="I15" s="6" t="e">
        <f>#REF!+#REF!+#REF!+#REF!+#REF!+#REF!+#REF!+#REF!+#REF!+#REF!+#REF!+#REF!+#REF!+#REF!+#REF!+#REF!+#REF!+#REF!+#REF!+#REF!+#REF!+#REF!+#REF!+#REF!+#REF!+#REF!+#REF!+#REF!+#REF!+#REF!</f>
        <v>#REF!</v>
      </c>
      <c r="J15" s="6" t="e">
        <f>#REF!+#REF!+#REF!+#REF!+#REF!+#REF!+#REF!+#REF!+#REF!+#REF!+#REF!+#REF!+#REF!+#REF!+#REF!+#REF!+#REF!+#REF!+#REF!+#REF!+#REF!+#REF!+#REF!+#REF!+#REF!+#REF!+#REF!+#REF!+#REF!+#REF!</f>
        <v>#REF!</v>
      </c>
      <c r="K15" s="6" t="e">
        <f>#REF!+#REF!+#REF!+#REF!+#REF!+#REF!+#REF!+#REF!+#REF!+#REF!+#REF!+#REF!+#REF!+#REF!+#REF!+#REF!+#REF!+#REF!+#REF!+#REF!+#REF!+#REF!+#REF!+#REF!+#REF!+#REF!+#REF!+#REF!+#REF!+#REF!</f>
        <v>#REF!</v>
      </c>
      <c r="L15" s="6" t="e">
        <f>#REF!+#REF!+#REF!+#REF!+#REF!+#REF!+#REF!+#REF!+#REF!+#REF!+#REF!+#REF!+#REF!+#REF!+#REF!+#REF!+#REF!+#REF!+#REF!+#REF!+#REF!+#REF!+#REF!+#REF!+#REF!+#REF!+#REF!+#REF!+#REF!+#REF!</f>
        <v>#REF!</v>
      </c>
      <c r="M15" s="6" t="e">
        <f>#REF!+#REF!+#REF!+#REF!+#REF!+#REF!+#REF!+#REF!+#REF!+#REF!+#REF!+#REF!+#REF!+#REF!+#REF!+#REF!+#REF!+#REF!+#REF!+#REF!+#REF!+#REF!+#REF!+#REF!+#REF!+#REF!+#REF!+#REF!+#REF!+#REF!</f>
        <v>#REF!</v>
      </c>
      <c r="N15" s="6" t="e">
        <f>#REF!+#REF!+#REF!+#REF!+#REF!+#REF!+#REF!+#REF!+#REF!+#REF!+#REF!+#REF!+#REF!+#REF!+#REF!+#REF!+#REF!+#REF!+#REF!+#REF!+#REF!+#REF!+#REF!+#REF!+#REF!+#REF!+#REF!+#REF!+#REF!+#REF!</f>
        <v>#REF!</v>
      </c>
      <c r="O15" s="6" t="e">
        <f>#REF!+#REF!+#REF!+#REF!+#REF!+#REF!+#REF!+#REF!+#REF!+#REF!+#REF!+#REF!+#REF!+#REF!+#REF!+#REF!+#REF!+#REF!+#REF!+#REF!+#REF!+#REF!+#REF!+#REF!+#REF!+#REF!+#REF!+#REF!+#REF!+#REF!</f>
        <v>#REF!</v>
      </c>
      <c r="P15" s="6" t="e">
        <f>#REF!+#REF!+#REF!+#REF!+#REF!+#REF!+#REF!+#REF!+#REF!+#REF!+#REF!+#REF!+#REF!+#REF!+#REF!+#REF!+#REF!+#REF!+#REF!+#REF!+#REF!+#REF!+#REF!+#REF!+#REF!+#REF!+#REF!+#REF!+#REF!+#REF!</f>
        <v>#REF!</v>
      </c>
      <c r="Q15" s="7" t="e">
        <f t="shared" si="0"/>
        <v>#REF!</v>
      </c>
      <c r="R15" s="6" t="e">
        <f>#REF!+#REF!+#REF!+#REF!+#REF!+#REF!+#REF!+#REF!+#REF!+#REF!+#REF!+#REF!+#REF!+#REF!+#REF!+#REF!+#REF!+#REF!+#REF!+#REF!+#REF!+#REF!+#REF!+#REF!+#REF!+#REF!+#REF!+#REF!+#REF!+#REF!</f>
        <v>#REF!</v>
      </c>
      <c r="S15" s="6" t="e">
        <f t="shared" si="1"/>
        <v>#REF!</v>
      </c>
      <c r="T15" s="6">
        <f>-2800-50</f>
        <v>-2850</v>
      </c>
      <c r="U15" s="6" t="e">
        <f t="shared" si="2"/>
        <v>#REF!</v>
      </c>
      <c r="V15" s="7"/>
      <c r="W15" s="57"/>
      <c r="X15" s="46"/>
      <c r="Y15" s="61"/>
      <c r="Z15" s="66"/>
      <c r="AA15" s="61"/>
      <c r="AB15" s="67"/>
      <c r="AC15" s="61"/>
      <c r="AD15" s="66"/>
      <c r="AE15" s="61"/>
      <c r="AF15" s="52">
        <f t="shared" si="3"/>
        <v>0</v>
      </c>
      <c r="AG15" s="46" t="e">
        <f t="shared" si="4"/>
        <v>#REF!</v>
      </c>
      <c r="AH15" s="51" t="e">
        <f t="shared" si="5"/>
        <v>#REF!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/>
      <c r="D16" s="6" t="e">
        <f>#REF!+#REF!+#REF!+#REF!+#REF!+#REF!+#REF!+#REF!+#REF!+#REF!+#REF!+#REF!+#REF!+#REF!+#REF!+#REF!+#REF!+#REF!+#REF!+#REF!+#REF!+#REF!+#REF!+#REF!+#REF!+#REF!+#REF!+#REF!+#REF!+#REF!</f>
        <v>#REF!</v>
      </c>
      <c r="E16" s="6" t="e">
        <f>#REF!+#REF!+#REF!+#REF!+#REF!+#REF!+#REF!+#REF!+#REF!+#REF!+#REF!+#REF!+#REF!+#REF!+#REF!+#REF!+#REF!+#REF!+#REF!+#REF!+#REF!+#REF!+#REF!+#REF!+#REF!+#REF!+#REF!+#REF!+#REF!+#REF!</f>
        <v>#REF!</v>
      </c>
      <c r="F16" s="6" t="e">
        <f>#REF!+#REF!+#REF!+#REF!+#REF!+#REF!+#REF!+#REF!+#REF!+#REF!+#REF!+#REF!+#REF!+#REF!+#REF!+#REF!+#REF!+#REF!+#REF!+#REF!+#REF!+#REF!+#REF!+#REF!+#REF!+#REF!+#REF!+#REF!+#REF!+#REF!</f>
        <v>#REF!</v>
      </c>
      <c r="G16" s="6" t="e">
        <f>#REF!+#REF!+#REF!+#REF!+#REF!+#REF!+#REF!+#REF!+#REF!+#REF!+#REF!+#REF!+#REF!+#REF!+#REF!+#REF!+#REF!+#REF!+#REF!+#REF!+#REF!+#REF!+#REF!+#REF!+#REF!+#REF!+#REF!+#REF!+#REF!+#REF!</f>
        <v>#REF!</v>
      </c>
      <c r="H16" s="6" t="e">
        <f>#REF!+#REF!+#REF!+#REF!+#REF!+#REF!+#REF!+#REF!+#REF!+#REF!+#REF!+#REF!+#REF!+#REF!+#REF!+#REF!+#REF!+#REF!+#REF!+#REF!+#REF!+#REF!+#REF!+#REF!+#REF!+#REF!+#REF!+#REF!+#REF!+#REF!</f>
        <v>#REF!</v>
      </c>
      <c r="I16" s="6" t="e">
        <f>#REF!+#REF!+#REF!+#REF!+#REF!+#REF!+#REF!+#REF!+#REF!+#REF!+#REF!+#REF!+#REF!+#REF!+#REF!+#REF!+#REF!+#REF!+#REF!+#REF!+#REF!+#REF!+#REF!+#REF!+#REF!+#REF!+#REF!+#REF!+#REF!+#REF!</f>
        <v>#REF!</v>
      </c>
      <c r="J16" s="6" t="e">
        <f>#REF!+#REF!+#REF!+#REF!+#REF!+#REF!+#REF!+#REF!+#REF!+#REF!+#REF!+#REF!+#REF!+#REF!+#REF!+#REF!+#REF!+#REF!+#REF!+#REF!+#REF!+#REF!+#REF!+#REF!+#REF!+#REF!+#REF!+#REF!+#REF!+#REF!</f>
        <v>#REF!</v>
      </c>
      <c r="K16" s="6" t="e">
        <f>#REF!+#REF!+#REF!+#REF!+#REF!+#REF!+#REF!+#REF!+#REF!+#REF!+#REF!+#REF!+#REF!+#REF!+#REF!+#REF!+#REF!+#REF!+#REF!+#REF!+#REF!+#REF!+#REF!+#REF!+#REF!+#REF!+#REF!+#REF!+#REF!+#REF!</f>
        <v>#REF!</v>
      </c>
      <c r="L16" s="6" t="e">
        <f>#REF!+#REF!+#REF!+#REF!+#REF!+#REF!+#REF!+#REF!+#REF!+#REF!+#REF!+#REF!+#REF!+#REF!+#REF!+#REF!+#REF!+#REF!+#REF!+#REF!+#REF!+#REF!+#REF!+#REF!+#REF!+#REF!+#REF!+#REF!+#REF!+#REF!</f>
        <v>#REF!</v>
      </c>
      <c r="M16" s="6" t="e">
        <f>#REF!+#REF!+#REF!+#REF!+#REF!+#REF!+#REF!+#REF!+#REF!+#REF!+#REF!+#REF!+#REF!+#REF!+#REF!+#REF!+#REF!+#REF!+#REF!+#REF!+#REF!+#REF!+#REF!+#REF!+#REF!+#REF!+#REF!+#REF!+#REF!+#REF!</f>
        <v>#REF!</v>
      </c>
      <c r="N16" s="6" t="e">
        <f>#REF!+#REF!+#REF!+#REF!+#REF!+#REF!+#REF!+#REF!+#REF!+#REF!+#REF!+#REF!+#REF!+#REF!+#REF!+#REF!+#REF!+#REF!+#REF!+#REF!+#REF!+#REF!+#REF!+#REF!+#REF!+#REF!+#REF!+#REF!+#REF!+#REF!</f>
        <v>#REF!</v>
      </c>
      <c r="O16" s="6" t="e">
        <f>#REF!+#REF!+#REF!+#REF!+#REF!+#REF!+#REF!+#REF!+#REF!+#REF!+#REF!+#REF!+#REF!+#REF!+#REF!+#REF!+#REF!+#REF!+#REF!+#REF!+#REF!+#REF!+#REF!+#REF!+#REF!+#REF!+#REF!+#REF!+#REF!+#REF!</f>
        <v>#REF!</v>
      </c>
      <c r="P16" s="6" t="e">
        <f>#REF!+#REF!+#REF!+#REF!+#REF!+#REF!+#REF!+#REF!+#REF!+#REF!+#REF!+#REF!+#REF!+#REF!+#REF!+#REF!+#REF!+#REF!+#REF!+#REF!+#REF!+#REF!+#REF!+#REF!+#REF!+#REF!+#REF!+#REF!+#REF!+#REF!</f>
        <v>#REF!</v>
      </c>
      <c r="Q16" s="7" t="e">
        <f t="shared" si="0"/>
        <v>#REF!</v>
      </c>
      <c r="R16" s="6" t="e">
        <f>#REF!+#REF!+#REF!+#REF!+#REF!+#REF!+#REF!+#REF!+#REF!+#REF!+#REF!+#REF!+#REF!+#REF!+#REF!+#REF!+#REF!+#REF!+#REF!+#REF!+#REF!+#REF!+#REF!+#REF!+#REF!+#REF!+#REF!+#REF!+#REF!+#REF!</f>
        <v>#REF!</v>
      </c>
      <c r="S16" s="6" t="e">
        <f t="shared" si="1"/>
        <v>#REF!</v>
      </c>
      <c r="T16" s="34">
        <f>-10000-300-50</f>
        <v>-10350</v>
      </c>
      <c r="U16" s="6" t="e">
        <f t="shared" si="2"/>
        <v>#REF!</v>
      </c>
      <c r="V16" s="7"/>
      <c r="W16" s="57"/>
      <c r="X16" s="46"/>
      <c r="Y16" s="61"/>
      <c r="Z16" s="47"/>
      <c r="AA16" s="61"/>
      <c r="AB16" s="67"/>
      <c r="AC16" s="61"/>
      <c r="AD16" s="47"/>
      <c r="AE16" s="61"/>
      <c r="AF16" s="52">
        <f t="shared" si="3"/>
        <v>0</v>
      </c>
      <c r="AG16" s="46" t="e">
        <f t="shared" si="4"/>
        <v>#REF!</v>
      </c>
      <c r="AH16" s="51" t="e">
        <f t="shared" si="5"/>
        <v>#REF!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/>
      <c r="D17" s="6" t="e">
        <f>#REF!+#REF!+#REF!+#REF!+#REF!+#REF!+#REF!+#REF!+#REF!+#REF!+#REF!+#REF!+#REF!+#REF!+#REF!+#REF!+#REF!+#REF!+#REF!+#REF!+#REF!+#REF!+#REF!+#REF!+#REF!+#REF!+#REF!+#REF!+#REF!+#REF!</f>
        <v>#REF!</v>
      </c>
      <c r="E17" s="6" t="e">
        <f>#REF!+#REF!+#REF!+#REF!+#REF!+#REF!+#REF!+#REF!+#REF!+#REF!+#REF!+#REF!+#REF!+#REF!+#REF!+#REF!+#REF!+#REF!+#REF!+#REF!+#REF!+#REF!+#REF!+#REF!+#REF!+#REF!+#REF!+#REF!+#REF!+#REF!</f>
        <v>#REF!</v>
      </c>
      <c r="F17" s="6" t="e">
        <f>#REF!+#REF!+#REF!+#REF!+#REF!+#REF!+#REF!+#REF!+#REF!+#REF!+#REF!+#REF!+#REF!+#REF!+#REF!+#REF!+#REF!+#REF!+#REF!+#REF!+#REF!+#REF!+#REF!+#REF!+#REF!+#REF!+#REF!+#REF!+#REF!+#REF!</f>
        <v>#REF!</v>
      </c>
      <c r="G17" s="6" t="e">
        <f>#REF!+#REF!+#REF!+#REF!+#REF!+#REF!+#REF!+#REF!+#REF!+#REF!+#REF!+#REF!+#REF!+#REF!+#REF!+#REF!+#REF!+#REF!+#REF!+#REF!+#REF!+#REF!+#REF!+#REF!+#REF!+#REF!+#REF!+#REF!+#REF!+#REF!</f>
        <v>#REF!</v>
      </c>
      <c r="H17" s="6" t="e">
        <f>#REF!+#REF!+#REF!+#REF!+#REF!+#REF!+#REF!+#REF!+#REF!+#REF!+#REF!+#REF!+#REF!+#REF!+#REF!+#REF!+#REF!+#REF!+#REF!+#REF!+#REF!+#REF!+#REF!+#REF!+#REF!+#REF!+#REF!+#REF!+#REF!+#REF!</f>
        <v>#REF!</v>
      </c>
      <c r="I17" s="6" t="e">
        <f>#REF!+#REF!+#REF!+#REF!+#REF!+#REF!+#REF!+#REF!+#REF!+#REF!+#REF!+#REF!+#REF!+#REF!+#REF!+#REF!+#REF!+#REF!+#REF!+#REF!+#REF!+#REF!+#REF!+#REF!+#REF!+#REF!+#REF!+#REF!+#REF!+#REF!</f>
        <v>#REF!</v>
      </c>
      <c r="J17" s="6" t="e">
        <f>#REF!+#REF!+#REF!+#REF!+#REF!+#REF!+#REF!+#REF!+#REF!+#REF!+#REF!+#REF!+#REF!+#REF!+#REF!+#REF!+#REF!+#REF!+#REF!+#REF!+#REF!+#REF!+#REF!+#REF!+#REF!+#REF!+#REF!+#REF!+#REF!+#REF!</f>
        <v>#REF!</v>
      </c>
      <c r="K17" s="6" t="e">
        <f>#REF!+#REF!+#REF!+#REF!+#REF!+#REF!+#REF!+#REF!+#REF!+#REF!+#REF!+#REF!+#REF!+#REF!+#REF!+#REF!+#REF!+#REF!+#REF!+#REF!+#REF!+#REF!+#REF!+#REF!+#REF!+#REF!+#REF!+#REF!+#REF!+#REF!</f>
        <v>#REF!</v>
      </c>
      <c r="L17" s="6" t="e">
        <f>#REF!+#REF!+#REF!+#REF!+#REF!+#REF!+#REF!+#REF!+#REF!+#REF!+#REF!+#REF!+#REF!+#REF!+#REF!+#REF!+#REF!+#REF!+#REF!+#REF!+#REF!+#REF!+#REF!+#REF!+#REF!+#REF!+#REF!+#REF!+#REF!+#REF!</f>
        <v>#REF!</v>
      </c>
      <c r="M17" s="6" t="e">
        <f>#REF!+#REF!+#REF!+#REF!+#REF!+#REF!+#REF!+#REF!+#REF!+#REF!+#REF!+#REF!+#REF!+#REF!+#REF!+#REF!+#REF!+#REF!+#REF!+#REF!+#REF!+#REF!+#REF!+#REF!+#REF!+#REF!+#REF!+#REF!+#REF!+#REF!</f>
        <v>#REF!</v>
      </c>
      <c r="N17" s="6" t="e">
        <f>#REF!+#REF!+#REF!+#REF!+#REF!+#REF!+#REF!+#REF!+#REF!+#REF!+#REF!+#REF!+#REF!+#REF!+#REF!+#REF!+#REF!+#REF!+#REF!+#REF!+#REF!+#REF!+#REF!+#REF!+#REF!+#REF!+#REF!+#REF!+#REF!+#REF!</f>
        <v>#REF!</v>
      </c>
      <c r="O17" s="6" t="e">
        <f>#REF!+#REF!+#REF!+#REF!+#REF!+#REF!+#REF!+#REF!+#REF!+#REF!+#REF!+#REF!+#REF!+#REF!+#REF!+#REF!+#REF!+#REF!+#REF!+#REF!+#REF!+#REF!+#REF!+#REF!+#REF!+#REF!+#REF!+#REF!+#REF!+#REF!</f>
        <v>#REF!</v>
      </c>
      <c r="P17" s="6" t="e">
        <f>#REF!+#REF!+#REF!+#REF!+#REF!+#REF!+#REF!+#REF!+#REF!+#REF!+#REF!+#REF!+#REF!+#REF!+#REF!+#REF!+#REF!+#REF!+#REF!+#REF!+#REF!+#REF!+#REF!+#REF!+#REF!+#REF!+#REF!+#REF!+#REF!+#REF!</f>
        <v>#REF!</v>
      </c>
      <c r="Q17" s="7" t="e">
        <f t="shared" si="0"/>
        <v>#REF!</v>
      </c>
      <c r="R17" s="6" t="e">
        <f>#REF!+#REF!+#REF!+#REF!+#REF!+#REF!+#REF!+#REF!+#REF!+#REF!+#REF!+#REF!+#REF!+#REF!+#REF!+#REF!+#REF!+#REF!+#REF!+#REF!+#REF!+#REF!+#REF!+#REF!+#REF!+#REF!+#REF!+#REF!+#REF!+#REF!</f>
        <v>#REF!</v>
      </c>
      <c r="S17" s="6" t="e">
        <f t="shared" si="1"/>
        <v>#REF!</v>
      </c>
      <c r="T17" s="6">
        <f>-750-750-1000</f>
        <v>-2500</v>
      </c>
      <c r="U17" s="6" t="e">
        <f t="shared" si="2"/>
        <v>#REF!</v>
      </c>
      <c r="V17" s="7"/>
      <c r="W17" s="57"/>
      <c r="X17" s="46"/>
      <c r="Y17" s="61"/>
      <c r="Z17" s="47"/>
      <c r="AA17" s="61"/>
      <c r="AB17" s="66"/>
      <c r="AC17" s="61"/>
      <c r="AD17" s="66"/>
      <c r="AE17" s="61"/>
      <c r="AF17" s="52">
        <f t="shared" si="3"/>
        <v>0</v>
      </c>
      <c r="AG17" s="46" t="e">
        <f t="shared" si="4"/>
        <v>#REF!</v>
      </c>
      <c r="AH17" s="51" t="e">
        <f t="shared" si="5"/>
        <v>#REF!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6" t="e">
        <f>#REF!+#REF!+#REF!+#REF!+#REF!+#REF!+#REF!+#REF!+#REF!+#REF!+#REF!+#REF!+#REF!+#REF!+#REF!+#REF!+#REF!+#REF!+#REF!+#REF!+#REF!+#REF!+#REF!+#REF!+#REF!+#REF!+#REF!+#REF!+#REF!+#REF!</f>
        <v>#REF!</v>
      </c>
      <c r="E18" s="6" t="e">
        <f>#REF!+#REF!+#REF!+#REF!+#REF!+#REF!+#REF!+#REF!+#REF!+#REF!+#REF!+#REF!+#REF!+#REF!+#REF!+#REF!+#REF!+#REF!+#REF!+#REF!+#REF!+#REF!+#REF!+#REF!+#REF!+#REF!+#REF!+#REF!+#REF!+#REF!</f>
        <v>#REF!</v>
      </c>
      <c r="F18" s="6" t="e">
        <f>#REF!+#REF!+#REF!+#REF!+#REF!+#REF!+#REF!+#REF!+#REF!+#REF!+#REF!+#REF!+#REF!+#REF!+#REF!+#REF!+#REF!+#REF!+#REF!+#REF!+#REF!+#REF!+#REF!+#REF!+#REF!+#REF!+#REF!+#REF!+#REF!+#REF!</f>
        <v>#REF!</v>
      </c>
      <c r="G18" s="6" t="e">
        <f>#REF!+#REF!+#REF!+#REF!+#REF!+#REF!+#REF!+#REF!+#REF!+#REF!+#REF!+#REF!+#REF!+#REF!+#REF!+#REF!+#REF!+#REF!+#REF!+#REF!+#REF!+#REF!+#REF!+#REF!+#REF!+#REF!+#REF!+#REF!+#REF!+#REF!</f>
        <v>#REF!</v>
      </c>
      <c r="H18" s="6" t="e">
        <f>#REF!+#REF!+#REF!+#REF!+#REF!+#REF!+#REF!+#REF!+#REF!+#REF!+#REF!+#REF!+#REF!+#REF!+#REF!+#REF!+#REF!+#REF!+#REF!+#REF!+#REF!+#REF!+#REF!+#REF!+#REF!+#REF!+#REF!+#REF!+#REF!+#REF!</f>
        <v>#REF!</v>
      </c>
      <c r="I18" s="6" t="e">
        <f>#REF!+#REF!+#REF!+#REF!+#REF!+#REF!+#REF!+#REF!+#REF!+#REF!+#REF!+#REF!+#REF!+#REF!+#REF!+#REF!+#REF!+#REF!+#REF!+#REF!+#REF!+#REF!+#REF!+#REF!+#REF!+#REF!+#REF!+#REF!+#REF!+#REF!</f>
        <v>#REF!</v>
      </c>
      <c r="J18" s="6" t="e">
        <f>#REF!+#REF!+#REF!+#REF!+#REF!+#REF!+#REF!+#REF!+#REF!+#REF!+#REF!+#REF!+#REF!+#REF!+#REF!+#REF!+#REF!+#REF!+#REF!+#REF!+#REF!+#REF!+#REF!+#REF!+#REF!+#REF!+#REF!+#REF!+#REF!+#REF!</f>
        <v>#REF!</v>
      </c>
      <c r="K18" s="6" t="e">
        <f>#REF!+#REF!+#REF!+#REF!+#REF!+#REF!+#REF!+#REF!+#REF!+#REF!+#REF!+#REF!+#REF!+#REF!+#REF!+#REF!+#REF!+#REF!+#REF!+#REF!+#REF!+#REF!+#REF!+#REF!+#REF!+#REF!+#REF!+#REF!+#REF!+#REF!</f>
        <v>#REF!</v>
      </c>
      <c r="L18" s="6" t="e">
        <f>#REF!+#REF!+#REF!+#REF!+#REF!+#REF!+#REF!+#REF!+#REF!+#REF!+#REF!+#REF!+#REF!+#REF!+#REF!+#REF!+#REF!+#REF!+#REF!+#REF!+#REF!+#REF!+#REF!+#REF!+#REF!+#REF!+#REF!+#REF!+#REF!+#REF!</f>
        <v>#REF!</v>
      </c>
      <c r="M18" s="6" t="e">
        <f>#REF!+#REF!+#REF!+#REF!+#REF!+#REF!+#REF!+#REF!+#REF!+#REF!+#REF!+#REF!+#REF!+#REF!+#REF!+#REF!+#REF!+#REF!+#REF!+#REF!+#REF!+#REF!+#REF!+#REF!+#REF!+#REF!+#REF!+#REF!+#REF!+#REF!</f>
        <v>#REF!</v>
      </c>
      <c r="N18" s="6" t="e">
        <f>#REF!+#REF!+#REF!+#REF!+#REF!+#REF!+#REF!+#REF!+#REF!+#REF!+#REF!+#REF!+#REF!+#REF!+#REF!+#REF!+#REF!+#REF!+#REF!+#REF!+#REF!+#REF!+#REF!+#REF!+#REF!+#REF!+#REF!+#REF!+#REF!+#REF!</f>
        <v>#REF!</v>
      </c>
      <c r="O18" s="6" t="e">
        <f>#REF!+#REF!+#REF!+#REF!+#REF!+#REF!+#REF!+#REF!+#REF!+#REF!+#REF!+#REF!+#REF!+#REF!+#REF!+#REF!+#REF!+#REF!+#REF!+#REF!+#REF!+#REF!+#REF!+#REF!+#REF!+#REF!+#REF!+#REF!+#REF!+#REF!</f>
        <v>#REF!</v>
      </c>
      <c r="P18" s="6" t="e">
        <f>#REF!+#REF!+#REF!+#REF!+#REF!+#REF!+#REF!+#REF!+#REF!+#REF!+#REF!+#REF!+#REF!+#REF!+#REF!+#REF!+#REF!+#REF!+#REF!+#REF!+#REF!+#REF!+#REF!+#REF!+#REF!+#REF!+#REF!+#REF!+#REF!+#REF!</f>
        <v>#REF!</v>
      </c>
      <c r="Q18" s="9"/>
      <c r="R18" s="6" t="e">
        <f>#REF!+#REF!+#REF!+#REF!+#REF!+#REF!+#REF!+#REF!+#REF!+#REF!+#REF!+#REF!+#REF!+#REF!+#REF!+#REF!+#REF!+#REF!+#REF!+#REF!+#REF!+#REF!+#REF!+#REF!+#REF!+#REF!+#REF!+#REF!+#REF!+#REF!</f>
        <v>#REF!</v>
      </c>
      <c r="S18" s="8"/>
      <c r="T18" s="8">
        <v>0</v>
      </c>
      <c r="U18" s="8"/>
      <c r="V18" s="9"/>
      <c r="W18" s="57"/>
      <c r="X18" s="46"/>
      <c r="Y18" s="61"/>
      <c r="Z18" s="66"/>
      <c r="AA18" s="61"/>
      <c r="AB18" s="67"/>
      <c r="AC18" s="61"/>
      <c r="AD18" s="66"/>
      <c r="AE18" s="61"/>
      <c r="AF18" s="52">
        <f t="shared" si="3"/>
        <v>0</v>
      </c>
      <c r="AG18" s="46">
        <f t="shared" si="4"/>
        <v>0</v>
      </c>
      <c r="AH18" s="51">
        <f t="shared" si="5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/>
      <c r="D19" s="6" t="e">
        <f>#REF!+#REF!+#REF!+#REF!+#REF!+#REF!+#REF!+#REF!+#REF!+#REF!+#REF!+#REF!+#REF!+#REF!+#REF!+#REF!+#REF!+#REF!+#REF!+#REF!+#REF!+#REF!+#REF!+#REF!+#REF!+#REF!+#REF!+#REF!+#REF!+#REF!</f>
        <v>#REF!</v>
      </c>
      <c r="E19" s="6" t="e">
        <f>#REF!+#REF!+#REF!+#REF!+#REF!+#REF!+#REF!+#REF!+#REF!+#REF!+#REF!+#REF!+#REF!+#REF!+#REF!+#REF!+#REF!+#REF!+#REF!+#REF!+#REF!+#REF!+#REF!+#REF!+#REF!+#REF!+#REF!+#REF!+#REF!+#REF!</f>
        <v>#REF!</v>
      </c>
      <c r="F19" s="6" t="e">
        <f>#REF!+#REF!+#REF!+#REF!+#REF!+#REF!+#REF!+#REF!+#REF!+#REF!+#REF!+#REF!+#REF!+#REF!+#REF!+#REF!+#REF!+#REF!+#REF!+#REF!+#REF!+#REF!+#REF!+#REF!+#REF!+#REF!+#REF!+#REF!+#REF!+#REF!</f>
        <v>#REF!</v>
      </c>
      <c r="G19" s="6" t="e">
        <f>#REF!+#REF!+#REF!+#REF!+#REF!+#REF!+#REF!+#REF!+#REF!+#REF!+#REF!+#REF!+#REF!+#REF!+#REF!+#REF!+#REF!+#REF!+#REF!+#REF!+#REF!+#REF!+#REF!+#REF!+#REF!+#REF!+#REF!+#REF!+#REF!+#REF!</f>
        <v>#REF!</v>
      </c>
      <c r="H19" s="6" t="e">
        <f>#REF!+#REF!+#REF!+#REF!+#REF!+#REF!+#REF!+#REF!+#REF!+#REF!+#REF!+#REF!+#REF!+#REF!+#REF!+#REF!+#REF!+#REF!+#REF!+#REF!+#REF!+#REF!+#REF!+#REF!+#REF!+#REF!+#REF!+#REF!+#REF!+#REF!</f>
        <v>#REF!</v>
      </c>
      <c r="I19" s="6" t="e">
        <f>#REF!+#REF!+#REF!+#REF!+#REF!+#REF!+#REF!+#REF!+#REF!+#REF!+#REF!+#REF!+#REF!+#REF!+#REF!+#REF!+#REF!+#REF!+#REF!+#REF!+#REF!+#REF!+#REF!+#REF!+#REF!+#REF!+#REF!+#REF!+#REF!+#REF!</f>
        <v>#REF!</v>
      </c>
      <c r="J19" s="6" t="e">
        <f>#REF!+#REF!+#REF!+#REF!+#REF!+#REF!+#REF!+#REF!+#REF!+#REF!+#REF!+#REF!+#REF!+#REF!+#REF!+#REF!+#REF!+#REF!+#REF!+#REF!+#REF!+#REF!+#REF!+#REF!+#REF!+#REF!+#REF!+#REF!+#REF!+#REF!</f>
        <v>#REF!</v>
      </c>
      <c r="K19" s="6" t="e">
        <f>#REF!+#REF!+#REF!+#REF!+#REF!+#REF!+#REF!+#REF!+#REF!+#REF!+#REF!+#REF!+#REF!+#REF!+#REF!+#REF!+#REF!+#REF!+#REF!+#REF!+#REF!+#REF!+#REF!+#REF!+#REF!+#REF!+#REF!+#REF!+#REF!+#REF!</f>
        <v>#REF!</v>
      </c>
      <c r="L19" s="6" t="e">
        <f>#REF!+#REF!+#REF!+#REF!+#REF!+#REF!+#REF!+#REF!+#REF!+#REF!+#REF!+#REF!+#REF!+#REF!+#REF!+#REF!+#REF!+#REF!+#REF!+#REF!+#REF!+#REF!+#REF!+#REF!+#REF!+#REF!+#REF!+#REF!+#REF!+#REF!</f>
        <v>#REF!</v>
      </c>
      <c r="M19" s="6" t="e">
        <f>#REF!+#REF!+#REF!+#REF!+#REF!+#REF!+#REF!+#REF!+#REF!+#REF!+#REF!+#REF!+#REF!+#REF!+#REF!+#REF!+#REF!+#REF!+#REF!+#REF!+#REF!+#REF!+#REF!+#REF!+#REF!+#REF!+#REF!+#REF!+#REF!+#REF!</f>
        <v>#REF!</v>
      </c>
      <c r="N19" s="6" t="e">
        <f>#REF!+#REF!+#REF!+#REF!+#REF!+#REF!+#REF!+#REF!+#REF!+#REF!+#REF!+#REF!+#REF!+#REF!+#REF!+#REF!+#REF!+#REF!+#REF!+#REF!+#REF!+#REF!+#REF!+#REF!+#REF!+#REF!+#REF!+#REF!+#REF!+#REF!</f>
        <v>#REF!</v>
      </c>
      <c r="O19" s="6" t="e">
        <f>#REF!+#REF!+#REF!+#REF!+#REF!+#REF!+#REF!+#REF!+#REF!+#REF!+#REF!+#REF!+#REF!+#REF!+#REF!+#REF!+#REF!+#REF!+#REF!+#REF!+#REF!+#REF!+#REF!+#REF!+#REF!+#REF!+#REF!+#REF!+#REF!+#REF!</f>
        <v>#REF!</v>
      </c>
      <c r="P19" s="6" t="e">
        <f>#REF!+#REF!+#REF!+#REF!+#REF!+#REF!+#REF!+#REF!+#REF!+#REF!+#REF!+#REF!+#REF!+#REF!+#REF!+#REF!+#REF!+#REF!+#REF!+#REF!+#REF!+#REF!+#REF!+#REF!+#REF!+#REF!+#REF!+#REF!+#REF!+#REF!</f>
        <v>#REF!</v>
      </c>
      <c r="Q19" s="7" t="e">
        <f t="shared" si="0"/>
        <v>#REF!</v>
      </c>
      <c r="R19" s="6" t="e">
        <f>#REF!+#REF!+#REF!+#REF!+#REF!+#REF!+#REF!+#REF!+#REF!+#REF!+#REF!+#REF!+#REF!+#REF!+#REF!+#REF!+#REF!+#REF!+#REF!+#REF!+#REF!+#REF!+#REF!+#REF!+#REF!+#REF!+#REF!+#REF!+#REF!+#REF!</f>
        <v>#REF!</v>
      </c>
      <c r="S19" s="6" t="e">
        <f t="shared" si="1"/>
        <v>#REF!</v>
      </c>
      <c r="T19" s="6">
        <v>-6270</v>
      </c>
      <c r="U19" s="6" t="e">
        <f t="shared" si="2"/>
        <v>#REF!</v>
      </c>
      <c r="V19" s="86"/>
      <c r="W19" s="57"/>
      <c r="X19" s="46"/>
      <c r="Y19" s="61"/>
      <c r="Z19" s="66"/>
      <c r="AA19" s="61"/>
      <c r="AB19" s="67"/>
      <c r="AC19" s="61"/>
      <c r="AD19" s="66"/>
      <c r="AE19" s="61"/>
      <c r="AF19" s="52">
        <f t="shared" si="3"/>
        <v>0</v>
      </c>
      <c r="AG19" s="46" t="e">
        <f t="shared" si="4"/>
        <v>#REF!</v>
      </c>
      <c r="AH19" s="51" t="e">
        <f t="shared" si="5"/>
        <v>#REF!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/>
      <c r="D20" s="6" t="e">
        <f>#REF!+#REF!+#REF!+#REF!+#REF!+#REF!+#REF!+#REF!+#REF!+#REF!+#REF!+#REF!+#REF!+#REF!+#REF!+#REF!+#REF!+#REF!+#REF!+#REF!+#REF!+#REF!+#REF!+#REF!+#REF!+#REF!+#REF!+#REF!+#REF!+#REF!</f>
        <v>#REF!</v>
      </c>
      <c r="E20" s="6" t="e">
        <f>#REF!+#REF!+#REF!+#REF!+#REF!+#REF!+#REF!+#REF!+#REF!+#REF!+#REF!+#REF!+#REF!+#REF!+#REF!+#REF!+#REF!+#REF!+#REF!+#REF!+#REF!+#REF!+#REF!+#REF!+#REF!+#REF!+#REF!+#REF!+#REF!+#REF!</f>
        <v>#REF!</v>
      </c>
      <c r="F20" s="6" t="e">
        <f>#REF!+#REF!+#REF!+#REF!+#REF!+#REF!+#REF!+#REF!+#REF!+#REF!+#REF!+#REF!+#REF!+#REF!+#REF!+#REF!+#REF!+#REF!+#REF!+#REF!+#REF!+#REF!+#REF!+#REF!+#REF!+#REF!+#REF!+#REF!+#REF!+#REF!</f>
        <v>#REF!</v>
      </c>
      <c r="G20" s="6" t="e">
        <f>#REF!+#REF!+#REF!+#REF!+#REF!+#REF!+#REF!+#REF!+#REF!+#REF!+#REF!+#REF!+#REF!+#REF!+#REF!+#REF!+#REF!+#REF!+#REF!+#REF!+#REF!+#REF!+#REF!+#REF!+#REF!+#REF!+#REF!+#REF!+#REF!+#REF!</f>
        <v>#REF!</v>
      </c>
      <c r="H20" s="6" t="e">
        <f>#REF!+#REF!+#REF!+#REF!+#REF!+#REF!+#REF!+#REF!+#REF!+#REF!+#REF!+#REF!+#REF!+#REF!+#REF!+#REF!+#REF!+#REF!+#REF!+#REF!+#REF!+#REF!+#REF!+#REF!+#REF!+#REF!+#REF!+#REF!+#REF!+#REF!</f>
        <v>#REF!</v>
      </c>
      <c r="I20" s="6" t="e">
        <f>#REF!+#REF!+#REF!+#REF!+#REF!+#REF!+#REF!+#REF!+#REF!+#REF!+#REF!+#REF!+#REF!+#REF!+#REF!+#REF!+#REF!+#REF!+#REF!+#REF!+#REF!+#REF!+#REF!+#REF!+#REF!+#REF!+#REF!+#REF!+#REF!+#REF!</f>
        <v>#REF!</v>
      </c>
      <c r="J20" s="6" t="e">
        <f>#REF!+#REF!+#REF!+#REF!+#REF!+#REF!+#REF!+#REF!+#REF!+#REF!+#REF!+#REF!+#REF!+#REF!+#REF!+#REF!+#REF!+#REF!+#REF!+#REF!+#REF!+#REF!+#REF!+#REF!+#REF!+#REF!+#REF!+#REF!+#REF!+#REF!</f>
        <v>#REF!</v>
      </c>
      <c r="K20" s="6" t="e">
        <f>#REF!+#REF!+#REF!+#REF!+#REF!+#REF!+#REF!+#REF!+#REF!+#REF!+#REF!+#REF!+#REF!+#REF!+#REF!+#REF!+#REF!+#REF!+#REF!+#REF!+#REF!+#REF!+#REF!+#REF!+#REF!+#REF!+#REF!+#REF!+#REF!+#REF!</f>
        <v>#REF!</v>
      </c>
      <c r="L20" s="6" t="e">
        <f>#REF!+#REF!+#REF!+#REF!+#REF!+#REF!+#REF!+#REF!+#REF!+#REF!+#REF!+#REF!+#REF!+#REF!+#REF!+#REF!+#REF!+#REF!+#REF!+#REF!+#REF!+#REF!+#REF!+#REF!+#REF!+#REF!+#REF!+#REF!+#REF!+#REF!</f>
        <v>#REF!</v>
      </c>
      <c r="M20" s="6" t="e">
        <f>#REF!+#REF!+#REF!+#REF!+#REF!+#REF!+#REF!+#REF!+#REF!+#REF!+#REF!+#REF!+#REF!+#REF!+#REF!+#REF!+#REF!+#REF!+#REF!+#REF!+#REF!+#REF!+#REF!+#REF!+#REF!+#REF!+#REF!+#REF!+#REF!+#REF!</f>
        <v>#REF!</v>
      </c>
      <c r="N20" s="6" t="e">
        <f>#REF!+#REF!+#REF!+#REF!+#REF!+#REF!+#REF!+#REF!+#REF!+#REF!+#REF!+#REF!+#REF!+#REF!+#REF!+#REF!+#REF!+#REF!+#REF!+#REF!+#REF!+#REF!+#REF!+#REF!+#REF!+#REF!+#REF!+#REF!+#REF!+#REF!</f>
        <v>#REF!</v>
      </c>
      <c r="O20" s="6" t="e">
        <f>#REF!+#REF!+#REF!+#REF!+#REF!+#REF!+#REF!+#REF!+#REF!+#REF!+#REF!+#REF!+#REF!+#REF!+#REF!+#REF!+#REF!+#REF!+#REF!+#REF!+#REF!+#REF!+#REF!+#REF!+#REF!+#REF!+#REF!+#REF!+#REF!+#REF!</f>
        <v>#REF!</v>
      </c>
      <c r="P20" s="6" t="e">
        <f>#REF!+#REF!+#REF!+#REF!+#REF!+#REF!+#REF!+#REF!+#REF!+#REF!+#REF!+#REF!+#REF!+#REF!+#REF!+#REF!+#REF!+#REF!+#REF!+#REF!+#REF!+#REF!+#REF!+#REF!+#REF!+#REF!+#REF!+#REF!+#REF!+#REF!</f>
        <v>#REF!</v>
      </c>
      <c r="Q20" s="7" t="e">
        <f t="shared" si="0"/>
        <v>#REF!</v>
      </c>
      <c r="R20" s="6" t="e">
        <f>#REF!+#REF!+#REF!+#REF!+#REF!+#REF!+#REF!+#REF!+#REF!+#REF!+#REF!+#REF!+#REF!+#REF!+#REF!+#REF!+#REF!+#REF!+#REF!+#REF!+#REF!+#REF!+#REF!+#REF!+#REF!+#REF!+#REF!+#REF!+#REF!+#REF!</f>
        <v>#REF!</v>
      </c>
      <c r="S20" s="6" t="e">
        <f t="shared" si="1"/>
        <v>#REF!</v>
      </c>
      <c r="T20" s="6">
        <v>-1535</v>
      </c>
      <c r="U20" s="6" t="e">
        <f t="shared" si="2"/>
        <v>#REF!</v>
      </c>
      <c r="V20" s="7"/>
      <c r="W20" s="57"/>
      <c r="X20" s="46"/>
      <c r="Y20" s="61"/>
      <c r="Z20" s="66"/>
      <c r="AA20" s="61"/>
      <c r="AB20" s="67"/>
      <c r="AC20" s="61"/>
      <c r="AD20" s="66"/>
      <c r="AE20" s="61"/>
      <c r="AF20" s="52">
        <f t="shared" si="3"/>
        <v>0</v>
      </c>
      <c r="AG20" s="46" t="e">
        <f t="shared" si="4"/>
        <v>#REF!</v>
      </c>
      <c r="AH20" s="51" t="e">
        <f t="shared" si="5"/>
        <v>#REF!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/>
      <c r="D21" s="6" t="e">
        <f>#REF!+#REF!+#REF!+#REF!+#REF!+#REF!+#REF!+#REF!+#REF!+#REF!+#REF!+#REF!+#REF!+#REF!+#REF!+#REF!+#REF!+#REF!+#REF!+#REF!+#REF!+#REF!+#REF!+#REF!+#REF!+#REF!+#REF!+#REF!+#REF!+#REF!</f>
        <v>#REF!</v>
      </c>
      <c r="E21" s="6" t="e">
        <f>#REF!+#REF!+#REF!+#REF!+#REF!+#REF!+#REF!+#REF!+#REF!+#REF!+#REF!+#REF!+#REF!+#REF!+#REF!+#REF!+#REF!+#REF!+#REF!+#REF!+#REF!+#REF!+#REF!+#REF!+#REF!+#REF!+#REF!+#REF!+#REF!+#REF!</f>
        <v>#REF!</v>
      </c>
      <c r="F21" s="6" t="e">
        <f>#REF!+#REF!+#REF!+#REF!+#REF!+#REF!+#REF!+#REF!+#REF!+#REF!+#REF!+#REF!+#REF!+#REF!+#REF!+#REF!+#REF!+#REF!+#REF!+#REF!+#REF!+#REF!+#REF!+#REF!+#REF!+#REF!+#REF!+#REF!+#REF!+#REF!</f>
        <v>#REF!</v>
      </c>
      <c r="G21" s="6" t="e">
        <f>#REF!+#REF!+#REF!+#REF!+#REF!+#REF!+#REF!+#REF!+#REF!+#REF!+#REF!+#REF!+#REF!+#REF!+#REF!+#REF!+#REF!+#REF!+#REF!+#REF!+#REF!+#REF!+#REF!+#REF!+#REF!+#REF!+#REF!+#REF!+#REF!+#REF!</f>
        <v>#REF!</v>
      </c>
      <c r="H21" s="6" t="e">
        <f>#REF!+#REF!+#REF!+#REF!+#REF!+#REF!+#REF!+#REF!+#REF!+#REF!+#REF!+#REF!+#REF!+#REF!+#REF!+#REF!+#REF!+#REF!+#REF!+#REF!+#REF!+#REF!+#REF!+#REF!+#REF!+#REF!+#REF!+#REF!+#REF!+#REF!</f>
        <v>#REF!</v>
      </c>
      <c r="I21" s="6" t="e">
        <f>#REF!+#REF!+#REF!+#REF!+#REF!+#REF!+#REF!+#REF!+#REF!+#REF!+#REF!+#REF!+#REF!+#REF!+#REF!+#REF!+#REF!+#REF!+#REF!+#REF!+#REF!+#REF!+#REF!+#REF!+#REF!+#REF!+#REF!+#REF!+#REF!+#REF!</f>
        <v>#REF!</v>
      </c>
      <c r="J21" s="6" t="e">
        <f>#REF!+#REF!+#REF!+#REF!+#REF!+#REF!+#REF!+#REF!+#REF!+#REF!+#REF!+#REF!+#REF!+#REF!+#REF!+#REF!+#REF!+#REF!+#REF!+#REF!+#REF!+#REF!+#REF!+#REF!+#REF!+#REF!+#REF!+#REF!+#REF!+#REF!</f>
        <v>#REF!</v>
      </c>
      <c r="K21" s="6" t="e">
        <f>#REF!+#REF!+#REF!+#REF!+#REF!+#REF!+#REF!+#REF!+#REF!+#REF!+#REF!+#REF!+#REF!+#REF!+#REF!+#REF!+#REF!+#REF!+#REF!+#REF!+#REF!+#REF!+#REF!+#REF!+#REF!+#REF!+#REF!+#REF!+#REF!+#REF!</f>
        <v>#REF!</v>
      </c>
      <c r="L21" s="6" t="e">
        <f>#REF!+#REF!+#REF!+#REF!+#REF!+#REF!+#REF!+#REF!+#REF!+#REF!+#REF!+#REF!+#REF!+#REF!+#REF!+#REF!+#REF!+#REF!+#REF!+#REF!+#REF!+#REF!+#REF!+#REF!+#REF!+#REF!+#REF!+#REF!+#REF!+#REF!</f>
        <v>#REF!</v>
      </c>
      <c r="M21" s="6" t="e">
        <f>#REF!+#REF!+#REF!+#REF!+#REF!+#REF!+#REF!+#REF!+#REF!+#REF!+#REF!+#REF!+#REF!+#REF!+#REF!+#REF!+#REF!+#REF!+#REF!+#REF!+#REF!+#REF!+#REF!+#REF!+#REF!+#REF!+#REF!+#REF!+#REF!+#REF!</f>
        <v>#REF!</v>
      </c>
      <c r="N21" s="6" t="e">
        <f>#REF!+#REF!+#REF!+#REF!+#REF!+#REF!+#REF!+#REF!+#REF!+#REF!+#REF!+#REF!+#REF!+#REF!+#REF!+#REF!+#REF!+#REF!+#REF!+#REF!+#REF!+#REF!+#REF!+#REF!+#REF!+#REF!+#REF!+#REF!+#REF!+#REF!</f>
        <v>#REF!</v>
      </c>
      <c r="O21" s="6" t="e">
        <f>#REF!+#REF!+#REF!+#REF!+#REF!+#REF!+#REF!+#REF!+#REF!+#REF!+#REF!+#REF!+#REF!+#REF!+#REF!+#REF!+#REF!+#REF!+#REF!+#REF!+#REF!+#REF!+#REF!+#REF!+#REF!+#REF!+#REF!+#REF!+#REF!+#REF!</f>
        <v>#REF!</v>
      </c>
      <c r="P21" s="6" t="e">
        <f>#REF!+#REF!+#REF!+#REF!+#REF!+#REF!+#REF!+#REF!+#REF!+#REF!+#REF!+#REF!+#REF!+#REF!+#REF!+#REF!+#REF!+#REF!+#REF!+#REF!+#REF!+#REF!+#REF!+#REF!+#REF!+#REF!+#REF!+#REF!+#REF!+#REF!</f>
        <v>#REF!</v>
      </c>
      <c r="Q21" s="7" t="e">
        <f t="shared" si="0"/>
        <v>#REF!</v>
      </c>
      <c r="R21" s="6" t="e">
        <f>#REF!+#REF!+#REF!+#REF!+#REF!+#REF!+#REF!+#REF!+#REF!+#REF!+#REF!+#REF!+#REF!+#REF!+#REF!+#REF!+#REF!+#REF!+#REF!+#REF!+#REF!+#REF!+#REF!+#REF!+#REF!+#REF!+#REF!+#REF!+#REF!+#REF!</f>
        <v>#REF!</v>
      </c>
      <c r="S21" s="6" t="e">
        <f t="shared" si="1"/>
        <v>#REF!</v>
      </c>
      <c r="T21" s="6">
        <v>0</v>
      </c>
      <c r="U21" s="6" t="e">
        <f t="shared" si="2"/>
        <v>#REF!</v>
      </c>
      <c r="V21" s="86">
        <v>60</v>
      </c>
      <c r="W21" s="57"/>
      <c r="X21" s="46"/>
      <c r="Y21" s="61"/>
      <c r="Z21" s="66"/>
      <c r="AA21" s="61"/>
      <c r="AB21" s="67"/>
      <c r="AC21" s="61"/>
      <c r="AD21" s="66"/>
      <c r="AE21" s="61"/>
      <c r="AF21" s="52">
        <f t="shared" si="3"/>
        <v>0</v>
      </c>
      <c r="AG21" s="46" t="e">
        <f t="shared" si="4"/>
        <v>#REF!</v>
      </c>
      <c r="AH21" s="51" t="e">
        <f t="shared" si="5"/>
        <v>#REF!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/>
      <c r="D22" s="6" t="e">
        <f>#REF!+#REF!+#REF!+#REF!+#REF!+#REF!+#REF!+#REF!+#REF!+#REF!+#REF!+#REF!+#REF!+#REF!+#REF!+#REF!+#REF!+#REF!+#REF!+#REF!+#REF!+#REF!+#REF!+#REF!+#REF!+#REF!+#REF!+#REF!+#REF!+#REF!</f>
        <v>#REF!</v>
      </c>
      <c r="E22" s="6" t="e">
        <f>#REF!+#REF!+#REF!+#REF!+#REF!+#REF!+#REF!+#REF!+#REF!+#REF!+#REF!+#REF!+#REF!+#REF!+#REF!+#REF!+#REF!+#REF!+#REF!+#REF!+#REF!+#REF!+#REF!+#REF!+#REF!+#REF!+#REF!+#REF!+#REF!+#REF!</f>
        <v>#REF!</v>
      </c>
      <c r="F22" s="6" t="e">
        <f>#REF!+#REF!+#REF!+#REF!+#REF!+#REF!+#REF!+#REF!+#REF!+#REF!+#REF!+#REF!+#REF!+#REF!+#REF!+#REF!+#REF!+#REF!+#REF!+#REF!+#REF!+#REF!+#REF!+#REF!+#REF!+#REF!+#REF!+#REF!+#REF!+#REF!</f>
        <v>#REF!</v>
      </c>
      <c r="G22" s="6" t="e">
        <f>#REF!+#REF!+#REF!+#REF!+#REF!+#REF!+#REF!+#REF!+#REF!+#REF!+#REF!+#REF!+#REF!+#REF!+#REF!+#REF!+#REF!+#REF!+#REF!+#REF!+#REF!+#REF!+#REF!+#REF!+#REF!+#REF!+#REF!+#REF!+#REF!+#REF!</f>
        <v>#REF!</v>
      </c>
      <c r="H22" s="6" t="e">
        <f>#REF!+#REF!+#REF!+#REF!+#REF!+#REF!+#REF!+#REF!+#REF!+#REF!+#REF!+#REF!+#REF!+#REF!+#REF!+#REF!+#REF!+#REF!+#REF!+#REF!+#REF!+#REF!+#REF!+#REF!+#REF!+#REF!+#REF!+#REF!+#REF!+#REF!</f>
        <v>#REF!</v>
      </c>
      <c r="I22" s="6" t="e">
        <f>#REF!+#REF!+#REF!+#REF!+#REF!+#REF!+#REF!+#REF!+#REF!+#REF!+#REF!+#REF!+#REF!+#REF!+#REF!+#REF!+#REF!+#REF!+#REF!+#REF!+#REF!+#REF!+#REF!+#REF!+#REF!+#REF!+#REF!+#REF!+#REF!+#REF!</f>
        <v>#REF!</v>
      </c>
      <c r="J22" s="6" t="e">
        <f>#REF!+#REF!+#REF!+#REF!+#REF!+#REF!+#REF!+#REF!+#REF!+#REF!+#REF!+#REF!+#REF!+#REF!+#REF!+#REF!+#REF!+#REF!+#REF!+#REF!+#REF!+#REF!+#REF!+#REF!+#REF!+#REF!+#REF!+#REF!+#REF!+#REF!</f>
        <v>#REF!</v>
      </c>
      <c r="K22" s="6" t="e">
        <f>#REF!+#REF!+#REF!+#REF!+#REF!+#REF!+#REF!+#REF!+#REF!+#REF!+#REF!+#REF!+#REF!+#REF!+#REF!+#REF!+#REF!+#REF!+#REF!+#REF!+#REF!+#REF!+#REF!+#REF!+#REF!+#REF!+#REF!+#REF!+#REF!+#REF!</f>
        <v>#REF!</v>
      </c>
      <c r="L22" s="6" t="e">
        <f>#REF!+#REF!+#REF!+#REF!+#REF!+#REF!+#REF!+#REF!+#REF!+#REF!+#REF!+#REF!+#REF!+#REF!+#REF!+#REF!+#REF!+#REF!+#REF!+#REF!+#REF!+#REF!+#REF!+#REF!+#REF!+#REF!+#REF!+#REF!+#REF!+#REF!</f>
        <v>#REF!</v>
      </c>
      <c r="M22" s="6" t="e">
        <f>#REF!+#REF!+#REF!+#REF!+#REF!+#REF!+#REF!+#REF!+#REF!+#REF!+#REF!+#REF!+#REF!+#REF!+#REF!+#REF!+#REF!+#REF!+#REF!+#REF!+#REF!+#REF!+#REF!+#REF!+#REF!+#REF!+#REF!+#REF!+#REF!+#REF!</f>
        <v>#REF!</v>
      </c>
      <c r="N22" s="6" t="e">
        <f>#REF!+#REF!+#REF!+#REF!+#REF!+#REF!+#REF!+#REF!+#REF!+#REF!+#REF!+#REF!+#REF!+#REF!+#REF!+#REF!+#REF!+#REF!+#REF!+#REF!+#REF!+#REF!+#REF!+#REF!+#REF!+#REF!+#REF!+#REF!+#REF!+#REF!</f>
        <v>#REF!</v>
      </c>
      <c r="O22" s="6" t="e">
        <f>#REF!+#REF!+#REF!+#REF!+#REF!+#REF!+#REF!+#REF!+#REF!+#REF!+#REF!+#REF!+#REF!+#REF!+#REF!+#REF!+#REF!+#REF!+#REF!+#REF!+#REF!+#REF!+#REF!+#REF!+#REF!+#REF!+#REF!+#REF!+#REF!+#REF!</f>
        <v>#REF!</v>
      </c>
      <c r="P22" s="6" t="e">
        <f>#REF!+#REF!+#REF!+#REF!+#REF!+#REF!+#REF!+#REF!+#REF!+#REF!+#REF!+#REF!+#REF!+#REF!+#REF!+#REF!+#REF!+#REF!+#REF!+#REF!+#REF!+#REF!+#REF!+#REF!+#REF!+#REF!+#REF!+#REF!+#REF!+#REF!</f>
        <v>#REF!</v>
      </c>
      <c r="Q22" s="7" t="e">
        <f t="shared" si="0"/>
        <v>#REF!</v>
      </c>
      <c r="R22" s="6" t="e">
        <f>#REF!+#REF!+#REF!+#REF!+#REF!+#REF!+#REF!+#REF!+#REF!+#REF!+#REF!+#REF!+#REF!+#REF!+#REF!+#REF!+#REF!+#REF!+#REF!+#REF!+#REF!+#REF!+#REF!+#REF!+#REF!+#REF!+#REF!+#REF!+#REF!+#REF!</f>
        <v>#REF!</v>
      </c>
      <c r="S22" s="6" t="e">
        <f t="shared" si="1"/>
        <v>#REF!</v>
      </c>
      <c r="T22" s="6">
        <v>-120</v>
      </c>
      <c r="U22" s="6" t="e">
        <f t="shared" si="2"/>
        <v>#REF!</v>
      </c>
      <c r="V22" s="86"/>
      <c r="W22" s="57"/>
      <c r="X22" s="46"/>
      <c r="Y22" s="61"/>
      <c r="Z22" s="66"/>
      <c r="AA22" s="61"/>
      <c r="AB22" s="67"/>
      <c r="AC22" s="61"/>
      <c r="AD22" s="66"/>
      <c r="AE22" s="61"/>
      <c r="AF22" s="52">
        <f t="shared" si="3"/>
        <v>0</v>
      </c>
      <c r="AG22" s="46" t="e">
        <f t="shared" si="4"/>
        <v>#REF!</v>
      </c>
      <c r="AH22" s="51" t="e">
        <f t="shared" si="5"/>
        <v>#REF!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/>
      <c r="D23" s="6" t="e">
        <f>#REF!+#REF!+#REF!+#REF!+#REF!+#REF!+#REF!+#REF!+#REF!+#REF!+#REF!+#REF!+#REF!+#REF!+#REF!+#REF!+#REF!+#REF!+#REF!+#REF!+#REF!+#REF!+#REF!+#REF!+#REF!+#REF!+#REF!+#REF!+#REF!+#REF!</f>
        <v>#REF!</v>
      </c>
      <c r="E23" s="6" t="e">
        <f>#REF!+#REF!+#REF!+#REF!+#REF!+#REF!+#REF!+#REF!+#REF!+#REF!+#REF!+#REF!+#REF!+#REF!+#REF!+#REF!+#REF!+#REF!+#REF!+#REF!+#REF!+#REF!+#REF!+#REF!+#REF!+#REF!+#REF!+#REF!+#REF!+#REF!</f>
        <v>#REF!</v>
      </c>
      <c r="F23" s="6" t="e">
        <f>#REF!+#REF!+#REF!+#REF!+#REF!+#REF!+#REF!+#REF!+#REF!+#REF!+#REF!+#REF!+#REF!+#REF!+#REF!+#REF!+#REF!+#REF!+#REF!+#REF!+#REF!+#REF!+#REF!+#REF!+#REF!+#REF!+#REF!+#REF!+#REF!+#REF!</f>
        <v>#REF!</v>
      </c>
      <c r="G23" s="6" t="e">
        <f>#REF!+#REF!+#REF!+#REF!+#REF!+#REF!+#REF!+#REF!+#REF!+#REF!+#REF!+#REF!+#REF!+#REF!+#REF!+#REF!+#REF!+#REF!+#REF!+#REF!+#REF!+#REF!+#REF!+#REF!+#REF!+#REF!+#REF!+#REF!+#REF!+#REF!</f>
        <v>#REF!</v>
      </c>
      <c r="H23" s="6" t="e">
        <f>#REF!+#REF!+#REF!+#REF!+#REF!+#REF!+#REF!+#REF!+#REF!+#REF!+#REF!+#REF!+#REF!+#REF!+#REF!+#REF!+#REF!+#REF!+#REF!+#REF!+#REF!+#REF!+#REF!+#REF!+#REF!+#REF!+#REF!+#REF!+#REF!+#REF!</f>
        <v>#REF!</v>
      </c>
      <c r="I23" s="6" t="e">
        <f>#REF!+#REF!+#REF!+#REF!+#REF!+#REF!+#REF!+#REF!+#REF!+#REF!+#REF!+#REF!+#REF!+#REF!+#REF!+#REF!+#REF!+#REF!+#REF!+#REF!+#REF!+#REF!+#REF!+#REF!+#REF!+#REF!+#REF!+#REF!+#REF!+#REF!</f>
        <v>#REF!</v>
      </c>
      <c r="J23" s="6" t="e">
        <f>#REF!+#REF!+#REF!+#REF!+#REF!+#REF!+#REF!+#REF!+#REF!+#REF!+#REF!+#REF!+#REF!+#REF!+#REF!+#REF!+#REF!+#REF!+#REF!+#REF!+#REF!+#REF!+#REF!+#REF!+#REF!+#REF!+#REF!+#REF!+#REF!+#REF!</f>
        <v>#REF!</v>
      </c>
      <c r="K23" s="6" t="e">
        <f>#REF!+#REF!+#REF!+#REF!+#REF!+#REF!+#REF!+#REF!+#REF!+#REF!+#REF!+#REF!+#REF!+#REF!+#REF!+#REF!+#REF!+#REF!+#REF!+#REF!+#REF!+#REF!+#REF!+#REF!+#REF!+#REF!+#REF!+#REF!+#REF!+#REF!</f>
        <v>#REF!</v>
      </c>
      <c r="L23" s="6" t="e">
        <f>#REF!+#REF!+#REF!+#REF!+#REF!+#REF!+#REF!+#REF!+#REF!+#REF!+#REF!+#REF!+#REF!+#REF!+#REF!+#REF!+#REF!+#REF!+#REF!+#REF!+#REF!+#REF!+#REF!+#REF!+#REF!+#REF!+#REF!+#REF!+#REF!+#REF!</f>
        <v>#REF!</v>
      </c>
      <c r="M23" s="6" t="e">
        <f>#REF!+#REF!+#REF!+#REF!+#REF!+#REF!+#REF!+#REF!+#REF!+#REF!+#REF!+#REF!+#REF!+#REF!+#REF!+#REF!+#REF!+#REF!+#REF!+#REF!+#REF!+#REF!+#REF!+#REF!+#REF!+#REF!+#REF!+#REF!+#REF!+#REF!</f>
        <v>#REF!</v>
      </c>
      <c r="N23" s="6" t="e">
        <f>#REF!+#REF!+#REF!+#REF!+#REF!+#REF!+#REF!+#REF!+#REF!+#REF!+#REF!+#REF!+#REF!+#REF!+#REF!+#REF!+#REF!+#REF!+#REF!+#REF!+#REF!+#REF!+#REF!+#REF!+#REF!+#REF!+#REF!+#REF!+#REF!+#REF!</f>
        <v>#REF!</v>
      </c>
      <c r="O23" s="6" t="e">
        <f>#REF!+#REF!+#REF!+#REF!+#REF!+#REF!+#REF!+#REF!+#REF!+#REF!+#REF!+#REF!+#REF!+#REF!+#REF!+#REF!+#REF!+#REF!+#REF!+#REF!+#REF!+#REF!+#REF!+#REF!+#REF!+#REF!+#REF!+#REF!+#REF!+#REF!</f>
        <v>#REF!</v>
      </c>
      <c r="P23" s="6" t="e">
        <f>#REF!+#REF!+#REF!+#REF!+#REF!+#REF!+#REF!+#REF!+#REF!+#REF!+#REF!+#REF!+#REF!+#REF!+#REF!+#REF!+#REF!+#REF!+#REF!+#REF!+#REF!+#REF!+#REF!+#REF!+#REF!+#REF!+#REF!+#REF!+#REF!+#REF!</f>
        <v>#REF!</v>
      </c>
      <c r="Q23" s="7" t="e">
        <f t="shared" si="0"/>
        <v>#REF!</v>
      </c>
      <c r="R23" s="6" t="e">
        <f>#REF!+#REF!+#REF!+#REF!+#REF!+#REF!+#REF!+#REF!+#REF!+#REF!+#REF!+#REF!+#REF!+#REF!+#REF!+#REF!+#REF!+#REF!+#REF!+#REF!+#REF!+#REF!+#REF!+#REF!+#REF!+#REF!+#REF!+#REF!+#REF!+#REF!</f>
        <v>#REF!</v>
      </c>
      <c r="S23" s="6" t="e">
        <f t="shared" si="1"/>
        <v>#REF!</v>
      </c>
      <c r="T23" s="6">
        <v>-1660</v>
      </c>
      <c r="U23" s="6" t="e">
        <f t="shared" si="2"/>
        <v>#REF!</v>
      </c>
      <c r="V23" s="86"/>
      <c r="W23" s="57"/>
      <c r="X23" s="46"/>
      <c r="Y23" s="61"/>
      <c r="Z23" s="66"/>
      <c r="AA23" s="61"/>
      <c r="AB23" s="67"/>
      <c r="AC23" s="61"/>
      <c r="AD23" s="66"/>
      <c r="AE23" s="61"/>
      <c r="AF23" s="52">
        <f t="shared" si="3"/>
        <v>0</v>
      </c>
      <c r="AG23" s="46" t="e">
        <f t="shared" si="4"/>
        <v>#REF!</v>
      </c>
      <c r="AH23" s="51" t="e">
        <f t="shared" si="5"/>
        <v>#REF!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/>
      <c r="D24" s="6" t="e">
        <f>#REF!+#REF!+#REF!+#REF!+#REF!+#REF!+#REF!+#REF!+#REF!+#REF!+#REF!+#REF!+#REF!+#REF!+#REF!+#REF!+#REF!+#REF!+#REF!+#REF!+#REF!+#REF!+#REF!+#REF!+#REF!+#REF!+#REF!+#REF!+#REF!+#REF!</f>
        <v>#REF!</v>
      </c>
      <c r="E24" s="6" t="e">
        <f>#REF!+#REF!+#REF!+#REF!+#REF!+#REF!+#REF!+#REF!+#REF!+#REF!+#REF!+#REF!+#REF!+#REF!+#REF!+#REF!+#REF!+#REF!+#REF!+#REF!+#REF!+#REF!+#REF!+#REF!+#REF!+#REF!+#REF!+#REF!+#REF!+#REF!</f>
        <v>#REF!</v>
      </c>
      <c r="F24" s="6" t="e">
        <f>#REF!+#REF!+#REF!+#REF!+#REF!+#REF!+#REF!+#REF!+#REF!+#REF!+#REF!+#REF!+#REF!+#REF!+#REF!+#REF!+#REF!+#REF!+#REF!+#REF!+#REF!+#REF!+#REF!+#REF!+#REF!+#REF!+#REF!+#REF!+#REF!+#REF!</f>
        <v>#REF!</v>
      </c>
      <c r="G24" s="6" t="e">
        <f>#REF!+#REF!+#REF!+#REF!+#REF!+#REF!+#REF!+#REF!+#REF!+#REF!+#REF!+#REF!+#REF!+#REF!+#REF!+#REF!+#REF!+#REF!+#REF!+#REF!+#REF!+#REF!+#REF!+#REF!+#REF!+#REF!+#REF!+#REF!+#REF!+#REF!</f>
        <v>#REF!</v>
      </c>
      <c r="H24" s="6" t="e">
        <f>#REF!+#REF!+#REF!+#REF!+#REF!+#REF!+#REF!+#REF!+#REF!+#REF!+#REF!+#REF!+#REF!+#REF!+#REF!+#REF!+#REF!+#REF!+#REF!+#REF!+#REF!+#REF!+#REF!+#REF!+#REF!+#REF!+#REF!+#REF!+#REF!+#REF!</f>
        <v>#REF!</v>
      </c>
      <c r="I24" s="6" t="e">
        <f>#REF!+#REF!+#REF!+#REF!+#REF!+#REF!+#REF!+#REF!+#REF!+#REF!+#REF!+#REF!+#REF!+#REF!+#REF!+#REF!+#REF!+#REF!+#REF!+#REF!+#REF!+#REF!+#REF!+#REF!+#REF!+#REF!+#REF!+#REF!+#REF!+#REF!</f>
        <v>#REF!</v>
      </c>
      <c r="J24" s="6" t="e">
        <f>#REF!+#REF!+#REF!+#REF!+#REF!+#REF!+#REF!+#REF!+#REF!+#REF!+#REF!+#REF!+#REF!+#REF!+#REF!+#REF!+#REF!+#REF!+#REF!+#REF!+#REF!+#REF!+#REF!+#REF!+#REF!+#REF!+#REF!+#REF!+#REF!+#REF!</f>
        <v>#REF!</v>
      </c>
      <c r="K24" s="6" t="e">
        <f>#REF!+#REF!+#REF!+#REF!+#REF!+#REF!+#REF!+#REF!+#REF!+#REF!+#REF!+#REF!+#REF!+#REF!+#REF!+#REF!+#REF!+#REF!+#REF!+#REF!+#REF!+#REF!+#REF!+#REF!+#REF!+#REF!+#REF!+#REF!+#REF!+#REF!</f>
        <v>#REF!</v>
      </c>
      <c r="L24" s="6" t="e">
        <f>#REF!+#REF!+#REF!+#REF!+#REF!+#REF!+#REF!+#REF!+#REF!+#REF!+#REF!+#REF!+#REF!+#REF!+#REF!+#REF!+#REF!+#REF!+#REF!+#REF!+#REF!+#REF!+#REF!+#REF!+#REF!+#REF!+#REF!+#REF!+#REF!+#REF!</f>
        <v>#REF!</v>
      </c>
      <c r="M24" s="6" t="e">
        <f>#REF!+#REF!+#REF!+#REF!+#REF!+#REF!+#REF!+#REF!+#REF!+#REF!+#REF!+#REF!+#REF!+#REF!+#REF!+#REF!+#REF!+#REF!+#REF!+#REF!+#REF!+#REF!+#REF!+#REF!+#REF!+#REF!+#REF!+#REF!+#REF!+#REF!</f>
        <v>#REF!</v>
      </c>
      <c r="N24" s="6" t="e">
        <f>#REF!+#REF!+#REF!+#REF!+#REF!+#REF!+#REF!+#REF!+#REF!+#REF!+#REF!+#REF!+#REF!+#REF!+#REF!+#REF!+#REF!+#REF!+#REF!+#REF!+#REF!+#REF!+#REF!+#REF!+#REF!+#REF!+#REF!+#REF!+#REF!+#REF!</f>
        <v>#REF!</v>
      </c>
      <c r="O24" s="6" t="e">
        <f>#REF!+#REF!+#REF!+#REF!+#REF!+#REF!+#REF!+#REF!+#REF!+#REF!+#REF!+#REF!+#REF!+#REF!+#REF!+#REF!+#REF!+#REF!+#REF!+#REF!+#REF!+#REF!+#REF!+#REF!+#REF!+#REF!+#REF!+#REF!+#REF!+#REF!</f>
        <v>#REF!</v>
      </c>
      <c r="P24" s="6" t="e">
        <f>#REF!+#REF!+#REF!+#REF!+#REF!+#REF!+#REF!+#REF!+#REF!+#REF!+#REF!+#REF!+#REF!+#REF!+#REF!+#REF!+#REF!+#REF!+#REF!+#REF!+#REF!+#REF!+#REF!+#REF!+#REF!+#REF!+#REF!+#REF!+#REF!+#REF!</f>
        <v>#REF!</v>
      </c>
      <c r="Q24" s="7" t="e">
        <f t="shared" si="0"/>
        <v>#REF!</v>
      </c>
      <c r="R24" s="6" t="e">
        <f>#REF!+#REF!+#REF!+#REF!+#REF!+#REF!+#REF!+#REF!+#REF!+#REF!+#REF!+#REF!+#REF!+#REF!+#REF!+#REF!+#REF!+#REF!+#REF!+#REF!+#REF!+#REF!+#REF!+#REF!+#REF!+#REF!+#REF!+#REF!+#REF!+#REF!</f>
        <v>#REF!</v>
      </c>
      <c r="S24" s="6" t="e">
        <f t="shared" si="1"/>
        <v>#REF!</v>
      </c>
      <c r="T24" s="6">
        <v>4000</v>
      </c>
      <c r="U24" s="6" t="e">
        <f t="shared" si="2"/>
        <v>#REF!</v>
      </c>
      <c r="V24" s="86"/>
      <c r="W24" s="57"/>
      <c r="X24" s="46"/>
      <c r="Y24" s="61"/>
      <c r="Z24" s="66"/>
      <c r="AA24" s="61"/>
      <c r="AB24" s="67"/>
      <c r="AC24" s="61"/>
      <c r="AD24" s="66"/>
      <c r="AE24" s="61"/>
      <c r="AF24" s="52">
        <f t="shared" si="3"/>
        <v>0</v>
      </c>
      <c r="AG24" s="46" t="e">
        <f t="shared" si="4"/>
        <v>#REF!</v>
      </c>
      <c r="AH24" s="51" t="e">
        <f t="shared" si="5"/>
        <v>#REF!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/>
      <c r="D25" s="6" t="e">
        <f>#REF!+#REF!+#REF!+#REF!+#REF!+#REF!+#REF!+#REF!+#REF!+#REF!+#REF!+#REF!+#REF!+#REF!+#REF!+#REF!+#REF!+#REF!+#REF!+#REF!+#REF!+#REF!+#REF!+#REF!+#REF!+#REF!+#REF!+#REF!+#REF!+#REF!</f>
        <v>#REF!</v>
      </c>
      <c r="E25" s="6" t="e">
        <f>#REF!+#REF!+#REF!+#REF!+#REF!+#REF!+#REF!+#REF!+#REF!+#REF!+#REF!+#REF!+#REF!+#REF!+#REF!+#REF!+#REF!+#REF!+#REF!+#REF!+#REF!+#REF!+#REF!+#REF!+#REF!+#REF!+#REF!+#REF!+#REF!+#REF!</f>
        <v>#REF!</v>
      </c>
      <c r="F25" s="6" t="e">
        <f>#REF!+#REF!+#REF!+#REF!+#REF!+#REF!+#REF!+#REF!+#REF!+#REF!+#REF!+#REF!+#REF!+#REF!+#REF!+#REF!+#REF!+#REF!+#REF!+#REF!+#REF!+#REF!+#REF!+#REF!+#REF!+#REF!+#REF!+#REF!+#REF!+#REF!</f>
        <v>#REF!</v>
      </c>
      <c r="G25" s="6" t="e">
        <f>#REF!+#REF!+#REF!+#REF!+#REF!+#REF!+#REF!+#REF!+#REF!+#REF!+#REF!+#REF!+#REF!+#REF!+#REF!+#REF!+#REF!+#REF!+#REF!+#REF!+#REF!+#REF!+#REF!+#REF!+#REF!+#REF!+#REF!+#REF!+#REF!+#REF!</f>
        <v>#REF!</v>
      </c>
      <c r="H25" s="6" t="e">
        <f>#REF!+#REF!+#REF!+#REF!+#REF!+#REF!+#REF!+#REF!+#REF!+#REF!+#REF!+#REF!+#REF!+#REF!+#REF!+#REF!+#REF!+#REF!+#REF!+#REF!+#REF!+#REF!+#REF!+#REF!+#REF!+#REF!+#REF!+#REF!+#REF!+#REF!</f>
        <v>#REF!</v>
      </c>
      <c r="I25" s="6" t="e">
        <f>#REF!+#REF!+#REF!+#REF!+#REF!+#REF!+#REF!+#REF!+#REF!+#REF!+#REF!+#REF!+#REF!+#REF!+#REF!+#REF!+#REF!+#REF!+#REF!+#REF!+#REF!+#REF!+#REF!+#REF!+#REF!+#REF!+#REF!+#REF!+#REF!+#REF!</f>
        <v>#REF!</v>
      </c>
      <c r="J25" s="6" t="e">
        <f>#REF!+#REF!+#REF!+#REF!+#REF!+#REF!+#REF!+#REF!+#REF!+#REF!+#REF!+#REF!+#REF!+#REF!+#REF!+#REF!+#REF!+#REF!+#REF!+#REF!+#REF!+#REF!+#REF!+#REF!+#REF!+#REF!+#REF!+#REF!+#REF!+#REF!</f>
        <v>#REF!</v>
      </c>
      <c r="K25" s="6" t="e">
        <f>#REF!+#REF!+#REF!+#REF!+#REF!+#REF!+#REF!+#REF!+#REF!+#REF!+#REF!+#REF!+#REF!+#REF!+#REF!+#REF!+#REF!+#REF!+#REF!+#REF!+#REF!+#REF!+#REF!+#REF!+#REF!+#REF!+#REF!+#REF!+#REF!+#REF!</f>
        <v>#REF!</v>
      </c>
      <c r="L25" s="6" t="e">
        <f>#REF!+#REF!+#REF!+#REF!+#REF!+#REF!+#REF!+#REF!+#REF!+#REF!+#REF!+#REF!+#REF!+#REF!+#REF!+#REF!+#REF!+#REF!+#REF!+#REF!+#REF!+#REF!+#REF!+#REF!+#REF!+#REF!+#REF!+#REF!+#REF!+#REF!</f>
        <v>#REF!</v>
      </c>
      <c r="M25" s="6" t="e">
        <f>#REF!+#REF!+#REF!+#REF!+#REF!+#REF!+#REF!+#REF!+#REF!+#REF!+#REF!+#REF!+#REF!+#REF!+#REF!+#REF!+#REF!+#REF!+#REF!+#REF!+#REF!+#REF!+#REF!+#REF!+#REF!+#REF!+#REF!+#REF!+#REF!+#REF!</f>
        <v>#REF!</v>
      </c>
      <c r="N25" s="6" t="e">
        <f>#REF!+#REF!+#REF!+#REF!+#REF!+#REF!+#REF!+#REF!+#REF!+#REF!+#REF!+#REF!+#REF!+#REF!+#REF!+#REF!+#REF!+#REF!+#REF!+#REF!+#REF!+#REF!+#REF!+#REF!+#REF!+#REF!+#REF!+#REF!+#REF!+#REF!</f>
        <v>#REF!</v>
      </c>
      <c r="O25" s="6" t="e">
        <f>#REF!+#REF!+#REF!+#REF!+#REF!+#REF!+#REF!+#REF!+#REF!+#REF!+#REF!+#REF!+#REF!+#REF!+#REF!+#REF!+#REF!+#REF!+#REF!+#REF!+#REF!+#REF!+#REF!+#REF!+#REF!+#REF!+#REF!+#REF!+#REF!+#REF!</f>
        <v>#REF!</v>
      </c>
      <c r="P25" s="6" t="e">
        <f>#REF!+#REF!+#REF!+#REF!+#REF!+#REF!+#REF!+#REF!+#REF!+#REF!+#REF!+#REF!+#REF!+#REF!+#REF!+#REF!+#REF!+#REF!+#REF!+#REF!+#REF!+#REF!+#REF!+#REF!+#REF!+#REF!+#REF!+#REF!+#REF!+#REF!</f>
        <v>#REF!</v>
      </c>
      <c r="Q25" s="7" t="e">
        <f t="shared" si="0"/>
        <v>#REF!</v>
      </c>
      <c r="R25" s="6" t="e">
        <f>#REF!+#REF!+#REF!+#REF!+#REF!+#REF!+#REF!+#REF!+#REF!+#REF!+#REF!+#REF!+#REF!+#REF!+#REF!+#REF!+#REF!+#REF!+#REF!+#REF!+#REF!+#REF!+#REF!+#REF!+#REF!+#REF!+#REF!+#REF!+#REF!+#REF!</f>
        <v>#REF!</v>
      </c>
      <c r="S25" s="6" t="e">
        <f t="shared" si="1"/>
        <v>#REF!</v>
      </c>
      <c r="T25" s="6">
        <v>-1820</v>
      </c>
      <c r="U25" s="6" t="e">
        <f t="shared" si="2"/>
        <v>#REF!</v>
      </c>
      <c r="V25" s="86"/>
      <c r="W25" s="57"/>
      <c r="X25" s="46"/>
      <c r="Y25" s="61"/>
      <c r="Z25" s="66"/>
      <c r="AA25" s="61"/>
      <c r="AB25" s="67"/>
      <c r="AC25" s="61"/>
      <c r="AD25" s="66"/>
      <c r="AE25" s="61"/>
      <c r="AF25" s="52">
        <f t="shared" si="3"/>
        <v>0</v>
      </c>
      <c r="AG25" s="46" t="e">
        <f t="shared" si="4"/>
        <v>#REF!</v>
      </c>
      <c r="AH25" s="51" t="e">
        <f t="shared" si="5"/>
        <v>#REF!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/>
      <c r="D26" s="6" t="e">
        <f>#REF!+#REF!+#REF!+#REF!+#REF!+#REF!+#REF!+#REF!+#REF!+#REF!+#REF!+#REF!+#REF!+#REF!+#REF!+#REF!+#REF!+#REF!+#REF!+#REF!+#REF!+#REF!+#REF!+#REF!+#REF!+#REF!+#REF!+#REF!+#REF!+#REF!</f>
        <v>#REF!</v>
      </c>
      <c r="E26" s="6" t="e">
        <f>#REF!+#REF!+#REF!+#REF!+#REF!+#REF!+#REF!+#REF!+#REF!+#REF!+#REF!+#REF!+#REF!+#REF!+#REF!+#REF!+#REF!+#REF!+#REF!+#REF!+#REF!+#REF!+#REF!+#REF!+#REF!+#REF!+#REF!+#REF!+#REF!+#REF!</f>
        <v>#REF!</v>
      </c>
      <c r="F26" s="6" t="e">
        <f>#REF!+#REF!+#REF!+#REF!+#REF!+#REF!+#REF!+#REF!+#REF!+#REF!+#REF!+#REF!+#REF!+#REF!+#REF!+#REF!+#REF!+#REF!+#REF!+#REF!+#REF!+#REF!+#REF!+#REF!+#REF!+#REF!+#REF!+#REF!+#REF!+#REF!</f>
        <v>#REF!</v>
      </c>
      <c r="G26" s="6" t="e">
        <f>#REF!+#REF!+#REF!+#REF!+#REF!+#REF!+#REF!+#REF!+#REF!+#REF!+#REF!+#REF!+#REF!+#REF!+#REF!+#REF!+#REF!+#REF!+#REF!+#REF!+#REF!+#REF!+#REF!+#REF!+#REF!+#REF!+#REF!+#REF!+#REF!+#REF!</f>
        <v>#REF!</v>
      </c>
      <c r="H26" s="6" t="e">
        <f>#REF!+#REF!+#REF!+#REF!+#REF!+#REF!+#REF!+#REF!+#REF!+#REF!+#REF!+#REF!+#REF!+#REF!+#REF!+#REF!+#REF!+#REF!+#REF!+#REF!+#REF!+#REF!+#REF!+#REF!+#REF!+#REF!+#REF!+#REF!+#REF!+#REF!</f>
        <v>#REF!</v>
      </c>
      <c r="I26" s="6" t="e">
        <f>#REF!+#REF!+#REF!+#REF!+#REF!+#REF!+#REF!+#REF!+#REF!+#REF!+#REF!+#REF!+#REF!+#REF!+#REF!+#REF!+#REF!+#REF!+#REF!+#REF!+#REF!+#REF!+#REF!+#REF!+#REF!+#REF!+#REF!+#REF!+#REF!+#REF!</f>
        <v>#REF!</v>
      </c>
      <c r="J26" s="6" t="e">
        <f>#REF!+#REF!+#REF!+#REF!+#REF!+#REF!+#REF!+#REF!+#REF!+#REF!+#REF!+#REF!+#REF!+#REF!+#REF!+#REF!+#REF!+#REF!+#REF!+#REF!+#REF!+#REF!+#REF!+#REF!+#REF!+#REF!+#REF!+#REF!+#REF!+#REF!</f>
        <v>#REF!</v>
      </c>
      <c r="K26" s="6" t="e">
        <f>#REF!+#REF!+#REF!+#REF!+#REF!+#REF!+#REF!+#REF!+#REF!+#REF!+#REF!+#REF!+#REF!+#REF!+#REF!+#REF!+#REF!+#REF!+#REF!+#REF!+#REF!+#REF!+#REF!+#REF!+#REF!+#REF!+#REF!+#REF!+#REF!+#REF!</f>
        <v>#REF!</v>
      </c>
      <c r="L26" s="6" t="e">
        <f>#REF!+#REF!+#REF!+#REF!+#REF!+#REF!+#REF!+#REF!+#REF!+#REF!+#REF!+#REF!+#REF!+#REF!+#REF!+#REF!+#REF!+#REF!+#REF!+#REF!+#REF!+#REF!+#REF!+#REF!+#REF!+#REF!+#REF!+#REF!+#REF!+#REF!</f>
        <v>#REF!</v>
      </c>
      <c r="M26" s="6" t="e">
        <f>#REF!+#REF!+#REF!+#REF!+#REF!+#REF!+#REF!+#REF!+#REF!+#REF!+#REF!+#REF!+#REF!+#REF!+#REF!+#REF!+#REF!+#REF!+#REF!+#REF!+#REF!+#REF!+#REF!+#REF!+#REF!+#REF!+#REF!+#REF!+#REF!+#REF!</f>
        <v>#REF!</v>
      </c>
      <c r="N26" s="6" t="e">
        <f>#REF!+#REF!+#REF!+#REF!+#REF!+#REF!+#REF!+#REF!+#REF!+#REF!+#REF!+#REF!+#REF!+#REF!+#REF!+#REF!+#REF!+#REF!+#REF!+#REF!+#REF!+#REF!+#REF!+#REF!+#REF!+#REF!+#REF!+#REF!+#REF!+#REF!</f>
        <v>#REF!</v>
      </c>
      <c r="O26" s="6" t="e">
        <f>#REF!+#REF!+#REF!+#REF!+#REF!+#REF!+#REF!+#REF!+#REF!+#REF!+#REF!+#REF!+#REF!+#REF!+#REF!+#REF!+#REF!+#REF!+#REF!+#REF!+#REF!+#REF!+#REF!+#REF!+#REF!+#REF!+#REF!+#REF!+#REF!+#REF!</f>
        <v>#REF!</v>
      </c>
      <c r="P26" s="6" t="e">
        <f>#REF!+#REF!+#REF!+#REF!+#REF!+#REF!+#REF!+#REF!+#REF!+#REF!+#REF!+#REF!+#REF!+#REF!+#REF!+#REF!+#REF!+#REF!+#REF!+#REF!+#REF!+#REF!+#REF!+#REF!+#REF!+#REF!+#REF!+#REF!+#REF!+#REF!</f>
        <v>#REF!</v>
      </c>
      <c r="Q26" s="7" t="e">
        <f t="shared" si="0"/>
        <v>#REF!</v>
      </c>
      <c r="R26" s="6" t="e">
        <f>#REF!+#REF!+#REF!+#REF!+#REF!+#REF!+#REF!+#REF!+#REF!+#REF!+#REF!+#REF!+#REF!+#REF!+#REF!+#REF!+#REF!+#REF!+#REF!+#REF!+#REF!+#REF!+#REF!+#REF!+#REF!+#REF!+#REF!+#REF!+#REF!+#REF!</f>
        <v>#REF!</v>
      </c>
      <c r="S26" s="6" t="e">
        <f t="shared" si="1"/>
        <v>#REF!</v>
      </c>
      <c r="T26" s="6">
        <v>0</v>
      </c>
      <c r="U26" s="6" t="e">
        <f t="shared" si="2"/>
        <v>#REF!</v>
      </c>
      <c r="V26" s="86"/>
      <c r="W26" s="57"/>
      <c r="X26" s="46"/>
      <c r="Y26" s="61"/>
      <c r="Z26" s="66"/>
      <c r="AA26" s="61"/>
      <c r="AB26" s="67"/>
      <c r="AC26" s="61"/>
      <c r="AD26" s="66"/>
      <c r="AE26" s="61"/>
      <c r="AF26" s="52">
        <f t="shared" si="3"/>
        <v>0</v>
      </c>
      <c r="AG26" s="46" t="e">
        <f t="shared" si="4"/>
        <v>#REF!</v>
      </c>
      <c r="AH26" s="51" t="e">
        <f t="shared" si="5"/>
        <v>#REF!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/>
      <c r="D27" s="6" t="e">
        <f>#REF!+#REF!+#REF!+#REF!+#REF!+#REF!+#REF!+#REF!+#REF!+#REF!+#REF!+#REF!+#REF!+#REF!+#REF!+#REF!+#REF!+#REF!+#REF!+#REF!+#REF!+#REF!+#REF!+#REF!+#REF!+#REF!+#REF!+#REF!+#REF!+#REF!</f>
        <v>#REF!</v>
      </c>
      <c r="E27" s="6" t="e">
        <f>#REF!+#REF!+#REF!+#REF!+#REF!+#REF!+#REF!+#REF!+#REF!+#REF!+#REF!+#REF!+#REF!+#REF!+#REF!+#REF!+#REF!+#REF!+#REF!+#REF!+#REF!+#REF!+#REF!+#REF!+#REF!+#REF!+#REF!+#REF!+#REF!+#REF!</f>
        <v>#REF!</v>
      </c>
      <c r="F27" s="6" t="e">
        <f>#REF!+#REF!+#REF!+#REF!+#REF!+#REF!+#REF!+#REF!+#REF!+#REF!+#REF!+#REF!+#REF!+#REF!+#REF!+#REF!+#REF!+#REF!+#REF!+#REF!+#REF!+#REF!+#REF!+#REF!+#REF!+#REF!+#REF!+#REF!+#REF!+#REF!</f>
        <v>#REF!</v>
      </c>
      <c r="G27" s="6" t="e">
        <f>#REF!+#REF!+#REF!+#REF!+#REF!+#REF!+#REF!+#REF!+#REF!+#REF!+#REF!+#REF!+#REF!+#REF!+#REF!+#REF!+#REF!+#REF!+#REF!+#REF!+#REF!+#REF!+#REF!+#REF!+#REF!+#REF!+#REF!+#REF!+#REF!+#REF!</f>
        <v>#REF!</v>
      </c>
      <c r="H27" s="6" t="e">
        <f>#REF!+#REF!+#REF!+#REF!+#REF!+#REF!+#REF!+#REF!+#REF!+#REF!+#REF!+#REF!+#REF!+#REF!+#REF!+#REF!+#REF!+#REF!+#REF!+#REF!+#REF!+#REF!+#REF!+#REF!+#REF!+#REF!+#REF!+#REF!+#REF!+#REF!</f>
        <v>#REF!</v>
      </c>
      <c r="I27" s="6" t="e">
        <f>#REF!+#REF!+#REF!+#REF!+#REF!+#REF!+#REF!+#REF!+#REF!+#REF!+#REF!+#REF!+#REF!+#REF!+#REF!+#REF!+#REF!+#REF!+#REF!+#REF!+#REF!+#REF!+#REF!+#REF!+#REF!+#REF!+#REF!+#REF!+#REF!+#REF!</f>
        <v>#REF!</v>
      </c>
      <c r="J27" s="6" t="e">
        <f>#REF!+#REF!+#REF!+#REF!+#REF!+#REF!+#REF!+#REF!+#REF!+#REF!+#REF!+#REF!+#REF!+#REF!+#REF!+#REF!+#REF!+#REF!+#REF!+#REF!+#REF!+#REF!+#REF!+#REF!+#REF!+#REF!+#REF!+#REF!+#REF!+#REF!</f>
        <v>#REF!</v>
      </c>
      <c r="K27" s="6" t="e">
        <f>#REF!+#REF!+#REF!+#REF!+#REF!+#REF!+#REF!+#REF!+#REF!+#REF!+#REF!+#REF!+#REF!+#REF!+#REF!+#REF!+#REF!+#REF!+#REF!+#REF!+#REF!+#REF!+#REF!+#REF!+#REF!+#REF!+#REF!+#REF!+#REF!+#REF!</f>
        <v>#REF!</v>
      </c>
      <c r="L27" s="6" t="e">
        <f>#REF!+#REF!+#REF!+#REF!+#REF!+#REF!+#REF!+#REF!+#REF!+#REF!+#REF!+#REF!+#REF!+#REF!+#REF!+#REF!+#REF!+#REF!+#REF!+#REF!+#REF!+#REF!+#REF!+#REF!+#REF!+#REF!+#REF!+#REF!+#REF!+#REF!</f>
        <v>#REF!</v>
      </c>
      <c r="M27" s="6" t="e">
        <f>#REF!+#REF!+#REF!+#REF!+#REF!+#REF!+#REF!+#REF!+#REF!+#REF!+#REF!+#REF!+#REF!+#REF!+#REF!+#REF!+#REF!+#REF!+#REF!+#REF!+#REF!+#REF!+#REF!+#REF!+#REF!+#REF!+#REF!+#REF!+#REF!+#REF!</f>
        <v>#REF!</v>
      </c>
      <c r="N27" s="6" t="e">
        <f>#REF!+#REF!+#REF!+#REF!+#REF!+#REF!+#REF!+#REF!+#REF!+#REF!+#REF!+#REF!+#REF!+#REF!+#REF!+#REF!+#REF!+#REF!+#REF!+#REF!+#REF!+#REF!+#REF!+#REF!+#REF!+#REF!+#REF!+#REF!+#REF!+#REF!</f>
        <v>#REF!</v>
      </c>
      <c r="O27" s="6" t="e">
        <f>#REF!+#REF!+#REF!+#REF!+#REF!+#REF!+#REF!+#REF!+#REF!+#REF!+#REF!+#REF!+#REF!+#REF!+#REF!+#REF!+#REF!+#REF!+#REF!+#REF!+#REF!+#REF!+#REF!+#REF!+#REF!+#REF!+#REF!+#REF!+#REF!+#REF!</f>
        <v>#REF!</v>
      </c>
      <c r="P27" s="6" t="e">
        <f>#REF!+#REF!+#REF!+#REF!+#REF!+#REF!+#REF!+#REF!+#REF!+#REF!+#REF!+#REF!+#REF!+#REF!+#REF!+#REF!+#REF!+#REF!+#REF!+#REF!+#REF!+#REF!+#REF!+#REF!+#REF!+#REF!+#REF!+#REF!+#REF!+#REF!</f>
        <v>#REF!</v>
      </c>
      <c r="Q27" s="7" t="e">
        <f t="shared" si="0"/>
        <v>#REF!</v>
      </c>
      <c r="R27" s="6" t="e">
        <f>#REF!+#REF!+#REF!+#REF!+#REF!+#REF!+#REF!+#REF!+#REF!+#REF!+#REF!+#REF!+#REF!+#REF!+#REF!+#REF!+#REF!+#REF!+#REF!+#REF!+#REF!+#REF!+#REF!+#REF!+#REF!+#REF!+#REF!+#REF!+#REF!+#REF!</f>
        <v>#REF!</v>
      </c>
      <c r="S27" s="6" t="e">
        <f t="shared" si="1"/>
        <v>#REF!</v>
      </c>
      <c r="T27" s="6">
        <v>600</v>
      </c>
      <c r="U27" s="6" t="e">
        <f t="shared" si="2"/>
        <v>#REF!</v>
      </c>
      <c r="V27" s="86"/>
      <c r="W27" s="57"/>
      <c r="X27" s="46"/>
      <c r="Y27" s="61"/>
      <c r="Z27" s="66"/>
      <c r="AA27" s="61"/>
      <c r="AB27" s="67"/>
      <c r="AC27" s="61"/>
      <c r="AD27" s="66"/>
      <c r="AE27" s="61"/>
      <c r="AF27" s="52">
        <f t="shared" si="3"/>
        <v>0</v>
      </c>
      <c r="AG27" s="46" t="e">
        <f t="shared" si="4"/>
        <v>#REF!</v>
      </c>
      <c r="AH27" s="51" t="e">
        <f t="shared" si="5"/>
        <v>#REF!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/>
      <c r="D28" s="6" t="e">
        <f>#REF!+#REF!+#REF!+#REF!+#REF!+#REF!+#REF!+#REF!+#REF!+#REF!+#REF!+#REF!+#REF!+#REF!+#REF!+#REF!+#REF!+#REF!+#REF!+#REF!+#REF!+#REF!+#REF!+#REF!+#REF!+#REF!+#REF!+#REF!+#REF!+#REF!</f>
        <v>#REF!</v>
      </c>
      <c r="E28" s="6" t="e">
        <f>#REF!+#REF!+#REF!+#REF!+#REF!+#REF!+#REF!+#REF!+#REF!+#REF!+#REF!+#REF!+#REF!+#REF!+#REF!+#REF!+#REF!+#REF!+#REF!+#REF!+#REF!+#REF!+#REF!+#REF!+#REF!+#REF!+#REF!+#REF!+#REF!+#REF!</f>
        <v>#REF!</v>
      </c>
      <c r="F28" s="6" t="e">
        <f>#REF!+#REF!+#REF!+#REF!+#REF!+#REF!+#REF!+#REF!+#REF!+#REF!+#REF!+#REF!+#REF!+#REF!+#REF!+#REF!+#REF!+#REF!+#REF!+#REF!+#REF!+#REF!+#REF!+#REF!+#REF!+#REF!+#REF!+#REF!+#REF!+#REF!</f>
        <v>#REF!</v>
      </c>
      <c r="G28" s="6" t="e">
        <f>#REF!+#REF!+#REF!+#REF!+#REF!+#REF!+#REF!+#REF!+#REF!+#REF!+#REF!+#REF!+#REF!+#REF!+#REF!+#REF!+#REF!+#REF!+#REF!+#REF!+#REF!+#REF!+#REF!+#REF!+#REF!+#REF!+#REF!+#REF!+#REF!+#REF!</f>
        <v>#REF!</v>
      </c>
      <c r="H28" s="6" t="e">
        <f>#REF!+#REF!+#REF!+#REF!+#REF!+#REF!+#REF!+#REF!+#REF!+#REF!+#REF!+#REF!+#REF!+#REF!+#REF!+#REF!+#REF!+#REF!+#REF!+#REF!+#REF!+#REF!+#REF!+#REF!+#REF!+#REF!+#REF!+#REF!+#REF!+#REF!</f>
        <v>#REF!</v>
      </c>
      <c r="I28" s="6" t="e">
        <f>#REF!+#REF!+#REF!+#REF!+#REF!+#REF!+#REF!+#REF!+#REF!+#REF!+#REF!+#REF!+#REF!+#REF!+#REF!+#REF!+#REF!+#REF!+#REF!+#REF!+#REF!+#REF!+#REF!+#REF!+#REF!+#REF!+#REF!+#REF!+#REF!+#REF!</f>
        <v>#REF!</v>
      </c>
      <c r="J28" s="6" t="e">
        <f>#REF!+#REF!+#REF!+#REF!+#REF!+#REF!+#REF!+#REF!+#REF!+#REF!+#REF!+#REF!+#REF!+#REF!+#REF!+#REF!+#REF!+#REF!+#REF!+#REF!+#REF!+#REF!+#REF!+#REF!+#REF!+#REF!+#REF!+#REF!+#REF!+#REF!</f>
        <v>#REF!</v>
      </c>
      <c r="K28" s="6" t="e">
        <f>#REF!+#REF!+#REF!+#REF!+#REF!+#REF!+#REF!+#REF!+#REF!+#REF!+#REF!+#REF!+#REF!+#REF!+#REF!+#REF!+#REF!+#REF!+#REF!+#REF!+#REF!+#REF!+#REF!+#REF!+#REF!+#REF!+#REF!+#REF!+#REF!+#REF!</f>
        <v>#REF!</v>
      </c>
      <c r="L28" s="6" t="e">
        <f>#REF!+#REF!+#REF!+#REF!+#REF!+#REF!+#REF!+#REF!+#REF!+#REF!+#REF!+#REF!+#REF!+#REF!+#REF!+#REF!+#REF!+#REF!+#REF!+#REF!+#REF!+#REF!+#REF!+#REF!+#REF!+#REF!+#REF!+#REF!+#REF!+#REF!</f>
        <v>#REF!</v>
      </c>
      <c r="M28" s="6" t="e">
        <f>#REF!+#REF!+#REF!+#REF!+#REF!+#REF!+#REF!+#REF!+#REF!+#REF!+#REF!+#REF!+#REF!+#REF!+#REF!+#REF!+#REF!+#REF!+#REF!+#REF!+#REF!+#REF!+#REF!+#REF!+#REF!+#REF!+#REF!+#REF!+#REF!+#REF!</f>
        <v>#REF!</v>
      </c>
      <c r="N28" s="6" t="e">
        <f>#REF!+#REF!+#REF!+#REF!+#REF!+#REF!+#REF!+#REF!+#REF!+#REF!+#REF!+#REF!+#REF!+#REF!+#REF!+#REF!+#REF!+#REF!+#REF!+#REF!+#REF!+#REF!+#REF!+#REF!+#REF!+#REF!+#REF!+#REF!+#REF!+#REF!</f>
        <v>#REF!</v>
      </c>
      <c r="O28" s="6" t="e">
        <f>#REF!+#REF!+#REF!+#REF!+#REF!+#REF!+#REF!+#REF!+#REF!+#REF!+#REF!+#REF!+#REF!+#REF!+#REF!+#REF!+#REF!+#REF!+#REF!+#REF!+#REF!+#REF!+#REF!+#REF!+#REF!+#REF!+#REF!+#REF!+#REF!+#REF!</f>
        <v>#REF!</v>
      </c>
      <c r="P28" s="6" t="e">
        <f>#REF!+#REF!+#REF!+#REF!+#REF!+#REF!+#REF!+#REF!+#REF!+#REF!+#REF!+#REF!+#REF!+#REF!+#REF!+#REF!+#REF!+#REF!+#REF!+#REF!+#REF!+#REF!+#REF!+#REF!+#REF!+#REF!+#REF!+#REF!+#REF!+#REF!</f>
        <v>#REF!</v>
      </c>
      <c r="Q28" s="7" t="e">
        <f t="shared" si="0"/>
        <v>#REF!</v>
      </c>
      <c r="R28" s="6" t="e">
        <f>#REF!+#REF!+#REF!+#REF!+#REF!+#REF!+#REF!+#REF!+#REF!+#REF!+#REF!+#REF!+#REF!+#REF!+#REF!+#REF!+#REF!+#REF!+#REF!+#REF!+#REF!+#REF!+#REF!+#REF!+#REF!+#REF!+#REF!+#REF!+#REF!+#REF!</f>
        <v>#REF!</v>
      </c>
      <c r="S28" s="6" t="e">
        <f t="shared" si="1"/>
        <v>#REF!</v>
      </c>
      <c r="T28" s="6">
        <v>-10000</v>
      </c>
      <c r="U28" s="6" t="e">
        <f t="shared" si="2"/>
        <v>#REF!</v>
      </c>
      <c r="V28" s="71"/>
      <c r="W28" s="57"/>
      <c r="X28" s="46"/>
      <c r="Y28" s="61"/>
      <c r="Z28" s="66"/>
      <c r="AA28" s="61"/>
      <c r="AB28" s="67"/>
      <c r="AC28" s="61"/>
      <c r="AD28" s="66"/>
      <c r="AE28" s="61"/>
      <c r="AF28" s="52">
        <f t="shared" si="3"/>
        <v>0</v>
      </c>
      <c r="AG28" s="46" t="e">
        <f t="shared" si="4"/>
        <v>#REF!</v>
      </c>
      <c r="AH28" s="51" t="e">
        <f t="shared" si="5"/>
        <v>#REF!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/>
      <c r="D29" s="6" t="e">
        <f>#REF!+#REF!+#REF!+#REF!+#REF!+#REF!+#REF!+#REF!+#REF!+#REF!+#REF!+#REF!+#REF!+#REF!+#REF!+#REF!+#REF!+#REF!+#REF!+#REF!+#REF!+#REF!+#REF!+#REF!+#REF!+#REF!+#REF!+#REF!+#REF!+#REF!</f>
        <v>#REF!</v>
      </c>
      <c r="E29" s="6" t="e">
        <f>#REF!+#REF!+#REF!+#REF!+#REF!+#REF!+#REF!+#REF!+#REF!+#REF!+#REF!+#REF!+#REF!+#REF!+#REF!+#REF!+#REF!+#REF!+#REF!+#REF!+#REF!+#REF!+#REF!+#REF!+#REF!+#REF!+#REF!+#REF!+#REF!+#REF!</f>
        <v>#REF!</v>
      </c>
      <c r="F29" s="6" t="e">
        <f>#REF!+#REF!+#REF!+#REF!+#REF!+#REF!+#REF!+#REF!+#REF!+#REF!+#REF!+#REF!+#REF!+#REF!+#REF!+#REF!+#REF!+#REF!+#REF!+#REF!+#REF!+#REF!+#REF!+#REF!+#REF!+#REF!+#REF!+#REF!+#REF!+#REF!</f>
        <v>#REF!</v>
      </c>
      <c r="G29" s="6" t="e">
        <f>#REF!+#REF!+#REF!+#REF!+#REF!+#REF!+#REF!+#REF!+#REF!+#REF!+#REF!+#REF!+#REF!+#REF!+#REF!+#REF!+#REF!+#REF!+#REF!+#REF!+#REF!+#REF!+#REF!+#REF!+#REF!+#REF!+#REF!+#REF!+#REF!+#REF!</f>
        <v>#REF!</v>
      </c>
      <c r="H29" s="6" t="e">
        <f>#REF!+#REF!+#REF!+#REF!+#REF!+#REF!+#REF!+#REF!+#REF!+#REF!+#REF!+#REF!+#REF!+#REF!+#REF!+#REF!+#REF!+#REF!+#REF!+#REF!+#REF!+#REF!+#REF!+#REF!+#REF!+#REF!+#REF!+#REF!+#REF!+#REF!</f>
        <v>#REF!</v>
      </c>
      <c r="I29" s="6" t="e">
        <f>#REF!+#REF!+#REF!+#REF!+#REF!+#REF!+#REF!+#REF!+#REF!+#REF!+#REF!+#REF!+#REF!+#REF!+#REF!+#REF!+#REF!+#REF!+#REF!+#REF!+#REF!+#REF!+#REF!+#REF!+#REF!+#REF!+#REF!+#REF!+#REF!+#REF!</f>
        <v>#REF!</v>
      </c>
      <c r="J29" s="6" t="e">
        <f>#REF!+#REF!+#REF!+#REF!+#REF!+#REF!+#REF!+#REF!+#REF!+#REF!+#REF!+#REF!+#REF!+#REF!+#REF!+#REF!+#REF!+#REF!+#REF!+#REF!+#REF!+#REF!+#REF!+#REF!+#REF!+#REF!+#REF!+#REF!+#REF!+#REF!</f>
        <v>#REF!</v>
      </c>
      <c r="K29" s="6" t="e">
        <f>#REF!+#REF!+#REF!+#REF!+#REF!+#REF!+#REF!+#REF!+#REF!+#REF!+#REF!+#REF!+#REF!+#REF!+#REF!+#REF!+#REF!+#REF!+#REF!+#REF!+#REF!+#REF!+#REF!+#REF!+#REF!+#REF!+#REF!+#REF!+#REF!+#REF!</f>
        <v>#REF!</v>
      </c>
      <c r="L29" s="6" t="e">
        <f>#REF!+#REF!+#REF!+#REF!+#REF!+#REF!+#REF!+#REF!+#REF!+#REF!+#REF!+#REF!+#REF!+#REF!+#REF!+#REF!+#REF!+#REF!+#REF!+#REF!+#REF!+#REF!+#REF!+#REF!+#REF!+#REF!+#REF!+#REF!+#REF!+#REF!</f>
        <v>#REF!</v>
      </c>
      <c r="M29" s="6" t="e">
        <f>#REF!+#REF!+#REF!+#REF!+#REF!+#REF!+#REF!+#REF!+#REF!+#REF!+#REF!+#REF!+#REF!+#REF!+#REF!+#REF!+#REF!+#REF!+#REF!+#REF!+#REF!+#REF!+#REF!+#REF!+#REF!+#REF!+#REF!+#REF!+#REF!+#REF!</f>
        <v>#REF!</v>
      </c>
      <c r="N29" s="6" t="e">
        <f>#REF!+#REF!+#REF!+#REF!+#REF!+#REF!+#REF!+#REF!+#REF!+#REF!+#REF!+#REF!+#REF!+#REF!+#REF!+#REF!+#REF!+#REF!+#REF!+#REF!+#REF!+#REF!+#REF!+#REF!+#REF!+#REF!+#REF!+#REF!+#REF!+#REF!</f>
        <v>#REF!</v>
      </c>
      <c r="O29" s="6" t="e">
        <f>#REF!+#REF!+#REF!+#REF!+#REF!+#REF!+#REF!+#REF!+#REF!+#REF!+#REF!+#REF!+#REF!+#REF!+#REF!+#REF!+#REF!+#REF!+#REF!+#REF!+#REF!+#REF!+#REF!+#REF!+#REF!+#REF!+#REF!+#REF!+#REF!+#REF!</f>
        <v>#REF!</v>
      </c>
      <c r="P29" s="6" t="e">
        <f>#REF!+#REF!+#REF!+#REF!+#REF!+#REF!+#REF!+#REF!+#REF!+#REF!+#REF!+#REF!+#REF!+#REF!+#REF!+#REF!+#REF!+#REF!+#REF!+#REF!+#REF!+#REF!+#REF!+#REF!+#REF!+#REF!+#REF!+#REF!+#REF!+#REF!</f>
        <v>#REF!</v>
      </c>
      <c r="Q29" s="7" t="e">
        <f t="shared" si="0"/>
        <v>#REF!</v>
      </c>
      <c r="R29" s="6" t="e">
        <f>#REF!+#REF!+#REF!+#REF!+#REF!+#REF!+#REF!+#REF!+#REF!+#REF!+#REF!+#REF!+#REF!+#REF!+#REF!+#REF!+#REF!+#REF!+#REF!+#REF!+#REF!+#REF!+#REF!+#REF!+#REF!+#REF!+#REF!+#REF!+#REF!+#REF!</f>
        <v>#REF!</v>
      </c>
      <c r="S29" s="6" t="e">
        <f t="shared" si="1"/>
        <v>#REF!</v>
      </c>
      <c r="T29" s="6">
        <v>7400</v>
      </c>
      <c r="U29" s="6" t="e">
        <f t="shared" si="2"/>
        <v>#REF!</v>
      </c>
      <c r="V29" s="86">
        <v>120</v>
      </c>
      <c r="W29" s="57"/>
      <c r="X29" s="46"/>
      <c r="Y29" s="61"/>
      <c r="Z29" s="66"/>
      <c r="AA29" s="61"/>
      <c r="AB29" s="67"/>
      <c r="AC29" s="61"/>
      <c r="AD29" s="66"/>
      <c r="AE29" s="61"/>
      <c r="AF29" s="52">
        <f t="shared" si="3"/>
        <v>0</v>
      </c>
      <c r="AG29" s="46" t="e">
        <f t="shared" si="4"/>
        <v>#REF!</v>
      </c>
      <c r="AH29" s="51" t="e">
        <f t="shared" si="5"/>
        <v>#REF!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/>
      <c r="D30" s="6" t="e">
        <f>#REF!+#REF!+#REF!+#REF!+#REF!+#REF!+#REF!+#REF!+#REF!+#REF!+#REF!+#REF!+#REF!+#REF!+#REF!+#REF!+#REF!+#REF!+#REF!+#REF!+#REF!+#REF!+#REF!+#REF!+#REF!+#REF!+#REF!+#REF!+#REF!+#REF!</f>
        <v>#REF!</v>
      </c>
      <c r="E30" s="6" t="e">
        <f>#REF!+#REF!+#REF!+#REF!+#REF!+#REF!+#REF!+#REF!+#REF!+#REF!+#REF!+#REF!+#REF!+#REF!+#REF!+#REF!+#REF!+#REF!+#REF!+#REF!+#REF!+#REF!+#REF!+#REF!+#REF!+#REF!+#REF!+#REF!+#REF!+#REF!</f>
        <v>#REF!</v>
      </c>
      <c r="F30" s="6" t="e">
        <f>#REF!+#REF!+#REF!+#REF!+#REF!+#REF!+#REF!+#REF!+#REF!+#REF!+#REF!+#REF!+#REF!+#REF!+#REF!+#REF!+#REF!+#REF!+#REF!+#REF!+#REF!+#REF!+#REF!+#REF!+#REF!+#REF!+#REF!+#REF!+#REF!+#REF!</f>
        <v>#REF!</v>
      </c>
      <c r="G30" s="6" t="e">
        <f>#REF!+#REF!+#REF!+#REF!+#REF!+#REF!+#REF!+#REF!+#REF!+#REF!+#REF!+#REF!+#REF!+#REF!+#REF!+#REF!+#REF!+#REF!+#REF!+#REF!+#REF!+#REF!+#REF!+#REF!+#REF!+#REF!+#REF!+#REF!+#REF!+#REF!</f>
        <v>#REF!</v>
      </c>
      <c r="H30" s="6" t="e">
        <f>#REF!+#REF!+#REF!+#REF!+#REF!+#REF!+#REF!+#REF!+#REF!+#REF!+#REF!+#REF!+#REF!+#REF!+#REF!+#REF!+#REF!+#REF!+#REF!+#REF!+#REF!+#REF!+#REF!+#REF!+#REF!+#REF!+#REF!+#REF!+#REF!+#REF!</f>
        <v>#REF!</v>
      </c>
      <c r="I30" s="6" t="e">
        <f>#REF!+#REF!+#REF!+#REF!+#REF!+#REF!+#REF!+#REF!+#REF!+#REF!+#REF!+#REF!+#REF!+#REF!+#REF!+#REF!+#REF!+#REF!+#REF!+#REF!+#REF!+#REF!+#REF!+#REF!+#REF!+#REF!+#REF!+#REF!+#REF!+#REF!</f>
        <v>#REF!</v>
      </c>
      <c r="J30" s="6" t="e">
        <f>#REF!+#REF!+#REF!+#REF!+#REF!+#REF!+#REF!+#REF!+#REF!+#REF!+#REF!+#REF!+#REF!+#REF!+#REF!+#REF!+#REF!+#REF!+#REF!+#REF!+#REF!+#REF!+#REF!+#REF!+#REF!+#REF!+#REF!+#REF!+#REF!+#REF!</f>
        <v>#REF!</v>
      </c>
      <c r="K30" s="6" t="e">
        <f>#REF!+#REF!+#REF!+#REF!+#REF!+#REF!+#REF!+#REF!+#REF!+#REF!+#REF!+#REF!+#REF!+#REF!+#REF!+#REF!+#REF!+#REF!+#REF!+#REF!+#REF!+#REF!+#REF!+#REF!+#REF!+#REF!+#REF!+#REF!+#REF!+#REF!</f>
        <v>#REF!</v>
      </c>
      <c r="L30" s="6" t="e">
        <f>#REF!+#REF!+#REF!+#REF!+#REF!+#REF!+#REF!+#REF!+#REF!+#REF!+#REF!+#REF!+#REF!+#REF!+#REF!+#REF!+#REF!+#REF!+#REF!+#REF!+#REF!+#REF!+#REF!+#REF!+#REF!+#REF!+#REF!+#REF!+#REF!+#REF!</f>
        <v>#REF!</v>
      </c>
      <c r="M30" s="6" t="e">
        <f>#REF!+#REF!+#REF!+#REF!+#REF!+#REF!+#REF!+#REF!+#REF!+#REF!+#REF!+#REF!+#REF!+#REF!+#REF!+#REF!+#REF!+#REF!+#REF!+#REF!+#REF!+#REF!+#REF!+#REF!+#REF!+#REF!+#REF!+#REF!+#REF!+#REF!</f>
        <v>#REF!</v>
      </c>
      <c r="N30" s="6" t="e">
        <f>#REF!+#REF!+#REF!+#REF!+#REF!+#REF!+#REF!+#REF!+#REF!+#REF!+#REF!+#REF!+#REF!+#REF!+#REF!+#REF!+#REF!+#REF!+#REF!+#REF!+#REF!+#REF!+#REF!+#REF!+#REF!+#REF!+#REF!+#REF!+#REF!+#REF!</f>
        <v>#REF!</v>
      </c>
      <c r="O30" s="6" t="e">
        <f>#REF!+#REF!+#REF!+#REF!+#REF!+#REF!+#REF!+#REF!+#REF!+#REF!+#REF!+#REF!+#REF!+#REF!+#REF!+#REF!+#REF!+#REF!+#REF!+#REF!+#REF!+#REF!+#REF!+#REF!+#REF!+#REF!+#REF!+#REF!+#REF!+#REF!</f>
        <v>#REF!</v>
      </c>
      <c r="P30" s="6" t="e">
        <f>#REF!+#REF!+#REF!+#REF!+#REF!+#REF!+#REF!+#REF!+#REF!+#REF!+#REF!+#REF!+#REF!+#REF!+#REF!+#REF!+#REF!+#REF!+#REF!+#REF!+#REF!+#REF!+#REF!+#REF!+#REF!+#REF!+#REF!+#REF!+#REF!+#REF!</f>
        <v>#REF!</v>
      </c>
      <c r="Q30" s="7" t="e">
        <f t="shared" si="0"/>
        <v>#REF!</v>
      </c>
      <c r="R30" s="6" t="e">
        <f>#REF!+#REF!+#REF!+#REF!+#REF!+#REF!+#REF!+#REF!+#REF!+#REF!+#REF!+#REF!+#REF!+#REF!+#REF!+#REF!+#REF!+#REF!+#REF!+#REF!+#REF!+#REF!+#REF!+#REF!+#REF!+#REF!+#REF!+#REF!+#REF!+#REF!</f>
        <v>#REF!</v>
      </c>
      <c r="S30" s="6" t="e">
        <f t="shared" si="1"/>
        <v>#REF!</v>
      </c>
      <c r="T30" s="6">
        <f>-12600+200</f>
        <v>-12400</v>
      </c>
      <c r="U30" s="6" t="e">
        <f t="shared" si="2"/>
        <v>#REF!</v>
      </c>
      <c r="V30" s="58"/>
      <c r="W30" s="57"/>
      <c r="X30" s="46"/>
      <c r="Y30" s="61"/>
      <c r="Z30" s="66"/>
      <c r="AA30" s="61"/>
      <c r="AB30" s="67"/>
      <c r="AC30" s="61"/>
      <c r="AD30" s="66"/>
      <c r="AE30" s="61"/>
      <c r="AF30" s="52">
        <f t="shared" si="3"/>
        <v>0</v>
      </c>
      <c r="AG30" s="46" t="e">
        <f t="shared" si="4"/>
        <v>#REF!</v>
      </c>
      <c r="AH30" s="51" t="e">
        <f t="shared" si="5"/>
        <v>#REF!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/>
      <c r="D31" s="6" t="e">
        <f>#REF!+#REF!+#REF!+#REF!+#REF!+#REF!+#REF!+#REF!+#REF!+#REF!+#REF!+#REF!+#REF!+#REF!+#REF!+#REF!+#REF!+#REF!+#REF!+#REF!+#REF!+#REF!+#REF!+#REF!+#REF!+#REF!+#REF!+#REF!+#REF!+#REF!</f>
        <v>#REF!</v>
      </c>
      <c r="E31" s="6" t="e">
        <f>#REF!+#REF!+#REF!+#REF!+#REF!+#REF!+#REF!+#REF!+#REF!+#REF!+#REF!+#REF!+#REF!+#REF!+#REF!+#REF!+#REF!+#REF!+#REF!+#REF!+#REF!+#REF!+#REF!+#REF!+#REF!+#REF!+#REF!+#REF!+#REF!+#REF!</f>
        <v>#REF!</v>
      </c>
      <c r="F31" s="6" t="e">
        <f>#REF!+#REF!+#REF!+#REF!+#REF!+#REF!+#REF!+#REF!+#REF!+#REF!+#REF!+#REF!+#REF!+#REF!+#REF!+#REF!+#REF!+#REF!+#REF!+#REF!+#REF!+#REF!+#REF!+#REF!+#REF!+#REF!+#REF!+#REF!+#REF!+#REF!</f>
        <v>#REF!</v>
      </c>
      <c r="G31" s="6" t="e">
        <f>#REF!+#REF!+#REF!+#REF!+#REF!+#REF!+#REF!+#REF!+#REF!+#REF!+#REF!+#REF!+#REF!+#REF!+#REF!+#REF!+#REF!+#REF!+#REF!+#REF!+#REF!+#REF!+#REF!+#REF!+#REF!+#REF!+#REF!+#REF!+#REF!+#REF!</f>
        <v>#REF!</v>
      </c>
      <c r="H31" s="6" t="e">
        <f>#REF!+#REF!+#REF!+#REF!+#REF!+#REF!+#REF!+#REF!+#REF!+#REF!+#REF!+#REF!+#REF!+#REF!+#REF!+#REF!+#REF!+#REF!+#REF!+#REF!+#REF!+#REF!+#REF!+#REF!+#REF!+#REF!+#REF!+#REF!+#REF!+#REF!</f>
        <v>#REF!</v>
      </c>
      <c r="I31" s="6" t="e">
        <f>#REF!+#REF!+#REF!+#REF!+#REF!+#REF!+#REF!+#REF!+#REF!+#REF!+#REF!+#REF!+#REF!+#REF!+#REF!+#REF!+#REF!+#REF!+#REF!+#REF!+#REF!+#REF!+#REF!+#REF!+#REF!+#REF!+#REF!+#REF!+#REF!+#REF!</f>
        <v>#REF!</v>
      </c>
      <c r="J31" s="6" t="e">
        <f>#REF!+#REF!+#REF!+#REF!+#REF!+#REF!+#REF!+#REF!+#REF!+#REF!+#REF!+#REF!+#REF!+#REF!+#REF!+#REF!+#REF!+#REF!+#REF!+#REF!+#REF!+#REF!+#REF!+#REF!+#REF!+#REF!+#REF!+#REF!+#REF!+#REF!</f>
        <v>#REF!</v>
      </c>
      <c r="K31" s="6" t="e">
        <f>#REF!+#REF!+#REF!+#REF!+#REF!+#REF!+#REF!+#REF!+#REF!+#REF!+#REF!+#REF!+#REF!+#REF!+#REF!+#REF!+#REF!+#REF!+#REF!+#REF!+#REF!+#REF!+#REF!+#REF!+#REF!+#REF!+#REF!+#REF!+#REF!+#REF!</f>
        <v>#REF!</v>
      </c>
      <c r="L31" s="6" t="e">
        <f>#REF!+#REF!+#REF!+#REF!+#REF!+#REF!+#REF!+#REF!+#REF!+#REF!+#REF!+#REF!+#REF!+#REF!+#REF!+#REF!+#REF!+#REF!+#REF!+#REF!+#REF!+#REF!+#REF!+#REF!+#REF!+#REF!+#REF!+#REF!+#REF!+#REF!</f>
        <v>#REF!</v>
      </c>
      <c r="M31" s="6" t="e">
        <f>#REF!+#REF!+#REF!+#REF!+#REF!+#REF!+#REF!+#REF!+#REF!+#REF!+#REF!+#REF!+#REF!+#REF!+#REF!+#REF!+#REF!+#REF!+#REF!+#REF!+#REF!+#REF!+#REF!+#REF!+#REF!+#REF!+#REF!+#REF!+#REF!+#REF!</f>
        <v>#REF!</v>
      </c>
      <c r="N31" s="6" t="e">
        <f>#REF!+#REF!+#REF!+#REF!+#REF!+#REF!+#REF!+#REF!+#REF!+#REF!+#REF!+#REF!+#REF!+#REF!+#REF!+#REF!+#REF!+#REF!+#REF!+#REF!+#REF!+#REF!+#REF!+#REF!+#REF!+#REF!+#REF!+#REF!+#REF!+#REF!</f>
        <v>#REF!</v>
      </c>
      <c r="O31" s="6" t="e">
        <f>#REF!+#REF!+#REF!+#REF!+#REF!+#REF!+#REF!+#REF!+#REF!+#REF!+#REF!+#REF!+#REF!+#REF!+#REF!+#REF!+#REF!+#REF!+#REF!+#REF!+#REF!+#REF!+#REF!+#REF!+#REF!+#REF!+#REF!+#REF!+#REF!+#REF!</f>
        <v>#REF!</v>
      </c>
      <c r="P31" s="6" t="e">
        <f>#REF!+#REF!+#REF!+#REF!+#REF!+#REF!+#REF!+#REF!+#REF!+#REF!+#REF!+#REF!+#REF!+#REF!+#REF!+#REF!+#REF!+#REF!+#REF!+#REF!+#REF!+#REF!+#REF!+#REF!+#REF!+#REF!+#REF!+#REF!+#REF!+#REF!</f>
        <v>#REF!</v>
      </c>
      <c r="Q31" s="7" t="e">
        <f t="shared" si="0"/>
        <v>#REF!</v>
      </c>
      <c r="R31" s="6" t="e">
        <f>#REF!+#REF!+#REF!+#REF!+#REF!+#REF!+#REF!+#REF!+#REF!+#REF!+#REF!+#REF!+#REF!+#REF!+#REF!+#REF!+#REF!+#REF!+#REF!+#REF!+#REF!+#REF!+#REF!+#REF!+#REF!+#REF!+#REF!+#REF!+#REF!+#REF!</f>
        <v>#REF!</v>
      </c>
      <c r="S31" s="6" t="e">
        <f t="shared" si="1"/>
        <v>#REF!</v>
      </c>
      <c r="T31" s="6">
        <v>-14100</v>
      </c>
      <c r="U31" s="6" t="e">
        <f t="shared" si="2"/>
        <v>#REF!</v>
      </c>
      <c r="V31" s="86">
        <v>320</v>
      </c>
      <c r="W31" s="57"/>
      <c r="X31" s="46"/>
      <c r="Y31" s="61"/>
      <c r="Z31" s="66"/>
      <c r="AA31" s="61"/>
      <c r="AB31" s="64"/>
      <c r="AC31" s="61"/>
      <c r="AD31" s="66"/>
      <c r="AE31" s="61"/>
      <c r="AF31" s="52">
        <f t="shared" si="3"/>
        <v>0</v>
      </c>
      <c r="AG31" s="46" t="e">
        <f t="shared" si="4"/>
        <v>#REF!</v>
      </c>
      <c r="AH31" s="51" t="e">
        <f t="shared" si="5"/>
        <v>#REF!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/>
      <c r="D32" s="6" t="e">
        <f>#REF!+#REF!+#REF!+#REF!+#REF!+#REF!+#REF!+#REF!+#REF!+#REF!+#REF!+#REF!+#REF!+#REF!+#REF!+#REF!+#REF!+#REF!+#REF!+#REF!+#REF!+#REF!+#REF!+#REF!+#REF!+#REF!+#REF!+#REF!+#REF!+#REF!</f>
        <v>#REF!</v>
      </c>
      <c r="E32" s="6" t="e">
        <f>#REF!+#REF!+#REF!+#REF!+#REF!+#REF!+#REF!+#REF!+#REF!+#REF!+#REF!+#REF!+#REF!+#REF!+#REF!+#REF!+#REF!+#REF!+#REF!+#REF!+#REF!+#REF!+#REF!+#REF!+#REF!+#REF!+#REF!+#REF!+#REF!+#REF!</f>
        <v>#REF!</v>
      </c>
      <c r="F32" s="6" t="e">
        <f>#REF!+#REF!+#REF!+#REF!+#REF!+#REF!+#REF!+#REF!+#REF!+#REF!+#REF!+#REF!+#REF!+#REF!+#REF!+#REF!+#REF!+#REF!+#REF!+#REF!+#REF!+#REF!+#REF!+#REF!+#REF!+#REF!+#REF!+#REF!+#REF!+#REF!</f>
        <v>#REF!</v>
      </c>
      <c r="G32" s="6" t="e">
        <f>#REF!+#REF!+#REF!+#REF!+#REF!+#REF!+#REF!+#REF!+#REF!+#REF!+#REF!+#REF!+#REF!+#REF!+#REF!+#REF!+#REF!+#REF!+#REF!+#REF!+#REF!+#REF!+#REF!+#REF!+#REF!+#REF!+#REF!+#REF!+#REF!+#REF!</f>
        <v>#REF!</v>
      </c>
      <c r="H32" s="6" t="e">
        <f>#REF!+#REF!+#REF!+#REF!+#REF!+#REF!+#REF!+#REF!+#REF!+#REF!+#REF!+#REF!+#REF!+#REF!+#REF!+#REF!+#REF!+#REF!+#REF!+#REF!+#REF!+#REF!+#REF!+#REF!+#REF!+#REF!+#REF!+#REF!+#REF!+#REF!</f>
        <v>#REF!</v>
      </c>
      <c r="I32" s="6" t="e">
        <f>#REF!+#REF!+#REF!+#REF!+#REF!+#REF!+#REF!+#REF!+#REF!+#REF!+#REF!+#REF!+#REF!+#REF!+#REF!+#REF!+#REF!+#REF!+#REF!+#REF!+#REF!+#REF!+#REF!+#REF!+#REF!+#REF!+#REF!+#REF!+#REF!+#REF!</f>
        <v>#REF!</v>
      </c>
      <c r="J32" s="6" t="e">
        <f>#REF!+#REF!+#REF!+#REF!+#REF!+#REF!+#REF!+#REF!+#REF!+#REF!+#REF!+#REF!+#REF!+#REF!+#REF!+#REF!+#REF!+#REF!+#REF!+#REF!+#REF!+#REF!+#REF!+#REF!+#REF!+#REF!+#REF!+#REF!+#REF!+#REF!</f>
        <v>#REF!</v>
      </c>
      <c r="K32" s="6" t="e">
        <f>#REF!+#REF!+#REF!+#REF!+#REF!+#REF!+#REF!+#REF!+#REF!+#REF!+#REF!+#REF!+#REF!+#REF!+#REF!+#REF!+#REF!+#REF!+#REF!+#REF!+#REF!+#REF!+#REF!+#REF!+#REF!+#REF!+#REF!+#REF!+#REF!+#REF!</f>
        <v>#REF!</v>
      </c>
      <c r="L32" s="6" t="e">
        <f>#REF!+#REF!+#REF!+#REF!+#REF!+#REF!+#REF!+#REF!+#REF!+#REF!+#REF!+#REF!+#REF!+#REF!+#REF!+#REF!+#REF!+#REF!+#REF!+#REF!+#REF!+#REF!+#REF!+#REF!+#REF!+#REF!+#REF!+#REF!+#REF!+#REF!</f>
        <v>#REF!</v>
      </c>
      <c r="M32" s="6" t="e">
        <f>#REF!+#REF!+#REF!+#REF!+#REF!+#REF!+#REF!+#REF!+#REF!+#REF!+#REF!+#REF!+#REF!+#REF!+#REF!+#REF!+#REF!+#REF!+#REF!+#REF!+#REF!+#REF!+#REF!+#REF!+#REF!+#REF!+#REF!+#REF!+#REF!+#REF!</f>
        <v>#REF!</v>
      </c>
      <c r="N32" s="6" t="e">
        <f>#REF!+#REF!+#REF!+#REF!+#REF!+#REF!+#REF!+#REF!+#REF!+#REF!+#REF!+#REF!+#REF!+#REF!+#REF!+#REF!+#REF!+#REF!+#REF!+#REF!+#REF!+#REF!+#REF!+#REF!+#REF!+#REF!+#REF!+#REF!+#REF!+#REF!</f>
        <v>#REF!</v>
      </c>
      <c r="O32" s="6" t="e">
        <f>#REF!+#REF!+#REF!+#REF!+#REF!+#REF!+#REF!+#REF!+#REF!+#REF!+#REF!+#REF!+#REF!+#REF!+#REF!+#REF!+#REF!+#REF!+#REF!+#REF!+#REF!+#REF!+#REF!+#REF!+#REF!+#REF!+#REF!+#REF!+#REF!+#REF!</f>
        <v>#REF!</v>
      </c>
      <c r="P32" s="6" t="e">
        <f>#REF!+#REF!+#REF!+#REF!+#REF!+#REF!+#REF!+#REF!+#REF!+#REF!+#REF!+#REF!+#REF!+#REF!+#REF!+#REF!+#REF!+#REF!+#REF!+#REF!+#REF!+#REF!+#REF!+#REF!+#REF!+#REF!+#REF!+#REF!+#REF!+#REF!</f>
        <v>#REF!</v>
      </c>
      <c r="Q32" s="7" t="e">
        <f>SUM(E32:P32)</f>
        <v>#REF!</v>
      </c>
      <c r="R32" s="6" t="e">
        <f>#REF!+#REF!+#REF!+#REF!+#REF!+#REF!+#REF!+#REF!+#REF!+#REF!+#REF!+#REF!+#REF!+#REF!+#REF!+#REF!+#REF!+#REF!+#REF!+#REF!+#REF!+#REF!+#REF!+#REF!+#REF!+#REF!+#REF!+#REF!+#REF!+#REF!</f>
        <v>#REF!</v>
      </c>
      <c r="S32" s="6" t="e">
        <f t="shared" si="1"/>
        <v>#REF!</v>
      </c>
      <c r="T32" s="6">
        <f>-12440-200</f>
        <v>-12640</v>
      </c>
      <c r="U32" s="6" t="e">
        <f t="shared" si="2"/>
        <v>#REF!</v>
      </c>
      <c r="V32" s="15">
        <v>1820</v>
      </c>
      <c r="W32" s="57"/>
      <c r="X32" s="46"/>
      <c r="Y32" s="61"/>
      <c r="Z32" s="66"/>
      <c r="AA32" s="61"/>
      <c r="AB32" s="67"/>
      <c r="AC32" s="61"/>
      <c r="AD32" s="66"/>
      <c r="AE32" s="61"/>
      <c r="AF32" s="52">
        <f t="shared" si="3"/>
        <v>0</v>
      </c>
      <c r="AG32" s="46" t="e">
        <f t="shared" si="4"/>
        <v>#REF!</v>
      </c>
      <c r="AH32" s="51" t="e">
        <f t="shared" si="5"/>
        <v>#REF!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/>
      <c r="D33" s="6" t="e">
        <f>#REF!+#REF!+#REF!+#REF!+#REF!+#REF!+#REF!+#REF!+#REF!+#REF!+#REF!+#REF!+#REF!+#REF!+#REF!+#REF!+#REF!+#REF!+#REF!+#REF!+#REF!+#REF!+#REF!+#REF!+#REF!+#REF!+#REF!+#REF!+#REF!+#REF!</f>
        <v>#REF!</v>
      </c>
      <c r="E33" s="6" t="e">
        <f>#REF!+#REF!+#REF!+#REF!+#REF!+#REF!+#REF!+#REF!+#REF!+#REF!+#REF!+#REF!+#REF!+#REF!+#REF!+#REF!+#REF!+#REF!+#REF!+#REF!+#REF!+#REF!+#REF!+#REF!+#REF!+#REF!+#REF!+#REF!+#REF!+#REF!</f>
        <v>#REF!</v>
      </c>
      <c r="F33" s="6" t="e">
        <f>#REF!+#REF!+#REF!+#REF!+#REF!+#REF!+#REF!+#REF!+#REF!+#REF!+#REF!+#REF!+#REF!+#REF!+#REF!+#REF!+#REF!+#REF!+#REF!+#REF!+#REF!+#REF!+#REF!+#REF!+#REF!+#REF!+#REF!+#REF!+#REF!+#REF!</f>
        <v>#REF!</v>
      </c>
      <c r="G33" s="6" t="e">
        <f>#REF!+#REF!+#REF!+#REF!+#REF!+#REF!+#REF!+#REF!+#REF!+#REF!+#REF!+#REF!+#REF!+#REF!+#REF!+#REF!+#REF!+#REF!+#REF!+#REF!+#REF!+#REF!+#REF!+#REF!+#REF!+#REF!+#REF!+#REF!+#REF!+#REF!</f>
        <v>#REF!</v>
      </c>
      <c r="H33" s="6" t="e">
        <f>#REF!+#REF!+#REF!+#REF!+#REF!+#REF!+#REF!+#REF!+#REF!+#REF!+#REF!+#REF!+#REF!+#REF!+#REF!+#REF!+#REF!+#REF!+#REF!+#REF!+#REF!+#REF!+#REF!+#REF!+#REF!+#REF!+#REF!+#REF!+#REF!+#REF!</f>
        <v>#REF!</v>
      </c>
      <c r="I33" s="6" t="e">
        <f>#REF!+#REF!+#REF!+#REF!+#REF!+#REF!+#REF!+#REF!+#REF!+#REF!+#REF!+#REF!+#REF!+#REF!+#REF!+#REF!+#REF!+#REF!+#REF!+#REF!+#REF!+#REF!+#REF!+#REF!+#REF!+#REF!+#REF!+#REF!+#REF!+#REF!</f>
        <v>#REF!</v>
      </c>
      <c r="J33" s="6" t="e">
        <f>#REF!+#REF!+#REF!+#REF!+#REF!+#REF!+#REF!+#REF!+#REF!+#REF!+#REF!+#REF!+#REF!+#REF!+#REF!+#REF!+#REF!+#REF!+#REF!+#REF!+#REF!+#REF!+#REF!+#REF!+#REF!+#REF!+#REF!+#REF!+#REF!+#REF!</f>
        <v>#REF!</v>
      </c>
      <c r="K33" s="6" t="e">
        <f>#REF!+#REF!+#REF!+#REF!+#REF!+#REF!+#REF!+#REF!+#REF!+#REF!+#REF!+#REF!+#REF!+#REF!+#REF!+#REF!+#REF!+#REF!+#REF!+#REF!+#REF!+#REF!+#REF!+#REF!+#REF!+#REF!+#REF!+#REF!+#REF!+#REF!</f>
        <v>#REF!</v>
      </c>
      <c r="L33" s="6" t="e">
        <f>#REF!+#REF!+#REF!+#REF!+#REF!+#REF!+#REF!+#REF!+#REF!+#REF!+#REF!+#REF!+#REF!+#REF!+#REF!+#REF!+#REF!+#REF!+#REF!+#REF!+#REF!+#REF!+#REF!+#REF!+#REF!+#REF!+#REF!+#REF!+#REF!+#REF!</f>
        <v>#REF!</v>
      </c>
      <c r="M33" s="6" t="e">
        <f>#REF!+#REF!+#REF!+#REF!+#REF!+#REF!+#REF!+#REF!+#REF!+#REF!+#REF!+#REF!+#REF!+#REF!+#REF!+#REF!+#REF!+#REF!+#REF!+#REF!+#REF!+#REF!+#REF!+#REF!+#REF!+#REF!+#REF!+#REF!+#REF!+#REF!</f>
        <v>#REF!</v>
      </c>
      <c r="N33" s="6" t="e">
        <f>#REF!+#REF!+#REF!+#REF!+#REF!+#REF!+#REF!+#REF!+#REF!+#REF!+#REF!+#REF!+#REF!+#REF!+#REF!+#REF!+#REF!+#REF!+#REF!+#REF!+#REF!+#REF!+#REF!+#REF!+#REF!+#REF!+#REF!+#REF!+#REF!+#REF!</f>
        <v>#REF!</v>
      </c>
      <c r="O33" s="6" t="e">
        <f>#REF!+#REF!+#REF!+#REF!+#REF!+#REF!+#REF!+#REF!+#REF!+#REF!+#REF!+#REF!+#REF!+#REF!+#REF!+#REF!+#REF!+#REF!+#REF!+#REF!+#REF!+#REF!+#REF!+#REF!+#REF!+#REF!+#REF!+#REF!+#REF!+#REF!</f>
        <v>#REF!</v>
      </c>
      <c r="P33" s="6" t="e">
        <f>#REF!+#REF!+#REF!+#REF!+#REF!+#REF!+#REF!+#REF!+#REF!+#REF!+#REF!+#REF!+#REF!+#REF!+#REF!+#REF!+#REF!+#REF!+#REF!+#REF!+#REF!+#REF!+#REF!+#REF!+#REF!+#REF!+#REF!+#REF!+#REF!+#REF!</f>
        <v>#REF!</v>
      </c>
      <c r="Q33" s="7" t="e">
        <f t="shared" si="0"/>
        <v>#REF!</v>
      </c>
      <c r="R33" s="6" t="e">
        <f>#REF!+#REF!+#REF!+#REF!+#REF!+#REF!+#REF!+#REF!+#REF!+#REF!+#REF!+#REF!+#REF!+#REF!+#REF!+#REF!+#REF!+#REF!+#REF!+#REF!+#REF!+#REF!+#REF!+#REF!+#REF!+#REF!+#REF!+#REF!+#REF!+#REF!</f>
        <v>#REF!</v>
      </c>
      <c r="S33" s="6" t="e">
        <f t="shared" si="1"/>
        <v>#REF!</v>
      </c>
      <c r="T33" s="6">
        <v>2500</v>
      </c>
      <c r="U33" s="6" t="e">
        <f t="shared" si="2"/>
        <v>#REF!</v>
      </c>
      <c r="V33" s="86"/>
      <c r="W33" s="57"/>
      <c r="X33" s="46"/>
      <c r="Y33" s="61"/>
      <c r="Z33" s="66"/>
      <c r="AA33" s="61"/>
      <c r="AB33" s="67"/>
      <c r="AC33" s="61"/>
      <c r="AD33" s="66"/>
      <c r="AE33" s="61"/>
      <c r="AF33" s="52">
        <f t="shared" si="3"/>
        <v>0</v>
      </c>
      <c r="AG33" s="46" t="e">
        <f t="shared" si="4"/>
        <v>#REF!</v>
      </c>
      <c r="AH33" s="51" t="e">
        <f t="shared" si="5"/>
        <v>#REF!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/>
      <c r="D34" s="6" t="e">
        <f>#REF!+#REF!+#REF!+#REF!+#REF!+#REF!+#REF!+#REF!+#REF!+#REF!+#REF!+#REF!+#REF!+#REF!+#REF!+#REF!+#REF!+#REF!+#REF!+#REF!+#REF!+#REF!+#REF!+#REF!+#REF!+#REF!+#REF!+#REF!+#REF!+#REF!</f>
        <v>#REF!</v>
      </c>
      <c r="E34" s="6" t="e">
        <f>#REF!+#REF!+#REF!+#REF!+#REF!+#REF!+#REF!+#REF!+#REF!+#REF!+#REF!+#REF!+#REF!+#REF!+#REF!+#REF!+#REF!+#REF!+#REF!+#REF!+#REF!+#REF!+#REF!+#REF!+#REF!+#REF!+#REF!+#REF!+#REF!+#REF!</f>
        <v>#REF!</v>
      </c>
      <c r="F34" s="6" t="e">
        <f>#REF!+#REF!+#REF!+#REF!+#REF!+#REF!+#REF!+#REF!+#REF!+#REF!+#REF!+#REF!+#REF!+#REF!+#REF!+#REF!+#REF!+#REF!+#REF!+#REF!+#REF!+#REF!+#REF!+#REF!+#REF!+#REF!+#REF!+#REF!+#REF!+#REF!</f>
        <v>#REF!</v>
      </c>
      <c r="G34" s="6" t="e">
        <f>#REF!+#REF!+#REF!+#REF!+#REF!+#REF!+#REF!+#REF!+#REF!+#REF!+#REF!+#REF!+#REF!+#REF!+#REF!+#REF!+#REF!+#REF!+#REF!+#REF!+#REF!+#REF!+#REF!+#REF!+#REF!+#REF!+#REF!+#REF!+#REF!+#REF!</f>
        <v>#REF!</v>
      </c>
      <c r="H34" s="6" t="e">
        <f>#REF!+#REF!+#REF!+#REF!+#REF!+#REF!+#REF!+#REF!+#REF!+#REF!+#REF!+#REF!+#REF!+#REF!+#REF!+#REF!+#REF!+#REF!+#REF!+#REF!+#REF!+#REF!+#REF!+#REF!+#REF!+#REF!+#REF!+#REF!+#REF!+#REF!</f>
        <v>#REF!</v>
      </c>
      <c r="I34" s="6" t="e">
        <f>#REF!+#REF!+#REF!+#REF!+#REF!+#REF!+#REF!+#REF!+#REF!+#REF!+#REF!+#REF!+#REF!+#REF!+#REF!+#REF!+#REF!+#REF!+#REF!+#REF!+#REF!+#REF!+#REF!+#REF!+#REF!+#REF!+#REF!+#REF!+#REF!+#REF!</f>
        <v>#REF!</v>
      </c>
      <c r="J34" s="6" t="e">
        <f>#REF!+#REF!+#REF!+#REF!+#REF!+#REF!+#REF!+#REF!+#REF!+#REF!+#REF!+#REF!+#REF!+#REF!+#REF!+#REF!+#REF!+#REF!+#REF!+#REF!+#REF!+#REF!+#REF!+#REF!+#REF!+#REF!+#REF!+#REF!+#REF!+#REF!</f>
        <v>#REF!</v>
      </c>
      <c r="K34" s="6" t="e">
        <f>#REF!+#REF!+#REF!+#REF!+#REF!+#REF!+#REF!+#REF!+#REF!+#REF!+#REF!+#REF!+#REF!+#REF!+#REF!+#REF!+#REF!+#REF!+#REF!+#REF!+#REF!+#REF!+#REF!+#REF!+#REF!+#REF!+#REF!+#REF!+#REF!+#REF!</f>
        <v>#REF!</v>
      </c>
      <c r="L34" s="6" t="e">
        <f>#REF!+#REF!+#REF!+#REF!+#REF!+#REF!+#REF!+#REF!+#REF!+#REF!+#REF!+#REF!+#REF!+#REF!+#REF!+#REF!+#REF!+#REF!+#REF!+#REF!+#REF!+#REF!+#REF!+#REF!+#REF!+#REF!+#REF!+#REF!+#REF!+#REF!</f>
        <v>#REF!</v>
      </c>
      <c r="M34" s="6" t="e">
        <f>#REF!+#REF!+#REF!+#REF!+#REF!+#REF!+#REF!+#REF!+#REF!+#REF!+#REF!+#REF!+#REF!+#REF!+#REF!+#REF!+#REF!+#REF!+#REF!+#REF!+#REF!+#REF!+#REF!+#REF!+#REF!+#REF!+#REF!+#REF!+#REF!+#REF!</f>
        <v>#REF!</v>
      </c>
      <c r="N34" s="6" t="e">
        <f>#REF!+#REF!+#REF!+#REF!+#REF!+#REF!+#REF!+#REF!+#REF!+#REF!+#REF!+#REF!+#REF!+#REF!+#REF!+#REF!+#REF!+#REF!+#REF!+#REF!+#REF!+#REF!+#REF!+#REF!+#REF!+#REF!+#REF!+#REF!+#REF!+#REF!</f>
        <v>#REF!</v>
      </c>
      <c r="O34" s="6" t="e">
        <f>#REF!+#REF!+#REF!+#REF!+#REF!+#REF!+#REF!+#REF!+#REF!+#REF!+#REF!+#REF!+#REF!+#REF!+#REF!+#REF!+#REF!+#REF!+#REF!+#REF!+#REF!+#REF!+#REF!+#REF!+#REF!+#REF!+#REF!+#REF!+#REF!+#REF!</f>
        <v>#REF!</v>
      </c>
      <c r="P34" s="6" t="e">
        <f>#REF!+#REF!+#REF!+#REF!+#REF!+#REF!+#REF!+#REF!+#REF!+#REF!+#REF!+#REF!+#REF!+#REF!+#REF!+#REF!+#REF!+#REF!+#REF!+#REF!+#REF!+#REF!+#REF!+#REF!+#REF!+#REF!+#REF!+#REF!+#REF!+#REF!</f>
        <v>#REF!</v>
      </c>
      <c r="Q34" s="7" t="e">
        <f t="shared" si="0"/>
        <v>#REF!</v>
      </c>
      <c r="R34" s="6" t="e">
        <f>#REF!+#REF!+#REF!+#REF!+#REF!+#REF!+#REF!+#REF!+#REF!+#REF!+#REF!+#REF!+#REF!+#REF!+#REF!+#REF!+#REF!+#REF!+#REF!+#REF!+#REF!+#REF!+#REF!+#REF!+#REF!+#REF!+#REF!+#REF!+#REF!+#REF!</f>
        <v>#REF!</v>
      </c>
      <c r="S34" s="6" t="e">
        <f t="shared" si="1"/>
        <v>#REF!</v>
      </c>
      <c r="T34" s="6">
        <v>2900</v>
      </c>
      <c r="U34" s="6" t="e">
        <f t="shared" si="2"/>
        <v>#REF!</v>
      </c>
      <c r="V34" s="86">
        <v>220</v>
      </c>
      <c r="W34" s="57"/>
      <c r="X34" s="46"/>
      <c r="Y34" s="61"/>
      <c r="Z34" s="47"/>
      <c r="AA34" s="61"/>
      <c r="AB34" s="67"/>
      <c r="AC34" s="61"/>
      <c r="AD34" s="66"/>
      <c r="AE34" s="61"/>
      <c r="AF34" s="52">
        <f t="shared" si="3"/>
        <v>0</v>
      </c>
      <c r="AG34" s="46" t="e">
        <f t="shared" si="4"/>
        <v>#REF!</v>
      </c>
      <c r="AH34" s="51" t="e">
        <f t="shared" si="5"/>
        <v>#REF!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/>
      <c r="D35" s="6" t="e">
        <f>#REF!+#REF!+#REF!+#REF!+#REF!+#REF!+#REF!+#REF!+#REF!+#REF!+#REF!+#REF!+#REF!+#REF!+#REF!+#REF!+#REF!+#REF!+#REF!+#REF!+#REF!+#REF!+#REF!+#REF!+#REF!+#REF!+#REF!+#REF!+#REF!+#REF!</f>
        <v>#REF!</v>
      </c>
      <c r="E35" s="6" t="e">
        <f>#REF!+#REF!+#REF!+#REF!+#REF!+#REF!+#REF!+#REF!+#REF!+#REF!+#REF!+#REF!+#REF!+#REF!+#REF!+#REF!+#REF!+#REF!+#REF!+#REF!+#REF!+#REF!+#REF!+#REF!+#REF!+#REF!+#REF!+#REF!+#REF!+#REF!</f>
        <v>#REF!</v>
      </c>
      <c r="F35" s="6" t="e">
        <f>#REF!+#REF!+#REF!+#REF!+#REF!+#REF!+#REF!+#REF!+#REF!+#REF!+#REF!+#REF!+#REF!+#REF!+#REF!+#REF!+#REF!+#REF!+#REF!+#REF!+#REF!+#REF!+#REF!+#REF!+#REF!+#REF!+#REF!+#REF!+#REF!+#REF!</f>
        <v>#REF!</v>
      </c>
      <c r="G35" s="6" t="e">
        <f>#REF!+#REF!+#REF!+#REF!+#REF!+#REF!+#REF!+#REF!+#REF!+#REF!+#REF!+#REF!+#REF!+#REF!+#REF!+#REF!+#REF!+#REF!+#REF!+#REF!+#REF!+#REF!+#REF!+#REF!+#REF!+#REF!+#REF!+#REF!+#REF!+#REF!</f>
        <v>#REF!</v>
      </c>
      <c r="H35" s="6" t="e">
        <f>#REF!+#REF!+#REF!+#REF!+#REF!+#REF!+#REF!+#REF!+#REF!+#REF!+#REF!+#REF!+#REF!+#REF!+#REF!+#REF!+#REF!+#REF!+#REF!+#REF!+#REF!+#REF!+#REF!+#REF!+#REF!+#REF!+#REF!+#REF!+#REF!+#REF!</f>
        <v>#REF!</v>
      </c>
      <c r="I35" s="6" t="e">
        <f>#REF!+#REF!+#REF!+#REF!+#REF!+#REF!+#REF!+#REF!+#REF!+#REF!+#REF!+#REF!+#REF!+#REF!+#REF!+#REF!+#REF!+#REF!+#REF!+#REF!+#REF!+#REF!+#REF!+#REF!+#REF!+#REF!+#REF!+#REF!+#REF!+#REF!</f>
        <v>#REF!</v>
      </c>
      <c r="J35" s="6" t="e">
        <f>#REF!+#REF!+#REF!+#REF!+#REF!+#REF!+#REF!+#REF!+#REF!+#REF!+#REF!+#REF!+#REF!+#REF!+#REF!+#REF!+#REF!+#REF!+#REF!+#REF!+#REF!+#REF!+#REF!+#REF!+#REF!+#REF!+#REF!+#REF!+#REF!+#REF!</f>
        <v>#REF!</v>
      </c>
      <c r="K35" s="6" t="e">
        <f>#REF!+#REF!+#REF!+#REF!+#REF!+#REF!+#REF!+#REF!+#REF!+#REF!+#REF!+#REF!+#REF!+#REF!+#REF!+#REF!+#REF!+#REF!+#REF!+#REF!+#REF!+#REF!+#REF!+#REF!+#REF!+#REF!+#REF!+#REF!+#REF!+#REF!</f>
        <v>#REF!</v>
      </c>
      <c r="L35" s="6" t="e">
        <f>#REF!+#REF!+#REF!+#REF!+#REF!+#REF!+#REF!+#REF!+#REF!+#REF!+#REF!+#REF!+#REF!+#REF!+#REF!+#REF!+#REF!+#REF!+#REF!+#REF!+#REF!+#REF!+#REF!+#REF!+#REF!+#REF!+#REF!+#REF!+#REF!+#REF!</f>
        <v>#REF!</v>
      </c>
      <c r="M35" s="6" t="e">
        <f>#REF!+#REF!+#REF!+#REF!+#REF!+#REF!+#REF!+#REF!+#REF!+#REF!+#REF!+#REF!+#REF!+#REF!+#REF!+#REF!+#REF!+#REF!+#REF!+#REF!+#REF!+#REF!+#REF!+#REF!+#REF!+#REF!+#REF!+#REF!+#REF!+#REF!</f>
        <v>#REF!</v>
      </c>
      <c r="N35" s="6" t="e">
        <f>#REF!+#REF!+#REF!+#REF!+#REF!+#REF!+#REF!+#REF!+#REF!+#REF!+#REF!+#REF!+#REF!+#REF!+#REF!+#REF!+#REF!+#REF!+#REF!+#REF!+#REF!+#REF!+#REF!+#REF!+#REF!+#REF!+#REF!+#REF!+#REF!+#REF!</f>
        <v>#REF!</v>
      </c>
      <c r="O35" s="6" t="e">
        <f>#REF!+#REF!+#REF!+#REF!+#REF!+#REF!+#REF!+#REF!+#REF!+#REF!+#REF!+#REF!+#REF!+#REF!+#REF!+#REF!+#REF!+#REF!+#REF!+#REF!+#REF!+#REF!+#REF!+#REF!+#REF!+#REF!+#REF!+#REF!+#REF!+#REF!</f>
        <v>#REF!</v>
      </c>
      <c r="P35" s="6" t="e">
        <f>#REF!+#REF!+#REF!+#REF!+#REF!+#REF!+#REF!+#REF!+#REF!+#REF!+#REF!+#REF!+#REF!+#REF!+#REF!+#REF!+#REF!+#REF!+#REF!+#REF!+#REF!+#REF!+#REF!+#REF!+#REF!+#REF!+#REF!+#REF!+#REF!+#REF!</f>
        <v>#REF!</v>
      </c>
      <c r="Q35" s="7" t="e">
        <f t="shared" si="0"/>
        <v>#REF!</v>
      </c>
      <c r="R35" s="6" t="e">
        <f>#REF!+#REF!+#REF!+#REF!+#REF!+#REF!+#REF!+#REF!+#REF!+#REF!+#REF!+#REF!+#REF!+#REF!+#REF!+#REF!+#REF!+#REF!+#REF!+#REF!+#REF!+#REF!+#REF!+#REF!+#REF!+#REF!+#REF!+#REF!+#REF!+#REF!</f>
        <v>#REF!</v>
      </c>
      <c r="S35" s="6" t="e">
        <f t="shared" si="1"/>
        <v>#REF!</v>
      </c>
      <c r="T35" s="6">
        <v>-800</v>
      </c>
      <c r="U35" s="6" t="e">
        <f t="shared" si="2"/>
        <v>#REF!</v>
      </c>
      <c r="V35" s="58">
        <v>100</v>
      </c>
      <c r="W35" s="57"/>
      <c r="X35" s="46"/>
      <c r="Y35" s="61"/>
      <c r="Z35" s="66"/>
      <c r="AA35" s="61"/>
      <c r="AB35" s="67"/>
      <c r="AC35" s="61"/>
      <c r="AD35" s="66"/>
      <c r="AE35" s="61"/>
      <c r="AF35" s="52">
        <f t="shared" si="3"/>
        <v>0</v>
      </c>
      <c r="AG35" s="46" t="e">
        <f t="shared" si="4"/>
        <v>#REF!</v>
      </c>
      <c r="AH35" s="51" t="e">
        <f t="shared" si="5"/>
        <v>#REF!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/>
      <c r="D36" s="6" t="e">
        <f>#REF!+#REF!+#REF!+#REF!+#REF!+#REF!+#REF!+#REF!+#REF!+#REF!+#REF!+#REF!+#REF!+#REF!+#REF!+#REF!+#REF!+#REF!+#REF!+#REF!+#REF!+#REF!+#REF!+#REF!+#REF!+#REF!+#REF!+#REF!+#REF!+#REF!</f>
        <v>#REF!</v>
      </c>
      <c r="E36" s="6" t="e">
        <f>#REF!+#REF!+#REF!+#REF!+#REF!+#REF!+#REF!+#REF!+#REF!+#REF!+#REF!+#REF!+#REF!+#REF!+#REF!+#REF!+#REF!+#REF!+#REF!+#REF!+#REF!+#REF!+#REF!+#REF!+#REF!+#REF!+#REF!+#REF!+#REF!+#REF!</f>
        <v>#REF!</v>
      </c>
      <c r="F36" s="6" t="e">
        <f>#REF!+#REF!+#REF!+#REF!+#REF!+#REF!+#REF!+#REF!+#REF!+#REF!+#REF!+#REF!+#REF!+#REF!+#REF!+#REF!+#REF!+#REF!+#REF!+#REF!+#REF!+#REF!+#REF!+#REF!+#REF!+#REF!+#REF!+#REF!+#REF!+#REF!</f>
        <v>#REF!</v>
      </c>
      <c r="G36" s="6" t="e">
        <f>#REF!+#REF!+#REF!+#REF!+#REF!+#REF!+#REF!+#REF!+#REF!+#REF!+#REF!+#REF!+#REF!+#REF!+#REF!+#REF!+#REF!+#REF!+#REF!+#REF!+#REF!+#REF!+#REF!+#REF!+#REF!+#REF!+#REF!+#REF!+#REF!+#REF!</f>
        <v>#REF!</v>
      </c>
      <c r="H36" s="6" t="e">
        <f>#REF!+#REF!+#REF!+#REF!+#REF!+#REF!+#REF!+#REF!+#REF!+#REF!+#REF!+#REF!+#REF!+#REF!+#REF!+#REF!+#REF!+#REF!+#REF!+#REF!+#REF!+#REF!+#REF!+#REF!+#REF!+#REF!+#REF!+#REF!+#REF!+#REF!</f>
        <v>#REF!</v>
      </c>
      <c r="I36" s="6" t="e">
        <f>#REF!+#REF!+#REF!+#REF!+#REF!+#REF!+#REF!+#REF!+#REF!+#REF!+#REF!+#REF!+#REF!+#REF!+#REF!+#REF!+#REF!+#REF!+#REF!+#REF!+#REF!+#REF!+#REF!+#REF!+#REF!+#REF!+#REF!+#REF!+#REF!+#REF!</f>
        <v>#REF!</v>
      </c>
      <c r="J36" s="6" t="e">
        <f>#REF!+#REF!+#REF!+#REF!+#REF!+#REF!+#REF!+#REF!+#REF!+#REF!+#REF!+#REF!+#REF!+#REF!+#REF!+#REF!+#REF!+#REF!+#REF!+#REF!+#REF!+#REF!+#REF!+#REF!+#REF!+#REF!+#REF!+#REF!+#REF!+#REF!</f>
        <v>#REF!</v>
      </c>
      <c r="K36" s="6" t="e">
        <f>#REF!+#REF!+#REF!+#REF!+#REF!+#REF!+#REF!+#REF!+#REF!+#REF!+#REF!+#REF!+#REF!+#REF!+#REF!+#REF!+#REF!+#REF!+#REF!+#REF!+#REF!+#REF!+#REF!+#REF!+#REF!+#REF!+#REF!+#REF!+#REF!+#REF!</f>
        <v>#REF!</v>
      </c>
      <c r="L36" s="6" t="e">
        <f>#REF!+#REF!+#REF!+#REF!+#REF!+#REF!+#REF!+#REF!+#REF!+#REF!+#REF!+#REF!+#REF!+#REF!+#REF!+#REF!+#REF!+#REF!+#REF!+#REF!+#REF!+#REF!+#REF!+#REF!+#REF!+#REF!+#REF!+#REF!+#REF!+#REF!</f>
        <v>#REF!</v>
      </c>
      <c r="M36" s="6" t="e">
        <f>#REF!+#REF!+#REF!+#REF!+#REF!+#REF!+#REF!+#REF!+#REF!+#REF!+#REF!+#REF!+#REF!+#REF!+#REF!+#REF!+#REF!+#REF!+#REF!+#REF!+#REF!+#REF!+#REF!+#REF!+#REF!+#REF!+#REF!+#REF!+#REF!+#REF!</f>
        <v>#REF!</v>
      </c>
      <c r="N36" s="6" t="e">
        <f>#REF!+#REF!+#REF!+#REF!+#REF!+#REF!+#REF!+#REF!+#REF!+#REF!+#REF!+#REF!+#REF!+#REF!+#REF!+#REF!+#REF!+#REF!+#REF!+#REF!+#REF!+#REF!+#REF!+#REF!+#REF!+#REF!+#REF!+#REF!+#REF!+#REF!</f>
        <v>#REF!</v>
      </c>
      <c r="O36" s="6" t="e">
        <f>#REF!+#REF!+#REF!+#REF!+#REF!+#REF!+#REF!+#REF!+#REF!+#REF!+#REF!+#REF!+#REF!+#REF!+#REF!+#REF!+#REF!+#REF!+#REF!+#REF!+#REF!+#REF!+#REF!+#REF!+#REF!+#REF!+#REF!+#REF!+#REF!+#REF!</f>
        <v>#REF!</v>
      </c>
      <c r="P36" s="6" t="e">
        <f>#REF!+#REF!+#REF!+#REF!+#REF!+#REF!+#REF!+#REF!+#REF!+#REF!+#REF!+#REF!+#REF!+#REF!+#REF!+#REF!+#REF!+#REF!+#REF!+#REF!+#REF!+#REF!+#REF!+#REF!+#REF!+#REF!+#REF!+#REF!+#REF!+#REF!</f>
        <v>#REF!</v>
      </c>
      <c r="Q36" s="7" t="e">
        <f t="shared" si="0"/>
        <v>#REF!</v>
      </c>
      <c r="R36" s="6" t="e">
        <f>#REF!+#REF!+#REF!+#REF!+#REF!+#REF!+#REF!+#REF!+#REF!+#REF!+#REF!+#REF!+#REF!+#REF!+#REF!+#REF!+#REF!+#REF!+#REF!+#REF!+#REF!+#REF!+#REF!+#REF!+#REF!+#REF!+#REF!+#REF!+#REF!+#REF!</f>
        <v>#REF!</v>
      </c>
      <c r="S36" s="6" t="e">
        <f t="shared" si="1"/>
        <v>#REF!</v>
      </c>
      <c r="T36" s="6">
        <v>-560</v>
      </c>
      <c r="U36" s="6" t="e">
        <f t="shared" si="2"/>
        <v>#REF!</v>
      </c>
      <c r="V36" s="86">
        <v>50</v>
      </c>
      <c r="W36" s="57"/>
      <c r="X36" s="46"/>
      <c r="Y36" s="61"/>
      <c r="Z36" s="66"/>
      <c r="AA36" s="61"/>
      <c r="AB36" s="64"/>
      <c r="AC36" s="61"/>
      <c r="AD36" s="66"/>
      <c r="AE36" s="61"/>
      <c r="AF36" s="52">
        <f t="shared" si="3"/>
        <v>0</v>
      </c>
      <c r="AG36" s="46" t="e">
        <f t="shared" si="4"/>
        <v>#REF!</v>
      </c>
      <c r="AH36" s="51" t="e">
        <f t="shared" si="5"/>
        <v>#REF!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/>
      <c r="D37" s="6" t="e">
        <f>#REF!+#REF!+#REF!+#REF!+#REF!+#REF!+#REF!+#REF!+#REF!+#REF!+#REF!+#REF!+#REF!+#REF!+#REF!+#REF!+#REF!+#REF!+#REF!+#REF!+#REF!+#REF!+#REF!+#REF!+#REF!+#REF!+#REF!+#REF!+#REF!+#REF!</f>
        <v>#REF!</v>
      </c>
      <c r="E37" s="6" t="e">
        <f>#REF!+#REF!+#REF!+#REF!+#REF!+#REF!+#REF!+#REF!+#REF!+#REF!+#REF!+#REF!+#REF!+#REF!+#REF!+#REF!+#REF!+#REF!+#REF!+#REF!+#REF!+#REF!+#REF!+#REF!+#REF!+#REF!+#REF!+#REF!+#REF!+#REF!</f>
        <v>#REF!</v>
      </c>
      <c r="F37" s="6" t="e">
        <f>#REF!+#REF!+#REF!+#REF!+#REF!+#REF!+#REF!+#REF!+#REF!+#REF!+#REF!+#REF!+#REF!+#REF!+#REF!+#REF!+#REF!+#REF!+#REF!+#REF!+#REF!+#REF!+#REF!+#REF!+#REF!+#REF!+#REF!+#REF!+#REF!+#REF!</f>
        <v>#REF!</v>
      </c>
      <c r="G37" s="6" t="e">
        <f>#REF!+#REF!+#REF!+#REF!+#REF!+#REF!+#REF!+#REF!+#REF!+#REF!+#REF!+#REF!+#REF!+#REF!+#REF!+#REF!+#REF!+#REF!+#REF!+#REF!+#REF!+#REF!+#REF!+#REF!+#REF!+#REF!+#REF!+#REF!+#REF!+#REF!</f>
        <v>#REF!</v>
      </c>
      <c r="H37" s="6" t="e">
        <f>#REF!+#REF!+#REF!+#REF!+#REF!+#REF!+#REF!+#REF!+#REF!+#REF!+#REF!+#REF!+#REF!+#REF!+#REF!+#REF!+#REF!+#REF!+#REF!+#REF!+#REF!+#REF!+#REF!+#REF!+#REF!+#REF!+#REF!+#REF!+#REF!+#REF!</f>
        <v>#REF!</v>
      </c>
      <c r="I37" s="6" t="e">
        <f>#REF!+#REF!+#REF!+#REF!+#REF!+#REF!+#REF!+#REF!+#REF!+#REF!+#REF!+#REF!+#REF!+#REF!+#REF!+#REF!+#REF!+#REF!+#REF!+#REF!+#REF!+#REF!+#REF!+#REF!+#REF!+#REF!+#REF!+#REF!+#REF!+#REF!</f>
        <v>#REF!</v>
      </c>
      <c r="J37" s="6" t="e">
        <f>#REF!+#REF!+#REF!+#REF!+#REF!+#REF!+#REF!+#REF!+#REF!+#REF!+#REF!+#REF!+#REF!+#REF!+#REF!+#REF!+#REF!+#REF!+#REF!+#REF!+#REF!+#REF!+#REF!+#REF!+#REF!+#REF!+#REF!+#REF!+#REF!+#REF!</f>
        <v>#REF!</v>
      </c>
      <c r="K37" s="6" t="e">
        <f>#REF!+#REF!+#REF!+#REF!+#REF!+#REF!+#REF!+#REF!+#REF!+#REF!+#REF!+#REF!+#REF!+#REF!+#REF!+#REF!+#REF!+#REF!+#REF!+#REF!+#REF!+#REF!+#REF!+#REF!+#REF!+#REF!+#REF!+#REF!+#REF!+#REF!</f>
        <v>#REF!</v>
      </c>
      <c r="L37" s="6" t="e">
        <f>#REF!+#REF!+#REF!+#REF!+#REF!+#REF!+#REF!+#REF!+#REF!+#REF!+#REF!+#REF!+#REF!+#REF!+#REF!+#REF!+#REF!+#REF!+#REF!+#REF!+#REF!+#REF!+#REF!+#REF!+#REF!+#REF!+#REF!+#REF!+#REF!+#REF!</f>
        <v>#REF!</v>
      </c>
      <c r="M37" s="6" t="e">
        <f>#REF!+#REF!+#REF!+#REF!+#REF!+#REF!+#REF!+#REF!+#REF!+#REF!+#REF!+#REF!+#REF!+#REF!+#REF!+#REF!+#REF!+#REF!+#REF!+#REF!+#REF!+#REF!+#REF!+#REF!+#REF!+#REF!+#REF!+#REF!+#REF!+#REF!</f>
        <v>#REF!</v>
      </c>
      <c r="N37" s="6" t="e">
        <f>#REF!+#REF!+#REF!+#REF!+#REF!+#REF!+#REF!+#REF!+#REF!+#REF!+#REF!+#REF!+#REF!+#REF!+#REF!+#REF!+#REF!+#REF!+#REF!+#REF!+#REF!+#REF!+#REF!+#REF!+#REF!+#REF!+#REF!+#REF!+#REF!+#REF!</f>
        <v>#REF!</v>
      </c>
      <c r="O37" s="6" t="e">
        <f>#REF!+#REF!+#REF!+#REF!+#REF!+#REF!+#REF!+#REF!+#REF!+#REF!+#REF!+#REF!+#REF!+#REF!+#REF!+#REF!+#REF!+#REF!+#REF!+#REF!+#REF!+#REF!+#REF!+#REF!+#REF!+#REF!+#REF!+#REF!+#REF!+#REF!</f>
        <v>#REF!</v>
      </c>
      <c r="P37" s="6" t="e">
        <f>#REF!+#REF!+#REF!+#REF!+#REF!+#REF!+#REF!+#REF!+#REF!+#REF!+#REF!+#REF!+#REF!+#REF!+#REF!+#REF!+#REF!+#REF!+#REF!+#REF!+#REF!+#REF!+#REF!+#REF!+#REF!+#REF!+#REF!+#REF!+#REF!+#REF!</f>
        <v>#REF!</v>
      </c>
      <c r="Q37" s="7" t="e">
        <f t="shared" si="0"/>
        <v>#REF!</v>
      </c>
      <c r="R37" s="6" t="e">
        <f>#REF!+#REF!+#REF!+#REF!+#REF!+#REF!+#REF!+#REF!+#REF!+#REF!+#REF!+#REF!+#REF!+#REF!+#REF!+#REF!+#REF!+#REF!+#REF!+#REF!+#REF!+#REF!+#REF!+#REF!+#REF!+#REF!+#REF!+#REF!+#REF!+#REF!</f>
        <v>#REF!</v>
      </c>
      <c r="S37" s="6" t="e">
        <f t="shared" si="1"/>
        <v>#REF!</v>
      </c>
      <c r="T37" s="6">
        <v>-10</v>
      </c>
      <c r="U37" s="6" t="e">
        <f t="shared" si="2"/>
        <v>#REF!</v>
      </c>
      <c r="V37" s="86"/>
      <c r="W37" s="57"/>
      <c r="X37" s="46"/>
      <c r="Y37" s="61"/>
      <c r="Z37" s="66"/>
      <c r="AA37" s="61"/>
      <c r="AB37" s="67"/>
      <c r="AC37" s="61"/>
      <c r="AD37" s="66"/>
      <c r="AE37" s="61"/>
      <c r="AF37" s="52">
        <f t="shared" si="3"/>
        <v>0</v>
      </c>
      <c r="AG37" s="46" t="e">
        <f t="shared" si="4"/>
        <v>#REF!</v>
      </c>
      <c r="AH37" s="51" t="e">
        <f t="shared" si="5"/>
        <v>#REF!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/>
      <c r="D38" s="6" t="e">
        <f>#REF!+#REF!+#REF!+#REF!+#REF!+#REF!+#REF!+#REF!+#REF!+#REF!+#REF!+#REF!+#REF!+#REF!+#REF!+#REF!+#REF!+#REF!+#REF!+#REF!+#REF!+#REF!+#REF!+#REF!+#REF!+#REF!+#REF!+#REF!+#REF!+#REF!</f>
        <v>#REF!</v>
      </c>
      <c r="E38" s="6" t="e">
        <f>#REF!+#REF!+#REF!+#REF!+#REF!+#REF!+#REF!+#REF!+#REF!+#REF!+#REF!+#REF!+#REF!+#REF!+#REF!+#REF!+#REF!+#REF!+#REF!+#REF!+#REF!+#REF!+#REF!+#REF!+#REF!+#REF!+#REF!+#REF!+#REF!+#REF!</f>
        <v>#REF!</v>
      </c>
      <c r="F38" s="6" t="e">
        <f>#REF!+#REF!+#REF!+#REF!+#REF!+#REF!+#REF!+#REF!+#REF!+#REF!+#REF!+#REF!+#REF!+#REF!+#REF!+#REF!+#REF!+#REF!+#REF!+#REF!+#REF!+#REF!+#REF!+#REF!+#REF!+#REF!+#REF!+#REF!+#REF!+#REF!</f>
        <v>#REF!</v>
      </c>
      <c r="G38" s="6" t="e">
        <f>#REF!+#REF!+#REF!+#REF!+#REF!+#REF!+#REF!+#REF!+#REF!+#REF!+#REF!+#REF!+#REF!+#REF!+#REF!+#REF!+#REF!+#REF!+#REF!+#REF!+#REF!+#REF!+#REF!+#REF!+#REF!+#REF!+#REF!+#REF!+#REF!+#REF!</f>
        <v>#REF!</v>
      </c>
      <c r="H38" s="6" t="e">
        <f>#REF!+#REF!+#REF!+#REF!+#REF!+#REF!+#REF!+#REF!+#REF!+#REF!+#REF!+#REF!+#REF!+#REF!+#REF!+#REF!+#REF!+#REF!+#REF!+#REF!+#REF!+#REF!+#REF!+#REF!+#REF!+#REF!+#REF!+#REF!+#REF!+#REF!</f>
        <v>#REF!</v>
      </c>
      <c r="I38" s="6" t="e">
        <f>#REF!+#REF!+#REF!+#REF!+#REF!+#REF!+#REF!+#REF!+#REF!+#REF!+#REF!+#REF!+#REF!+#REF!+#REF!+#REF!+#REF!+#REF!+#REF!+#REF!+#REF!+#REF!+#REF!+#REF!+#REF!+#REF!+#REF!+#REF!+#REF!+#REF!</f>
        <v>#REF!</v>
      </c>
      <c r="J38" s="6" t="e">
        <f>#REF!+#REF!+#REF!+#REF!+#REF!+#REF!+#REF!+#REF!+#REF!+#REF!+#REF!+#REF!+#REF!+#REF!+#REF!+#REF!+#REF!+#REF!+#REF!+#REF!+#REF!+#REF!+#REF!+#REF!+#REF!+#REF!+#REF!+#REF!+#REF!+#REF!</f>
        <v>#REF!</v>
      </c>
      <c r="K38" s="6" t="e">
        <f>#REF!+#REF!+#REF!+#REF!+#REF!+#REF!+#REF!+#REF!+#REF!+#REF!+#REF!+#REF!+#REF!+#REF!+#REF!+#REF!+#REF!+#REF!+#REF!+#REF!+#REF!+#REF!+#REF!+#REF!+#REF!+#REF!+#REF!+#REF!+#REF!+#REF!</f>
        <v>#REF!</v>
      </c>
      <c r="L38" s="6" t="e">
        <f>#REF!+#REF!+#REF!+#REF!+#REF!+#REF!+#REF!+#REF!+#REF!+#REF!+#REF!+#REF!+#REF!+#REF!+#REF!+#REF!+#REF!+#REF!+#REF!+#REF!+#REF!+#REF!+#REF!+#REF!+#REF!+#REF!+#REF!+#REF!+#REF!+#REF!</f>
        <v>#REF!</v>
      </c>
      <c r="M38" s="6" t="e">
        <f>#REF!+#REF!+#REF!+#REF!+#REF!+#REF!+#REF!+#REF!+#REF!+#REF!+#REF!+#REF!+#REF!+#REF!+#REF!+#REF!+#REF!+#REF!+#REF!+#REF!+#REF!+#REF!+#REF!+#REF!+#REF!+#REF!+#REF!+#REF!+#REF!+#REF!</f>
        <v>#REF!</v>
      </c>
      <c r="N38" s="6" t="e">
        <f>#REF!+#REF!+#REF!+#REF!+#REF!+#REF!+#REF!+#REF!+#REF!+#REF!+#REF!+#REF!+#REF!+#REF!+#REF!+#REF!+#REF!+#REF!+#REF!+#REF!+#REF!+#REF!+#REF!+#REF!+#REF!+#REF!+#REF!+#REF!+#REF!+#REF!</f>
        <v>#REF!</v>
      </c>
      <c r="O38" s="6" t="e">
        <f>#REF!+#REF!+#REF!+#REF!+#REF!+#REF!+#REF!+#REF!+#REF!+#REF!+#REF!+#REF!+#REF!+#REF!+#REF!+#REF!+#REF!+#REF!+#REF!+#REF!+#REF!+#REF!+#REF!+#REF!+#REF!+#REF!+#REF!+#REF!+#REF!+#REF!</f>
        <v>#REF!</v>
      </c>
      <c r="P38" s="6" t="e">
        <f>#REF!+#REF!+#REF!+#REF!+#REF!+#REF!+#REF!+#REF!+#REF!+#REF!+#REF!+#REF!+#REF!+#REF!+#REF!+#REF!+#REF!+#REF!+#REF!+#REF!+#REF!+#REF!+#REF!+#REF!+#REF!+#REF!+#REF!+#REF!+#REF!+#REF!</f>
        <v>#REF!</v>
      </c>
      <c r="Q38" s="7" t="e">
        <f>SUM(E38:P38)</f>
        <v>#REF!</v>
      </c>
      <c r="R38" s="6" t="e">
        <f>#REF!+#REF!+#REF!+#REF!+#REF!+#REF!+#REF!+#REF!+#REF!+#REF!+#REF!+#REF!+#REF!+#REF!+#REF!+#REF!+#REF!+#REF!+#REF!+#REF!+#REF!+#REF!+#REF!+#REF!+#REF!+#REF!+#REF!+#REF!+#REF!+#REF!</f>
        <v>#REF!</v>
      </c>
      <c r="S38" s="6" t="e">
        <f t="shared" si="1"/>
        <v>#REF!</v>
      </c>
      <c r="T38" s="6">
        <v>6180</v>
      </c>
      <c r="U38" s="6" t="e">
        <f t="shared" si="2"/>
        <v>#REF!</v>
      </c>
      <c r="V38" s="70"/>
      <c r="W38" s="57"/>
      <c r="X38" s="46"/>
      <c r="Y38" s="61"/>
      <c r="Z38" s="66"/>
      <c r="AA38" s="61"/>
      <c r="AB38" s="64"/>
      <c r="AC38" s="61"/>
      <c r="AD38" s="66"/>
      <c r="AE38" s="61"/>
      <c r="AF38" s="52">
        <f t="shared" si="3"/>
        <v>0</v>
      </c>
      <c r="AG38" s="46" t="e">
        <f t="shared" si="4"/>
        <v>#REF!</v>
      </c>
      <c r="AH38" s="51" t="e">
        <f t="shared" si="5"/>
        <v>#REF!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/>
      <c r="D39" s="6" t="e">
        <f>#REF!+#REF!+#REF!+#REF!+#REF!+#REF!+#REF!+#REF!+#REF!+#REF!+#REF!+#REF!+#REF!+#REF!+#REF!+#REF!+#REF!+#REF!+#REF!+#REF!+#REF!+#REF!+#REF!+#REF!+#REF!+#REF!+#REF!+#REF!+#REF!+#REF!</f>
        <v>#REF!</v>
      </c>
      <c r="E39" s="6" t="e">
        <f>#REF!+#REF!+#REF!+#REF!+#REF!+#REF!+#REF!+#REF!+#REF!+#REF!+#REF!+#REF!+#REF!+#REF!+#REF!+#REF!+#REF!+#REF!+#REF!+#REF!+#REF!+#REF!+#REF!+#REF!+#REF!+#REF!+#REF!+#REF!+#REF!+#REF!</f>
        <v>#REF!</v>
      </c>
      <c r="F39" s="6" t="e">
        <f>#REF!+#REF!+#REF!+#REF!+#REF!+#REF!+#REF!+#REF!+#REF!+#REF!+#REF!+#REF!+#REF!+#REF!+#REF!+#REF!+#REF!+#REF!+#REF!+#REF!+#REF!+#REF!+#REF!+#REF!+#REF!+#REF!+#REF!+#REF!+#REF!+#REF!</f>
        <v>#REF!</v>
      </c>
      <c r="G39" s="6" t="e">
        <f>#REF!+#REF!+#REF!+#REF!+#REF!+#REF!+#REF!+#REF!+#REF!+#REF!+#REF!+#REF!+#REF!+#REF!+#REF!+#REF!+#REF!+#REF!+#REF!+#REF!+#REF!+#REF!+#REF!+#REF!+#REF!+#REF!+#REF!+#REF!+#REF!+#REF!</f>
        <v>#REF!</v>
      </c>
      <c r="H39" s="6" t="e">
        <f>#REF!+#REF!+#REF!+#REF!+#REF!+#REF!+#REF!+#REF!+#REF!+#REF!+#REF!+#REF!+#REF!+#REF!+#REF!+#REF!+#REF!+#REF!+#REF!+#REF!+#REF!+#REF!+#REF!+#REF!+#REF!+#REF!+#REF!+#REF!+#REF!+#REF!</f>
        <v>#REF!</v>
      </c>
      <c r="I39" s="6" t="e">
        <f>#REF!+#REF!+#REF!+#REF!+#REF!+#REF!+#REF!+#REF!+#REF!+#REF!+#REF!+#REF!+#REF!+#REF!+#REF!+#REF!+#REF!+#REF!+#REF!+#REF!+#REF!+#REF!+#REF!+#REF!+#REF!+#REF!+#REF!+#REF!+#REF!+#REF!</f>
        <v>#REF!</v>
      </c>
      <c r="J39" s="6" t="e">
        <f>#REF!+#REF!+#REF!+#REF!+#REF!+#REF!+#REF!+#REF!+#REF!+#REF!+#REF!+#REF!+#REF!+#REF!+#REF!+#REF!+#REF!+#REF!+#REF!+#REF!+#REF!+#REF!+#REF!+#REF!+#REF!+#REF!+#REF!+#REF!+#REF!+#REF!</f>
        <v>#REF!</v>
      </c>
      <c r="K39" s="6" t="e">
        <f>#REF!+#REF!+#REF!+#REF!+#REF!+#REF!+#REF!+#REF!+#REF!+#REF!+#REF!+#REF!+#REF!+#REF!+#REF!+#REF!+#REF!+#REF!+#REF!+#REF!+#REF!+#REF!+#REF!+#REF!+#REF!+#REF!+#REF!+#REF!+#REF!+#REF!</f>
        <v>#REF!</v>
      </c>
      <c r="L39" s="6" t="e">
        <f>#REF!+#REF!+#REF!+#REF!+#REF!+#REF!+#REF!+#REF!+#REF!+#REF!+#REF!+#REF!+#REF!+#REF!+#REF!+#REF!+#REF!+#REF!+#REF!+#REF!+#REF!+#REF!+#REF!+#REF!+#REF!+#REF!+#REF!+#REF!+#REF!+#REF!</f>
        <v>#REF!</v>
      </c>
      <c r="M39" s="6" t="e">
        <f>#REF!+#REF!+#REF!+#REF!+#REF!+#REF!+#REF!+#REF!+#REF!+#REF!+#REF!+#REF!+#REF!+#REF!+#REF!+#REF!+#REF!+#REF!+#REF!+#REF!+#REF!+#REF!+#REF!+#REF!+#REF!+#REF!+#REF!+#REF!+#REF!+#REF!</f>
        <v>#REF!</v>
      </c>
      <c r="N39" s="6" t="e">
        <f>#REF!+#REF!+#REF!+#REF!+#REF!+#REF!+#REF!+#REF!+#REF!+#REF!+#REF!+#REF!+#REF!+#REF!+#REF!+#REF!+#REF!+#REF!+#REF!+#REF!+#REF!+#REF!+#REF!+#REF!+#REF!+#REF!+#REF!+#REF!+#REF!+#REF!</f>
        <v>#REF!</v>
      </c>
      <c r="O39" s="6" t="e">
        <f>#REF!+#REF!+#REF!+#REF!+#REF!+#REF!+#REF!+#REF!+#REF!+#REF!+#REF!+#REF!+#REF!+#REF!+#REF!+#REF!+#REF!+#REF!+#REF!+#REF!+#REF!+#REF!+#REF!+#REF!+#REF!+#REF!+#REF!+#REF!+#REF!+#REF!</f>
        <v>#REF!</v>
      </c>
      <c r="P39" s="6" t="e">
        <f>#REF!+#REF!+#REF!+#REF!+#REF!+#REF!+#REF!+#REF!+#REF!+#REF!+#REF!+#REF!+#REF!+#REF!+#REF!+#REF!+#REF!+#REF!+#REF!+#REF!+#REF!+#REF!+#REF!+#REF!+#REF!+#REF!+#REF!+#REF!+#REF!+#REF!</f>
        <v>#REF!</v>
      </c>
      <c r="Q39" s="7" t="e">
        <f>SUM(E39:P39)</f>
        <v>#REF!</v>
      </c>
      <c r="R39" s="6" t="e">
        <f>#REF!+#REF!+#REF!+#REF!+#REF!+#REF!+#REF!+#REF!+#REF!+#REF!+#REF!+#REF!+#REF!+#REF!+#REF!+#REF!+#REF!+#REF!+#REF!+#REF!+#REF!+#REF!+#REF!+#REF!+#REF!+#REF!+#REF!+#REF!+#REF!+#REF!</f>
        <v>#REF!</v>
      </c>
      <c r="S39" s="6" t="e">
        <f t="shared" si="1"/>
        <v>#REF!</v>
      </c>
      <c r="T39" s="6">
        <v>-13180</v>
      </c>
      <c r="U39" s="6" t="e">
        <f t="shared" si="2"/>
        <v>#REF!</v>
      </c>
      <c r="V39" s="86">
        <v>40</v>
      </c>
      <c r="W39" s="57"/>
      <c r="X39" s="46"/>
      <c r="Y39" s="61"/>
      <c r="Z39" s="66"/>
      <c r="AA39" s="61"/>
      <c r="AB39" s="67"/>
      <c r="AC39" s="61"/>
      <c r="AD39" s="66"/>
      <c r="AE39" s="61"/>
      <c r="AF39" s="52">
        <f t="shared" si="3"/>
        <v>0</v>
      </c>
      <c r="AG39" s="46" t="e">
        <f t="shared" si="4"/>
        <v>#REF!</v>
      </c>
      <c r="AH39" s="51" t="e">
        <f t="shared" si="5"/>
        <v>#REF!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/>
      <c r="D40" s="6" t="e">
        <f>#REF!+#REF!+#REF!+#REF!+#REF!+#REF!+#REF!+#REF!+#REF!+#REF!+#REF!+#REF!+#REF!+#REF!+#REF!+#REF!+#REF!+#REF!+#REF!+#REF!+#REF!+#REF!+#REF!+#REF!+#REF!+#REF!+#REF!+#REF!+#REF!+#REF!</f>
        <v>#REF!</v>
      </c>
      <c r="E40" s="6" t="e">
        <f>#REF!+#REF!+#REF!+#REF!+#REF!+#REF!+#REF!+#REF!+#REF!+#REF!+#REF!+#REF!+#REF!+#REF!+#REF!+#REF!+#REF!+#REF!+#REF!+#REF!+#REF!+#REF!+#REF!+#REF!+#REF!+#REF!+#REF!+#REF!+#REF!+#REF!</f>
        <v>#REF!</v>
      </c>
      <c r="F40" s="6" t="e">
        <f>#REF!+#REF!+#REF!+#REF!+#REF!+#REF!+#REF!+#REF!+#REF!+#REF!+#REF!+#REF!+#REF!+#REF!+#REF!+#REF!+#REF!+#REF!+#REF!+#REF!+#REF!+#REF!+#REF!+#REF!+#REF!+#REF!+#REF!+#REF!+#REF!+#REF!</f>
        <v>#REF!</v>
      </c>
      <c r="G40" s="6" t="e">
        <f>#REF!+#REF!+#REF!+#REF!+#REF!+#REF!+#REF!+#REF!+#REF!+#REF!+#REF!+#REF!+#REF!+#REF!+#REF!+#REF!+#REF!+#REF!+#REF!+#REF!+#REF!+#REF!+#REF!+#REF!+#REF!+#REF!+#REF!+#REF!+#REF!+#REF!</f>
        <v>#REF!</v>
      </c>
      <c r="H40" s="6" t="e">
        <f>#REF!+#REF!+#REF!+#REF!+#REF!+#REF!+#REF!+#REF!+#REF!+#REF!+#REF!+#REF!+#REF!+#REF!+#REF!+#REF!+#REF!+#REF!+#REF!+#REF!+#REF!+#REF!+#REF!+#REF!+#REF!+#REF!+#REF!+#REF!+#REF!+#REF!</f>
        <v>#REF!</v>
      </c>
      <c r="I40" s="6" t="e">
        <f>#REF!+#REF!+#REF!+#REF!+#REF!+#REF!+#REF!+#REF!+#REF!+#REF!+#REF!+#REF!+#REF!+#REF!+#REF!+#REF!+#REF!+#REF!+#REF!+#REF!+#REF!+#REF!+#REF!+#REF!+#REF!+#REF!+#REF!+#REF!+#REF!+#REF!</f>
        <v>#REF!</v>
      </c>
      <c r="J40" s="6" t="e">
        <f>#REF!+#REF!+#REF!+#REF!+#REF!+#REF!+#REF!+#REF!+#REF!+#REF!+#REF!+#REF!+#REF!+#REF!+#REF!+#REF!+#REF!+#REF!+#REF!+#REF!+#REF!+#REF!+#REF!+#REF!+#REF!+#REF!+#REF!+#REF!+#REF!+#REF!</f>
        <v>#REF!</v>
      </c>
      <c r="K40" s="6" t="e">
        <f>#REF!+#REF!+#REF!+#REF!+#REF!+#REF!+#REF!+#REF!+#REF!+#REF!+#REF!+#REF!+#REF!+#REF!+#REF!+#REF!+#REF!+#REF!+#REF!+#REF!+#REF!+#REF!+#REF!+#REF!+#REF!+#REF!+#REF!+#REF!+#REF!+#REF!</f>
        <v>#REF!</v>
      </c>
      <c r="L40" s="6" t="e">
        <f>#REF!+#REF!+#REF!+#REF!+#REF!+#REF!+#REF!+#REF!+#REF!+#REF!+#REF!+#REF!+#REF!+#REF!+#REF!+#REF!+#REF!+#REF!+#REF!+#REF!+#REF!+#REF!+#REF!+#REF!+#REF!+#REF!+#REF!+#REF!+#REF!+#REF!</f>
        <v>#REF!</v>
      </c>
      <c r="M40" s="6" t="e">
        <f>#REF!+#REF!+#REF!+#REF!+#REF!+#REF!+#REF!+#REF!+#REF!+#REF!+#REF!+#REF!+#REF!+#REF!+#REF!+#REF!+#REF!+#REF!+#REF!+#REF!+#REF!+#REF!+#REF!+#REF!+#REF!+#REF!+#REF!+#REF!+#REF!+#REF!</f>
        <v>#REF!</v>
      </c>
      <c r="N40" s="6" t="e">
        <f>#REF!+#REF!+#REF!+#REF!+#REF!+#REF!+#REF!+#REF!+#REF!+#REF!+#REF!+#REF!+#REF!+#REF!+#REF!+#REF!+#REF!+#REF!+#REF!+#REF!+#REF!+#REF!+#REF!+#REF!+#REF!+#REF!+#REF!+#REF!+#REF!+#REF!</f>
        <v>#REF!</v>
      </c>
      <c r="O40" s="6" t="e">
        <f>#REF!+#REF!+#REF!+#REF!+#REF!+#REF!+#REF!+#REF!+#REF!+#REF!+#REF!+#REF!+#REF!+#REF!+#REF!+#REF!+#REF!+#REF!+#REF!+#REF!+#REF!+#REF!+#REF!+#REF!+#REF!+#REF!+#REF!+#REF!+#REF!+#REF!</f>
        <v>#REF!</v>
      </c>
      <c r="P40" s="6" t="e">
        <f>#REF!+#REF!+#REF!+#REF!+#REF!+#REF!+#REF!+#REF!+#REF!+#REF!+#REF!+#REF!+#REF!+#REF!+#REF!+#REF!+#REF!+#REF!+#REF!+#REF!+#REF!+#REF!+#REF!+#REF!+#REF!+#REF!+#REF!+#REF!+#REF!+#REF!</f>
        <v>#REF!</v>
      </c>
      <c r="Q40" s="7" t="e">
        <f>SUM(E40:P40)</f>
        <v>#REF!</v>
      </c>
      <c r="R40" s="6" t="e">
        <f>#REF!+#REF!+#REF!+#REF!+#REF!+#REF!+#REF!+#REF!+#REF!+#REF!+#REF!+#REF!+#REF!+#REF!+#REF!+#REF!+#REF!+#REF!+#REF!+#REF!+#REF!+#REF!+#REF!+#REF!+#REF!+#REF!+#REF!+#REF!+#REF!+#REF!</f>
        <v>#REF!</v>
      </c>
      <c r="S40" s="6" t="e">
        <f t="shared" si="1"/>
        <v>#REF!</v>
      </c>
      <c r="T40" s="6">
        <v>-600</v>
      </c>
      <c r="U40" s="6" t="e">
        <f t="shared" si="2"/>
        <v>#REF!</v>
      </c>
      <c r="V40" s="86"/>
      <c r="W40" s="57"/>
      <c r="X40" s="46"/>
      <c r="Y40" s="61"/>
      <c r="Z40" s="66"/>
      <c r="AA40" s="61"/>
      <c r="AB40" s="67"/>
      <c r="AC40" s="61"/>
      <c r="AD40" s="66"/>
      <c r="AE40" s="61"/>
      <c r="AF40" s="52">
        <f t="shared" si="3"/>
        <v>0</v>
      </c>
      <c r="AG40" s="46" t="e">
        <f t="shared" si="4"/>
        <v>#REF!</v>
      </c>
      <c r="AH40" s="51" t="e">
        <f t="shared" si="5"/>
        <v>#REF!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/>
      <c r="D41" s="6" t="e">
        <f>#REF!+#REF!+#REF!+#REF!+#REF!+#REF!+#REF!+#REF!+#REF!+#REF!+#REF!+#REF!+#REF!+#REF!+#REF!+#REF!+#REF!+#REF!+#REF!+#REF!+#REF!+#REF!+#REF!+#REF!+#REF!+#REF!+#REF!+#REF!+#REF!+#REF!</f>
        <v>#REF!</v>
      </c>
      <c r="E41" s="6" t="e">
        <f>#REF!+#REF!+#REF!+#REF!+#REF!+#REF!+#REF!+#REF!+#REF!+#REF!+#REF!+#REF!+#REF!+#REF!+#REF!+#REF!+#REF!+#REF!+#REF!+#REF!+#REF!+#REF!+#REF!+#REF!+#REF!+#REF!+#REF!+#REF!+#REF!+#REF!</f>
        <v>#REF!</v>
      </c>
      <c r="F41" s="6" t="e">
        <f>#REF!+#REF!+#REF!+#REF!+#REF!+#REF!+#REF!+#REF!+#REF!+#REF!+#REF!+#REF!+#REF!+#REF!+#REF!+#REF!+#REF!+#REF!+#REF!+#REF!+#REF!+#REF!+#REF!+#REF!+#REF!+#REF!+#REF!+#REF!+#REF!+#REF!</f>
        <v>#REF!</v>
      </c>
      <c r="G41" s="6" t="e">
        <f>#REF!+#REF!+#REF!+#REF!+#REF!+#REF!+#REF!+#REF!+#REF!+#REF!+#REF!+#REF!+#REF!+#REF!+#REF!+#REF!+#REF!+#REF!+#REF!+#REF!+#REF!+#REF!+#REF!+#REF!+#REF!+#REF!+#REF!+#REF!+#REF!+#REF!</f>
        <v>#REF!</v>
      </c>
      <c r="H41" s="6" t="e">
        <f>#REF!+#REF!+#REF!+#REF!+#REF!+#REF!+#REF!+#REF!+#REF!+#REF!+#REF!+#REF!+#REF!+#REF!+#REF!+#REF!+#REF!+#REF!+#REF!+#REF!+#REF!+#REF!+#REF!+#REF!+#REF!+#REF!+#REF!+#REF!+#REF!+#REF!</f>
        <v>#REF!</v>
      </c>
      <c r="I41" s="6" t="e">
        <f>#REF!+#REF!+#REF!+#REF!+#REF!+#REF!+#REF!+#REF!+#REF!+#REF!+#REF!+#REF!+#REF!+#REF!+#REF!+#REF!+#REF!+#REF!+#REF!+#REF!+#REF!+#REF!+#REF!+#REF!+#REF!+#REF!+#REF!+#REF!+#REF!+#REF!</f>
        <v>#REF!</v>
      </c>
      <c r="J41" s="6" t="e">
        <f>#REF!+#REF!+#REF!+#REF!+#REF!+#REF!+#REF!+#REF!+#REF!+#REF!+#REF!+#REF!+#REF!+#REF!+#REF!+#REF!+#REF!+#REF!+#REF!+#REF!+#REF!+#REF!+#REF!+#REF!+#REF!+#REF!+#REF!+#REF!+#REF!+#REF!</f>
        <v>#REF!</v>
      </c>
      <c r="K41" s="6" t="e">
        <f>#REF!+#REF!+#REF!+#REF!+#REF!+#REF!+#REF!+#REF!+#REF!+#REF!+#REF!+#REF!+#REF!+#REF!+#REF!+#REF!+#REF!+#REF!+#REF!+#REF!+#REF!+#REF!+#REF!+#REF!+#REF!+#REF!+#REF!+#REF!+#REF!+#REF!</f>
        <v>#REF!</v>
      </c>
      <c r="L41" s="6" t="e">
        <f>#REF!+#REF!+#REF!+#REF!+#REF!+#REF!+#REF!+#REF!+#REF!+#REF!+#REF!+#REF!+#REF!+#REF!+#REF!+#REF!+#REF!+#REF!+#REF!+#REF!+#REF!+#REF!+#REF!+#REF!+#REF!+#REF!+#REF!+#REF!+#REF!+#REF!</f>
        <v>#REF!</v>
      </c>
      <c r="M41" s="6" t="e">
        <f>#REF!+#REF!+#REF!+#REF!+#REF!+#REF!+#REF!+#REF!+#REF!+#REF!+#REF!+#REF!+#REF!+#REF!+#REF!+#REF!+#REF!+#REF!+#REF!+#REF!+#REF!+#REF!+#REF!+#REF!+#REF!+#REF!+#REF!+#REF!+#REF!+#REF!</f>
        <v>#REF!</v>
      </c>
      <c r="N41" s="6" t="e">
        <f>#REF!+#REF!+#REF!+#REF!+#REF!+#REF!+#REF!+#REF!+#REF!+#REF!+#REF!+#REF!+#REF!+#REF!+#REF!+#REF!+#REF!+#REF!+#REF!+#REF!+#REF!+#REF!+#REF!+#REF!+#REF!+#REF!+#REF!+#REF!+#REF!+#REF!</f>
        <v>#REF!</v>
      </c>
      <c r="O41" s="6" t="e">
        <f>#REF!+#REF!+#REF!+#REF!+#REF!+#REF!+#REF!+#REF!+#REF!+#REF!+#REF!+#REF!+#REF!+#REF!+#REF!+#REF!+#REF!+#REF!+#REF!+#REF!+#REF!+#REF!+#REF!+#REF!+#REF!+#REF!+#REF!+#REF!+#REF!+#REF!</f>
        <v>#REF!</v>
      </c>
      <c r="P41" s="6" t="e">
        <f>#REF!+#REF!+#REF!+#REF!+#REF!+#REF!+#REF!+#REF!+#REF!+#REF!+#REF!+#REF!+#REF!+#REF!+#REF!+#REF!+#REF!+#REF!+#REF!+#REF!+#REF!+#REF!+#REF!+#REF!+#REF!+#REF!+#REF!+#REF!+#REF!+#REF!</f>
        <v>#REF!</v>
      </c>
      <c r="Q41" s="7" t="e">
        <f>SUM(E41:P41)</f>
        <v>#REF!</v>
      </c>
      <c r="R41" s="6" t="e">
        <f>#REF!+#REF!+#REF!+#REF!+#REF!+#REF!+#REF!+#REF!+#REF!+#REF!+#REF!+#REF!+#REF!+#REF!+#REF!+#REF!+#REF!+#REF!+#REF!+#REF!+#REF!+#REF!+#REF!+#REF!+#REF!+#REF!+#REF!+#REF!+#REF!+#REF!</f>
        <v>#REF!</v>
      </c>
      <c r="S41" s="6" t="e">
        <f t="shared" si="1"/>
        <v>#REF!</v>
      </c>
      <c r="T41" s="6">
        <v>0</v>
      </c>
      <c r="U41" s="6" t="e">
        <f t="shared" si="2"/>
        <v>#REF!</v>
      </c>
      <c r="V41" s="86"/>
      <c r="W41" s="57"/>
      <c r="X41" s="46"/>
      <c r="Y41" s="61"/>
      <c r="Z41" s="66"/>
      <c r="AA41" s="61"/>
      <c r="AB41" s="67"/>
      <c r="AC41" s="61"/>
      <c r="AD41" s="66"/>
      <c r="AE41" s="61"/>
      <c r="AF41" s="52">
        <f t="shared" si="3"/>
        <v>0</v>
      </c>
      <c r="AG41" s="46" t="e">
        <f t="shared" si="4"/>
        <v>#REF!</v>
      </c>
      <c r="AH41" s="51" t="e">
        <f t="shared" si="5"/>
        <v>#REF!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/>
      <c r="D42" s="6" t="e">
        <f>#REF!+#REF!+#REF!+#REF!+#REF!+#REF!+#REF!+#REF!+#REF!+#REF!+#REF!+#REF!+#REF!+#REF!+#REF!+#REF!+#REF!+#REF!+#REF!+#REF!+#REF!+#REF!+#REF!+#REF!+#REF!+#REF!+#REF!+#REF!+#REF!+#REF!</f>
        <v>#REF!</v>
      </c>
      <c r="E42" s="6" t="e">
        <f>#REF!+#REF!+#REF!+#REF!+#REF!+#REF!+#REF!+#REF!+#REF!+#REF!+#REF!+#REF!+#REF!+#REF!+#REF!+#REF!+#REF!+#REF!+#REF!+#REF!+#REF!+#REF!+#REF!+#REF!+#REF!+#REF!+#REF!+#REF!+#REF!+#REF!</f>
        <v>#REF!</v>
      </c>
      <c r="F42" s="6" t="e">
        <f>#REF!+#REF!+#REF!+#REF!+#REF!+#REF!+#REF!+#REF!+#REF!+#REF!+#REF!+#REF!+#REF!+#REF!+#REF!+#REF!+#REF!+#REF!+#REF!+#REF!+#REF!+#REF!+#REF!+#REF!+#REF!+#REF!+#REF!+#REF!+#REF!+#REF!</f>
        <v>#REF!</v>
      </c>
      <c r="G42" s="6" t="e">
        <f>#REF!+#REF!+#REF!+#REF!+#REF!+#REF!+#REF!+#REF!+#REF!+#REF!+#REF!+#REF!+#REF!+#REF!+#REF!+#REF!+#REF!+#REF!+#REF!+#REF!+#REF!+#REF!+#REF!+#REF!+#REF!+#REF!+#REF!+#REF!+#REF!+#REF!</f>
        <v>#REF!</v>
      </c>
      <c r="H42" s="6" t="e">
        <f>#REF!+#REF!+#REF!+#REF!+#REF!+#REF!+#REF!+#REF!+#REF!+#REF!+#REF!+#REF!+#REF!+#REF!+#REF!+#REF!+#REF!+#REF!+#REF!+#REF!+#REF!+#REF!+#REF!+#REF!+#REF!+#REF!+#REF!+#REF!+#REF!+#REF!</f>
        <v>#REF!</v>
      </c>
      <c r="I42" s="6" t="e">
        <f>#REF!+#REF!+#REF!+#REF!+#REF!+#REF!+#REF!+#REF!+#REF!+#REF!+#REF!+#REF!+#REF!+#REF!+#REF!+#REF!+#REF!+#REF!+#REF!+#REF!+#REF!+#REF!+#REF!+#REF!+#REF!+#REF!+#REF!+#REF!+#REF!+#REF!</f>
        <v>#REF!</v>
      </c>
      <c r="J42" s="6" t="e">
        <f>#REF!+#REF!+#REF!+#REF!+#REF!+#REF!+#REF!+#REF!+#REF!+#REF!+#REF!+#REF!+#REF!+#REF!+#REF!+#REF!+#REF!+#REF!+#REF!+#REF!+#REF!+#REF!+#REF!+#REF!+#REF!+#REF!+#REF!+#REF!+#REF!+#REF!</f>
        <v>#REF!</v>
      </c>
      <c r="K42" s="6" t="e">
        <f>#REF!+#REF!+#REF!+#REF!+#REF!+#REF!+#REF!+#REF!+#REF!+#REF!+#REF!+#REF!+#REF!+#REF!+#REF!+#REF!+#REF!+#REF!+#REF!+#REF!+#REF!+#REF!+#REF!+#REF!+#REF!+#REF!+#REF!+#REF!+#REF!+#REF!</f>
        <v>#REF!</v>
      </c>
      <c r="L42" s="6" t="e">
        <f>#REF!+#REF!+#REF!+#REF!+#REF!+#REF!+#REF!+#REF!+#REF!+#REF!+#REF!+#REF!+#REF!+#REF!+#REF!+#REF!+#REF!+#REF!+#REF!+#REF!+#REF!+#REF!+#REF!+#REF!+#REF!+#REF!+#REF!+#REF!+#REF!+#REF!</f>
        <v>#REF!</v>
      </c>
      <c r="M42" s="6" t="e">
        <f>#REF!+#REF!+#REF!+#REF!+#REF!+#REF!+#REF!+#REF!+#REF!+#REF!+#REF!+#REF!+#REF!+#REF!+#REF!+#REF!+#REF!+#REF!+#REF!+#REF!+#REF!+#REF!+#REF!+#REF!+#REF!+#REF!+#REF!+#REF!+#REF!+#REF!</f>
        <v>#REF!</v>
      </c>
      <c r="N42" s="6" t="e">
        <f>#REF!+#REF!+#REF!+#REF!+#REF!+#REF!+#REF!+#REF!+#REF!+#REF!+#REF!+#REF!+#REF!+#REF!+#REF!+#REF!+#REF!+#REF!+#REF!+#REF!+#REF!+#REF!+#REF!+#REF!+#REF!+#REF!+#REF!+#REF!+#REF!+#REF!</f>
        <v>#REF!</v>
      </c>
      <c r="O42" s="6" t="e">
        <f>#REF!+#REF!+#REF!+#REF!+#REF!+#REF!+#REF!+#REF!+#REF!+#REF!+#REF!+#REF!+#REF!+#REF!+#REF!+#REF!+#REF!+#REF!+#REF!+#REF!+#REF!+#REF!+#REF!+#REF!+#REF!+#REF!+#REF!+#REF!+#REF!+#REF!</f>
        <v>#REF!</v>
      </c>
      <c r="P42" s="6" t="e">
        <f>#REF!+#REF!+#REF!+#REF!+#REF!+#REF!+#REF!+#REF!+#REF!+#REF!+#REF!+#REF!+#REF!+#REF!+#REF!+#REF!+#REF!+#REF!+#REF!+#REF!+#REF!+#REF!+#REF!+#REF!+#REF!+#REF!+#REF!+#REF!+#REF!+#REF!</f>
        <v>#REF!</v>
      </c>
      <c r="Q42" s="7" t="e">
        <f>SUM(E42:P42)</f>
        <v>#REF!</v>
      </c>
      <c r="R42" s="6" t="e">
        <f>#REF!+#REF!+#REF!+#REF!+#REF!+#REF!+#REF!+#REF!+#REF!+#REF!+#REF!+#REF!+#REF!+#REF!+#REF!+#REF!+#REF!+#REF!+#REF!+#REF!+#REF!+#REF!+#REF!+#REF!+#REF!+#REF!+#REF!+#REF!+#REF!+#REF!</f>
        <v>#REF!</v>
      </c>
      <c r="S42" s="6" t="e">
        <f t="shared" si="1"/>
        <v>#REF!</v>
      </c>
      <c r="T42" s="6">
        <f>-3200+40</f>
        <v>-3160</v>
      </c>
      <c r="U42" s="6" t="e">
        <f t="shared" si="2"/>
        <v>#REF!</v>
      </c>
      <c r="V42" s="86"/>
      <c r="W42" s="57"/>
      <c r="X42" s="46"/>
      <c r="Y42" s="61"/>
      <c r="Z42" s="66"/>
      <c r="AA42" s="61"/>
      <c r="AB42" s="67"/>
      <c r="AC42" s="61"/>
      <c r="AD42" s="66"/>
      <c r="AE42" s="61"/>
      <c r="AF42" s="52">
        <f t="shared" si="3"/>
        <v>0</v>
      </c>
      <c r="AG42" s="46" t="e">
        <f t="shared" si="4"/>
        <v>#REF!</v>
      </c>
      <c r="AH42" s="51" t="e">
        <f t="shared" si="5"/>
        <v>#REF!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6" t="e">
        <f>#REF!+#REF!+#REF!+#REF!+#REF!+#REF!+#REF!+#REF!+#REF!+#REF!+#REF!+#REF!+#REF!+#REF!+#REF!+#REF!+#REF!+#REF!+#REF!+#REF!+#REF!+#REF!+#REF!+#REF!+#REF!+#REF!+#REF!+#REF!+#REF!+#REF!</f>
        <v>#REF!</v>
      </c>
      <c r="E43" s="6" t="e">
        <f>#REF!+#REF!+#REF!+#REF!+#REF!+#REF!+#REF!+#REF!+#REF!+#REF!+#REF!+#REF!+#REF!+#REF!+#REF!+#REF!+#REF!+#REF!+#REF!+#REF!+#REF!+#REF!+#REF!+#REF!+#REF!+#REF!+#REF!+#REF!+#REF!+#REF!</f>
        <v>#REF!</v>
      </c>
      <c r="F43" s="6" t="e">
        <f>#REF!+#REF!+#REF!+#REF!+#REF!+#REF!+#REF!+#REF!+#REF!+#REF!+#REF!+#REF!+#REF!+#REF!+#REF!+#REF!+#REF!+#REF!+#REF!+#REF!+#REF!+#REF!+#REF!+#REF!+#REF!+#REF!+#REF!+#REF!+#REF!+#REF!</f>
        <v>#REF!</v>
      </c>
      <c r="G43" s="6" t="e">
        <f>#REF!+#REF!+#REF!+#REF!+#REF!+#REF!+#REF!+#REF!+#REF!+#REF!+#REF!+#REF!+#REF!+#REF!+#REF!+#REF!+#REF!+#REF!+#REF!+#REF!+#REF!+#REF!+#REF!+#REF!+#REF!+#REF!+#REF!+#REF!+#REF!+#REF!</f>
        <v>#REF!</v>
      </c>
      <c r="H43" s="6" t="e">
        <f>#REF!+#REF!+#REF!+#REF!+#REF!+#REF!+#REF!+#REF!+#REF!+#REF!+#REF!+#REF!+#REF!+#REF!+#REF!+#REF!+#REF!+#REF!+#REF!+#REF!+#REF!+#REF!+#REF!+#REF!+#REF!+#REF!+#REF!+#REF!+#REF!+#REF!</f>
        <v>#REF!</v>
      </c>
      <c r="I43" s="6" t="e">
        <f>#REF!+#REF!+#REF!+#REF!+#REF!+#REF!+#REF!+#REF!+#REF!+#REF!+#REF!+#REF!+#REF!+#REF!+#REF!+#REF!+#REF!+#REF!+#REF!+#REF!+#REF!+#REF!+#REF!+#REF!+#REF!+#REF!+#REF!+#REF!+#REF!+#REF!</f>
        <v>#REF!</v>
      </c>
      <c r="J43" s="6" t="e">
        <f>#REF!+#REF!+#REF!+#REF!+#REF!+#REF!+#REF!+#REF!+#REF!+#REF!+#REF!+#REF!+#REF!+#REF!+#REF!+#REF!+#REF!+#REF!+#REF!+#REF!+#REF!+#REF!+#REF!+#REF!+#REF!+#REF!+#REF!+#REF!+#REF!+#REF!</f>
        <v>#REF!</v>
      </c>
      <c r="K43" s="6" t="e">
        <f>#REF!+#REF!+#REF!+#REF!+#REF!+#REF!+#REF!+#REF!+#REF!+#REF!+#REF!+#REF!+#REF!+#REF!+#REF!+#REF!+#REF!+#REF!+#REF!+#REF!+#REF!+#REF!+#REF!+#REF!+#REF!+#REF!+#REF!+#REF!+#REF!+#REF!</f>
        <v>#REF!</v>
      </c>
      <c r="L43" s="6" t="e">
        <f>#REF!+#REF!+#REF!+#REF!+#REF!+#REF!+#REF!+#REF!+#REF!+#REF!+#REF!+#REF!+#REF!+#REF!+#REF!+#REF!+#REF!+#REF!+#REF!+#REF!+#REF!+#REF!+#REF!+#REF!+#REF!+#REF!+#REF!+#REF!+#REF!+#REF!</f>
        <v>#REF!</v>
      </c>
      <c r="M43" s="6" t="e">
        <f>#REF!+#REF!+#REF!+#REF!+#REF!+#REF!+#REF!+#REF!+#REF!+#REF!+#REF!+#REF!+#REF!+#REF!+#REF!+#REF!+#REF!+#REF!+#REF!+#REF!+#REF!+#REF!+#REF!+#REF!+#REF!+#REF!+#REF!+#REF!+#REF!+#REF!</f>
        <v>#REF!</v>
      </c>
      <c r="N43" s="6" t="e">
        <f>#REF!+#REF!+#REF!+#REF!+#REF!+#REF!+#REF!+#REF!+#REF!+#REF!+#REF!+#REF!+#REF!+#REF!+#REF!+#REF!+#REF!+#REF!+#REF!+#REF!+#REF!+#REF!+#REF!+#REF!+#REF!+#REF!+#REF!+#REF!+#REF!+#REF!</f>
        <v>#REF!</v>
      </c>
      <c r="O43" s="6" t="e">
        <f>#REF!+#REF!+#REF!+#REF!+#REF!+#REF!+#REF!+#REF!+#REF!+#REF!+#REF!+#REF!+#REF!+#REF!+#REF!+#REF!+#REF!+#REF!+#REF!+#REF!+#REF!+#REF!+#REF!+#REF!+#REF!+#REF!+#REF!+#REF!+#REF!+#REF!</f>
        <v>#REF!</v>
      </c>
      <c r="P43" s="6" t="e">
        <f>#REF!+#REF!+#REF!+#REF!+#REF!+#REF!+#REF!+#REF!+#REF!+#REF!+#REF!+#REF!+#REF!+#REF!+#REF!+#REF!+#REF!+#REF!+#REF!+#REF!+#REF!+#REF!+#REF!+#REF!+#REF!+#REF!+#REF!+#REF!+#REF!+#REF!</f>
        <v>#REF!</v>
      </c>
      <c r="Q43" s="18"/>
      <c r="R43" s="6" t="e">
        <f>#REF!+#REF!+#REF!+#REF!+#REF!+#REF!+#REF!+#REF!+#REF!+#REF!+#REF!+#REF!+#REF!+#REF!+#REF!+#REF!+#REF!+#REF!+#REF!+#REF!+#REF!+#REF!+#REF!+#REF!+#REF!+#REF!+#REF!+#REF!+#REF!+#REF!</f>
        <v>#REF!</v>
      </c>
      <c r="S43" s="17"/>
      <c r="T43" s="17">
        <v>0</v>
      </c>
      <c r="U43" s="17"/>
      <c r="V43" s="18"/>
      <c r="W43" s="57"/>
      <c r="X43" s="46"/>
      <c r="Y43" s="61"/>
      <c r="Z43" s="66"/>
      <c r="AA43" s="61"/>
      <c r="AB43" s="67"/>
      <c r="AC43" s="61"/>
      <c r="AD43" s="66"/>
      <c r="AE43" s="61"/>
      <c r="AF43" s="52">
        <f t="shared" si="3"/>
        <v>0</v>
      </c>
      <c r="AG43" s="46">
        <f t="shared" si="4"/>
        <v>0</v>
      </c>
      <c r="AH43" s="51">
        <f t="shared" si="5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/>
      <c r="D44" s="6" t="e">
        <f>#REF!+#REF!+#REF!+#REF!+#REF!+#REF!+#REF!+#REF!+#REF!+#REF!+#REF!+#REF!+#REF!+#REF!+#REF!+#REF!+#REF!+#REF!+#REF!+#REF!+#REF!+#REF!+#REF!+#REF!+#REF!+#REF!+#REF!+#REF!+#REF!+#REF!</f>
        <v>#REF!</v>
      </c>
      <c r="E44" s="6" t="e">
        <f>#REF!+#REF!+#REF!+#REF!+#REF!+#REF!+#REF!+#REF!+#REF!+#REF!+#REF!+#REF!+#REF!+#REF!+#REF!+#REF!+#REF!+#REF!+#REF!+#REF!+#REF!+#REF!+#REF!+#REF!+#REF!+#REF!+#REF!+#REF!+#REF!+#REF!</f>
        <v>#REF!</v>
      </c>
      <c r="F44" s="6" t="e">
        <f>#REF!+#REF!+#REF!+#REF!+#REF!+#REF!+#REF!+#REF!+#REF!+#REF!+#REF!+#REF!+#REF!+#REF!+#REF!+#REF!+#REF!+#REF!+#REF!+#REF!+#REF!+#REF!+#REF!+#REF!+#REF!+#REF!+#REF!+#REF!+#REF!+#REF!</f>
        <v>#REF!</v>
      </c>
      <c r="G44" s="6" t="e">
        <f>#REF!+#REF!+#REF!+#REF!+#REF!+#REF!+#REF!+#REF!+#REF!+#REF!+#REF!+#REF!+#REF!+#REF!+#REF!+#REF!+#REF!+#REF!+#REF!+#REF!+#REF!+#REF!+#REF!+#REF!+#REF!+#REF!+#REF!+#REF!+#REF!+#REF!</f>
        <v>#REF!</v>
      </c>
      <c r="H44" s="6" t="e">
        <f>#REF!+#REF!+#REF!+#REF!+#REF!+#REF!+#REF!+#REF!+#REF!+#REF!+#REF!+#REF!+#REF!+#REF!+#REF!+#REF!+#REF!+#REF!+#REF!+#REF!+#REF!+#REF!+#REF!+#REF!+#REF!+#REF!+#REF!+#REF!+#REF!+#REF!</f>
        <v>#REF!</v>
      </c>
      <c r="I44" s="6" t="e">
        <f>#REF!+#REF!+#REF!+#REF!+#REF!+#REF!+#REF!+#REF!+#REF!+#REF!+#REF!+#REF!+#REF!+#REF!+#REF!+#REF!+#REF!+#REF!+#REF!+#REF!+#REF!+#REF!+#REF!+#REF!+#REF!+#REF!+#REF!+#REF!+#REF!+#REF!</f>
        <v>#REF!</v>
      </c>
      <c r="J44" s="6" t="e">
        <f>#REF!+#REF!+#REF!+#REF!+#REF!+#REF!+#REF!+#REF!+#REF!+#REF!+#REF!+#REF!+#REF!+#REF!+#REF!+#REF!+#REF!+#REF!+#REF!+#REF!+#REF!+#REF!+#REF!+#REF!+#REF!+#REF!+#REF!+#REF!+#REF!+#REF!</f>
        <v>#REF!</v>
      </c>
      <c r="K44" s="6" t="e">
        <f>#REF!+#REF!+#REF!+#REF!+#REF!+#REF!+#REF!+#REF!+#REF!+#REF!+#REF!+#REF!+#REF!+#REF!+#REF!+#REF!+#REF!+#REF!+#REF!+#REF!+#REF!+#REF!+#REF!+#REF!+#REF!+#REF!+#REF!+#REF!+#REF!+#REF!</f>
        <v>#REF!</v>
      </c>
      <c r="L44" s="6" t="e">
        <f>#REF!+#REF!+#REF!+#REF!+#REF!+#REF!+#REF!+#REF!+#REF!+#REF!+#REF!+#REF!+#REF!+#REF!+#REF!+#REF!+#REF!+#REF!+#REF!+#REF!+#REF!+#REF!+#REF!+#REF!+#REF!+#REF!+#REF!+#REF!+#REF!+#REF!</f>
        <v>#REF!</v>
      </c>
      <c r="M44" s="6" t="e">
        <f>#REF!+#REF!+#REF!+#REF!+#REF!+#REF!+#REF!+#REF!+#REF!+#REF!+#REF!+#REF!+#REF!+#REF!+#REF!+#REF!+#REF!+#REF!+#REF!+#REF!+#REF!+#REF!+#REF!+#REF!+#REF!+#REF!+#REF!+#REF!+#REF!+#REF!</f>
        <v>#REF!</v>
      </c>
      <c r="N44" s="6" t="e">
        <f>#REF!+#REF!+#REF!+#REF!+#REF!+#REF!+#REF!+#REF!+#REF!+#REF!+#REF!+#REF!+#REF!+#REF!+#REF!+#REF!+#REF!+#REF!+#REF!+#REF!+#REF!+#REF!+#REF!+#REF!+#REF!+#REF!+#REF!+#REF!+#REF!+#REF!</f>
        <v>#REF!</v>
      </c>
      <c r="O44" s="6" t="e">
        <f>#REF!+#REF!+#REF!+#REF!+#REF!+#REF!+#REF!+#REF!+#REF!+#REF!+#REF!+#REF!+#REF!+#REF!+#REF!+#REF!+#REF!+#REF!+#REF!+#REF!+#REF!+#REF!+#REF!+#REF!+#REF!+#REF!+#REF!+#REF!+#REF!+#REF!</f>
        <v>#REF!</v>
      </c>
      <c r="P44" s="6" t="e">
        <f>#REF!+#REF!+#REF!+#REF!+#REF!+#REF!+#REF!+#REF!+#REF!+#REF!+#REF!+#REF!+#REF!+#REF!+#REF!+#REF!+#REF!+#REF!+#REF!+#REF!+#REF!+#REF!+#REF!+#REF!+#REF!+#REF!+#REF!+#REF!+#REF!+#REF!</f>
        <v>#REF!</v>
      </c>
      <c r="Q44" s="7" t="e">
        <f t="shared" si="0"/>
        <v>#REF!</v>
      </c>
      <c r="R44" s="6" t="e">
        <f>#REF!+#REF!+#REF!+#REF!+#REF!+#REF!+#REF!+#REF!+#REF!+#REF!+#REF!+#REF!+#REF!+#REF!+#REF!+#REF!+#REF!+#REF!+#REF!+#REF!+#REF!+#REF!+#REF!+#REF!+#REF!+#REF!+#REF!+#REF!+#REF!+#REF!</f>
        <v>#REF!</v>
      </c>
      <c r="S44" s="6" t="e">
        <f t="shared" si="1"/>
        <v>#REF!</v>
      </c>
      <c r="T44" s="6">
        <v>-900</v>
      </c>
      <c r="U44" s="6" t="e">
        <f t="shared" si="2"/>
        <v>#REF!</v>
      </c>
      <c r="V44" s="86"/>
      <c r="W44" s="57"/>
      <c r="X44" s="46"/>
      <c r="Y44" s="61"/>
      <c r="Z44" s="66"/>
      <c r="AA44" s="61"/>
      <c r="AB44" s="67"/>
      <c r="AC44" s="61"/>
      <c r="AD44" s="66"/>
      <c r="AE44" s="61"/>
      <c r="AF44" s="52">
        <f t="shared" si="3"/>
        <v>0</v>
      </c>
      <c r="AG44" s="46" t="e">
        <f t="shared" si="4"/>
        <v>#REF!</v>
      </c>
      <c r="AH44" s="51" t="e">
        <f t="shared" si="5"/>
        <v>#REF!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/>
      <c r="D45" s="6" t="e">
        <f>#REF!+#REF!+#REF!+#REF!+#REF!+#REF!+#REF!+#REF!+#REF!+#REF!+#REF!+#REF!+#REF!+#REF!+#REF!+#REF!+#REF!+#REF!+#REF!+#REF!+#REF!+#REF!+#REF!+#REF!+#REF!+#REF!+#REF!+#REF!+#REF!+#REF!</f>
        <v>#REF!</v>
      </c>
      <c r="E45" s="6" t="e">
        <f>#REF!+#REF!+#REF!+#REF!+#REF!+#REF!+#REF!+#REF!+#REF!+#REF!+#REF!+#REF!+#REF!+#REF!+#REF!+#REF!+#REF!+#REF!+#REF!+#REF!+#REF!+#REF!+#REF!+#REF!+#REF!+#REF!+#REF!+#REF!+#REF!+#REF!</f>
        <v>#REF!</v>
      </c>
      <c r="F45" s="6" t="e">
        <f>#REF!+#REF!+#REF!+#REF!+#REF!+#REF!+#REF!+#REF!+#REF!+#REF!+#REF!+#REF!+#REF!+#REF!+#REF!+#REF!+#REF!+#REF!+#REF!+#REF!+#REF!+#REF!+#REF!+#REF!+#REF!+#REF!+#REF!+#REF!+#REF!+#REF!</f>
        <v>#REF!</v>
      </c>
      <c r="G45" s="6" t="e">
        <f>#REF!+#REF!+#REF!+#REF!+#REF!+#REF!+#REF!+#REF!+#REF!+#REF!+#REF!+#REF!+#REF!+#REF!+#REF!+#REF!+#REF!+#REF!+#REF!+#REF!+#REF!+#REF!+#REF!+#REF!+#REF!+#REF!+#REF!+#REF!+#REF!+#REF!</f>
        <v>#REF!</v>
      </c>
      <c r="H45" s="6" t="e">
        <f>#REF!+#REF!+#REF!+#REF!+#REF!+#REF!+#REF!+#REF!+#REF!+#REF!+#REF!+#REF!+#REF!+#REF!+#REF!+#REF!+#REF!+#REF!+#REF!+#REF!+#REF!+#REF!+#REF!+#REF!+#REF!+#REF!+#REF!+#REF!+#REF!+#REF!</f>
        <v>#REF!</v>
      </c>
      <c r="I45" s="6" t="e">
        <f>#REF!+#REF!+#REF!+#REF!+#REF!+#REF!+#REF!+#REF!+#REF!+#REF!+#REF!+#REF!+#REF!+#REF!+#REF!+#REF!+#REF!+#REF!+#REF!+#REF!+#REF!+#REF!+#REF!+#REF!+#REF!+#REF!+#REF!+#REF!+#REF!+#REF!</f>
        <v>#REF!</v>
      </c>
      <c r="J45" s="6" t="e">
        <f>#REF!+#REF!+#REF!+#REF!+#REF!+#REF!+#REF!+#REF!+#REF!+#REF!+#REF!+#REF!+#REF!+#REF!+#REF!+#REF!+#REF!+#REF!+#REF!+#REF!+#REF!+#REF!+#REF!+#REF!+#REF!+#REF!+#REF!+#REF!+#REF!+#REF!</f>
        <v>#REF!</v>
      </c>
      <c r="K45" s="6" t="e">
        <f>#REF!+#REF!+#REF!+#REF!+#REF!+#REF!+#REF!+#REF!+#REF!+#REF!+#REF!+#REF!+#REF!+#REF!+#REF!+#REF!+#REF!+#REF!+#REF!+#REF!+#REF!+#REF!+#REF!+#REF!+#REF!+#REF!+#REF!+#REF!+#REF!+#REF!</f>
        <v>#REF!</v>
      </c>
      <c r="L45" s="6" t="e">
        <f>#REF!+#REF!+#REF!+#REF!+#REF!+#REF!+#REF!+#REF!+#REF!+#REF!+#REF!+#REF!+#REF!+#REF!+#REF!+#REF!+#REF!+#REF!+#REF!+#REF!+#REF!+#REF!+#REF!+#REF!+#REF!+#REF!+#REF!+#REF!+#REF!+#REF!</f>
        <v>#REF!</v>
      </c>
      <c r="M45" s="6" t="e">
        <f>#REF!+#REF!+#REF!+#REF!+#REF!+#REF!+#REF!+#REF!+#REF!+#REF!+#REF!+#REF!+#REF!+#REF!+#REF!+#REF!+#REF!+#REF!+#REF!+#REF!+#REF!+#REF!+#REF!+#REF!+#REF!+#REF!+#REF!+#REF!+#REF!+#REF!</f>
        <v>#REF!</v>
      </c>
      <c r="N45" s="6" t="e">
        <f>#REF!+#REF!+#REF!+#REF!+#REF!+#REF!+#REF!+#REF!+#REF!+#REF!+#REF!+#REF!+#REF!+#REF!+#REF!+#REF!+#REF!+#REF!+#REF!+#REF!+#REF!+#REF!+#REF!+#REF!+#REF!+#REF!+#REF!+#REF!+#REF!+#REF!</f>
        <v>#REF!</v>
      </c>
      <c r="O45" s="6" t="e">
        <f>#REF!+#REF!+#REF!+#REF!+#REF!+#REF!+#REF!+#REF!+#REF!+#REF!+#REF!+#REF!+#REF!+#REF!+#REF!+#REF!+#REF!+#REF!+#REF!+#REF!+#REF!+#REF!+#REF!+#REF!+#REF!+#REF!+#REF!+#REF!+#REF!+#REF!</f>
        <v>#REF!</v>
      </c>
      <c r="P45" s="6" t="e">
        <f>#REF!+#REF!+#REF!+#REF!+#REF!+#REF!+#REF!+#REF!+#REF!+#REF!+#REF!+#REF!+#REF!+#REF!+#REF!+#REF!+#REF!+#REF!+#REF!+#REF!+#REF!+#REF!+#REF!+#REF!+#REF!+#REF!+#REF!+#REF!+#REF!+#REF!</f>
        <v>#REF!</v>
      </c>
      <c r="Q45" s="7" t="e">
        <f t="shared" si="0"/>
        <v>#REF!</v>
      </c>
      <c r="R45" s="6" t="e">
        <f>#REF!+#REF!+#REF!+#REF!+#REF!+#REF!+#REF!+#REF!+#REF!+#REF!+#REF!+#REF!+#REF!+#REF!+#REF!+#REF!+#REF!+#REF!+#REF!+#REF!+#REF!+#REF!+#REF!+#REF!+#REF!+#REF!+#REF!+#REF!+#REF!+#REF!</f>
        <v>#REF!</v>
      </c>
      <c r="S45" s="6" t="e">
        <f t="shared" si="1"/>
        <v>#REF!</v>
      </c>
      <c r="T45" s="6">
        <v>-2700</v>
      </c>
      <c r="U45" s="6" t="e">
        <f t="shared" si="2"/>
        <v>#REF!</v>
      </c>
      <c r="V45" s="86"/>
      <c r="W45" s="57"/>
      <c r="X45" s="46"/>
      <c r="Y45" s="61"/>
      <c r="Z45" s="66"/>
      <c r="AA45" s="61"/>
      <c r="AB45" s="67"/>
      <c r="AC45" s="61"/>
      <c r="AD45" s="66"/>
      <c r="AE45" s="61"/>
      <c r="AF45" s="52">
        <f t="shared" si="3"/>
        <v>0</v>
      </c>
      <c r="AG45" s="46" t="e">
        <f t="shared" si="4"/>
        <v>#REF!</v>
      </c>
      <c r="AH45" s="51" t="e">
        <f t="shared" si="5"/>
        <v>#REF!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/>
      <c r="D46" s="6" t="e">
        <f>#REF!+#REF!+#REF!+#REF!+#REF!+#REF!+#REF!+#REF!+#REF!+#REF!+#REF!+#REF!+#REF!+#REF!+#REF!+#REF!+#REF!+#REF!+#REF!+#REF!+#REF!+#REF!+#REF!+#REF!+#REF!+#REF!+#REF!+#REF!+#REF!+#REF!</f>
        <v>#REF!</v>
      </c>
      <c r="E46" s="6" t="e">
        <f>#REF!+#REF!+#REF!+#REF!+#REF!+#REF!+#REF!+#REF!+#REF!+#REF!+#REF!+#REF!+#REF!+#REF!+#REF!+#REF!+#REF!+#REF!+#REF!+#REF!+#REF!+#REF!+#REF!+#REF!+#REF!+#REF!+#REF!+#REF!+#REF!+#REF!</f>
        <v>#REF!</v>
      </c>
      <c r="F46" s="6" t="e">
        <f>#REF!+#REF!+#REF!+#REF!+#REF!+#REF!+#REF!+#REF!+#REF!+#REF!+#REF!+#REF!+#REF!+#REF!+#REF!+#REF!+#REF!+#REF!+#REF!+#REF!+#REF!+#REF!+#REF!+#REF!+#REF!+#REF!+#REF!+#REF!+#REF!+#REF!</f>
        <v>#REF!</v>
      </c>
      <c r="G46" s="6" t="e">
        <f>#REF!+#REF!+#REF!+#REF!+#REF!+#REF!+#REF!+#REF!+#REF!+#REF!+#REF!+#REF!+#REF!+#REF!+#REF!+#REF!+#REF!+#REF!+#REF!+#REF!+#REF!+#REF!+#REF!+#REF!+#REF!+#REF!+#REF!+#REF!+#REF!+#REF!</f>
        <v>#REF!</v>
      </c>
      <c r="H46" s="6" t="e">
        <f>#REF!+#REF!+#REF!+#REF!+#REF!+#REF!+#REF!+#REF!+#REF!+#REF!+#REF!+#REF!+#REF!+#REF!+#REF!+#REF!+#REF!+#REF!+#REF!+#REF!+#REF!+#REF!+#REF!+#REF!+#REF!+#REF!+#REF!+#REF!+#REF!+#REF!</f>
        <v>#REF!</v>
      </c>
      <c r="I46" s="6" t="e">
        <f>#REF!+#REF!+#REF!+#REF!+#REF!+#REF!+#REF!+#REF!+#REF!+#REF!+#REF!+#REF!+#REF!+#REF!+#REF!+#REF!+#REF!+#REF!+#REF!+#REF!+#REF!+#REF!+#REF!+#REF!+#REF!+#REF!+#REF!+#REF!+#REF!+#REF!</f>
        <v>#REF!</v>
      </c>
      <c r="J46" s="6" t="e">
        <f>#REF!+#REF!+#REF!+#REF!+#REF!+#REF!+#REF!+#REF!+#REF!+#REF!+#REF!+#REF!+#REF!+#REF!+#REF!+#REF!+#REF!+#REF!+#REF!+#REF!+#REF!+#REF!+#REF!+#REF!+#REF!+#REF!+#REF!+#REF!+#REF!+#REF!</f>
        <v>#REF!</v>
      </c>
      <c r="K46" s="6" t="e">
        <f>#REF!+#REF!+#REF!+#REF!+#REF!+#REF!+#REF!+#REF!+#REF!+#REF!+#REF!+#REF!+#REF!+#REF!+#REF!+#REF!+#REF!+#REF!+#REF!+#REF!+#REF!+#REF!+#REF!+#REF!+#REF!+#REF!+#REF!+#REF!+#REF!+#REF!</f>
        <v>#REF!</v>
      </c>
      <c r="L46" s="6" t="e">
        <f>#REF!+#REF!+#REF!+#REF!+#REF!+#REF!+#REF!+#REF!+#REF!+#REF!+#REF!+#REF!+#REF!+#REF!+#REF!+#REF!+#REF!+#REF!+#REF!+#REF!+#REF!+#REF!+#REF!+#REF!+#REF!+#REF!+#REF!+#REF!+#REF!+#REF!</f>
        <v>#REF!</v>
      </c>
      <c r="M46" s="6" t="e">
        <f>#REF!+#REF!+#REF!+#REF!+#REF!+#REF!+#REF!+#REF!+#REF!+#REF!+#REF!+#REF!+#REF!+#REF!+#REF!+#REF!+#REF!+#REF!+#REF!+#REF!+#REF!+#REF!+#REF!+#REF!+#REF!+#REF!+#REF!+#REF!+#REF!+#REF!</f>
        <v>#REF!</v>
      </c>
      <c r="N46" s="6" t="e">
        <f>#REF!+#REF!+#REF!+#REF!+#REF!+#REF!+#REF!+#REF!+#REF!+#REF!+#REF!+#REF!+#REF!+#REF!+#REF!+#REF!+#REF!+#REF!+#REF!+#REF!+#REF!+#REF!+#REF!+#REF!+#REF!+#REF!+#REF!+#REF!+#REF!+#REF!</f>
        <v>#REF!</v>
      </c>
      <c r="O46" s="6" t="e">
        <f>#REF!+#REF!+#REF!+#REF!+#REF!+#REF!+#REF!+#REF!+#REF!+#REF!+#REF!+#REF!+#REF!+#REF!+#REF!+#REF!+#REF!+#REF!+#REF!+#REF!+#REF!+#REF!+#REF!+#REF!+#REF!+#REF!+#REF!+#REF!+#REF!+#REF!</f>
        <v>#REF!</v>
      </c>
      <c r="P46" s="6" t="e">
        <f>#REF!+#REF!+#REF!+#REF!+#REF!+#REF!+#REF!+#REF!+#REF!+#REF!+#REF!+#REF!+#REF!+#REF!+#REF!+#REF!+#REF!+#REF!+#REF!+#REF!+#REF!+#REF!+#REF!+#REF!+#REF!+#REF!+#REF!+#REF!+#REF!+#REF!</f>
        <v>#REF!</v>
      </c>
      <c r="Q46" s="7" t="e">
        <f t="shared" si="0"/>
        <v>#REF!</v>
      </c>
      <c r="R46" s="6" t="e">
        <f>#REF!+#REF!+#REF!+#REF!+#REF!+#REF!+#REF!+#REF!+#REF!+#REF!+#REF!+#REF!+#REF!+#REF!+#REF!+#REF!+#REF!+#REF!+#REF!+#REF!+#REF!+#REF!+#REF!+#REF!+#REF!+#REF!+#REF!+#REF!+#REF!+#REF!</f>
        <v>#REF!</v>
      </c>
      <c r="S46" s="6" t="e">
        <f t="shared" si="1"/>
        <v>#REF!</v>
      </c>
      <c r="T46" s="6">
        <v>200</v>
      </c>
      <c r="U46" s="6" t="e">
        <f t="shared" si="2"/>
        <v>#REF!</v>
      </c>
      <c r="V46" s="86">
        <v>525</v>
      </c>
      <c r="W46" s="57"/>
      <c r="X46" s="46"/>
      <c r="Y46" s="61"/>
      <c r="Z46" s="66"/>
      <c r="AA46" s="61"/>
      <c r="AB46" s="67"/>
      <c r="AC46" s="61"/>
      <c r="AD46" s="66"/>
      <c r="AE46" s="61"/>
      <c r="AF46" s="52">
        <f t="shared" si="3"/>
        <v>0</v>
      </c>
      <c r="AG46" s="46" t="e">
        <f t="shared" si="4"/>
        <v>#REF!</v>
      </c>
      <c r="AH46" s="51" t="e">
        <f t="shared" si="5"/>
        <v>#REF!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/>
      <c r="D47" s="6" t="e">
        <f>#REF!+#REF!+#REF!+#REF!+#REF!+#REF!+#REF!+#REF!+#REF!+#REF!+#REF!+#REF!+#REF!+#REF!+#REF!+#REF!+#REF!+#REF!+#REF!+#REF!+#REF!+#REF!+#REF!+#REF!+#REF!+#REF!+#REF!+#REF!+#REF!+#REF!</f>
        <v>#REF!</v>
      </c>
      <c r="E47" s="6" t="e">
        <f>#REF!+#REF!+#REF!+#REF!+#REF!+#REF!+#REF!+#REF!+#REF!+#REF!+#REF!+#REF!+#REF!+#REF!+#REF!+#REF!+#REF!+#REF!+#REF!+#REF!+#REF!+#REF!+#REF!+#REF!+#REF!+#REF!+#REF!+#REF!+#REF!+#REF!</f>
        <v>#REF!</v>
      </c>
      <c r="F47" s="6" t="e">
        <f>#REF!+#REF!+#REF!+#REF!+#REF!+#REF!+#REF!+#REF!+#REF!+#REF!+#REF!+#REF!+#REF!+#REF!+#REF!+#REF!+#REF!+#REF!+#REF!+#REF!+#REF!+#REF!+#REF!+#REF!+#REF!+#REF!+#REF!+#REF!+#REF!+#REF!</f>
        <v>#REF!</v>
      </c>
      <c r="G47" s="6" t="e">
        <f>#REF!+#REF!+#REF!+#REF!+#REF!+#REF!+#REF!+#REF!+#REF!+#REF!+#REF!+#REF!+#REF!+#REF!+#REF!+#REF!+#REF!+#REF!+#REF!+#REF!+#REF!+#REF!+#REF!+#REF!+#REF!+#REF!+#REF!+#REF!+#REF!+#REF!</f>
        <v>#REF!</v>
      </c>
      <c r="H47" s="6" t="e">
        <f>#REF!+#REF!+#REF!+#REF!+#REF!+#REF!+#REF!+#REF!+#REF!+#REF!+#REF!+#REF!+#REF!+#REF!+#REF!+#REF!+#REF!+#REF!+#REF!+#REF!+#REF!+#REF!+#REF!+#REF!+#REF!+#REF!+#REF!+#REF!+#REF!+#REF!</f>
        <v>#REF!</v>
      </c>
      <c r="I47" s="6" t="e">
        <f>#REF!+#REF!+#REF!+#REF!+#REF!+#REF!+#REF!+#REF!+#REF!+#REF!+#REF!+#REF!+#REF!+#REF!+#REF!+#REF!+#REF!+#REF!+#REF!+#REF!+#REF!+#REF!+#REF!+#REF!+#REF!+#REF!+#REF!+#REF!+#REF!+#REF!</f>
        <v>#REF!</v>
      </c>
      <c r="J47" s="6" t="e">
        <f>#REF!+#REF!+#REF!+#REF!+#REF!+#REF!+#REF!+#REF!+#REF!+#REF!+#REF!+#REF!+#REF!+#REF!+#REF!+#REF!+#REF!+#REF!+#REF!+#REF!+#REF!+#REF!+#REF!+#REF!+#REF!+#REF!+#REF!+#REF!+#REF!+#REF!</f>
        <v>#REF!</v>
      </c>
      <c r="K47" s="6" t="e">
        <f>#REF!+#REF!+#REF!+#REF!+#REF!+#REF!+#REF!+#REF!+#REF!+#REF!+#REF!+#REF!+#REF!+#REF!+#REF!+#REF!+#REF!+#REF!+#REF!+#REF!+#REF!+#REF!+#REF!+#REF!+#REF!+#REF!+#REF!+#REF!+#REF!+#REF!</f>
        <v>#REF!</v>
      </c>
      <c r="L47" s="6" t="e">
        <f>#REF!+#REF!+#REF!+#REF!+#REF!+#REF!+#REF!+#REF!+#REF!+#REF!+#REF!+#REF!+#REF!+#REF!+#REF!+#REF!+#REF!+#REF!+#REF!+#REF!+#REF!+#REF!+#REF!+#REF!+#REF!+#REF!+#REF!+#REF!+#REF!+#REF!</f>
        <v>#REF!</v>
      </c>
      <c r="M47" s="6" t="e">
        <f>#REF!+#REF!+#REF!+#REF!+#REF!+#REF!+#REF!+#REF!+#REF!+#REF!+#REF!+#REF!+#REF!+#REF!+#REF!+#REF!+#REF!+#REF!+#REF!+#REF!+#REF!+#REF!+#REF!+#REF!+#REF!+#REF!+#REF!+#REF!+#REF!+#REF!</f>
        <v>#REF!</v>
      </c>
      <c r="N47" s="6" t="e">
        <f>#REF!+#REF!+#REF!+#REF!+#REF!+#REF!+#REF!+#REF!+#REF!+#REF!+#REF!+#REF!+#REF!+#REF!+#REF!+#REF!+#REF!+#REF!+#REF!+#REF!+#REF!+#REF!+#REF!+#REF!+#REF!+#REF!+#REF!+#REF!+#REF!+#REF!</f>
        <v>#REF!</v>
      </c>
      <c r="O47" s="6" t="e">
        <f>#REF!+#REF!+#REF!+#REF!+#REF!+#REF!+#REF!+#REF!+#REF!+#REF!+#REF!+#REF!+#REF!+#REF!+#REF!+#REF!+#REF!+#REF!+#REF!+#REF!+#REF!+#REF!+#REF!+#REF!+#REF!+#REF!+#REF!+#REF!+#REF!+#REF!</f>
        <v>#REF!</v>
      </c>
      <c r="P47" s="6" t="e">
        <f>#REF!+#REF!+#REF!+#REF!+#REF!+#REF!+#REF!+#REF!+#REF!+#REF!+#REF!+#REF!+#REF!+#REF!+#REF!+#REF!+#REF!+#REF!+#REF!+#REF!+#REF!+#REF!+#REF!+#REF!+#REF!+#REF!+#REF!+#REF!+#REF!+#REF!</f>
        <v>#REF!</v>
      </c>
      <c r="Q47" s="7" t="e">
        <f t="shared" si="0"/>
        <v>#REF!</v>
      </c>
      <c r="R47" s="6" t="e">
        <f>#REF!+#REF!+#REF!+#REF!+#REF!+#REF!+#REF!+#REF!+#REF!+#REF!+#REF!+#REF!+#REF!+#REF!+#REF!+#REF!+#REF!+#REF!+#REF!+#REF!+#REF!+#REF!+#REF!+#REF!+#REF!+#REF!+#REF!+#REF!+#REF!+#REF!</f>
        <v>#REF!</v>
      </c>
      <c r="S47" s="6" t="e">
        <f t="shared" si="1"/>
        <v>#REF!</v>
      </c>
      <c r="T47" s="6">
        <v>-260</v>
      </c>
      <c r="U47" s="6" t="e">
        <f t="shared" si="2"/>
        <v>#REF!</v>
      </c>
      <c r="V47" s="86">
        <f>340-280</f>
        <v>60</v>
      </c>
      <c r="W47" s="57"/>
      <c r="X47" s="46"/>
      <c r="Y47" s="61"/>
      <c r="Z47" s="66"/>
      <c r="AA47" s="61"/>
      <c r="AB47" s="67"/>
      <c r="AC47" s="61"/>
      <c r="AD47" s="66"/>
      <c r="AE47" s="61"/>
      <c r="AF47" s="52">
        <f t="shared" si="3"/>
        <v>0</v>
      </c>
      <c r="AG47" s="46" t="e">
        <f t="shared" si="4"/>
        <v>#REF!</v>
      </c>
      <c r="AH47" s="51" t="e">
        <f t="shared" si="5"/>
        <v>#REF!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/>
      <c r="D48" s="6" t="e">
        <f>#REF!+#REF!+#REF!+#REF!+#REF!+#REF!+#REF!+#REF!+#REF!+#REF!+#REF!+#REF!+#REF!+#REF!+#REF!+#REF!+#REF!+#REF!+#REF!+#REF!+#REF!+#REF!+#REF!+#REF!+#REF!+#REF!+#REF!+#REF!+#REF!+#REF!</f>
        <v>#REF!</v>
      </c>
      <c r="E48" s="6" t="e">
        <f>#REF!+#REF!+#REF!+#REF!+#REF!+#REF!+#REF!+#REF!+#REF!+#REF!+#REF!+#REF!+#REF!+#REF!+#REF!+#REF!+#REF!+#REF!+#REF!+#REF!+#REF!+#REF!+#REF!+#REF!+#REF!+#REF!+#REF!+#REF!+#REF!+#REF!</f>
        <v>#REF!</v>
      </c>
      <c r="F48" s="6" t="e">
        <f>#REF!+#REF!+#REF!+#REF!+#REF!+#REF!+#REF!+#REF!+#REF!+#REF!+#REF!+#REF!+#REF!+#REF!+#REF!+#REF!+#REF!+#REF!+#REF!+#REF!+#REF!+#REF!+#REF!+#REF!+#REF!+#REF!+#REF!+#REF!+#REF!+#REF!</f>
        <v>#REF!</v>
      </c>
      <c r="G48" s="6" t="e">
        <f>#REF!+#REF!+#REF!+#REF!+#REF!+#REF!+#REF!+#REF!+#REF!+#REF!+#REF!+#REF!+#REF!+#REF!+#REF!+#REF!+#REF!+#REF!+#REF!+#REF!+#REF!+#REF!+#REF!+#REF!+#REF!+#REF!+#REF!+#REF!+#REF!+#REF!</f>
        <v>#REF!</v>
      </c>
      <c r="H48" s="6" t="e">
        <f>#REF!+#REF!+#REF!+#REF!+#REF!+#REF!+#REF!+#REF!+#REF!+#REF!+#REF!+#REF!+#REF!+#REF!+#REF!+#REF!+#REF!+#REF!+#REF!+#REF!+#REF!+#REF!+#REF!+#REF!+#REF!+#REF!+#REF!+#REF!+#REF!+#REF!</f>
        <v>#REF!</v>
      </c>
      <c r="I48" s="6" t="e">
        <f>#REF!+#REF!+#REF!+#REF!+#REF!+#REF!+#REF!+#REF!+#REF!+#REF!+#REF!+#REF!+#REF!+#REF!+#REF!+#REF!+#REF!+#REF!+#REF!+#REF!+#REF!+#REF!+#REF!+#REF!+#REF!+#REF!+#REF!+#REF!+#REF!+#REF!</f>
        <v>#REF!</v>
      </c>
      <c r="J48" s="6" t="e">
        <f>#REF!+#REF!+#REF!+#REF!+#REF!+#REF!+#REF!+#REF!+#REF!+#REF!+#REF!+#REF!+#REF!+#REF!+#REF!+#REF!+#REF!+#REF!+#REF!+#REF!+#REF!+#REF!+#REF!+#REF!+#REF!+#REF!+#REF!+#REF!+#REF!+#REF!</f>
        <v>#REF!</v>
      </c>
      <c r="K48" s="6" t="e">
        <f>#REF!+#REF!+#REF!+#REF!+#REF!+#REF!+#REF!+#REF!+#REF!+#REF!+#REF!+#REF!+#REF!+#REF!+#REF!+#REF!+#REF!+#REF!+#REF!+#REF!+#REF!+#REF!+#REF!+#REF!+#REF!+#REF!+#REF!+#REF!+#REF!+#REF!</f>
        <v>#REF!</v>
      </c>
      <c r="L48" s="6" t="e">
        <f>#REF!+#REF!+#REF!+#REF!+#REF!+#REF!+#REF!+#REF!+#REF!+#REF!+#REF!+#REF!+#REF!+#REF!+#REF!+#REF!+#REF!+#REF!+#REF!+#REF!+#REF!+#REF!+#REF!+#REF!+#REF!+#REF!+#REF!+#REF!+#REF!+#REF!</f>
        <v>#REF!</v>
      </c>
      <c r="M48" s="6" t="e">
        <f>#REF!+#REF!+#REF!+#REF!+#REF!+#REF!+#REF!+#REF!+#REF!+#REF!+#REF!+#REF!+#REF!+#REF!+#REF!+#REF!+#REF!+#REF!+#REF!+#REF!+#REF!+#REF!+#REF!+#REF!+#REF!+#REF!+#REF!+#REF!+#REF!+#REF!</f>
        <v>#REF!</v>
      </c>
      <c r="N48" s="6" t="e">
        <f>#REF!+#REF!+#REF!+#REF!+#REF!+#REF!+#REF!+#REF!+#REF!+#REF!+#REF!+#REF!+#REF!+#REF!+#REF!+#REF!+#REF!+#REF!+#REF!+#REF!+#REF!+#REF!+#REF!+#REF!+#REF!+#REF!+#REF!+#REF!+#REF!+#REF!</f>
        <v>#REF!</v>
      </c>
      <c r="O48" s="6" t="e">
        <f>#REF!+#REF!+#REF!+#REF!+#REF!+#REF!+#REF!+#REF!+#REF!+#REF!+#REF!+#REF!+#REF!+#REF!+#REF!+#REF!+#REF!+#REF!+#REF!+#REF!+#REF!+#REF!+#REF!+#REF!+#REF!+#REF!+#REF!+#REF!+#REF!+#REF!</f>
        <v>#REF!</v>
      </c>
      <c r="P48" s="6" t="e">
        <f>#REF!+#REF!+#REF!+#REF!+#REF!+#REF!+#REF!+#REF!+#REF!+#REF!+#REF!+#REF!+#REF!+#REF!+#REF!+#REF!+#REF!+#REF!+#REF!+#REF!+#REF!+#REF!+#REF!+#REF!+#REF!+#REF!+#REF!+#REF!+#REF!+#REF!</f>
        <v>#REF!</v>
      </c>
      <c r="Q48" s="7" t="e">
        <f t="shared" si="0"/>
        <v>#REF!</v>
      </c>
      <c r="R48" s="6" t="e">
        <f>#REF!+#REF!+#REF!+#REF!+#REF!+#REF!+#REF!+#REF!+#REF!+#REF!+#REF!+#REF!+#REF!+#REF!+#REF!+#REF!+#REF!+#REF!+#REF!+#REF!+#REF!+#REF!+#REF!+#REF!+#REF!+#REF!+#REF!+#REF!+#REF!+#REF!</f>
        <v>#REF!</v>
      </c>
      <c r="S48" s="6" t="e">
        <f t="shared" si="1"/>
        <v>#REF!</v>
      </c>
      <c r="T48" s="6">
        <v>400</v>
      </c>
      <c r="U48" s="6" t="e">
        <f t="shared" si="2"/>
        <v>#REF!</v>
      </c>
      <c r="V48" s="86"/>
      <c r="W48" s="57"/>
      <c r="X48" s="46"/>
      <c r="Y48" s="61"/>
      <c r="Z48" s="66"/>
      <c r="AA48" s="61"/>
      <c r="AB48" s="67"/>
      <c r="AC48" s="61"/>
      <c r="AD48" s="66"/>
      <c r="AE48" s="61"/>
      <c r="AF48" s="52">
        <f t="shared" si="3"/>
        <v>0</v>
      </c>
      <c r="AG48" s="46" t="e">
        <f t="shared" si="4"/>
        <v>#REF!</v>
      </c>
      <c r="AH48" s="51" t="e">
        <f t="shared" si="5"/>
        <v>#REF!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/>
      <c r="D49" s="6" t="e">
        <f>#REF!+#REF!+#REF!+#REF!+#REF!+#REF!+#REF!+#REF!+#REF!+#REF!+#REF!+#REF!+#REF!+#REF!+#REF!+#REF!+#REF!+#REF!+#REF!+#REF!+#REF!+#REF!+#REF!+#REF!+#REF!+#REF!+#REF!+#REF!+#REF!+#REF!</f>
        <v>#REF!</v>
      </c>
      <c r="E49" s="6" t="e">
        <f>#REF!+#REF!+#REF!+#REF!+#REF!+#REF!+#REF!+#REF!+#REF!+#REF!+#REF!+#REF!+#REF!+#REF!+#REF!+#REF!+#REF!+#REF!+#REF!+#REF!+#REF!+#REF!+#REF!+#REF!+#REF!+#REF!+#REF!+#REF!+#REF!+#REF!</f>
        <v>#REF!</v>
      </c>
      <c r="F49" s="6" t="e">
        <f>#REF!+#REF!+#REF!+#REF!+#REF!+#REF!+#REF!+#REF!+#REF!+#REF!+#REF!+#REF!+#REF!+#REF!+#REF!+#REF!+#REF!+#REF!+#REF!+#REF!+#REF!+#REF!+#REF!+#REF!+#REF!+#REF!+#REF!+#REF!+#REF!+#REF!</f>
        <v>#REF!</v>
      </c>
      <c r="G49" s="6" t="e">
        <f>#REF!+#REF!+#REF!+#REF!+#REF!+#REF!+#REF!+#REF!+#REF!+#REF!+#REF!+#REF!+#REF!+#REF!+#REF!+#REF!+#REF!+#REF!+#REF!+#REF!+#REF!+#REF!+#REF!+#REF!+#REF!+#REF!+#REF!+#REF!+#REF!+#REF!</f>
        <v>#REF!</v>
      </c>
      <c r="H49" s="6" t="e">
        <f>#REF!+#REF!+#REF!+#REF!+#REF!+#REF!+#REF!+#REF!+#REF!+#REF!+#REF!+#REF!+#REF!+#REF!+#REF!+#REF!+#REF!+#REF!+#REF!+#REF!+#REF!+#REF!+#REF!+#REF!+#REF!+#REF!+#REF!+#REF!+#REF!+#REF!</f>
        <v>#REF!</v>
      </c>
      <c r="I49" s="6" t="e">
        <f>#REF!+#REF!+#REF!+#REF!+#REF!+#REF!+#REF!+#REF!+#REF!+#REF!+#REF!+#REF!+#REF!+#REF!+#REF!+#REF!+#REF!+#REF!+#REF!+#REF!+#REF!+#REF!+#REF!+#REF!+#REF!+#REF!+#REF!+#REF!+#REF!+#REF!</f>
        <v>#REF!</v>
      </c>
      <c r="J49" s="6" t="e">
        <f>#REF!+#REF!+#REF!+#REF!+#REF!+#REF!+#REF!+#REF!+#REF!+#REF!+#REF!+#REF!+#REF!+#REF!+#REF!+#REF!+#REF!+#REF!+#REF!+#REF!+#REF!+#REF!+#REF!+#REF!+#REF!+#REF!+#REF!+#REF!+#REF!+#REF!</f>
        <v>#REF!</v>
      </c>
      <c r="K49" s="6" t="e">
        <f>#REF!+#REF!+#REF!+#REF!+#REF!+#REF!+#REF!+#REF!+#REF!+#REF!+#REF!+#REF!+#REF!+#REF!+#REF!+#REF!+#REF!+#REF!+#REF!+#REF!+#REF!+#REF!+#REF!+#REF!+#REF!+#REF!+#REF!+#REF!+#REF!+#REF!</f>
        <v>#REF!</v>
      </c>
      <c r="L49" s="6" t="e">
        <f>#REF!+#REF!+#REF!+#REF!+#REF!+#REF!+#REF!+#REF!+#REF!+#REF!+#REF!+#REF!+#REF!+#REF!+#REF!+#REF!+#REF!+#REF!+#REF!+#REF!+#REF!+#REF!+#REF!+#REF!+#REF!+#REF!+#REF!+#REF!+#REF!+#REF!</f>
        <v>#REF!</v>
      </c>
      <c r="M49" s="6" t="e">
        <f>#REF!+#REF!+#REF!+#REF!+#REF!+#REF!+#REF!+#REF!+#REF!+#REF!+#REF!+#REF!+#REF!+#REF!+#REF!+#REF!+#REF!+#REF!+#REF!+#REF!+#REF!+#REF!+#REF!+#REF!+#REF!+#REF!+#REF!+#REF!+#REF!+#REF!</f>
        <v>#REF!</v>
      </c>
      <c r="N49" s="6" t="e">
        <f>#REF!+#REF!+#REF!+#REF!+#REF!+#REF!+#REF!+#REF!+#REF!+#REF!+#REF!+#REF!+#REF!+#REF!+#REF!+#REF!+#REF!+#REF!+#REF!+#REF!+#REF!+#REF!+#REF!+#REF!+#REF!+#REF!+#REF!+#REF!+#REF!+#REF!</f>
        <v>#REF!</v>
      </c>
      <c r="O49" s="6" t="e">
        <f>#REF!+#REF!+#REF!+#REF!+#REF!+#REF!+#REF!+#REF!+#REF!+#REF!+#REF!+#REF!+#REF!+#REF!+#REF!+#REF!+#REF!+#REF!+#REF!+#REF!+#REF!+#REF!+#REF!+#REF!+#REF!+#REF!+#REF!+#REF!+#REF!+#REF!</f>
        <v>#REF!</v>
      </c>
      <c r="P49" s="6" t="e">
        <f>#REF!+#REF!+#REF!+#REF!+#REF!+#REF!+#REF!+#REF!+#REF!+#REF!+#REF!+#REF!+#REF!+#REF!+#REF!+#REF!+#REF!+#REF!+#REF!+#REF!+#REF!+#REF!+#REF!+#REF!+#REF!+#REF!+#REF!+#REF!+#REF!+#REF!</f>
        <v>#REF!</v>
      </c>
      <c r="Q49" s="7" t="e">
        <f t="shared" si="0"/>
        <v>#REF!</v>
      </c>
      <c r="R49" s="6" t="e">
        <f>#REF!+#REF!+#REF!+#REF!+#REF!+#REF!+#REF!+#REF!+#REF!+#REF!+#REF!+#REF!+#REF!+#REF!+#REF!+#REF!+#REF!+#REF!+#REF!+#REF!+#REF!+#REF!+#REF!+#REF!+#REF!+#REF!+#REF!+#REF!+#REF!+#REF!</f>
        <v>#REF!</v>
      </c>
      <c r="S49" s="6" t="e">
        <f t="shared" si="1"/>
        <v>#REF!</v>
      </c>
      <c r="T49" s="6">
        <v>-2325</v>
      </c>
      <c r="U49" s="6" t="e">
        <f t="shared" si="2"/>
        <v>#REF!</v>
      </c>
      <c r="V49" s="86"/>
      <c r="W49" s="57"/>
      <c r="X49" s="46"/>
      <c r="Y49" s="61"/>
      <c r="Z49" s="66"/>
      <c r="AA49" s="61"/>
      <c r="AB49" s="67"/>
      <c r="AC49" s="61"/>
      <c r="AD49" s="66"/>
      <c r="AE49" s="61"/>
      <c r="AF49" s="52">
        <f t="shared" si="3"/>
        <v>0</v>
      </c>
      <c r="AG49" s="46" t="e">
        <f t="shared" si="4"/>
        <v>#REF!</v>
      </c>
      <c r="AH49" s="51" t="e">
        <f t="shared" si="5"/>
        <v>#REF!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/>
      <c r="D50" s="6" t="e">
        <f>#REF!+#REF!+#REF!+#REF!+#REF!+#REF!+#REF!+#REF!+#REF!+#REF!+#REF!+#REF!+#REF!+#REF!+#REF!+#REF!+#REF!+#REF!+#REF!+#REF!+#REF!+#REF!+#REF!+#REF!+#REF!+#REF!+#REF!+#REF!+#REF!+#REF!</f>
        <v>#REF!</v>
      </c>
      <c r="E50" s="6" t="e">
        <f>#REF!+#REF!+#REF!+#REF!+#REF!+#REF!+#REF!+#REF!+#REF!+#REF!+#REF!+#REF!+#REF!+#REF!+#REF!+#REF!+#REF!+#REF!+#REF!+#REF!+#REF!+#REF!+#REF!+#REF!+#REF!+#REF!+#REF!+#REF!+#REF!+#REF!</f>
        <v>#REF!</v>
      </c>
      <c r="F50" s="6" t="e">
        <f>#REF!+#REF!+#REF!+#REF!+#REF!+#REF!+#REF!+#REF!+#REF!+#REF!+#REF!+#REF!+#REF!+#REF!+#REF!+#REF!+#REF!+#REF!+#REF!+#REF!+#REF!+#REF!+#REF!+#REF!+#REF!+#REF!+#REF!+#REF!+#REF!+#REF!</f>
        <v>#REF!</v>
      </c>
      <c r="G50" s="6" t="e">
        <f>#REF!+#REF!+#REF!+#REF!+#REF!+#REF!+#REF!+#REF!+#REF!+#REF!+#REF!+#REF!+#REF!+#REF!+#REF!+#REF!+#REF!+#REF!+#REF!+#REF!+#REF!+#REF!+#REF!+#REF!+#REF!+#REF!+#REF!+#REF!+#REF!+#REF!</f>
        <v>#REF!</v>
      </c>
      <c r="H50" s="6" t="e">
        <f>#REF!+#REF!+#REF!+#REF!+#REF!+#REF!+#REF!+#REF!+#REF!+#REF!+#REF!+#REF!+#REF!+#REF!+#REF!+#REF!+#REF!+#REF!+#REF!+#REF!+#REF!+#REF!+#REF!+#REF!+#REF!+#REF!+#REF!+#REF!+#REF!+#REF!</f>
        <v>#REF!</v>
      </c>
      <c r="I50" s="6" t="e">
        <f>#REF!+#REF!+#REF!+#REF!+#REF!+#REF!+#REF!+#REF!+#REF!+#REF!+#REF!+#REF!+#REF!+#REF!+#REF!+#REF!+#REF!+#REF!+#REF!+#REF!+#REF!+#REF!+#REF!+#REF!+#REF!+#REF!+#REF!+#REF!+#REF!+#REF!</f>
        <v>#REF!</v>
      </c>
      <c r="J50" s="6" t="e">
        <f>#REF!+#REF!+#REF!+#REF!+#REF!+#REF!+#REF!+#REF!+#REF!+#REF!+#REF!+#REF!+#REF!+#REF!+#REF!+#REF!+#REF!+#REF!+#REF!+#REF!+#REF!+#REF!+#REF!+#REF!+#REF!+#REF!+#REF!+#REF!+#REF!+#REF!</f>
        <v>#REF!</v>
      </c>
      <c r="K50" s="6" t="e">
        <f>#REF!+#REF!+#REF!+#REF!+#REF!+#REF!+#REF!+#REF!+#REF!+#REF!+#REF!+#REF!+#REF!+#REF!+#REF!+#REF!+#REF!+#REF!+#REF!+#REF!+#REF!+#REF!+#REF!+#REF!+#REF!+#REF!+#REF!+#REF!+#REF!+#REF!</f>
        <v>#REF!</v>
      </c>
      <c r="L50" s="6" t="e">
        <f>#REF!+#REF!+#REF!+#REF!+#REF!+#REF!+#REF!+#REF!+#REF!+#REF!+#REF!+#REF!+#REF!+#REF!+#REF!+#REF!+#REF!+#REF!+#REF!+#REF!+#REF!+#REF!+#REF!+#REF!+#REF!+#REF!+#REF!+#REF!+#REF!+#REF!</f>
        <v>#REF!</v>
      </c>
      <c r="M50" s="6" t="e">
        <f>#REF!+#REF!+#REF!+#REF!+#REF!+#REF!+#REF!+#REF!+#REF!+#REF!+#REF!+#REF!+#REF!+#REF!+#REF!+#REF!+#REF!+#REF!+#REF!+#REF!+#REF!+#REF!+#REF!+#REF!+#REF!+#REF!+#REF!+#REF!+#REF!+#REF!</f>
        <v>#REF!</v>
      </c>
      <c r="N50" s="6" t="e">
        <f>#REF!+#REF!+#REF!+#REF!+#REF!+#REF!+#REF!+#REF!+#REF!+#REF!+#REF!+#REF!+#REF!+#REF!+#REF!+#REF!+#REF!+#REF!+#REF!+#REF!+#REF!+#REF!+#REF!+#REF!+#REF!+#REF!+#REF!+#REF!+#REF!+#REF!</f>
        <v>#REF!</v>
      </c>
      <c r="O50" s="6" t="e">
        <f>#REF!+#REF!+#REF!+#REF!+#REF!+#REF!+#REF!+#REF!+#REF!+#REF!+#REF!+#REF!+#REF!+#REF!+#REF!+#REF!+#REF!+#REF!+#REF!+#REF!+#REF!+#REF!+#REF!+#REF!+#REF!+#REF!+#REF!+#REF!+#REF!+#REF!</f>
        <v>#REF!</v>
      </c>
      <c r="P50" s="6" t="e">
        <f>#REF!+#REF!+#REF!+#REF!+#REF!+#REF!+#REF!+#REF!+#REF!+#REF!+#REF!+#REF!+#REF!+#REF!+#REF!+#REF!+#REF!+#REF!+#REF!+#REF!+#REF!+#REF!+#REF!+#REF!+#REF!+#REF!+#REF!+#REF!+#REF!+#REF!</f>
        <v>#REF!</v>
      </c>
      <c r="Q50" s="7" t="e">
        <f t="shared" si="0"/>
        <v>#REF!</v>
      </c>
      <c r="R50" s="6" t="e">
        <f>#REF!+#REF!+#REF!+#REF!+#REF!+#REF!+#REF!+#REF!+#REF!+#REF!+#REF!+#REF!+#REF!+#REF!+#REF!+#REF!+#REF!+#REF!+#REF!+#REF!+#REF!+#REF!+#REF!+#REF!+#REF!+#REF!+#REF!+#REF!+#REF!+#REF!</f>
        <v>#REF!</v>
      </c>
      <c r="S50" s="6" t="e">
        <f t="shared" si="1"/>
        <v>#REF!</v>
      </c>
      <c r="T50" s="6">
        <f>-18275+1700</f>
        <v>-16575</v>
      </c>
      <c r="U50" s="6" t="e">
        <f t="shared" si="2"/>
        <v>#REF!</v>
      </c>
      <c r="V50" s="86">
        <v>50</v>
      </c>
      <c r="W50" s="57"/>
      <c r="X50" s="46"/>
      <c r="Y50" s="61"/>
      <c r="Z50" s="47"/>
      <c r="AA50" s="61"/>
      <c r="AB50" s="64"/>
      <c r="AC50" s="61"/>
      <c r="AD50" s="66"/>
      <c r="AE50" s="61"/>
      <c r="AF50" s="52">
        <f t="shared" si="3"/>
        <v>0</v>
      </c>
      <c r="AG50" s="46" t="e">
        <f t="shared" si="4"/>
        <v>#REF!</v>
      </c>
      <c r="AH50" s="51" t="e">
        <f t="shared" si="5"/>
        <v>#REF!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/>
      <c r="D51" s="6" t="e">
        <f>#REF!+#REF!+#REF!+#REF!+#REF!+#REF!+#REF!+#REF!+#REF!+#REF!+#REF!+#REF!+#REF!+#REF!+#REF!+#REF!+#REF!+#REF!+#REF!+#REF!+#REF!+#REF!+#REF!+#REF!+#REF!+#REF!+#REF!+#REF!+#REF!+#REF!</f>
        <v>#REF!</v>
      </c>
      <c r="E51" s="6" t="e">
        <f>#REF!+#REF!+#REF!+#REF!+#REF!+#REF!+#REF!+#REF!+#REF!+#REF!+#REF!+#REF!+#REF!+#REF!+#REF!+#REF!+#REF!+#REF!+#REF!+#REF!+#REF!+#REF!+#REF!+#REF!+#REF!+#REF!+#REF!+#REF!+#REF!+#REF!</f>
        <v>#REF!</v>
      </c>
      <c r="F51" s="6" t="e">
        <f>#REF!+#REF!+#REF!+#REF!+#REF!+#REF!+#REF!+#REF!+#REF!+#REF!+#REF!+#REF!+#REF!+#REF!+#REF!+#REF!+#REF!+#REF!+#REF!+#REF!+#REF!+#REF!+#REF!+#REF!+#REF!+#REF!+#REF!+#REF!+#REF!+#REF!</f>
        <v>#REF!</v>
      </c>
      <c r="G51" s="6" t="e">
        <f>#REF!+#REF!+#REF!+#REF!+#REF!+#REF!+#REF!+#REF!+#REF!+#REF!+#REF!+#REF!+#REF!+#REF!+#REF!+#REF!+#REF!+#REF!+#REF!+#REF!+#REF!+#REF!+#REF!+#REF!+#REF!+#REF!+#REF!+#REF!+#REF!+#REF!</f>
        <v>#REF!</v>
      </c>
      <c r="H51" s="6" t="e">
        <f>#REF!+#REF!+#REF!+#REF!+#REF!+#REF!+#REF!+#REF!+#REF!+#REF!+#REF!+#REF!+#REF!+#REF!+#REF!+#REF!+#REF!+#REF!+#REF!+#REF!+#REF!+#REF!+#REF!+#REF!+#REF!+#REF!+#REF!+#REF!+#REF!+#REF!</f>
        <v>#REF!</v>
      </c>
      <c r="I51" s="6" t="e">
        <f>#REF!+#REF!+#REF!+#REF!+#REF!+#REF!+#REF!+#REF!+#REF!+#REF!+#REF!+#REF!+#REF!+#REF!+#REF!+#REF!+#REF!+#REF!+#REF!+#REF!+#REF!+#REF!+#REF!+#REF!+#REF!+#REF!+#REF!+#REF!+#REF!+#REF!</f>
        <v>#REF!</v>
      </c>
      <c r="J51" s="6" t="e">
        <f>#REF!+#REF!+#REF!+#REF!+#REF!+#REF!+#REF!+#REF!+#REF!+#REF!+#REF!+#REF!+#REF!+#REF!+#REF!+#REF!+#REF!+#REF!+#REF!+#REF!+#REF!+#REF!+#REF!+#REF!+#REF!+#REF!+#REF!+#REF!+#REF!+#REF!</f>
        <v>#REF!</v>
      </c>
      <c r="K51" s="6" t="e">
        <f>#REF!+#REF!+#REF!+#REF!+#REF!+#REF!+#REF!+#REF!+#REF!+#REF!+#REF!+#REF!+#REF!+#REF!+#REF!+#REF!+#REF!+#REF!+#REF!+#REF!+#REF!+#REF!+#REF!+#REF!+#REF!+#REF!+#REF!+#REF!+#REF!+#REF!</f>
        <v>#REF!</v>
      </c>
      <c r="L51" s="6" t="e">
        <f>#REF!+#REF!+#REF!+#REF!+#REF!+#REF!+#REF!+#REF!+#REF!+#REF!+#REF!+#REF!+#REF!+#REF!+#REF!+#REF!+#REF!+#REF!+#REF!+#REF!+#REF!+#REF!+#REF!+#REF!+#REF!+#REF!+#REF!+#REF!+#REF!+#REF!</f>
        <v>#REF!</v>
      </c>
      <c r="M51" s="6" t="e">
        <f>#REF!+#REF!+#REF!+#REF!+#REF!+#REF!+#REF!+#REF!+#REF!+#REF!+#REF!+#REF!+#REF!+#REF!+#REF!+#REF!+#REF!+#REF!+#REF!+#REF!+#REF!+#REF!+#REF!+#REF!+#REF!+#REF!+#REF!+#REF!+#REF!+#REF!</f>
        <v>#REF!</v>
      </c>
      <c r="N51" s="6" t="e">
        <f>#REF!+#REF!+#REF!+#REF!+#REF!+#REF!+#REF!+#REF!+#REF!+#REF!+#REF!+#REF!+#REF!+#REF!+#REF!+#REF!+#REF!+#REF!+#REF!+#REF!+#REF!+#REF!+#REF!+#REF!+#REF!+#REF!+#REF!+#REF!+#REF!+#REF!</f>
        <v>#REF!</v>
      </c>
      <c r="O51" s="6" t="e">
        <f>#REF!+#REF!+#REF!+#REF!+#REF!+#REF!+#REF!+#REF!+#REF!+#REF!+#REF!+#REF!+#REF!+#REF!+#REF!+#REF!+#REF!+#REF!+#REF!+#REF!+#REF!+#REF!+#REF!+#REF!+#REF!+#REF!+#REF!+#REF!+#REF!+#REF!</f>
        <v>#REF!</v>
      </c>
      <c r="P51" s="6" t="e">
        <f>#REF!+#REF!+#REF!+#REF!+#REF!+#REF!+#REF!+#REF!+#REF!+#REF!+#REF!+#REF!+#REF!+#REF!+#REF!+#REF!+#REF!+#REF!+#REF!+#REF!+#REF!+#REF!+#REF!+#REF!+#REF!+#REF!+#REF!+#REF!+#REF!+#REF!</f>
        <v>#REF!</v>
      </c>
      <c r="Q51" s="7" t="e">
        <f t="shared" si="0"/>
        <v>#REF!</v>
      </c>
      <c r="R51" s="6" t="e">
        <f>#REF!+#REF!+#REF!+#REF!+#REF!+#REF!+#REF!+#REF!+#REF!+#REF!+#REF!+#REF!+#REF!+#REF!+#REF!+#REF!+#REF!+#REF!+#REF!+#REF!+#REF!+#REF!+#REF!+#REF!+#REF!+#REF!+#REF!+#REF!+#REF!+#REF!</f>
        <v>#REF!</v>
      </c>
      <c r="S51" s="6" t="e">
        <f t="shared" si="1"/>
        <v>#REF!</v>
      </c>
      <c r="T51" s="6">
        <v>-3840</v>
      </c>
      <c r="U51" s="6" t="e">
        <f t="shared" si="2"/>
        <v>#REF!</v>
      </c>
      <c r="V51" s="86"/>
      <c r="W51" s="57"/>
      <c r="X51" s="46"/>
      <c r="Y51" s="61"/>
      <c r="Z51" s="66"/>
      <c r="AA51" s="61"/>
      <c r="AB51" s="67"/>
      <c r="AC51" s="61"/>
      <c r="AD51" s="66"/>
      <c r="AE51" s="61"/>
      <c r="AF51" s="52">
        <f t="shared" si="3"/>
        <v>0</v>
      </c>
      <c r="AG51" s="46" t="e">
        <f t="shared" si="4"/>
        <v>#REF!</v>
      </c>
      <c r="AH51" s="51" t="e">
        <f t="shared" si="5"/>
        <v>#REF!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/>
      <c r="D52" s="6" t="e">
        <f>#REF!+#REF!+#REF!+#REF!+#REF!+#REF!+#REF!+#REF!+#REF!+#REF!+#REF!+#REF!+#REF!+#REF!+#REF!+#REF!+#REF!+#REF!+#REF!+#REF!+#REF!+#REF!+#REF!+#REF!+#REF!+#REF!+#REF!+#REF!+#REF!+#REF!</f>
        <v>#REF!</v>
      </c>
      <c r="E52" s="6" t="e">
        <f>#REF!+#REF!+#REF!+#REF!+#REF!+#REF!+#REF!+#REF!+#REF!+#REF!+#REF!+#REF!+#REF!+#REF!+#REF!+#REF!+#REF!+#REF!+#REF!+#REF!+#REF!+#REF!+#REF!+#REF!+#REF!+#REF!+#REF!+#REF!+#REF!+#REF!</f>
        <v>#REF!</v>
      </c>
      <c r="F52" s="6" t="e">
        <f>#REF!+#REF!+#REF!+#REF!+#REF!+#REF!+#REF!+#REF!+#REF!+#REF!+#REF!+#REF!+#REF!+#REF!+#REF!+#REF!+#REF!+#REF!+#REF!+#REF!+#REF!+#REF!+#REF!+#REF!+#REF!+#REF!+#REF!+#REF!+#REF!+#REF!</f>
        <v>#REF!</v>
      </c>
      <c r="G52" s="6" t="e">
        <f>#REF!+#REF!+#REF!+#REF!+#REF!+#REF!+#REF!+#REF!+#REF!+#REF!+#REF!+#REF!+#REF!+#REF!+#REF!+#REF!+#REF!+#REF!+#REF!+#REF!+#REF!+#REF!+#REF!+#REF!+#REF!+#REF!+#REF!+#REF!+#REF!+#REF!</f>
        <v>#REF!</v>
      </c>
      <c r="H52" s="6" t="e">
        <f>#REF!+#REF!+#REF!+#REF!+#REF!+#REF!+#REF!+#REF!+#REF!+#REF!+#REF!+#REF!+#REF!+#REF!+#REF!+#REF!+#REF!+#REF!+#REF!+#REF!+#REF!+#REF!+#REF!+#REF!+#REF!+#REF!+#REF!+#REF!+#REF!+#REF!</f>
        <v>#REF!</v>
      </c>
      <c r="I52" s="6" t="e">
        <f>#REF!+#REF!+#REF!+#REF!+#REF!+#REF!+#REF!+#REF!+#REF!+#REF!+#REF!+#REF!+#REF!+#REF!+#REF!+#REF!+#REF!+#REF!+#REF!+#REF!+#REF!+#REF!+#REF!+#REF!+#REF!+#REF!+#REF!+#REF!+#REF!+#REF!</f>
        <v>#REF!</v>
      </c>
      <c r="J52" s="6" t="e">
        <f>#REF!+#REF!+#REF!+#REF!+#REF!+#REF!+#REF!+#REF!+#REF!+#REF!+#REF!+#REF!+#REF!+#REF!+#REF!+#REF!+#REF!+#REF!+#REF!+#REF!+#REF!+#REF!+#REF!+#REF!+#REF!+#REF!+#REF!+#REF!+#REF!+#REF!</f>
        <v>#REF!</v>
      </c>
      <c r="K52" s="6" t="e">
        <f>#REF!+#REF!+#REF!+#REF!+#REF!+#REF!+#REF!+#REF!+#REF!+#REF!+#REF!+#REF!+#REF!+#REF!+#REF!+#REF!+#REF!+#REF!+#REF!+#REF!+#REF!+#REF!+#REF!+#REF!+#REF!+#REF!+#REF!+#REF!+#REF!+#REF!</f>
        <v>#REF!</v>
      </c>
      <c r="L52" s="6" t="e">
        <f>#REF!+#REF!+#REF!+#REF!+#REF!+#REF!+#REF!+#REF!+#REF!+#REF!+#REF!+#REF!+#REF!+#REF!+#REF!+#REF!+#REF!+#REF!+#REF!+#REF!+#REF!+#REF!+#REF!+#REF!+#REF!+#REF!+#REF!+#REF!+#REF!+#REF!</f>
        <v>#REF!</v>
      </c>
      <c r="M52" s="6" t="e">
        <f>#REF!+#REF!+#REF!+#REF!+#REF!+#REF!+#REF!+#REF!+#REF!+#REF!+#REF!+#REF!+#REF!+#REF!+#REF!+#REF!+#REF!+#REF!+#REF!+#REF!+#REF!+#REF!+#REF!+#REF!+#REF!+#REF!+#REF!+#REF!+#REF!+#REF!</f>
        <v>#REF!</v>
      </c>
      <c r="N52" s="6" t="e">
        <f>#REF!+#REF!+#REF!+#REF!+#REF!+#REF!+#REF!+#REF!+#REF!+#REF!+#REF!+#REF!+#REF!+#REF!+#REF!+#REF!+#REF!+#REF!+#REF!+#REF!+#REF!+#REF!+#REF!+#REF!+#REF!+#REF!+#REF!+#REF!+#REF!+#REF!</f>
        <v>#REF!</v>
      </c>
      <c r="O52" s="6" t="e">
        <f>#REF!+#REF!+#REF!+#REF!+#REF!+#REF!+#REF!+#REF!+#REF!+#REF!+#REF!+#REF!+#REF!+#REF!+#REF!+#REF!+#REF!+#REF!+#REF!+#REF!+#REF!+#REF!+#REF!+#REF!+#REF!+#REF!+#REF!+#REF!+#REF!+#REF!</f>
        <v>#REF!</v>
      </c>
      <c r="P52" s="6" t="e">
        <f>#REF!+#REF!+#REF!+#REF!+#REF!+#REF!+#REF!+#REF!+#REF!+#REF!+#REF!+#REF!+#REF!+#REF!+#REF!+#REF!+#REF!+#REF!+#REF!+#REF!+#REF!+#REF!+#REF!+#REF!+#REF!+#REF!+#REF!+#REF!+#REF!+#REF!</f>
        <v>#REF!</v>
      </c>
      <c r="Q52" s="7" t="e">
        <f t="shared" si="0"/>
        <v>#REF!</v>
      </c>
      <c r="R52" s="6" t="e">
        <f>#REF!+#REF!+#REF!+#REF!+#REF!+#REF!+#REF!+#REF!+#REF!+#REF!+#REF!+#REF!+#REF!+#REF!+#REF!+#REF!+#REF!+#REF!+#REF!+#REF!+#REF!+#REF!+#REF!+#REF!+#REF!+#REF!+#REF!+#REF!+#REF!+#REF!</f>
        <v>#REF!</v>
      </c>
      <c r="S52" s="6" t="e">
        <f t="shared" si="1"/>
        <v>#REF!</v>
      </c>
      <c r="T52" s="6">
        <v>-2760</v>
      </c>
      <c r="U52" s="6" t="e">
        <f t="shared" si="2"/>
        <v>#REF!</v>
      </c>
      <c r="V52" s="86"/>
      <c r="W52" s="57"/>
      <c r="X52" s="46"/>
      <c r="Y52" s="61"/>
      <c r="Z52" s="66"/>
      <c r="AA52" s="61"/>
      <c r="AB52" s="67"/>
      <c r="AC52" s="61"/>
      <c r="AD52" s="66"/>
      <c r="AE52" s="61"/>
      <c r="AF52" s="52">
        <f t="shared" si="3"/>
        <v>0</v>
      </c>
      <c r="AG52" s="46" t="e">
        <f t="shared" si="4"/>
        <v>#REF!</v>
      </c>
      <c r="AH52" s="51" t="e">
        <f t="shared" si="5"/>
        <v>#REF!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/>
      <c r="D53" s="6" t="e">
        <f>#REF!+#REF!+#REF!+#REF!+#REF!+#REF!+#REF!+#REF!+#REF!+#REF!+#REF!+#REF!+#REF!+#REF!+#REF!+#REF!+#REF!+#REF!+#REF!+#REF!+#REF!+#REF!+#REF!+#REF!+#REF!+#REF!+#REF!+#REF!+#REF!+#REF!</f>
        <v>#REF!</v>
      </c>
      <c r="E53" s="6" t="e">
        <f>#REF!+#REF!+#REF!+#REF!+#REF!+#REF!+#REF!+#REF!+#REF!+#REF!+#REF!+#REF!+#REF!+#REF!+#REF!+#REF!+#REF!+#REF!+#REF!+#REF!+#REF!+#REF!+#REF!+#REF!+#REF!+#REF!+#REF!+#REF!+#REF!+#REF!</f>
        <v>#REF!</v>
      </c>
      <c r="F53" s="6" t="e">
        <f>#REF!+#REF!+#REF!+#REF!+#REF!+#REF!+#REF!+#REF!+#REF!+#REF!+#REF!+#REF!+#REF!+#REF!+#REF!+#REF!+#REF!+#REF!+#REF!+#REF!+#REF!+#REF!+#REF!+#REF!+#REF!+#REF!+#REF!+#REF!+#REF!+#REF!</f>
        <v>#REF!</v>
      </c>
      <c r="G53" s="6" t="e">
        <f>#REF!+#REF!+#REF!+#REF!+#REF!+#REF!+#REF!+#REF!+#REF!+#REF!+#REF!+#REF!+#REF!+#REF!+#REF!+#REF!+#REF!+#REF!+#REF!+#REF!+#REF!+#REF!+#REF!+#REF!+#REF!+#REF!+#REF!+#REF!+#REF!+#REF!</f>
        <v>#REF!</v>
      </c>
      <c r="H53" s="6" t="e">
        <f>#REF!+#REF!+#REF!+#REF!+#REF!+#REF!+#REF!+#REF!+#REF!+#REF!+#REF!+#REF!+#REF!+#REF!+#REF!+#REF!+#REF!+#REF!+#REF!+#REF!+#REF!+#REF!+#REF!+#REF!+#REF!+#REF!+#REF!+#REF!+#REF!+#REF!</f>
        <v>#REF!</v>
      </c>
      <c r="I53" s="6" t="e">
        <f>#REF!+#REF!+#REF!+#REF!+#REF!+#REF!+#REF!+#REF!+#REF!+#REF!+#REF!+#REF!+#REF!+#REF!+#REF!+#REF!+#REF!+#REF!+#REF!+#REF!+#REF!+#REF!+#REF!+#REF!+#REF!+#REF!+#REF!+#REF!+#REF!+#REF!</f>
        <v>#REF!</v>
      </c>
      <c r="J53" s="6" t="e">
        <f>#REF!+#REF!+#REF!+#REF!+#REF!+#REF!+#REF!+#REF!+#REF!+#REF!+#REF!+#REF!+#REF!+#REF!+#REF!+#REF!+#REF!+#REF!+#REF!+#REF!+#REF!+#REF!+#REF!+#REF!+#REF!+#REF!+#REF!+#REF!+#REF!+#REF!</f>
        <v>#REF!</v>
      </c>
      <c r="K53" s="6" t="e">
        <f>#REF!+#REF!+#REF!+#REF!+#REF!+#REF!+#REF!+#REF!+#REF!+#REF!+#REF!+#REF!+#REF!+#REF!+#REF!+#REF!+#REF!+#REF!+#REF!+#REF!+#REF!+#REF!+#REF!+#REF!+#REF!+#REF!+#REF!+#REF!+#REF!+#REF!</f>
        <v>#REF!</v>
      </c>
      <c r="L53" s="6" t="e">
        <f>#REF!+#REF!+#REF!+#REF!+#REF!+#REF!+#REF!+#REF!+#REF!+#REF!+#REF!+#REF!+#REF!+#REF!+#REF!+#REF!+#REF!+#REF!+#REF!+#REF!+#REF!+#REF!+#REF!+#REF!+#REF!+#REF!+#REF!+#REF!+#REF!+#REF!</f>
        <v>#REF!</v>
      </c>
      <c r="M53" s="6" t="e">
        <f>#REF!+#REF!+#REF!+#REF!+#REF!+#REF!+#REF!+#REF!+#REF!+#REF!+#REF!+#REF!+#REF!+#REF!+#REF!+#REF!+#REF!+#REF!+#REF!+#REF!+#REF!+#REF!+#REF!+#REF!+#REF!+#REF!+#REF!+#REF!+#REF!+#REF!</f>
        <v>#REF!</v>
      </c>
      <c r="N53" s="6" t="e">
        <f>#REF!+#REF!+#REF!+#REF!+#REF!+#REF!+#REF!+#REF!+#REF!+#REF!+#REF!+#REF!+#REF!+#REF!+#REF!+#REF!+#REF!+#REF!+#REF!+#REF!+#REF!+#REF!+#REF!+#REF!+#REF!+#REF!+#REF!+#REF!+#REF!+#REF!</f>
        <v>#REF!</v>
      </c>
      <c r="O53" s="6" t="e">
        <f>#REF!+#REF!+#REF!+#REF!+#REF!+#REF!+#REF!+#REF!+#REF!+#REF!+#REF!+#REF!+#REF!+#REF!+#REF!+#REF!+#REF!+#REF!+#REF!+#REF!+#REF!+#REF!+#REF!+#REF!+#REF!+#REF!+#REF!+#REF!+#REF!+#REF!</f>
        <v>#REF!</v>
      </c>
      <c r="P53" s="6" t="e">
        <f>#REF!+#REF!+#REF!+#REF!+#REF!+#REF!+#REF!+#REF!+#REF!+#REF!+#REF!+#REF!+#REF!+#REF!+#REF!+#REF!+#REF!+#REF!+#REF!+#REF!+#REF!+#REF!+#REF!+#REF!+#REF!+#REF!+#REF!+#REF!+#REF!+#REF!</f>
        <v>#REF!</v>
      </c>
      <c r="Q53" s="7" t="e">
        <f t="shared" si="0"/>
        <v>#REF!</v>
      </c>
      <c r="R53" s="6" t="e">
        <f>#REF!+#REF!+#REF!+#REF!+#REF!+#REF!+#REF!+#REF!+#REF!+#REF!+#REF!+#REF!+#REF!+#REF!+#REF!+#REF!+#REF!+#REF!+#REF!+#REF!+#REF!+#REF!+#REF!+#REF!+#REF!+#REF!+#REF!+#REF!+#REF!+#REF!</f>
        <v>#REF!</v>
      </c>
      <c r="S53" s="6" t="e">
        <f t="shared" si="1"/>
        <v>#REF!</v>
      </c>
      <c r="T53" s="6">
        <v>-6125</v>
      </c>
      <c r="U53" s="6" t="e">
        <f t="shared" si="2"/>
        <v>#REF!</v>
      </c>
      <c r="V53" s="86">
        <v>50</v>
      </c>
      <c r="W53" s="57"/>
      <c r="X53" s="46"/>
      <c r="Y53" s="61"/>
      <c r="Z53" s="66"/>
      <c r="AA53" s="61"/>
      <c r="AB53" s="67"/>
      <c r="AC53" s="61"/>
      <c r="AD53" s="66"/>
      <c r="AE53" s="61"/>
      <c r="AF53" s="52">
        <f t="shared" si="3"/>
        <v>0</v>
      </c>
      <c r="AG53" s="46" t="e">
        <f t="shared" si="4"/>
        <v>#REF!</v>
      </c>
      <c r="AH53" s="51" t="e">
        <f t="shared" si="5"/>
        <v>#REF!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/>
      <c r="D54" s="6" t="e">
        <f>#REF!+#REF!+#REF!+#REF!+#REF!+#REF!+#REF!+#REF!+#REF!+#REF!+#REF!+#REF!+#REF!+#REF!+#REF!+#REF!+#REF!+#REF!+#REF!+#REF!+#REF!+#REF!+#REF!+#REF!+#REF!+#REF!+#REF!+#REF!+#REF!+#REF!</f>
        <v>#REF!</v>
      </c>
      <c r="E54" s="6" t="e">
        <f>#REF!+#REF!+#REF!+#REF!+#REF!+#REF!+#REF!+#REF!+#REF!+#REF!+#REF!+#REF!+#REF!+#REF!+#REF!+#REF!+#REF!+#REF!+#REF!+#REF!+#REF!+#REF!+#REF!+#REF!+#REF!+#REF!+#REF!+#REF!+#REF!+#REF!</f>
        <v>#REF!</v>
      </c>
      <c r="F54" s="6" t="e">
        <f>#REF!+#REF!+#REF!+#REF!+#REF!+#REF!+#REF!+#REF!+#REF!+#REF!+#REF!+#REF!+#REF!+#REF!+#REF!+#REF!+#REF!+#REF!+#REF!+#REF!+#REF!+#REF!+#REF!+#REF!+#REF!+#REF!+#REF!+#REF!+#REF!+#REF!</f>
        <v>#REF!</v>
      </c>
      <c r="G54" s="6" t="e">
        <f>#REF!+#REF!+#REF!+#REF!+#REF!+#REF!+#REF!+#REF!+#REF!+#REF!+#REF!+#REF!+#REF!+#REF!+#REF!+#REF!+#REF!+#REF!+#REF!+#REF!+#REF!+#REF!+#REF!+#REF!+#REF!+#REF!+#REF!+#REF!+#REF!+#REF!</f>
        <v>#REF!</v>
      </c>
      <c r="H54" s="6" t="e">
        <f>#REF!+#REF!+#REF!+#REF!+#REF!+#REF!+#REF!+#REF!+#REF!+#REF!+#REF!+#REF!+#REF!+#REF!+#REF!+#REF!+#REF!+#REF!+#REF!+#REF!+#REF!+#REF!+#REF!+#REF!+#REF!+#REF!+#REF!+#REF!+#REF!+#REF!</f>
        <v>#REF!</v>
      </c>
      <c r="I54" s="6" t="e">
        <f>#REF!+#REF!+#REF!+#REF!+#REF!+#REF!+#REF!+#REF!+#REF!+#REF!+#REF!+#REF!+#REF!+#REF!+#REF!+#REF!+#REF!+#REF!+#REF!+#REF!+#REF!+#REF!+#REF!+#REF!+#REF!+#REF!+#REF!+#REF!+#REF!+#REF!</f>
        <v>#REF!</v>
      </c>
      <c r="J54" s="6" t="e">
        <f>#REF!+#REF!+#REF!+#REF!+#REF!+#REF!+#REF!+#REF!+#REF!+#REF!+#REF!+#REF!+#REF!+#REF!+#REF!+#REF!+#REF!+#REF!+#REF!+#REF!+#REF!+#REF!+#REF!+#REF!+#REF!+#REF!+#REF!+#REF!+#REF!+#REF!</f>
        <v>#REF!</v>
      </c>
      <c r="K54" s="6" t="e">
        <f>#REF!+#REF!+#REF!+#REF!+#REF!+#REF!+#REF!+#REF!+#REF!+#REF!+#REF!+#REF!+#REF!+#REF!+#REF!+#REF!+#REF!+#REF!+#REF!+#REF!+#REF!+#REF!+#REF!+#REF!+#REF!+#REF!+#REF!+#REF!+#REF!+#REF!</f>
        <v>#REF!</v>
      </c>
      <c r="L54" s="6" t="e">
        <f>#REF!+#REF!+#REF!+#REF!+#REF!+#REF!+#REF!+#REF!+#REF!+#REF!+#REF!+#REF!+#REF!+#REF!+#REF!+#REF!+#REF!+#REF!+#REF!+#REF!+#REF!+#REF!+#REF!+#REF!+#REF!+#REF!+#REF!+#REF!+#REF!+#REF!</f>
        <v>#REF!</v>
      </c>
      <c r="M54" s="6" t="e">
        <f>#REF!+#REF!+#REF!+#REF!+#REF!+#REF!+#REF!+#REF!+#REF!+#REF!+#REF!+#REF!+#REF!+#REF!+#REF!+#REF!+#REF!+#REF!+#REF!+#REF!+#REF!+#REF!+#REF!+#REF!+#REF!+#REF!+#REF!+#REF!+#REF!+#REF!</f>
        <v>#REF!</v>
      </c>
      <c r="N54" s="6" t="e">
        <f>#REF!+#REF!+#REF!+#REF!+#REF!+#REF!+#REF!+#REF!+#REF!+#REF!+#REF!+#REF!+#REF!+#REF!+#REF!+#REF!+#REF!+#REF!+#REF!+#REF!+#REF!+#REF!+#REF!+#REF!+#REF!+#REF!+#REF!+#REF!+#REF!+#REF!</f>
        <v>#REF!</v>
      </c>
      <c r="O54" s="6" t="e">
        <f>#REF!+#REF!+#REF!+#REF!+#REF!+#REF!+#REF!+#REF!+#REF!+#REF!+#REF!+#REF!+#REF!+#REF!+#REF!+#REF!+#REF!+#REF!+#REF!+#REF!+#REF!+#REF!+#REF!+#REF!+#REF!+#REF!+#REF!+#REF!+#REF!+#REF!</f>
        <v>#REF!</v>
      </c>
      <c r="P54" s="6" t="e">
        <f>#REF!+#REF!+#REF!+#REF!+#REF!+#REF!+#REF!+#REF!+#REF!+#REF!+#REF!+#REF!+#REF!+#REF!+#REF!+#REF!+#REF!+#REF!+#REF!+#REF!+#REF!+#REF!+#REF!+#REF!+#REF!+#REF!+#REF!+#REF!+#REF!+#REF!</f>
        <v>#REF!</v>
      </c>
      <c r="Q54" s="7" t="e">
        <f t="shared" si="0"/>
        <v>#REF!</v>
      </c>
      <c r="R54" s="6" t="e">
        <f>#REF!+#REF!+#REF!+#REF!+#REF!+#REF!+#REF!+#REF!+#REF!+#REF!+#REF!+#REF!+#REF!+#REF!+#REF!+#REF!+#REF!+#REF!+#REF!+#REF!+#REF!+#REF!+#REF!+#REF!+#REF!+#REF!+#REF!+#REF!+#REF!+#REF!</f>
        <v>#REF!</v>
      </c>
      <c r="S54" s="6" t="e">
        <f t="shared" si="1"/>
        <v>#REF!</v>
      </c>
      <c r="T54" s="6">
        <v>-2950</v>
      </c>
      <c r="U54" s="6" t="e">
        <f t="shared" si="2"/>
        <v>#REF!</v>
      </c>
      <c r="V54" s="86">
        <v>275</v>
      </c>
      <c r="W54" s="57"/>
      <c r="X54" s="46"/>
      <c r="Y54" s="61"/>
      <c r="Z54" s="66"/>
      <c r="AA54" s="61"/>
      <c r="AB54" s="67"/>
      <c r="AC54" s="61"/>
      <c r="AD54" s="66"/>
      <c r="AE54" s="61"/>
      <c r="AF54" s="52">
        <f t="shared" si="3"/>
        <v>0</v>
      </c>
      <c r="AG54" s="46" t="e">
        <f t="shared" si="4"/>
        <v>#REF!</v>
      </c>
      <c r="AH54" s="51" t="e">
        <f t="shared" si="5"/>
        <v>#REF!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/>
      <c r="D55" s="6" t="e">
        <f>#REF!+#REF!+#REF!+#REF!+#REF!+#REF!+#REF!+#REF!+#REF!+#REF!+#REF!+#REF!+#REF!+#REF!+#REF!+#REF!+#REF!+#REF!+#REF!+#REF!+#REF!+#REF!+#REF!+#REF!+#REF!+#REF!+#REF!+#REF!+#REF!+#REF!</f>
        <v>#REF!</v>
      </c>
      <c r="E55" s="6" t="e">
        <f>#REF!+#REF!+#REF!+#REF!+#REF!+#REF!+#REF!+#REF!+#REF!+#REF!+#REF!+#REF!+#REF!+#REF!+#REF!+#REF!+#REF!+#REF!+#REF!+#REF!+#REF!+#REF!+#REF!+#REF!+#REF!+#REF!+#REF!+#REF!+#REF!+#REF!</f>
        <v>#REF!</v>
      </c>
      <c r="F55" s="6" t="e">
        <f>#REF!+#REF!+#REF!+#REF!+#REF!+#REF!+#REF!+#REF!+#REF!+#REF!+#REF!+#REF!+#REF!+#REF!+#REF!+#REF!+#REF!+#REF!+#REF!+#REF!+#REF!+#REF!+#REF!+#REF!+#REF!+#REF!+#REF!+#REF!+#REF!+#REF!</f>
        <v>#REF!</v>
      </c>
      <c r="G55" s="6" t="e">
        <f>#REF!+#REF!+#REF!+#REF!+#REF!+#REF!+#REF!+#REF!+#REF!+#REF!+#REF!+#REF!+#REF!+#REF!+#REF!+#REF!+#REF!+#REF!+#REF!+#REF!+#REF!+#REF!+#REF!+#REF!+#REF!+#REF!+#REF!+#REF!+#REF!+#REF!</f>
        <v>#REF!</v>
      </c>
      <c r="H55" s="6" t="e">
        <f>#REF!+#REF!+#REF!+#REF!+#REF!+#REF!+#REF!+#REF!+#REF!+#REF!+#REF!+#REF!+#REF!+#REF!+#REF!+#REF!+#REF!+#REF!+#REF!+#REF!+#REF!+#REF!+#REF!+#REF!+#REF!+#REF!+#REF!+#REF!+#REF!+#REF!</f>
        <v>#REF!</v>
      </c>
      <c r="I55" s="6" t="e">
        <f>#REF!+#REF!+#REF!+#REF!+#REF!+#REF!+#REF!+#REF!+#REF!+#REF!+#REF!+#REF!+#REF!+#REF!+#REF!+#REF!+#REF!+#REF!+#REF!+#REF!+#REF!+#REF!+#REF!+#REF!+#REF!+#REF!+#REF!+#REF!+#REF!+#REF!</f>
        <v>#REF!</v>
      </c>
      <c r="J55" s="6" t="e">
        <f>#REF!+#REF!+#REF!+#REF!+#REF!+#REF!+#REF!+#REF!+#REF!+#REF!+#REF!+#REF!+#REF!+#REF!+#REF!+#REF!+#REF!+#REF!+#REF!+#REF!+#REF!+#REF!+#REF!+#REF!+#REF!+#REF!+#REF!+#REF!+#REF!+#REF!</f>
        <v>#REF!</v>
      </c>
      <c r="K55" s="6" t="e">
        <f>#REF!+#REF!+#REF!+#REF!+#REF!+#REF!+#REF!+#REF!+#REF!+#REF!+#REF!+#REF!+#REF!+#REF!+#REF!+#REF!+#REF!+#REF!+#REF!+#REF!+#REF!+#REF!+#REF!+#REF!+#REF!+#REF!+#REF!+#REF!+#REF!+#REF!</f>
        <v>#REF!</v>
      </c>
      <c r="L55" s="6" t="e">
        <f>#REF!+#REF!+#REF!+#REF!+#REF!+#REF!+#REF!+#REF!+#REF!+#REF!+#REF!+#REF!+#REF!+#REF!+#REF!+#REF!+#REF!+#REF!+#REF!+#REF!+#REF!+#REF!+#REF!+#REF!+#REF!+#REF!+#REF!+#REF!+#REF!+#REF!</f>
        <v>#REF!</v>
      </c>
      <c r="M55" s="6" t="e">
        <f>#REF!+#REF!+#REF!+#REF!+#REF!+#REF!+#REF!+#REF!+#REF!+#REF!+#REF!+#REF!+#REF!+#REF!+#REF!+#REF!+#REF!+#REF!+#REF!+#REF!+#REF!+#REF!+#REF!+#REF!+#REF!+#REF!+#REF!+#REF!+#REF!+#REF!</f>
        <v>#REF!</v>
      </c>
      <c r="N55" s="6" t="e">
        <f>#REF!+#REF!+#REF!+#REF!+#REF!+#REF!+#REF!+#REF!+#REF!+#REF!+#REF!+#REF!+#REF!+#REF!+#REF!+#REF!+#REF!+#REF!+#REF!+#REF!+#REF!+#REF!+#REF!+#REF!+#REF!+#REF!+#REF!+#REF!+#REF!+#REF!</f>
        <v>#REF!</v>
      </c>
      <c r="O55" s="6" t="e">
        <f>#REF!+#REF!+#REF!+#REF!+#REF!+#REF!+#REF!+#REF!+#REF!+#REF!+#REF!+#REF!+#REF!+#REF!+#REF!+#REF!+#REF!+#REF!+#REF!+#REF!+#REF!+#REF!+#REF!+#REF!+#REF!+#REF!+#REF!+#REF!+#REF!+#REF!</f>
        <v>#REF!</v>
      </c>
      <c r="P55" s="6" t="e">
        <f>#REF!+#REF!+#REF!+#REF!+#REF!+#REF!+#REF!+#REF!+#REF!+#REF!+#REF!+#REF!+#REF!+#REF!+#REF!+#REF!+#REF!+#REF!+#REF!+#REF!+#REF!+#REF!+#REF!+#REF!+#REF!+#REF!+#REF!+#REF!+#REF!+#REF!</f>
        <v>#REF!</v>
      </c>
      <c r="Q55" s="7" t="e">
        <f t="shared" si="0"/>
        <v>#REF!</v>
      </c>
      <c r="R55" s="6" t="e">
        <f>#REF!+#REF!+#REF!+#REF!+#REF!+#REF!+#REF!+#REF!+#REF!+#REF!+#REF!+#REF!+#REF!+#REF!+#REF!+#REF!+#REF!+#REF!+#REF!+#REF!+#REF!+#REF!+#REF!+#REF!+#REF!+#REF!+#REF!+#REF!+#REF!+#REF!</f>
        <v>#REF!</v>
      </c>
      <c r="S55" s="6" t="e">
        <f t="shared" si="1"/>
        <v>#REF!</v>
      </c>
      <c r="T55" s="6">
        <v>-100</v>
      </c>
      <c r="U55" s="6" t="e">
        <f t="shared" si="2"/>
        <v>#REF!</v>
      </c>
      <c r="V55" s="86"/>
      <c r="W55" s="57"/>
      <c r="X55" s="46"/>
      <c r="Y55" s="61"/>
      <c r="Z55" s="66"/>
      <c r="AA55" s="61"/>
      <c r="AB55" s="67"/>
      <c r="AC55" s="61"/>
      <c r="AD55" s="66"/>
      <c r="AE55" s="61"/>
      <c r="AF55" s="52">
        <f t="shared" si="3"/>
        <v>0</v>
      </c>
      <c r="AG55" s="46" t="e">
        <f t="shared" si="4"/>
        <v>#REF!</v>
      </c>
      <c r="AH55" s="51" t="e">
        <f t="shared" si="5"/>
        <v>#REF!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/>
      <c r="D56" s="6" t="e">
        <f>#REF!+#REF!+#REF!+#REF!+#REF!+#REF!+#REF!+#REF!+#REF!+#REF!+#REF!+#REF!+#REF!+#REF!+#REF!+#REF!+#REF!+#REF!+#REF!+#REF!+#REF!+#REF!+#REF!+#REF!+#REF!+#REF!+#REF!+#REF!+#REF!+#REF!</f>
        <v>#REF!</v>
      </c>
      <c r="E56" s="6" t="e">
        <f>#REF!+#REF!+#REF!+#REF!+#REF!+#REF!+#REF!+#REF!+#REF!+#REF!+#REF!+#REF!+#REF!+#REF!+#REF!+#REF!+#REF!+#REF!+#REF!+#REF!+#REF!+#REF!+#REF!+#REF!+#REF!+#REF!+#REF!+#REF!+#REF!+#REF!</f>
        <v>#REF!</v>
      </c>
      <c r="F56" s="6" t="e">
        <f>#REF!+#REF!+#REF!+#REF!+#REF!+#REF!+#REF!+#REF!+#REF!+#REF!+#REF!+#REF!+#REF!+#REF!+#REF!+#REF!+#REF!+#REF!+#REF!+#REF!+#REF!+#REF!+#REF!+#REF!+#REF!+#REF!+#REF!+#REF!+#REF!+#REF!</f>
        <v>#REF!</v>
      </c>
      <c r="G56" s="6" t="e">
        <f>#REF!+#REF!+#REF!+#REF!+#REF!+#REF!+#REF!+#REF!+#REF!+#REF!+#REF!+#REF!+#REF!+#REF!+#REF!+#REF!+#REF!+#REF!+#REF!+#REF!+#REF!+#REF!+#REF!+#REF!+#REF!+#REF!+#REF!+#REF!+#REF!+#REF!</f>
        <v>#REF!</v>
      </c>
      <c r="H56" s="6" t="e">
        <f>#REF!+#REF!+#REF!+#REF!+#REF!+#REF!+#REF!+#REF!+#REF!+#REF!+#REF!+#REF!+#REF!+#REF!+#REF!+#REF!+#REF!+#REF!+#REF!+#REF!+#REF!+#REF!+#REF!+#REF!+#REF!+#REF!+#REF!+#REF!+#REF!+#REF!</f>
        <v>#REF!</v>
      </c>
      <c r="I56" s="6" t="e">
        <f>#REF!+#REF!+#REF!+#REF!+#REF!+#REF!+#REF!+#REF!+#REF!+#REF!+#REF!+#REF!+#REF!+#REF!+#REF!+#REF!+#REF!+#REF!+#REF!+#REF!+#REF!+#REF!+#REF!+#REF!+#REF!+#REF!+#REF!+#REF!+#REF!+#REF!</f>
        <v>#REF!</v>
      </c>
      <c r="J56" s="6" t="e">
        <f>#REF!+#REF!+#REF!+#REF!+#REF!+#REF!+#REF!+#REF!+#REF!+#REF!+#REF!+#REF!+#REF!+#REF!+#REF!+#REF!+#REF!+#REF!+#REF!+#REF!+#REF!+#REF!+#REF!+#REF!+#REF!+#REF!+#REF!+#REF!+#REF!+#REF!</f>
        <v>#REF!</v>
      </c>
      <c r="K56" s="6" t="e">
        <f>#REF!+#REF!+#REF!+#REF!+#REF!+#REF!+#REF!+#REF!+#REF!+#REF!+#REF!+#REF!+#REF!+#REF!+#REF!+#REF!+#REF!+#REF!+#REF!+#REF!+#REF!+#REF!+#REF!+#REF!+#REF!+#REF!+#REF!+#REF!+#REF!+#REF!</f>
        <v>#REF!</v>
      </c>
      <c r="L56" s="6" t="e">
        <f>#REF!+#REF!+#REF!+#REF!+#REF!+#REF!+#REF!+#REF!+#REF!+#REF!+#REF!+#REF!+#REF!+#REF!+#REF!+#REF!+#REF!+#REF!+#REF!+#REF!+#REF!+#REF!+#REF!+#REF!+#REF!+#REF!+#REF!+#REF!+#REF!+#REF!</f>
        <v>#REF!</v>
      </c>
      <c r="M56" s="6" t="e">
        <f>#REF!+#REF!+#REF!+#REF!+#REF!+#REF!+#REF!+#REF!+#REF!+#REF!+#REF!+#REF!+#REF!+#REF!+#REF!+#REF!+#REF!+#REF!+#REF!+#REF!+#REF!+#REF!+#REF!+#REF!+#REF!+#REF!+#REF!+#REF!+#REF!+#REF!</f>
        <v>#REF!</v>
      </c>
      <c r="N56" s="6" t="e">
        <f>#REF!+#REF!+#REF!+#REF!+#REF!+#REF!+#REF!+#REF!+#REF!+#REF!+#REF!+#REF!+#REF!+#REF!+#REF!+#REF!+#REF!+#REF!+#REF!+#REF!+#REF!+#REF!+#REF!+#REF!+#REF!+#REF!+#REF!+#REF!+#REF!+#REF!</f>
        <v>#REF!</v>
      </c>
      <c r="O56" s="6" t="e">
        <f>#REF!+#REF!+#REF!+#REF!+#REF!+#REF!+#REF!+#REF!+#REF!+#REF!+#REF!+#REF!+#REF!+#REF!+#REF!+#REF!+#REF!+#REF!+#REF!+#REF!+#REF!+#REF!+#REF!+#REF!+#REF!+#REF!+#REF!+#REF!+#REF!+#REF!</f>
        <v>#REF!</v>
      </c>
      <c r="P56" s="6" t="e">
        <f>#REF!+#REF!+#REF!+#REF!+#REF!+#REF!+#REF!+#REF!+#REF!+#REF!+#REF!+#REF!+#REF!+#REF!+#REF!+#REF!+#REF!+#REF!+#REF!+#REF!+#REF!+#REF!+#REF!+#REF!+#REF!+#REF!+#REF!+#REF!+#REF!+#REF!</f>
        <v>#REF!</v>
      </c>
      <c r="Q56" s="7" t="e">
        <f t="shared" si="0"/>
        <v>#REF!</v>
      </c>
      <c r="R56" s="6" t="e">
        <f>#REF!+#REF!+#REF!+#REF!+#REF!+#REF!+#REF!+#REF!+#REF!+#REF!+#REF!+#REF!+#REF!+#REF!+#REF!+#REF!+#REF!+#REF!+#REF!+#REF!+#REF!+#REF!+#REF!+#REF!+#REF!+#REF!+#REF!+#REF!+#REF!+#REF!</f>
        <v>#REF!</v>
      </c>
      <c r="S56" s="6" t="e">
        <f t="shared" si="1"/>
        <v>#REF!</v>
      </c>
      <c r="T56" s="6">
        <v>0</v>
      </c>
      <c r="U56" s="6" t="e">
        <f t="shared" si="2"/>
        <v>#REF!</v>
      </c>
      <c r="V56" s="86"/>
      <c r="W56" s="57"/>
      <c r="X56" s="46"/>
      <c r="Y56" s="61"/>
      <c r="Z56" s="66"/>
      <c r="AA56" s="61"/>
      <c r="AB56" s="67"/>
      <c r="AC56" s="61"/>
      <c r="AD56" s="66"/>
      <c r="AE56" s="61"/>
      <c r="AF56" s="52">
        <f t="shared" si="3"/>
        <v>0</v>
      </c>
      <c r="AG56" s="46" t="e">
        <f t="shared" si="4"/>
        <v>#REF!</v>
      </c>
      <c r="AH56" s="51" t="e">
        <f t="shared" si="5"/>
        <v>#REF!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/>
      <c r="D57" s="6" t="e">
        <f>#REF!+#REF!+#REF!+#REF!+#REF!+#REF!+#REF!+#REF!+#REF!+#REF!+#REF!+#REF!+#REF!+#REF!+#REF!+#REF!+#REF!+#REF!+#REF!+#REF!+#REF!+#REF!+#REF!+#REF!+#REF!+#REF!+#REF!+#REF!+#REF!+#REF!</f>
        <v>#REF!</v>
      </c>
      <c r="E57" s="6" t="e">
        <f>#REF!+#REF!+#REF!+#REF!+#REF!+#REF!+#REF!+#REF!+#REF!+#REF!+#REF!+#REF!+#REF!+#REF!+#REF!+#REF!+#REF!+#REF!+#REF!+#REF!+#REF!+#REF!+#REF!+#REF!+#REF!+#REF!+#REF!+#REF!+#REF!+#REF!</f>
        <v>#REF!</v>
      </c>
      <c r="F57" s="6" t="e">
        <f>#REF!+#REF!+#REF!+#REF!+#REF!+#REF!+#REF!+#REF!+#REF!+#REF!+#REF!+#REF!+#REF!+#REF!+#REF!+#REF!+#REF!+#REF!+#REF!+#REF!+#REF!+#REF!+#REF!+#REF!+#REF!+#REF!+#REF!+#REF!+#REF!+#REF!</f>
        <v>#REF!</v>
      </c>
      <c r="G57" s="6" t="e">
        <f>#REF!+#REF!+#REF!+#REF!+#REF!+#REF!+#REF!+#REF!+#REF!+#REF!+#REF!+#REF!+#REF!+#REF!+#REF!+#REF!+#REF!+#REF!+#REF!+#REF!+#REF!+#REF!+#REF!+#REF!+#REF!+#REF!+#REF!+#REF!+#REF!+#REF!</f>
        <v>#REF!</v>
      </c>
      <c r="H57" s="6" t="e">
        <f>#REF!+#REF!+#REF!+#REF!+#REF!+#REF!+#REF!+#REF!+#REF!+#REF!+#REF!+#REF!+#REF!+#REF!+#REF!+#REF!+#REF!+#REF!+#REF!+#REF!+#REF!+#REF!+#REF!+#REF!+#REF!+#REF!+#REF!+#REF!+#REF!+#REF!</f>
        <v>#REF!</v>
      </c>
      <c r="I57" s="6" t="e">
        <f>#REF!+#REF!+#REF!+#REF!+#REF!+#REF!+#REF!+#REF!+#REF!+#REF!+#REF!+#REF!+#REF!+#REF!+#REF!+#REF!+#REF!+#REF!+#REF!+#REF!+#REF!+#REF!+#REF!+#REF!+#REF!+#REF!+#REF!+#REF!+#REF!+#REF!</f>
        <v>#REF!</v>
      </c>
      <c r="J57" s="6" t="e">
        <f>#REF!+#REF!+#REF!+#REF!+#REF!+#REF!+#REF!+#REF!+#REF!+#REF!+#REF!+#REF!+#REF!+#REF!+#REF!+#REF!+#REF!+#REF!+#REF!+#REF!+#REF!+#REF!+#REF!+#REF!+#REF!+#REF!+#REF!+#REF!+#REF!+#REF!</f>
        <v>#REF!</v>
      </c>
      <c r="K57" s="6" t="e">
        <f>#REF!+#REF!+#REF!+#REF!+#REF!+#REF!+#REF!+#REF!+#REF!+#REF!+#REF!+#REF!+#REF!+#REF!+#REF!+#REF!+#REF!+#REF!+#REF!+#REF!+#REF!+#REF!+#REF!+#REF!+#REF!+#REF!+#REF!+#REF!+#REF!+#REF!</f>
        <v>#REF!</v>
      </c>
      <c r="L57" s="6" t="e">
        <f>#REF!+#REF!+#REF!+#REF!+#REF!+#REF!+#REF!+#REF!+#REF!+#REF!+#REF!+#REF!+#REF!+#REF!+#REF!+#REF!+#REF!+#REF!+#REF!+#REF!+#REF!+#REF!+#REF!+#REF!+#REF!+#REF!+#REF!+#REF!+#REF!+#REF!</f>
        <v>#REF!</v>
      </c>
      <c r="M57" s="6" t="e">
        <f>#REF!+#REF!+#REF!+#REF!+#REF!+#REF!+#REF!+#REF!+#REF!+#REF!+#REF!+#REF!+#REF!+#REF!+#REF!+#REF!+#REF!+#REF!+#REF!+#REF!+#REF!+#REF!+#REF!+#REF!+#REF!+#REF!+#REF!+#REF!+#REF!+#REF!</f>
        <v>#REF!</v>
      </c>
      <c r="N57" s="6" t="e">
        <f>#REF!+#REF!+#REF!+#REF!+#REF!+#REF!+#REF!+#REF!+#REF!+#REF!+#REF!+#REF!+#REF!+#REF!+#REF!+#REF!+#REF!+#REF!+#REF!+#REF!+#REF!+#REF!+#REF!+#REF!+#REF!+#REF!+#REF!+#REF!+#REF!+#REF!</f>
        <v>#REF!</v>
      </c>
      <c r="O57" s="6" t="e">
        <f>#REF!+#REF!+#REF!+#REF!+#REF!+#REF!+#REF!+#REF!+#REF!+#REF!+#REF!+#REF!+#REF!+#REF!+#REF!+#REF!+#REF!+#REF!+#REF!+#REF!+#REF!+#REF!+#REF!+#REF!+#REF!+#REF!+#REF!+#REF!+#REF!+#REF!</f>
        <v>#REF!</v>
      </c>
      <c r="P57" s="6" t="e">
        <f>#REF!+#REF!+#REF!+#REF!+#REF!+#REF!+#REF!+#REF!+#REF!+#REF!+#REF!+#REF!+#REF!+#REF!+#REF!+#REF!+#REF!+#REF!+#REF!+#REF!+#REF!+#REF!+#REF!+#REF!+#REF!+#REF!+#REF!+#REF!+#REF!+#REF!</f>
        <v>#REF!</v>
      </c>
      <c r="Q57" s="7" t="e">
        <f t="shared" si="0"/>
        <v>#REF!</v>
      </c>
      <c r="R57" s="6" t="e">
        <f>#REF!+#REF!+#REF!+#REF!+#REF!+#REF!+#REF!+#REF!+#REF!+#REF!+#REF!+#REF!+#REF!+#REF!+#REF!+#REF!+#REF!+#REF!+#REF!+#REF!+#REF!+#REF!+#REF!+#REF!+#REF!+#REF!+#REF!+#REF!+#REF!+#REF!</f>
        <v>#REF!</v>
      </c>
      <c r="S57" s="6" t="e">
        <f t="shared" si="1"/>
        <v>#REF!</v>
      </c>
      <c r="T57" s="6">
        <v>-5590</v>
      </c>
      <c r="U57" s="6" t="e">
        <f t="shared" si="2"/>
        <v>#REF!</v>
      </c>
      <c r="V57" s="7">
        <v>50</v>
      </c>
      <c r="W57" s="57"/>
      <c r="X57" s="46"/>
      <c r="Y57" s="61"/>
      <c r="Z57" s="66"/>
      <c r="AA57" s="61"/>
      <c r="AB57" s="67"/>
      <c r="AC57" s="61"/>
      <c r="AD57" s="66"/>
      <c r="AE57" s="61"/>
      <c r="AF57" s="52">
        <f t="shared" si="3"/>
        <v>0</v>
      </c>
      <c r="AG57" s="46" t="e">
        <f t="shared" si="4"/>
        <v>#REF!</v>
      </c>
      <c r="AH57" s="51" t="e">
        <f t="shared" si="5"/>
        <v>#REF!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 t="e">
        <f>#REF!+#REF!+#REF!+#REF!+#REF!+#REF!+#REF!+#REF!+#REF!+#REF!+#REF!+#REF!+#REF!+#REF!+#REF!+#REF!+#REF!+#REF!+#REF!+#REF!+#REF!+#REF!+#REF!+#REF!+#REF!+#REF!+#REF!+#REF!+#REF!+#REF!</f>
        <v>#REF!</v>
      </c>
      <c r="E58" s="6" t="e">
        <f>#REF!+#REF!+#REF!+#REF!+#REF!+#REF!+#REF!+#REF!+#REF!+#REF!+#REF!+#REF!+#REF!+#REF!+#REF!+#REF!+#REF!+#REF!+#REF!+#REF!+#REF!+#REF!+#REF!+#REF!+#REF!+#REF!+#REF!+#REF!+#REF!+#REF!</f>
        <v>#REF!</v>
      </c>
      <c r="F58" s="6" t="e">
        <f>#REF!+#REF!+#REF!+#REF!+#REF!+#REF!+#REF!+#REF!+#REF!+#REF!+#REF!+#REF!+#REF!+#REF!+#REF!+#REF!+#REF!+#REF!+#REF!+#REF!+#REF!+#REF!+#REF!+#REF!+#REF!+#REF!+#REF!+#REF!+#REF!+#REF!</f>
        <v>#REF!</v>
      </c>
      <c r="G58" s="6" t="e">
        <f>#REF!+#REF!+#REF!+#REF!+#REF!+#REF!+#REF!+#REF!+#REF!+#REF!+#REF!+#REF!+#REF!+#REF!+#REF!+#REF!+#REF!+#REF!+#REF!+#REF!+#REF!+#REF!+#REF!+#REF!+#REF!+#REF!+#REF!+#REF!+#REF!+#REF!</f>
        <v>#REF!</v>
      </c>
      <c r="H58" s="6" t="e">
        <f>#REF!+#REF!+#REF!+#REF!+#REF!+#REF!+#REF!+#REF!+#REF!+#REF!+#REF!+#REF!+#REF!+#REF!+#REF!+#REF!+#REF!+#REF!+#REF!+#REF!+#REF!+#REF!+#REF!+#REF!+#REF!+#REF!+#REF!+#REF!+#REF!+#REF!</f>
        <v>#REF!</v>
      </c>
      <c r="I58" s="6" t="e">
        <f>#REF!+#REF!+#REF!+#REF!+#REF!+#REF!+#REF!+#REF!+#REF!+#REF!+#REF!+#REF!+#REF!+#REF!+#REF!+#REF!+#REF!+#REF!+#REF!+#REF!+#REF!+#REF!+#REF!+#REF!+#REF!+#REF!+#REF!+#REF!+#REF!+#REF!</f>
        <v>#REF!</v>
      </c>
      <c r="J58" s="6" t="e">
        <f>#REF!+#REF!+#REF!+#REF!+#REF!+#REF!+#REF!+#REF!+#REF!+#REF!+#REF!+#REF!+#REF!+#REF!+#REF!+#REF!+#REF!+#REF!+#REF!+#REF!+#REF!+#REF!+#REF!+#REF!+#REF!+#REF!+#REF!+#REF!+#REF!+#REF!</f>
        <v>#REF!</v>
      </c>
      <c r="K58" s="6" t="e">
        <f>#REF!+#REF!+#REF!+#REF!+#REF!+#REF!+#REF!+#REF!+#REF!+#REF!+#REF!+#REF!+#REF!+#REF!+#REF!+#REF!+#REF!+#REF!+#REF!+#REF!+#REF!+#REF!+#REF!+#REF!+#REF!+#REF!+#REF!+#REF!+#REF!+#REF!</f>
        <v>#REF!</v>
      </c>
      <c r="L58" s="6" t="e">
        <f>#REF!+#REF!+#REF!+#REF!+#REF!+#REF!+#REF!+#REF!+#REF!+#REF!+#REF!+#REF!+#REF!+#REF!+#REF!+#REF!+#REF!+#REF!+#REF!+#REF!+#REF!+#REF!+#REF!+#REF!+#REF!+#REF!+#REF!+#REF!+#REF!+#REF!</f>
        <v>#REF!</v>
      </c>
      <c r="M58" s="6" t="e">
        <f>#REF!+#REF!+#REF!+#REF!+#REF!+#REF!+#REF!+#REF!+#REF!+#REF!+#REF!+#REF!+#REF!+#REF!+#REF!+#REF!+#REF!+#REF!+#REF!+#REF!+#REF!+#REF!+#REF!+#REF!+#REF!+#REF!+#REF!+#REF!+#REF!+#REF!</f>
        <v>#REF!</v>
      </c>
      <c r="N58" s="6" t="e">
        <f>#REF!+#REF!+#REF!+#REF!+#REF!+#REF!+#REF!+#REF!+#REF!+#REF!+#REF!+#REF!+#REF!+#REF!+#REF!+#REF!+#REF!+#REF!+#REF!+#REF!+#REF!+#REF!+#REF!+#REF!+#REF!+#REF!+#REF!+#REF!+#REF!+#REF!</f>
        <v>#REF!</v>
      </c>
      <c r="O58" s="6" t="e">
        <f>#REF!+#REF!+#REF!+#REF!+#REF!+#REF!+#REF!+#REF!+#REF!+#REF!+#REF!+#REF!+#REF!+#REF!+#REF!+#REF!+#REF!+#REF!+#REF!+#REF!+#REF!+#REF!+#REF!+#REF!+#REF!+#REF!+#REF!+#REF!+#REF!+#REF!</f>
        <v>#REF!</v>
      </c>
      <c r="P58" s="6" t="e">
        <f>#REF!+#REF!+#REF!+#REF!+#REF!+#REF!+#REF!+#REF!+#REF!+#REF!+#REF!+#REF!+#REF!+#REF!+#REF!+#REF!+#REF!+#REF!+#REF!+#REF!+#REF!+#REF!+#REF!+#REF!+#REF!+#REF!+#REF!+#REF!+#REF!+#REF!</f>
        <v>#REF!</v>
      </c>
      <c r="Q58" s="7" t="e">
        <f t="shared" si="0"/>
        <v>#REF!</v>
      </c>
      <c r="R58" s="6" t="e">
        <f>#REF!+#REF!+#REF!+#REF!+#REF!+#REF!+#REF!+#REF!+#REF!+#REF!+#REF!+#REF!+#REF!+#REF!+#REF!+#REF!+#REF!+#REF!+#REF!+#REF!+#REF!+#REF!+#REF!+#REF!+#REF!+#REF!+#REF!+#REF!+#REF!+#REF!</f>
        <v>#REF!</v>
      </c>
      <c r="S58" s="6"/>
      <c r="T58" s="6">
        <v>0</v>
      </c>
      <c r="U58" s="6">
        <f t="shared" si="2"/>
        <v>0</v>
      </c>
      <c r="V58" s="7"/>
      <c r="W58" s="57"/>
      <c r="X58" s="46"/>
      <c r="Y58" s="61"/>
      <c r="Z58" s="66"/>
      <c r="AA58" s="61"/>
      <c r="AB58" s="67"/>
      <c r="AC58" s="61"/>
      <c r="AD58" s="66"/>
      <c r="AE58" s="61"/>
      <c r="AF58" s="52">
        <f t="shared" si="3"/>
        <v>0</v>
      </c>
      <c r="AG58" s="46">
        <f t="shared" si="4"/>
        <v>0</v>
      </c>
      <c r="AH58" s="51">
        <f t="shared" si="5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/>
      <c r="D59" s="6" t="e">
        <f>#REF!+#REF!+#REF!+#REF!+#REF!+#REF!+#REF!+#REF!+#REF!+#REF!+#REF!+#REF!+#REF!+#REF!+#REF!+#REF!+#REF!+#REF!+#REF!+#REF!+#REF!+#REF!+#REF!+#REF!+#REF!+#REF!+#REF!+#REF!+#REF!+#REF!</f>
        <v>#REF!</v>
      </c>
      <c r="E59" s="6" t="e">
        <f>#REF!+#REF!+#REF!+#REF!+#REF!+#REF!+#REF!+#REF!+#REF!+#REF!+#REF!+#REF!+#REF!+#REF!+#REF!+#REF!+#REF!+#REF!+#REF!+#REF!+#REF!+#REF!+#REF!+#REF!+#REF!+#REF!+#REF!+#REF!+#REF!+#REF!</f>
        <v>#REF!</v>
      </c>
      <c r="F59" s="6" t="e">
        <f>#REF!+#REF!+#REF!+#REF!+#REF!+#REF!+#REF!+#REF!+#REF!+#REF!+#REF!+#REF!+#REF!+#REF!+#REF!+#REF!+#REF!+#REF!+#REF!+#REF!+#REF!+#REF!+#REF!+#REF!+#REF!+#REF!+#REF!+#REF!+#REF!+#REF!</f>
        <v>#REF!</v>
      </c>
      <c r="G59" s="6" t="e">
        <f>#REF!+#REF!+#REF!+#REF!+#REF!+#REF!+#REF!+#REF!+#REF!+#REF!+#REF!+#REF!+#REF!+#REF!+#REF!+#REF!+#REF!+#REF!+#REF!+#REF!+#REF!+#REF!+#REF!+#REF!+#REF!+#REF!+#REF!+#REF!+#REF!+#REF!</f>
        <v>#REF!</v>
      </c>
      <c r="H59" s="6" t="e">
        <f>#REF!+#REF!+#REF!+#REF!+#REF!+#REF!+#REF!+#REF!+#REF!+#REF!+#REF!+#REF!+#REF!+#REF!+#REF!+#REF!+#REF!+#REF!+#REF!+#REF!+#REF!+#REF!+#REF!+#REF!+#REF!+#REF!+#REF!+#REF!+#REF!+#REF!</f>
        <v>#REF!</v>
      </c>
      <c r="I59" s="6" t="e">
        <f>#REF!+#REF!+#REF!+#REF!+#REF!+#REF!+#REF!+#REF!+#REF!+#REF!+#REF!+#REF!+#REF!+#REF!+#REF!+#REF!+#REF!+#REF!+#REF!+#REF!+#REF!+#REF!+#REF!+#REF!+#REF!+#REF!+#REF!+#REF!+#REF!+#REF!</f>
        <v>#REF!</v>
      </c>
      <c r="J59" s="6" t="e">
        <f>#REF!+#REF!+#REF!+#REF!+#REF!+#REF!+#REF!+#REF!+#REF!+#REF!+#REF!+#REF!+#REF!+#REF!+#REF!+#REF!+#REF!+#REF!+#REF!+#REF!+#REF!+#REF!+#REF!+#REF!+#REF!+#REF!+#REF!+#REF!+#REF!+#REF!</f>
        <v>#REF!</v>
      </c>
      <c r="K59" s="6" t="e">
        <f>#REF!+#REF!+#REF!+#REF!+#REF!+#REF!+#REF!+#REF!+#REF!+#REF!+#REF!+#REF!+#REF!+#REF!+#REF!+#REF!+#REF!+#REF!+#REF!+#REF!+#REF!+#REF!+#REF!+#REF!+#REF!+#REF!+#REF!+#REF!+#REF!+#REF!</f>
        <v>#REF!</v>
      </c>
      <c r="L59" s="6" t="e">
        <f>#REF!+#REF!+#REF!+#REF!+#REF!+#REF!+#REF!+#REF!+#REF!+#REF!+#REF!+#REF!+#REF!+#REF!+#REF!+#REF!+#REF!+#REF!+#REF!+#REF!+#REF!+#REF!+#REF!+#REF!+#REF!+#REF!+#REF!+#REF!+#REF!+#REF!</f>
        <v>#REF!</v>
      </c>
      <c r="M59" s="6" t="e">
        <f>#REF!+#REF!+#REF!+#REF!+#REF!+#REF!+#REF!+#REF!+#REF!+#REF!+#REF!+#REF!+#REF!+#REF!+#REF!+#REF!+#REF!+#REF!+#REF!+#REF!+#REF!+#REF!+#REF!+#REF!+#REF!+#REF!+#REF!+#REF!+#REF!+#REF!</f>
        <v>#REF!</v>
      </c>
      <c r="N59" s="6" t="e">
        <f>#REF!+#REF!+#REF!+#REF!+#REF!+#REF!+#REF!+#REF!+#REF!+#REF!+#REF!+#REF!+#REF!+#REF!+#REF!+#REF!+#REF!+#REF!+#REF!+#REF!+#REF!+#REF!+#REF!+#REF!+#REF!+#REF!+#REF!+#REF!+#REF!+#REF!</f>
        <v>#REF!</v>
      </c>
      <c r="O59" s="6" t="e">
        <f>#REF!+#REF!+#REF!+#REF!+#REF!+#REF!+#REF!+#REF!+#REF!+#REF!+#REF!+#REF!+#REF!+#REF!+#REF!+#REF!+#REF!+#REF!+#REF!+#REF!+#REF!+#REF!+#REF!+#REF!+#REF!+#REF!+#REF!+#REF!+#REF!+#REF!</f>
        <v>#REF!</v>
      </c>
      <c r="P59" s="6" t="e">
        <f>#REF!+#REF!+#REF!+#REF!+#REF!+#REF!+#REF!+#REF!+#REF!+#REF!+#REF!+#REF!+#REF!+#REF!+#REF!+#REF!+#REF!+#REF!+#REF!+#REF!+#REF!+#REF!+#REF!+#REF!+#REF!+#REF!+#REF!+#REF!+#REF!+#REF!</f>
        <v>#REF!</v>
      </c>
      <c r="Q59" s="7" t="e">
        <f t="shared" si="0"/>
        <v>#REF!</v>
      </c>
      <c r="R59" s="6" t="e">
        <f>#REF!+#REF!+#REF!+#REF!+#REF!+#REF!+#REF!+#REF!+#REF!+#REF!+#REF!+#REF!+#REF!+#REF!+#REF!+#REF!+#REF!+#REF!+#REF!+#REF!+#REF!+#REF!+#REF!+#REF!+#REF!+#REF!+#REF!+#REF!+#REF!+#REF!</f>
        <v>#REF!</v>
      </c>
      <c r="S59" s="6" t="e">
        <f t="shared" si="1"/>
        <v>#REF!</v>
      </c>
      <c r="T59" s="6">
        <v>0</v>
      </c>
      <c r="U59" s="6" t="e">
        <f t="shared" si="2"/>
        <v>#REF!</v>
      </c>
      <c r="V59" s="7"/>
      <c r="W59" s="57"/>
      <c r="X59" s="46"/>
      <c r="Y59" s="61"/>
      <c r="Z59" s="66"/>
      <c r="AA59" s="61"/>
      <c r="AB59" s="67"/>
      <c r="AC59" s="61"/>
      <c r="AD59" s="66"/>
      <c r="AE59" s="61"/>
      <c r="AF59" s="52">
        <f t="shared" si="3"/>
        <v>0</v>
      </c>
      <c r="AG59" s="46" t="e">
        <f t="shared" si="4"/>
        <v>#REF!</v>
      </c>
      <c r="AH59" s="51" t="e">
        <f t="shared" si="5"/>
        <v>#REF!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/>
      <c r="D60" s="6" t="e">
        <f>#REF!+#REF!+#REF!+#REF!+#REF!+#REF!+#REF!+#REF!+#REF!+#REF!+#REF!+#REF!+#REF!+#REF!+#REF!+#REF!+#REF!+#REF!+#REF!+#REF!+#REF!+#REF!+#REF!+#REF!+#REF!+#REF!+#REF!+#REF!+#REF!+#REF!</f>
        <v>#REF!</v>
      </c>
      <c r="E60" s="6" t="e">
        <f>#REF!+#REF!+#REF!+#REF!+#REF!+#REF!+#REF!+#REF!+#REF!+#REF!+#REF!+#REF!+#REF!+#REF!+#REF!+#REF!+#REF!+#REF!+#REF!+#REF!+#REF!+#REF!+#REF!+#REF!+#REF!+#REF!+#REF!+#REF!+#REF!+#REF!</f>
        <v>#REF!</v>
      </c>
      <c r="F60" s="6" t="e">
        <f>#REF!+#REF!+#REF!+#REF!+#REF!+#REF!+#REF!+#REF!+#REF!+#REF!+#REF!+#REF!+#REF!+#REF!+#REF!+#REF!+#REF!+#REF!+#REF!+#REF!+#REF!+#REF!+#REF!+#REF!+#REF!+#REF!+#REF!+#REF!+#REF!+#REF!</f>
        <v>#REF!</v>
      </c>
      <c r="G60" s="6" t="e">
        <f>#REF!+#REF!+#REF!+#REF!+#REF!+#REF!+#REF!+#REF!+#REF!+#REF!+#REF!+#REF!+#REF!+#REF!+#REF!+#REF!+#REF!+#REF!+#REF!+#REF!+#REF!+#REF!+#REF!+#REF!+#REF!+#REF!+#REF!+#REF!+#REF!+#REF!</f>
        <v>#REF!</v>
      </c>
      <c r="H60" s="6" t="e">
        <f>#REF!+#REF!+#REF!+#REF!+#REF!+#REF!+#REF!+#REF!+#REF!+#REF!+#REF!+#REF!+#REF!+#REF!+#REF!+#REF!+#REF!+#REF!+#REF!+#REF!+#REF!+#REF!+#REF!+#REF!+#REF!+#REF!+#REF!+#REF!+#REF!+#REF!</f>
        <v>#REF!</v>
      </c>
      <c r="I60" s="6" t="e">
        <f>#REF!+#REF!+#REF!+#REF!+#REF!+#REF!+#REF!+#REF!+#REF!+#REF!+#REF!+#REF!+#REF!+#REF!+#REF!+#REF!+#REF!+#REF!+#REF!+#REF!+#REF!+#REF!+#REF!+#REF!+#REF!+#REF!+#REF!+#REF!+#REF!+#REF!</f>
        <v>#REF!</v>
      </c>
      <c r="J60" s="6" t="e">
        <f>#REF!+#REF!+#REF!+#REF!+#REF!+#REF!+#REF!+#REF!+#REF!+#REF!+#REF!+#REF!+#REF!+#REF!+#REF!+#REF!+#REF!+#REF!+#REF!+#REF!+#REF!+#REF!+#REF!+#REF!+#REF!+#REF!+#REF!+#REF!+#REF!+#REF!</f>
        <v>#REF!</v>
      </c>
      <c r="K60" s="6" t="e">
        <f>#REF!+#REF!+#REF!+#REF!+#REF!+#REF!+#REF!+#REF!+#REF!+#REF!+#REF!+#REF!+#REF!+#REF!+#REF!+#REF!+#REF!+#REF!+#REF!+#REF!+#REF!+#REF!+#REF!+#REF!+#REF!+#REF!+#REF!+#REF!+#REF!+#REF!</f>
        <v>#REF!</v>
      </c>
      <c r="L60" s="6" t="e">
        <f>#REF!+#REF!+#REF!+#REF!+#REF!+#REF!+#REF!+#REF!+#REF!+#REF!+#REF!+#REF!+#REF!+#REF!+#REF!+#REF!+#REF!+#REF!+#REF!+#REF!+#REF!+#REF!+#REF!+#REF!+#REF!+#REF!+#REF!+#REF!+#REF!+#REF!</f>
        <v>#REF!</v>
      </c>
      <c r="M60" s="6" t="e">
        <f>#REF!+#REF!+#REF!+#REF!+#REF!+#REF!+#REF!+#REF!+#REF!+#REF!+#REF!+#REF!+#REF!+#REF!+#REF!+#REF!+#REF!+#REF!+#REF!+#REF!+#REF!+#REF!+#REF!+#REF!+#REF!+#REF!+#REF!+#REF!+#REF!+#REF!</f>
        <v>#REF!</v>
      </c>
      <c r="N60" s="6" t="e">
        <f>#REF!+#REF!+#REF!+#REF!+#REF!+#REF!+#REF!+#REF!+#REF!+#REF!+#REF!+#REF!+#REF!+#REF!+#REF!+#REF!+#REF!+#REF!+#REF!+#REF!+#REF!+#REF!+#REF!+#REF!+#REF!+#REF!+#REF!+#REF!+#REF!+#REF!</f>
        <v>#REF!</v>
      </c>
      <c r="O60" s="6" t="e">
        <f>#REF!+#REF!+#REF!+#REF!+#REF!+#REF!+#REF!+#REF!+#REF!+#REF!+#REF!+#REF!+#REF!+#REF!+#REF!+#REF!+#REF!+#REF!+#REF!+#REF!+#REF!+#REF!+#REF!+#REF!+#REF!+#REF!+#REF!+#REF!+#REF!+#REF!</f>
        <v>#REF!</v>
      </c>
      <c r="P60" s="6" t="e">
        <f>#REF!+#REF!+#REF!+#REF!+#REF!+#REF!+#REF!+#REF!+#REF!+#REF!+#REF!+#REF!+#REF!+#REF!+#REF!+#REF!+#REF!+#REF!+#REF!+#REF!+#REF!+#REF!+#REF!+#REF!+#REF!+#REF!+#REF!+#REF!+#REF!+#REF!</f>
        <v>#REF!</v>
      </c>
      <c r="Q60" s="7" t="e">
        <f t="shared" si="0"/>
        <v>#REF!</v>
      </c>
      <c r="R60" s="6" t="e">
        <f>#REF!+#REF!+#REF!+#REF!+#REF!+#REF!+#REF!+#REF!+#REF!+#REF!+#REF!+#REF!+#REF!+#REF!+#REF!+#REF!+#REF!+#REF!+#REF!+#REF!+#REF!+#REF!+#REF!+#REF!+#REF!+#REF!+#REF!+#REF!+#REF!+#REF!</f>
        <v>#REF!</v>
      </c>
      <c r="S60" s="6" t="e">
        <f t="shared" si="1"/>
        <v>#REF!</v>
      </c>
      <c r="T60" s="6">
        <v>-1750</v>
      </c>
      <c r="U60" s="6" t="e">
        <f t="shared" si="2"/>
        <v>#REF!</v>
      </c>
      <c r="V60" s="6">
        <v>1050</v>
      </c>
      <c r="W60" s="57"/>
      <c r="X60" s="46"/>
      <c r="Y60" s="61"/>
      <c r="Z60" s="66"/>
      <c r="AA60" s="61"/>
      <c r="AB60" s="67"/>
      <c r="AC60" s="61"/>
      <c r="AD60" s="66"/>
      <c r="AE60" s="61"/>
      <c r="AF60" s="52">
        <f t="shared" si="3"/>
        <v>0</v>
      </c>
      <c r="AG60" s="46" t="e">
        <f t="shared" si="4"/>
        <v>#REF!</v>
      </c>
      <c r="AH60" s="51" t="e">
        <f t="shared" si="5"/>
        <v>#REF!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/>
      <c r="D61" s="6" t="e">
        <f>#REF!+#REF!+#REF!+#REF!+#REF!+#REF!+#REF!+#REF!+#REF!+#REF!+#REF!+#REF!+#REF!+#REF!+#REF!+#REF!+#REF!+#REF!+#REF!+#REF!+#REF!+#REF!+#REF!+#REF!+#REF!+#REF!+#REF!+#REF!+#REF!+#REF!</f>
        <v>#REF!</v>
      </c>
      <c r="E61" s="6" t="e">
        <f>#REF!+#REF!+#REF!+#REF!+#REF!+#REF!+#REF!+#REF!+#REF!+#REF!+#REF!+#REF!+#REF!+#REF!+#REF!+#REF!+#REF!+#REF!+#REF!+#REF!+#REF!+#REF!+#REF!+#REF!+#REF!+#REF!+#REF!+#REF!+#REF!+#REF!</f>
        <v>#REF!</v>
      </c>
      <c r="F61" s="6" t="e">
        <f>#REF!+#REF!+#REF!+#REF!+#REF!+#REF!+#REF!+#REF!+#REF!+#REF!+#REF!+#REF!+#REF!+#REF!+#REF!+#REF!+#REF!+#REF!+#REF!+#REF!+#REF!+#REF!+#REF!+#REF!+#REF!+#REF!+#REF!+#REF!+#REF!+#REF!</f>
        <v>#REF!</v>
      </c>
      <c r="G61" s="6" t="e">
        <f>#REF!+#REF!+#REF!+#REF!+#REF!+#REF!+#REF!+#REF!+#REF!+#REF!+#REF!+#REF!+#REF!+#REF!+#REF!+#REF!+#REF!+#REF!+#REF!+#REF!+#REF!+#REF!+#REF!+#REF!+#REF!+#REF!+#REF!+#REF!+#REF!+#REF!</f>
        <v>#REF!</v>
      </c>
      <c r="H61" s="6" t="e">
        <f>#REF!+#REF!+#REF!+#REF!+#REF!+#REF!+#REF!+#REF!+#REF!+#REF!+#REF!+#REF!+#REF!+#REF!+#REF!+#REF!+#REF!+#REF!+#REF!+#REF!+#REF!+#REF!+#REF!+#REF!+#REF!+#REF!+#REF!+#REF!+#REF!+#REF!</f>
        <v>#REF!</v>
      </c>
      <c r="I61" s="6" t="e">
        <f>#REF!+#REF!+#REF!+#REF!+#REF!+#REF!+#REF!+#REF!+#REF!+#REF!+#REF!+#REF!+#REF!+#REF!+#REF!+#REF!+#REF!+#REF!+#REF!+#REF!+#REF!+#REF!+#REF!+#REF!+#REF!+#REF!+#REF!+#REF!+#REF!+#REF!</f>
        <v>#REF!</v>
      </c>
      <c r="J61" s="6" t="e">
        <f>#REF!+#REF!+#REF!+#REF!+#REF!+#REF!+#REF!+#REF!+#REF!+#REF!+#REF!+#REF!+#REF!+#REF!+#REF!+#REF!+#REF!+#REF!+#REF!+#REF!+#REF!+#REF!+#REF!+#REF!+#REF!+#REF!+#REF!+#REF!+#REF!+#REF!</f>
        <v>#REF!</v>
      </c>
      <c r="K61" s="6" t="e">
        <f>#REF!+#REF!+#REF!+#REF!+#REF!+#REF!+#REF!+#REF!+#REF!+#REF!+#REF!+#REF!+#REF!+#REF!+#REF!+#REF!+#REF!+#REF!+#REF!+#REF!+#REF!+#REF!+#REF!+#REF!+#REF!+#REF!+#REF!+#REF!+#REF!+#REF!</f>
        <v>#REF!</v>
      </c>
      <c r="L61" s="6" t="e">
        <f>#REF!+#REF!+#REF!+#REF!+#REF!+#REF!+#REF!+#REF!+#REF!+#REF!+#REF!+#REF!+#REF!+#REF!+#REF!+#REF!+#REF!+#REF!+#REF!+#REF!+#REF!+#REF!+#REF!+#REF!+#REF!+#REF!+#REF!+#REF!+#REF!+#REF!</f>
        <v>#REF!</v>
      </c>
      <c r="M61" s="6" t="e">
        <f>#REF!+#REF!+#REF!+#REF!+#REF!+#REF!+#REF!+#REF!+#REF!+#REF!+#REF!+#REF!+#REF!+#REF!+#REF!+#REF!+#REF!+#REF!+#REF!+#REF!+#REF!+#REF!+#REF!+#REF!+#REF!+#REF!+#REF!+#REF!+#REF!+#REF!</f>
        <v>#REF!</v>
      </c>
      <c r="N61" s="6" t="e">
        <f>#REF!+#REF!+#REF!+#REF!+#REF!+#REF!+#REF!+#REF!+#REF!+#REF!+#REF!+#REF!+#REF!+#REF!+#REF!+#REF!+#REF!+#REF!+#REF!+#REF!+#REF!+#REF!+#REF!+#REF!+#REF!+#REF!+#REF!+#REF!+#REF!+#REF!</f>
        <v>#REF!</v>
      </c>
      <c r="O61" s="6" t="e">
        <f>#REF!+#REF!+#REF!+#REF!+#REF!+#REF!+#REF!+#REF!+#REF!+#REF!+#REF!+#REF!+#REF!+#REF!+#REF!+#REF!+#REF!+#REF!+#REF!+#REF!+#REF!+#REF!+#REF!+#REF!+#REF!+#REF!+#REF!+#REF!+#REF!+#REF!</f>
        <v>#REF!</v>
      </c>
      <c r="P61" s="6" t="e">
        <f>#REF!+#REF!+#REF!+#REF!+#REF!+#REF!+#REF!+#REF!+#REF!+#REF!+#REF!+#REF!+#REF!+#REF!+#REF!+#REF!+#REF!+#REF!+#REF!+#REF!+#REF!+#REF!+#REF!+#REF!+#REF!+#REF!+#REF!+#REF!+#REF!+#REF!</f>
        <v>#REF!</v>
      </c>
      <c r="Q61" s="7" t="e">
        <f t="shared" si="0"/>
        <v>#REF!</v>
      </c>
      <c r="R61" s="6" t="e">
        <f>#REF!+#REF!+#REF!+#REF!+#REF!+#REF!+#REF!+#REF!+#REF!+#REF!+#REF!+#REF!+#REF!+#REF!+#REF!+#REF!+#REF!+#REF!+#REF!+#REF!+#REF!+#REF!+#REF!+#REF!+#REF!+#REF!+#REF!+#REF!+#REF!+#REF!</f>
        <v>#REF!</v>
      </c>
      <c r="S61" s="6" t="e">
        <f t="shared" si="1"/>
        <v>#REF!</v>
      </c>
      <c r="T61" s="6">
        <v>375</v>
      </c>
      <c r="U61" s="6" t="e">
        <f t="shared" si="2"/>
        <v>#REF!</v>
      </c>
      <c r="V61" s="58"/>
      <c r="W61" s="57"/>
      <c r="X61" s="46"/>
      <c r="Y61" s="61"/>
      <c r="Z61" s="66"/>
      <c r="AA61" s="61"/>
      <c r="AB61" s="67"/>
      <c r="AC61" s="61"/>
      <c r="AD61" s="66"/>
      <c r="AE61" s="61"/>
      <c r="AF61" s="52">
        <f t="shared" si="3"/>
        <v>0</v>
      </c>
      <c r="AG61" s="46" t="e">
        <f t="shared" si="4"/>
        <v>#REF!</v>
      </c>
      <c r="AH61" s="51" t="e">
        <f t="shared" si="5"/>
        <v>#REF!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/>
      <c r="D62" s="6" t="e">
        <f>#REF!+#REF!+#REF!+#REF!+#REF!+#REF!+#REF!+#REF!+#REF!+#REF!+#REF!+#REF!+#REF!+#REF!+#REF!+#REF!+#REF!+#REF!+#REF!+#REF!+#REF!+#REF!+#REF!+#REF!+#REF!+#REF!+#REF!+#REF!+#REF!+#REF!</f>
        <v>#REF!</v>
      </c>
      <c r="E62" s="6" t="e">
        <f>#REF!+#REF!+#REF!+#REF!+#REF!+#REF!+#REF!+#REF!+#REF!+#REF!+#REF!+#REF!+#REF!+#REF!+#REF!+#REF!+#REF!+#REF!+#REF!+#REF!+#REF!+#REF!+#REF!+#REF!+#REF!+#REF!+#REF!+#REF!+#REF!+#REF!</f>
        <v>#REF!</v>
      </c>
      <c r="F62" s="6" t="e">
        <f>#REF!+#REF!+#REF!+#REF!+#REF!+#REF!+#REF!+#REF!+#REF!+#REF!+#REF!+#REF!+#REF!+#REF!+#REF!+#REF!+#REF!+#REF!+#REF!+#REF!+#REF!+#REF!+#REF!+#REF!+#REF!+#REF!+#REF!+#REF!+#REF!+#REF!</f>
        <v>#REF!</v>
      </c>
      <c r="G62" s="6" t="e">
        <f>#REF!+#REF!+#REF!+#REF!+#REF!+#REF!+#REF!+#REF!+#REF!+#REF!+#REF!+#REF!+#REF!+#REF!+#REF!+#REF!+#REF!+#REF!+#REF!+#REF!+#REF!+#REF!+#REF!+#REF!+#REF!+#REF!+#REF!+#REF!+#REF!+#REF!</f>
        <v>#REF!</v>
      </c>
      <c r="H62" s="6" t="e">
        <f>#REF!+#REF!+#REF!+#REF!+#REF!+#REF!+#REF!+#REF!+#REF!+#REF!+#REF!+#REF!+#REF!+#REF!+#REF!+#REF!+#REF!+#REF!+#REF!+#REF!+#REF!+#REF!+#REF!+#REF!+#REF!+#REF!+#REF!+#REF!+#REF!+#REF!</f>
        <v>#REF!</v>
      </c>
      <c r="I62" s="6" t="e">
        <f>#REF!+#REF!+#REF!+#REF!+#REF!+#REF!+#REF!+#REF!+#REF!+#REF!+#REF!+#REF!+#REF!+#REF!+#REF!+#REF!+#REF!+#REF!+#REF!+#REF!+#REF!+#REF!+#REF!+#REF!+#REF!+#REF!+#REF!+#REF!+#REF!+#REF!</f>
        <v>#REF!</v>
      </c>
      <c r="J62" s="6" t="e">
        <f>#REF!+#REF!+#REF!+#REF!+#REF!+#REF!+#REF!+#REF!+#REF!+#REF!+#REF!+#REF!+#REF!+#REF!+#REF!+#REF!+#REF!+#REF!+#REF!+#REF!+#REF!+#REF!+#REF!+#REF!+#REF!+#REF!+#REF!+#REF!+#REF!+#REF!</f>
        <v>#REF!</v>
      </c>
      <c r="K62" s="6" t="e">
        <f>#REF!+#REF!+#REF!+#REF!+#REF!+#REF!+#REF!+#REF!+#REF!+#REF!+#REF!+#REF!+#REF!+#REF!+#REF!+#REF!+#REF!+#REF!+#REF!+#REF!+#REF!+#REF!+#REF!+#REF!+#REF!+#REF!+#REF!+#REF!+#REF!+#REF!</f>
        <v>#REF!</v>
      </c>
      <c r="L62" s="6" t="e">
        <f>#REF!+#REF!+#REF!+#REF!+#REF!+#REF!+#REF!+#REF!+#REF!+#REF!+#REF!+#REF!+#REF!+#REF!+#REF!+#REF!+#REF!+#REF!+#REF!+#REF!+#REF!+#REF!+#REF!+#REF!+#REF!+#REF!+#REF!+#REF!+#REF!+#REF!</f>
        <v>#REF!</v>
      </c>
      <c r="M62" s="6" t="e">
        <f>#REF!+#REF!+#REF!+#REF!+#REF!+#REF!+#REF!+#REF!+#REF!+#REF!+#REF!+#REF!+#REF!+#REF!+#REF!+#REF!+#REF!+#REF!+#REF!+#REF!+#REF!+#REF!+#REF!+#REF!+#REF!+#REF!+#REF!+#REF!+#REF!+#REF!</f>
        <v>#REF!</v>
      </c>
      <c r="N62" s="6" t="e">
        <f>#REF!+#REF!+#REF!+#REF!+#REF!+#REF!+#REF!+#REF!+#REF!+#REF!+#REF!+#REF!+#REF!+#REF!+#REF!+#REF!+#REF!+#REF!+#REF!+#REF!+#REF!+#REF!+#REF!+#REF!+#REF!+#REF!+#REF!+#REF!+#REF!+#REF!</f>
        <v>#REF!</v>
      </c>
      <c r="O62" s="6" t="e">
        <f>#REF!+#REF!+#REF!+#REF!+#REF!+#REF!+#REF!+#REF!+#REF!+#REF!+#REF!+#REF!+#REF!+#REF!+#REF!+#REF!+#REF!+#REF!+#REF!+#REF!+#REF!+#REF!+#REF!+#REF!+#REF!+#REF!+#REF!+#REF!+#REF!+#REF!</f>
        <v>#REF!</v>
      </c>
      <c r="P62" s="6" t="e">
        <f>#REF!+#REF!+#REF!+#REF!+#REF!+#REF!+#REF!+#REF!+#REF!+#REF!+#REF!+#REF!+#REF!+#REF!+#REF!+#REF!+#REF!+#REF!+#REF!+#REF!+#REF!+#REF!+#REF!+#REF!+#REF!+#REF!+#REF!+#REF!+#REF!+#REF!</f>
        <v>#REF!</v>
      </c>
      <c r="Q62" s="7" t="e">
        <f t="shared" si="0"/>
        <v>#REF!</v>
      </c>
      <c r="R62" s="6" t="e">
        <f>#REF!+#REF!+#REF!+#REF!+#REF!+#REF!+#REF!+#REF!+#REF!+#REF!+#REF!+#REF!+#REF!+#REF!+#REF!+#REF!+#REF!+#REF!+#REF!+#REF!+#REF!+#REF!+#REF!+#REF!+#REF!+#REF!+#REF!+#REF!+#REF!+#REF!</f>
        <v>#REF!</v>
      </c>
      <c r="S62" s="6" t="e">
        <f t="shared" si="1"/>
        <v>#REF!</v>
      </c>
      <c r="T62" s="6">
        <v>0</v>
      </c>
      <c r="U62" s="6" t="e">
        <f t="shared" si="2"/>
        <v>#REF!</v>
      </c>
      <c r="V62" s="85"/>
      <c r="W62" s="57"/>
      <c r="X62" s="46"/>
      <c r="Y62" s="61"/>
      <c r="Z62" s="66"/>
      <c r="AA62" s="61"/>
      <c r="AB62" s="67"/>
      <c r="AC62" s="61"/>
      <c r="AD62" s="66"/>
      <c r="AE62" s="61"/>
      <c r="AF62" s="52">
        <f t="shared" si="3"/>
        <v>0</v>
      </c>
      <c r="AG62" s="46" t="e">
        <f t="shared" si="4"/>
        <v>#REF!</v>
      </c>
      <c r="AH62" s="51" t="e">
        <f t="shared" si="5"/>
        <v>#REF!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/>
      <c r="D63" s="6" t="e">
        <f>#REF!+#REF!+#REF!+#REF!+#REF!+#REF!+#REF!+#REF!+#REF!+#REF!+#REF!+#REF!+#REF!+#REF!+#REF!+#REF!+#REF!+#REF!+#REF!+#REF!+#REF!+#REF!+#REF!+#REF!+#REF!+#REF!+#REF!+#REF!+#REF!+#REF!</f>
        <v>#REF!</v>
      </c>
      <c r="E63" s="6" t="e">
        <f>#REF!+#REF!+#REF!+#REF!+#REF!+#REF!+#REF!+#REF!+#REF!+#REF!+#REF!+#REF!+#REF!+#REF!+#REF!+#REF!+#REF!+#REF!+#REF!+#REF!+#REF!+#REF!+#REF!+#REF!+#REF!+#REF!+#REF!+#REF!+#REF!+#REF!</f>
        <v>#REF!</v>
      </c>
      <c r="F63" s="6" t="e">
        <f>#REF!+#REF!+#REF!+#REF!+#REF!+#REF!+#REF!+#REF!+#REF!+#REF!+#REF!+#REF!+#REF!+#REF!+#REF!+#REF!+#REF!+#REF!+#REF!+#REF!+#REF!+#REF!+#REF!+#REF!+#REF!+#REF!+#REF!+#REF!+#REF!+#REF!</f>
        <v>#REF!</v>
      </c>
      <c r="G63" s="6" t="e">
        <f>#REF!+#REF!+#REF!+#REF!+#REF!+#REF!+#REF!+#REF!+#REF!+#REF!+#REF!+#REF!+#REF!+#REF!+#REF!+#REF!+#REF!+#REF!+#REF!+#REF!+#REF!+#REF!+#REF!+#REF!+#REF!+#REF!+#REF!+#REF!+#REF!+#REF!</f>
        <v>#REF!</v>
      </c>
      <c r="H63" s="6" t="e">
        <f>#REF!+#REF!+#REF!+#REF!+#REF!+#REF!+#REF!+#REF!+#REF!+#REF!+#REF!+#REF!+#REF!+#REF!+#REF!+#REF!+#REF!+#REF!+#REF!+#REF!+#REF!+#REF!+#REF!+#REF!+#REF!+#REF!+#REF!+#REF!+#REF!+#REF!</f>
        <v>#REF!</v>
      </c>
      <c r="I63" s="6" t="e">
        <f>#REF!+#REF!+#REF!+#REF!+#REF!+#REF!+#REF!+#REF!+#REF!+#REF!+#REF!+#REF!+#REF!+#REF!+#REF!+#REF!+#REF!+#REF!+#REF!+#REF!+#REF!+#REF!+#REF!+#REF!+#REF!+#REF!+#REF!+#REF!+#REF!+#REF!</f>
        <v>#REF!</v>
      </c>
      <c r="J63" s="6" t="e">
        <f>#REF!+#REF!+#REF!+#REF!+#REF!+#REF!+#REF!+#REF!+#REF!+#REF!+#REF!+#REF!+#REF!+#REF!+#REF!+#REF!+#REF!+#REF!+#REF!+#REF!+#REF!+#REF!+#REF!+#REF!+#REF!+#REF!+#REF!+#REF!+#REF!+#REF!</f>
        <v>#REF!</v>
      </c>
      <c r="K63" s="6" t="e">
        <f>#REF!+#REF!+#REF!+#REF!+#REF!+#REF!+#REF!+#REF!+#REF!+#REF!+#REF!+#REF!+#REF!+#REF!+#REF!+#REF!+#REF!+#REF!+#REF!+#REF!+#REF!+#REF!+#REF!+#REF!+#REF!+#REF!+#REF!+#REF!+#REF!+#REF!</f>
        <v>#REF!</v>
      </c>
      <c r="L63" s="6" t="e">
        <f>#REF!+#REF!+#REF!+#REF!+#REF!+#REF!+#REF!+#REF!+#REF!+#REF!+#REF!+#REF!+#REF!+#REF!+#REF!+#REF!+#REF!+#REF!+#REF!+#REF!+#REF!+#REF!+#REF!+#REF!+#REF!+#REF!+#REF!+#REF!+#REF!+#REF!</f>
        <v>#REF!</v>
      </c>
      <c r="M63" s="6" t="e">
        <f>#REF!+#REF!+#REF!+#REF!+#REF!+#REF!+#REF!+#REF!+#REF!+#REF!+#REF!+#REF!+#REF!+#REF!+#REF!+#REF!+#REF!+#REF!+#REF!+#REF!+#REF!+#REF!+#REF!+#REF!+#REF!+#REF!+#REF!+#REF!+#REF!+#REF!</f>
        <v>#REF!</v>
      </c>
      <c r="N63" s="6" t="e">
        <f>#REF!+#REF!+#REF!+#REF!+#REF!+#REF!+#REF!+#REF!+#REF!+#REF!+#REF!+#REF!+#REF!+#REF!+#REF!+#REF!+#REF!+#REF!+#REF!+#REF!+#REF!+#REF!+#REF!+#REF!+#REF!+#REF!+#REF!+#REF!+#REF!+#REF!</f>
        <v>#REF!</v>
      </c>
      <c r="O63" s="6" t="e">
        <f>#REF!+#REF!+#REF!+#REF!+#REF!+#REF!+#REF!+#REF!+#REF!+#REF!+#REF!+#REF!+#REF!+#REF!+#REF!+#REF!+#REF!+#REF!+#REF!+#REF!+#REF!+#REF!+#REF!+#REF!+#REF!+#REF!+#REF!+#REF!+#REF!+#REF!</f>
        <v>#REF!</v>
      </c>
      <c r="P63" s="6" t="e">
        <f>#REF!+#REF!+#REF!+#REF!+#REF!+#REF!+#REF!+#REF!+#REF!+#REF!+#REF!+#REF!+#REF!+#REF!+#REF!+#REF!+#REF!+#REF!+#REF!+#REF!+#REF!+#REF!+#REF!+#REF!+#REF!+#REF!+#REF!+#REF!+#REF!+#REF!</f>
        <v>#REF!</v>
      </c>
      <c r="Q63" s="7" t="e">
        <f t="shared" si="0"/>
        <v>#REF!</v>
      </c>
      <c r="R63" s="6" t="e">
        <f>#REF!+#REF!+#REF!+#REF!+#REF!+#REF!+#REF!+#REF!+#REF!+#REF!+#REF!+#REF!+#REF!+#REF!+#REF!+#REF!+#REF!+#REF!+#REF!+#REF!+#REF!+#REF!+#REF!+#REF!+#REF!+#REF!+#REF!+#REF!+#REF!+#REF!</f>
        <v>#REF!</v>
      </c>
      <c r="S63" s="6" t="e">
        <f t="shared" si="1"/>
        <v>#REF!</v>
      </c>
      <c r="T63" s="6">
        <v>-1300</v>
      </c>
      <c r="U63" s="6" t="e">
        <f t="shared" si="2"/>
        <v>#REF!</v>
      </c>
      <c r="V63" s="85"/>
      <c r="W63" s="57"/>
      <c r="X63" s="46"/>
      <c r="Y63" s="61"/>
      <c r="Z63" s="66"/>
      <c r="AA63" s="61"/>
      <c r="AB63" s="67"/>
      <c r="AC63" s="61"/>
      <c r="AD63" s="66"/>
      <c r="AE63" s="61"/>
      <c r="AF63" s="52">
        <f t="shared" si="3"/>
        <v>0</v>
      </c>
      <c r="AG63" s="46" t="e">
        <f t="shared" si="4"/>
        <v>#REF!</v>
      </c>
      <c r="AH63" s="51" t="e">
        <f t="shared" si="5"/>
        <v>#REF!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/>
      <c r="D64" s="6" t="e">
        <f>#REF!+#REF!+#REF!+#REF!+#REF!+#REF!+#REF!+#REF!+#REF!+#REF!+#REF!+#REF!+#REF!+#REF!+#REF!+#REF!+#REF!+#REF!+#REF!+#REF!+#REF!+#REF!+#REF!+#REF!+#REF!+#REF!+#REF!+#REF!+#REF!+#REF!</f>
        <v>#REF!</v>
      </c>
      <c r="E64" s="6" t="e">
        <f>#REF!+#REF!+#REF!+#REF!+#REF!+#REF!+#REF!+#REF!+#REF!+#REF!+#REF!+#REF!+#REF!+#REF!+#REF!+#REF!+#REF!+#REF!+#REF!+#REF!+#REF!+#REF!+#REF!+#REF!+#REF!+#REF!+#REF!+#REF!+#REF!+#REF!</f>
        <v>#REF!</v>
      </c>
      <c r="F64" s="6" t="e">
        <f>#REF!+#REF!+#REF!+#REF!+#REF!+#REF!+#REF!+#REF!+#REF!+#REF!+#REF!+#REF!+#REF!+#REF!+#REF!+#REF!+#REF!+#REF!+#REF!+#REF!+#REF!+#REF!+#REF!+#REF!+#REF!+#REF!+#REF!+#REF!+#REF!+#REF!</f>
        <v>#REF!</v>
      </c>
      <c r="G64" s="6" t="e">
        <f>#REF!+#REF!+#REF!+#REF!+#REF!+#REF!+#REF!+#REF!+#REF!+#REF!+#REF!+#REF!+#REF!+#REF!+#REF!+#REF!+#REF!+#REF!+#REF!+#REF!+#REF!+#REF!+#REF!+#REF!+#REF!+#REF!+#REF!+#REF!+#REF!+#REF!</f>
        <v>#REF!</v>
      </c>
      <c r="H64" s="6" t="e">
        <f>#REF!+#REF!+#REF!+#REF!+#REF!+#REF!+#REF!+#REF!+#REF!+#REF!+#REF!+#REF!+#REF!+#REF!+#REF!+#REF!+#REF!+#REF!+#REF!+#REF!+#REF!+#REF!+#REF!+#REF!+#REF!+#REF!+#REF!+#REF!+#REF!+#REF!</f>
        <v>#REF!</v>
      </c>
      <c r="I64" s="6" t="e">
        <f>#REF!+#REF!+#REF!+#REF!+#REF!+#REF!+#REF!+#REF!+#REF!+#REF!+#REF!+#REF!+#REF!+#REF!+#REF!+#REF!+#REF!+#REF!+#REF!+#REF!+#REF!+#REF!+#REF!+#REF!+#REF!+#REF!+#REF!+#REF!+#REF!+#REF!</f>
        <v>#REF!</v>
      </c>
      <c r="J64" s="6" t="e">
        <f>#REF!+#REF!+#REF!+#REF!+#REF!+#REF!+#REF!+#REF!+#REF!+#REF!+#REF!+#REF!+#REF!+#REF!+#REF!+#REF!+#REF!+#REF!+#REF!+#REF!+#REF!+#REF!+#REF!+#REF!+#REF!+#REF!+#REF!+#REF!+#REF!+#REF!</f>
        <v>#REF!</v>
      </c>
      <c r="K64" s="6" t="e">
        <f>#REF!+#REF!+#REF!+#REF!+#REF!+#REF!+#REF!+#REF!+#REF!+#REF!+#REF!+#REF!+#REF!+#REF!+#REF!+#REF!+#REF!+#REF!+#REF!+#REF!+#REF!+#REF!+#REF!+#REF!+#REF!+#REF!+#REF!+#REF!+#REF!+#REF!</f>
        <v>#REF!</v>
      </c>
      <c r="L64" s="6" t="e">
        <f>#REF!+#REF!+#REF!+#REF!+#REF!+#REF!+#REF!+#REF!+#REF!+#REF!+#REF!+#REF!+#REF!+#REF!+#REF!+#REF!+#REF!+#REF!+#REF!+#REF!+#REF!+#REF!+#REF!+#REF!+#REF!+#REF!+#REF!+#REF!+#REF!+#REF!</f>
        <v>#REF!</v>
      </c>
      <c r="M64" s="6" t="e">
        <f>#REF!+#REF!+#REF!+#REF!+#REF!+#REF!+#REF!+#REF!+#REF!+#REF!+#REF!+#REF!+#REF!+#REF!+#REF!+#REF!+#REF!+#REF!+#REF!+#REF!+#REF!+#REF!+#REF!+#REF!+#REF!+#REF!+#REF!+#REF!+#REF!+#REF!</f>
        <v>#REF!</v>
      </c>
      <c r="N64" s="6" t="e">
        <f>#REF!+#REF!+#REF!+#REF!+#REF!+#REF!+#REF!+#REF!+#REF!+#REF!+#REF!+#REF!+#REF!+#REF!+#REF!+#REF!+#REF!+#REF!+#REF!+#REF!+#REF!+#REF!+#REF!+#REF!+#REF!+#REF!+#REF!+#REF!+#REF!+#REF!</f>
        <v>#REF!</v>
      </c>
      <c r="O64" s="6" t="e">
        <f>#REF!+#REF!+#REF!+#REF!+#REF!+#REF!+#REF!+#REF!+#REF!+#REF!+#REF!+#REF!+#REF!+#REF!+#REF!+#REF!+#REF!+#REF!+#REF!+#REF!+#REF!+#REF!+#REF!+#REF!+#REF!+#REF!+#REF!+#REF!+#REF!+#REF!</f>
        <v>#REF!</v>
      </c>
      <c r="P64" s="6" t="e">
        <f>#REF!+#REF!+#REF!+#REF!+#REF!+#REF!+#REF!+#REF!+#REF!+#REF!+#REF!+#REF!+#REF!+#REF!+#REF!+#REF!+#REF!+#REF!+#REF!+#REF!+#REF!+#REF!+#REF!+#REF!+#REF!+#REF!+#REF!+#REF!+#REF!+#REF!</f>
        <v>#REF!</v>
      </c>
      <c r="Q64" s="7" t="e">
        <f t="shared" si="0"/>
        <v>#REF!</v>
      </c>
      <c r="R64" s="6" t="e">
        <f>#REF!+#REF!+#REF!+#REF!+#REF!+#REF!+#REF!+#REF!+#REF!+#REF!+#REF!+#REF!+#REF!+#REF!+#REF!+#REF!+#REF!+#REF!+#REF!+#REF!+#REF!+#REF!+#REF!+#REF!+#REF!+#REF!+#REF!+#REF!+#REF!+#REF!</f>
        <v>#REF!</v>
      </c>
      <c r="S64" s="6" t="e">
        <f t="shared" si="1"/>
        <v>#REF!</v>
      </c>
      <c r="T64" s="6">
        <v>0</v>
      </c>
      <c r="U64" s="6" t="e">
        <f t="shared" si="2"/>
        <v>#REF!</v>
      </c>
      <c r="V64" s="85"/>
      <c r="W64" s="57"/>
      <c r="X64" s="46"/>
      <c r="Y64" s="61"/>
      <c r="Z64" s="66"/>
      <c r="AA64" s="61"/>
      <c r="AB64" s="67"/>
      <c r="AC64" s="61"/>
      <c r="AD64" s="66"/>
      <c r="AE64" s="61"/>
      <c r="AF64" s="52">
        <f t="shared" si="3"/>
        <v>0</v>
      </c>
      <c r="AG64" s="46" t="e">
        <f t="shared" si="4"/>
        <v>#REF!</v>
      </c>
      <c r="AH64" s="51" t="e">
        <f t="shared" si="5"/>
        <v>#REF!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/>
      <c r="D65" s="6" t="e">
        <f>#REF!+#REF!+#REF!+#REF!+#REF!+#REF!+#REF!+#REF!+#REF!+#REF!+#REF!+#REF!+#REF!+#REF!+#REF!+#REF!+#REF!+#REF!+#REF!+#REF!+#REF!+#REF!+#REF!+#REF!+#REF!+#REF!+#REF!+#REF!+#REF!+#REF!</f>
        <v>#REF!</v>
      </c>
      <c r="E65" s="6" t="e">
        <f>#REF!+#REF!+#REF!+#REF!+#REF!+#REF!+#REF!+#REF!+#REF!+#REF!+#REF!+#REF!+#REF!+#REF!+#REF!+#REF!+#REF!+#REF!+#REF!+#REF!+#REF!+#REF!+#REF!+#REF!+#REF!+#REF!+#REF!+#REF!+#REF!+#REF!</f>
        <v>#REF!</v>
      </c>
      <c r="F65" s="6" t="e">
        <f>#REF!+#REF!+#REF!+#REF!+#REF!+#REF!+#REF!+#REF!+#REF!+#REF!+#REF!+#REF!+#REF!+#REF!+#REF!+#REF!+#REF!+#REF!+#REF!+#REF!+#REF!+#REF!+#REF!+#REF!+#REF!+#REF!+#REF!+#REF!+#REF!+#REF!</f>
        <v>#REF!</v>
      </c>
      <c r="G65" s="6" t="e">
        <f>#REF!+#REF!+#REF!+#REF!+#REF!+#REF!+#REF!+#REF!+#REF!+#REF!+#REF!+#REF!+#REF!+#REF!+#REF!+#REF!+#REF!+#REF!+#REF!+#REF!+#REF!+#REF!+#REF!+#REF!+#REF!+#REF!+#REF!+#REF!+#REF!+#REF!</f>
        <v>#REF!</v>
      </c>
      <c r="H65" s="6" t="e">
        <f>#REF!+#REF!+#REF!+#REF!+#REF!+#REF!+#REF!+#REF!+#REF!+#REF!+#REF!+#REF!+#REF!+#REF!+#REF!+#REF!+#REF!+#REF!+#REF!+#REF!+#REF!+#REF!+#REF!+#REF!+#REF!+#REF!+#REF!+#REF!+#REF!+#REF!</f>
        <v>#REF!</v>
      </c>
      <c r="I65" s="6" t="e">
        <f>#REF!+#REF!+#REF!+#REF!+#REF!+#REF!+#REF!+#REF!+#REF!+#REF!+#REF!+#REF!+#REF!+#REF!+#REF!+#REF!+#REF!+#REF!+#REF!+#REF!+#REF!+#REF!+#REF!+#REF!+#REF!+#REF!+#REF!+#REF!+#REF!+#REF!</f>
        <v>#REF!</v>
      </c>
      <c r="J65" s="6" t="e">
        <f>#REF!+#REF!+#REF!+#REF!+#REF!+#REF!+#REF!+#REF!+#REF!+#REF!+#REF!+#REF!+#REF!+#REF!+#REF!+#REF!+#REF!+#REF!+#REF!+#REF!+#REF!+#REF!+#REF!+#REF!+#REF!+#REF!+#REF!+#REF!+#REF!+#REF!</f>
        <v>#REF!</v>
      </c>
      <c r="K65" s="6" t="e">
        <f>#REF!+#REF!+#REF!+#REF!+#REF!+#REF!+#REF!+#REF!+#REF!+#REF!+#REF!+#REF!+#REF!+#REF!+#REF!+#REF!+#REF!+#REF!+#REF!+#REF!+#REF!+#REF!+#REF!+#REF!+#REF!+#REF!+#REF!+#REF!+#REF!+#REF!</f>
        <v>#REF!</v>
      </c>
      <c r="L65" s="6" t="e">
        <f>#REF!+#REF!+#REF!+#REF!+#REF!+#REF!+#REF!+#REF!+#REF!+#REF!+#REF!+#REF!+#REF!+#REF!+#REF!+#REF!+#REF!+#REF!+#REF!+#REF!+#REF!+#REF!+#REF!+#REF!+#REF!+#REF!+#REF!+#REF!+#REF!+#REF!</f>
        <v>#REF!</v>
      </c>
      <c r="M65" s="6" t="e">
        <f>#REF!+#REF!+#REF!+#REF!+#REF!+#REF!+#REF!+#REF!+#REF!+#REF!+#REF!+#REF!+#REF!+#REF!+#REF!+#REF!+#REF!+#REF!+#REF!+#REF!+#REF!+#REF!+#REF!+#REF!+#REF!+#REF!+#REF!+#REF!+#REF!+#REF!</f>
        <v>#REF!</v>
      </c>
      <c r="N65" s="6" t="e">
        <f>#REF!+#REF!+#REF!+#REF!+#REF!+#REF!+#REF!+#REF!+#REF!+#REF!+#REF!+#REF!+#REF!+#REF!+#REF!+#REF!+#REF!+#REF!+#REF!+#REF!+#REF!+#REF!+#REF!+#REF!+#REF!+#REF!+#REF!+#REF!+#REF!+#REF!</f>
        <v>#REF!</v>
      </c>
      <c r="O65" s="6" t="e">
        <f>#REF!+#REF!+#REF!+#REF!+#REF!+#REF!+#REF!+#REF!+#REF!+#REF!+#REF!+#REF!+#REF!+#REF!+#REF!+#REF!+#REF!+#REF!+#REF!+#REF!+#REF!+#REF!+#REF!+#REF!+#REF!+#REF!+#REF!+#REF!+#REF!+#REF!</f>
        <v>#REF!</v>
      </c>
      <c r="P65" s="6" t="e">
        <f>#REF!+#REF!+#REF!+#REF!+#REF!+#REF!+#REF!+#REF!+#REF!+#REF!+#REF!+#REF!+#REF!+#REF!+#REF!+#REF!+#REF!+#REF!+#REF!+#REF!+#REF!+#REF!+#REF!+#REF!+#REF!+#REF!+#REF!+#REF!+#REF!+#REF!</f>
        <v>#REF!</v>
      </c>
      <c r="Q65" s="7" t="e">
        <f t="shared" si="0"/>
        <v>#REF!</v>
      </c>
      <c r="R65" s="6" t="e">
        <f>#REF!+#REF!+#REF!+#REF!+#REF!+#REF!+#REF!+#REF!+#REF!+#REF!+#REF!+#REF!+#REF!+#REF!+#REF!+#REF!+#REF!+#REF!+#REF!+#REF!+#REF!+#REF!+#REF!+#REF!+#REF!+#REF!+#REF!+#REF!+#REF!+#REF!</f>
        <v>#REF!</v>
      </c>
      <c r="S65" s="6" t="e">
        <f t="shared" si="1"/>
        <v>#REF!</v>
      </c>
      <c r="T65" s="6">
        <v>-700</v>
      </c>
      <c r="U65" s="6" t="e">
        <f t="shared" si="2"/>
        <v>#REF!</v>
      </c>
      <c r="V65" s="85"/>
      <c r="W65" s="57"/>
      <c r="X65" s="46"/>
      <c r="Y65" s="61"/>
      <c r="Z65" s="66"/>
      <c r="AA65" s="61"/>
      <c r="AB65" s="67"/>
      <c r="AC65" s="61"/>
      <c r="AD65" s="66"/>
      <c r="AE65" s="61"/>
      <c r="AF65" s="52">
        <f t="shared" si="3"/>
        <v>0</v>
      </c>
      <c r="AG65" s="46" t="e">
        <f t="shared" si="4"/>
        <v>#REF!</v>
      </c>
      <c r="AH65" s="51" t="e">
        <f t="shared" si="5"/>
        <v>#REF!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84"/>
      <c r="B66" s="19" t="s">
        <v>65</v>
      </c>
      <c r="C66" s="32"/>
      <c r="D66" s="6" t="e">
        <f>#REF!+#REF!+#REF!+#REF!+#REF!+#REF!+#REF!+#REF!+#REF!+#REF!+#REF!+#REF!+#REF!+#REF!+#REF!+#REF!+#REF!+#REF!+#REF!+#REF!+#REF!+#REF!+#REF!+#REF!+#REF!+#REF!+#REF!+#REF!+#REF!+#REF!</f>
        <v>#REF!</v>
      </c>
      <c r="E66" s="6" t="e">
        <f>#REF!+#REF!+#REF!+#REF!+#REF!+#REF!+#REF!+#REF!+#REF!+#REF!+#REF!+#REF!+#REF!+#REF!+#REF!+#REF!+#REF!+#REF!+#REF!+#REF!+#REF!+#REF!+#REF!+#REF!+#REF!+#REF!+#REF!+#REF!+#REF!+#REF!</f>
        <v>#REF!</v>
      </c>
      <c r="F66" s="6" t="e">
        <f>#REF!+#REF!+#REF!+#REF!+#REF!+#REF!+#REF!+#REF!+#REF!+#REF!+#REF!+#REF!+#REF!+#REF!+#REF!+#REF!+#REF!+#REF!+#REF!+#REF!+#REF!+#REF!+#REF!+#REF!+#REF!+#REF!+#REF!+#REF!+#REF!+#REF!</f>
        <v>#REF!</v>
      </c>
      <c r="G66" s="6" t="e">
        <f>#REF!+#REF!+#REF!+#REF!+#REF!+#REF!+#REF!+#REF!+#REF!+#REF!+#REF!+#REF!+#REF!+#REF!+#REF!+#REF!+#REF!+#REF!+#REF!+#REF!+#REF!+#REF!+#REF!+#REF!+#REF!+#REF!+#REF!+#REF!+#REF!+#REF!</f>
        <v>#REF!</v>
      </c>
      <c r="H66" s="6" t="e">
        <f>#REF!+#REF!+#REF!+#REF!+#REF!+#REF!+#REF!+#REF!+#REF!+#REF!+#REF!+#REF!+#REF!+#REF!+#REF!+#REF!+#REF!+#REF!+#REF!+#REF!+#REF!+#REF!+#REF!+#REF!+#REF!+#REF!+#REF!+#REF!+#REF!+#REF!</f>
        <v>#REF!</v>
      </c>
      <c r="I66" s="6" t="e">
        <f>#REF!+#REF!+#REF!+#REF!+#REF!+#REF!+#REF!+#REF!+#REF!+#REF!+#REF!+#REF!+#REF!+#REF!+#REF!+#REF!+#REF!+#REF!+#REF!+#REF!+#REF!+#REF!+#REF!+#REF!+#REF!+#REF!+#REF!+#REF!+#REF!+#REF!</f>
        <v>#REF!</v>
      </c>
      <c r="J66" s="6" t="e">
        <f>#REF!+#REF!+#REF!+#REF!+#REF!+#REF!+#REF!+#REF!+#REF!+#REF!+#REF!+#REF!+#REF!+#REF!+#REF!+#REF!+#REF!+#REF!+#REF!+#REF!+#REF!+#REF!+#REF!+#REF!+#REF!+#REF!+#REF!+#REF!+#REF!+#REF!</f>
        <v>#REF!</v>
      </c>
      <c r="K66" s="6" t="e">
        <f>#REF!+#REF!+#REF!+#REF!+#REF!+#REF!+#REF!+#REF!+#REF!+#REF!+#REF!+#REF!+#REF!+#REF!+#REF!+#REF!+#REF!+#REF!+#REF!+#REF!+#REF!+#REF!+#REF!+#REF!+#REF!+#REF!+#REF!+#REF!+#REF!+#REF!</f>
        <v>#REF!</v>
      </c>
      <c r="L66" s="6" t="e">
        <f>#REF!+#REF!+#REF!+#REF!+#REF!+#REF!+#REF!+#REF!+#REF!+#REF!+#REF!+#REF!+#REF!+#REF!+#REF!+#REF!+#REF!+#REF!+#REF!+#REF!+#REF!+#REF!+#REF!+#REF!+#REF!+#REF!+#REF!+#REF!+#REF!+#REF!</f>
        <v>#REF!</v>
      </c>
      <c r="M66" s="6" t="e">
        <f>#REF!+#REF!+#REF!+#REF!+#REF!+#REF!+#REF!+#REF!+#REF!+#REF!+#REF!+#REF!+#REF!+#REF!+#REF!+#REF!+#REF!+#REF!+#REF!+#REF!+#REF!+#REF!+#REF!+#REF!+#REF!+#REF!+#REF!+#REF!+#REF!+#REF!</f>
        <v>#REF!</v>
      </c>
      <c r="N66" s="6" t="e">
        <f>#REF!+#REF!+#REF!+#REF!+#REF!+#REF!+#REF!+#REF!+#REF!+#REF!+#REF!+#REF!+#REF!+#REF!+#REF!+#REF!+#REF!+#REF!+#REF!+#REF!+#REF!+#REF!+#REF!+#REF!+#REF!+#REF!+#REF!+#REF!+#REF!+#REF!</f>
        <v>#REF!</v>
      </c>
      <c r="O66" s="6" t="e">
        <f>#REF!+#REF!+#REF!+#REF!+#REF!+#REF!+#REF!+#REF!+#REF!+#REF!+#REF!+#REF!+#REF!+#REF!+#REF!+#REF!+#REF!+#REF!+#REF!+#REF!+#REF!+#REF!+#REF!+#REF!+#REF!+#REF!+#REF!+#REF!+#REF!+#REF!</f>
        <v>#REF!</v>
      </c>
      <c r="P66" s="6" t="e">
        <f>#REF!+#REF!+#REF!+#REF!+#REF!+#REF!+#REF!+#REF!+#REF!+#REF!+#REF!+#REF!+#REF!+#REF!+#REF!+#REF!+#REF!+#REF!+#REF!+#REF!+#REF!+#REF!+#REF!+#REF!+#REF!+#REF!+#REF!+#REF!+#REF!+#REF!</f>
        <v>#REF!</v>
      </c>
      <c r="Q66" s="18"/>
      <c r="R66" s="6" t="e">
        <f>#REF!+#REF!+#REF!+#REF!+#REF!+#REF!+#REF!+#REF!+#REF!+#REF!+#REF!+#REF!+#REF!+#REF!+#REF!+#REF!+#REF!+#REF!+#REF!+#REF!+#REF!+#REF!+#REF!+#REF!+#REF!+#REF!+#REF!+#REF!+#REF!+#REF!</f>
        <v>#REF!</v>
      </c>
      <c r="S66" s="17"/>
      <c r="T66" s="17">
        <v>0</v>
      </c>
      <c r="U66" s="17"/>
      <c r="V66" s="18"/>
      <c r="W66" s="57"/>
      <c r="X66" s="46"/>
      <c r="Y66" s="61"/>
      <c r="Z66" s="66"/>
      <c r="AA66" s="61"/>
      <c r="AB66" s="67"/>
      <c r="AC66" s="61"/>
      <c r="AD66" s="66"/>
      <c r="AE66" s="61"/>
      <c r="AF66" s="52">
        <f t="shared" si="3"/>
        <v>0</v>
      </c>
      <c r="AG66" s="46">
        <f t="shared" si="4"/>
        <v>0</v>
      </c>
      <c r="AH66" s="51">
        <f t="shared" si="5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/>
      <c r="D67" s="6" t="e">
        <f>#REF!+#REF!+#REF!+#REF!+#REF!+#REF!+#REF!+#REF!+#REF!+#REF!+#REF!+#REF!+#REF!+#REF!+#REF!+#REF!+#REF!+#REF!+#REF!+#REF!+#REF!+#REF!+#REF!+#REF!+#REF!+#REF!+#REF!+#REF!+#REF!+#REF!</f>
        <v>#REF!</v>
      </c>
      <c r="E67" s="6" t="e">
        <f>#REF!+#REF!+#REF!+#REF!+#REF!+#REF!+#REF!+#REF!+#REF!+#REF!+#REF!+#REF!+#REF!+#REF!+#REF!+#REF!+#REF!+#REF!+#REF!+#REF!+#REF!+#REF!+#REF!+#REF!+#REF!+#REF!+#REF!+#REF!+#REF!+#REF!</f>
        <v>#REF!</v>
      </c>
      <c r="F67" s="6" t="e">
        <f>#REF!+#REF!+#REF!+#REF!+#REF!+#REF!+#REF!+#REF!+#REF!+#REF!+#REF!+#REF!+#REF!+#REF!+#REF!+#REF!+#REF!+#REF!+#REF!+#REF!+#REF!+#REF!+#REF!+#REF!+#REF!+#REF!+#REF!+#REF!+#REF!+#REF!</f>
        <v>#REF!</v>
      </c>
      <c r="G67" s="6" t="e">
        <f>#REF!+#REF!+#REF!+#REF!+#REF!+#REF!+#REF!+#REF!+#REF!+#REF!+#REF!+#REF!+#REF!+#REF!+#REF!+#REF!+#REF!+#REF!+#REF!+#REF!+#REF!+#REF!+#REF!+#REF!+#REF!+#REF!+#REF!+#REF!+#REF!+#REF!</f>
        <v>#REF!</v>
      </c>
      <c r="H67" s="6" t="e">
        <f>#REF!+#REF!+#REF!+#REF!+#REF!+#REF!+#REF!+#REF!+#REF!+#REF!+#REF!+#REF!+#REF!+#REF!+#REF!+#REF!+#REF!+#REF!+#REF!+#REF!+#REF!+#REF!+#REF!+#REF!+#REF!+#REF!+#REF!+#REF!+#REF!+#REF!</f>
        <v>#REF!</v>
      </c>
      <c r="I67" s="6" t="e">
        <f>#REF!+#REF!+#REF!+#REF!+#REF!+#REF!+#REF!+#REF!+#REF!+#REF!+#REF!+#REF!+#REF!+#REF!+#REF!+#REF!+#REF!+#REF!+#REF!+#REF!+#REF!+#REF!+#REF!+#REF!+#REF!+#REF!+#REF!+#REF!+#REF!+#REF!</f>
        <v>#REF!</v>
      </c>
      <c r="J67" s="6" t="e">
        <f>#REF!+#REF!+#REF!+#REF!+#REF!+#REF!+#REF!+#REF!+#REF!+#REF!+#REF!+#REF!+#REF!+#REF!+#REF!+#REF!+#REF!+#REF!+#REF!+#REF!+#REF!+#REF!+#REF!+#REF!+#REF!+#REF!+#REF!+#REF!+#REF!+#REF!</f>
        <v>#REF!</v>
      </c>
      <c r="K67" s="6" t="e">
        <f>#REF!+#REF!+#REF!+#REF!+#REF!+#REF!+#REF!+#REF!+#REF!+#REF!+#REF!+#REF!+#REF!+#REF!+#REF!+#REF!+#REF!+#REF!+#REF!+#REF!+#REF!+#REF!+#REF!+#REF!+#REF!+#REF!+#REF!+#REF!+#REF!+#REF!</f>
        <v>#REF!</v>
      </c>
      <c r="L67" s="6" t="e">
        <f>#REF!+#REF!+#REF!+#REF!+#REF!+#REF!+#REF!+#REF!+#REF!+#REF!+#REF!+#REF!+#REF!+#REF!+#REF!+#REF!+#REF!+#REF!+#REF!+#REF!+#REF!+#REF!+#REF!+#REF!+#REF!+#REF!+#REF!+#REF!+#REF!+#REF!</f>
        <v>#REF!</v>
      </c>
      <c r="M67" s="6" t="e">
        <f>#REF!+#REF!+#REF!+#REF!+#REF!+#REF!+#REF!+#REF!+#REF!+#REF!+#REF!+#REF!+#REF!+#REF!+#REF!+#REF!+#REF!+#REF!+#REF!+#REF!+#REF!+#REF!+#REF!+#REF!+#REF!+#REF!+#REF!+#REF!+#REF!+#REF!</f>
        <v>#REF!</v>
      </c>
      <c r="N67" s="6" t="e">
        <f>#REF!+#REF!+#REF!+#REF!+#REF!+#REF!+#REF!+#REF!+#REF!+#REF!+#REF!+#REF!+#REF!+#REF!+#REF!+#REF!+#REF!+#REF!+#REF!+#REF!+#REF!+#REF!+#REF!+#REF!+#REF!+#REF!+#REF!+#REF!+#REF!+#REF!</f>
        <v>#REF!</v>
      </c>
      <c r="O67" s="6" t="e">
        <f>#REF!+#REF!+#REF!+#REF!+#REF!+#REF!+#REF!+#REF!+#REF!+#REF!+#REF!+#REF!+#REF!+#REF!+#REF!+#REF!+#REF!+#REF!+#REF!+#REF!+#REF!+#REF!+#REF!+#REF!+#REF!+#REF!+#REF!+#REF!+#REF!+#REF!</f>
        <v>#REF!</v>
      </c>
      <c r="P67" s="6" t="e">
        <f>#REF!+#REF!+#REF!+#REF!+#REF!+#REF!+#REF!+#REF!+#REF!+#REF!+#REF!+#REF!+#REF!+#REF!+#REF!+#REF!+#REF!+#REF!+#REF!+#REF!+#REF!+#REF!+#REF!+#REF!+#REF!+#REF!+#REF!+#REF!+#REF!+#REF!</f>
        <v>#REF!</v>
      </c>
      <c r="Q67" s="7" t="e">
        <f t="shared" si="0"/>
        <v>#REF!</v>
      </c>
      <c r="R67" s="6" t="e">
        <f>#REF!+#REF!+#REF!+#REF!+#REF!+#REF!+#REF!+#REF!+#REF!+#REF!+#REF!+#REF!+#REF!+#REF!+#REF!+#REF!+#REF!+#REF!+#REF!+#REF!+#REF!+#REF!+#REF!+#REF!+#REF!+#REF!+#REF!+#REF!+#REF!+#REF!</f>
        <v>#REF!</v>
      </c>
      <c r="S67" s="6" t="e">
        <f t="shared" si="1"/>
        <v>#REF!</v>
      </c>
      <c r="T67" s="6">
        <f>-1100-450</f>
        <v>-1550</v>
      </c>
      <c r="U67" s="6" t="e">
        <f t="shared" si="2"/>
        <v>#REF!</v>
      </c>
      <c r="V67" s="86"/>
      <c r="W67" s="57"/>
      <c r="X67" s="46"/>
      <c r="Y67" s="61"/>
      <c r="Z67" s="66"/>
      <c r="AA67" s="61"/>
      <c r="AB67" s="67"/>
      <c r="AC67" s="61"/>
      <c r="AD67" s="66"/>
      <c r="AE67" s="61"/>
      <c r="AF67" s="52">
        <f t="shared" si="3"/>
        <v>0</v>
      </c>
      <c r="AG67" s="46" t="e">
        <f t="shared" si="4"/>
        <v>#REF!</v>
      </c>
      <c r="AH67" s="51" t="e">
        <f t="shared" si="5"/>
        <v>#REF!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63</v>
      </c>
      <c r="C68" s="32"/>
      <c r="D68" s="6" t="e">
        <f>#REF!+#REF!+#REF!+#REF!+#REF!+#REF!+#REF!+#REF!+#REF!+#REF!+#REF!+#REF!+#REF!+#REF!+#REF!+#REF!+#REF!+#REF!+#REF!+#REF!+#REF!+#REF!+#REF!+#REF!+#REF!+#REF!+#REF!+#REF!+#REF!+#REF!</f>
        <v>#REF!</v>
      </c>
      <c r="E68" s="6" t="e">
        <f>#REF!+#REF!+#REF!+#REF!+#REF!+#REF!+#REF!+#REF!+#REF!+#REF!+#REF!+#REF!+#REF!+#REF!+#REF!+#REF!+#REF!+#REF!+#REF!+#REF!+#REF!+#REF!+#REF!+#REF!+#REF!+#REF!+#REF!+#REF!+#REF!+#REF!</f>
        <v>#REF!</v>
      </c>
      <c r="F68" s="6" t="e">
        <f>#REF!+#REF!+#REF!+#REF!+#REF!+#REF!+#REF!+#REF!+#REF!+#REF!+#REF!+#REF!+#REF!+#REF!+#REF!+#REF!+#REF!+#REF!+#REF!+#REF!+#REF!+#REF!+#REF!+#REF!+#REF!+#REF!+#REF!+#REF!+#REF!+#REF!</f>
        <v>#REF!</v>
      </c>
      <c r="G68" s="6" t="e">
        <f>#REF!+#REF!+#REF!+#REF!+#REF!+#REF!+#REF!+#REF!+#REF!+#REF!+#REF!+#REF!+#REF!+#REF!+#REF!+#REF!+#REF!+#REF!+#REF!+#REF!+#REF!+#REF!+#REF!+#REF!+#REF!+#REF!+#REF!+#REF!+#REF!+#REF!</f>
        <v>#REF!</v>
      </c>
      <c r="H68" s="6" t="e">
        <f>#REF!+#REF!+#REF!+#REF!+#REF!+#REF!+#REF!+#REF!+#REF!+#REF!+#REF!+#REF!+#REF!+#REF!+#REF!+#REF!+#REF!+#REF!+#REF!+#REF!+#REF!+#REF!+#REF!+#REF!+#REF!+#REF!+#REF!+#REF!+#REF!+#REF!</f>
        <v>#REF!</v>
      </c>
      <c r="I68" s="6" t="e">
        <f>#REF!+#REF!+#REF!+#REF!+#REF!+#REF!+#REF!+#REF!+#REF!+#REF!+#REF!+#REF!+#REF!+#REF!+#REF!+#REF!+#REF!+#REF!+#REF!+#REF!+#REF!+#REF!+#REF!+#REF!+#REF!+#REF!+#REF!+#REF!+#REF!+#REF!</f>
        <v>#REF!</v>
      </c>
      <c r="J68" s="6" t="e">
        <f>#REF!+#REF!+#REF!+#REF!+#REF!+#REF!+#REF!+#REF!+#REF!+#REF!+#REF!+#REF!+#REF!+#REF!+#REF!+#REF!+#REF!+#REF!+#REF!+#REF!+#REF!+#REF!+#REF!+#REF!+#REF!+#REF!+#REF!+#REF!+#REF!+#REF!</f>
        <v>#REF!</v>
      </c>
      <c r="K68" s="6" t="e">
        <f>#REF!+#REF!+#REF!+#REF!+#REF!+#REF!+#REF!+#REF!+#REF!+#REF!+#REF!+#REF!+#REF!+#REF!+#REF!+#REF!+#REF!+#REF!+#REF!+#REF!+#REF!+#REF!+#REF!+#REF!+#REF!+#REF!+#REF!+#REF!+#REF!+#REF!</f>
        <v>#REF!</v>
      </c>
      <c r="L68" s="6" t="e">
        <f>#REF!+#REF!+#REF!+#REF!+#REF!+#REF!+#REF!+#REF!+#REF!+#REF!+#REF!+#REF!+#REF!+#REF!+#REF!+#REF!+#REF!+#REF!+#REF!+#REF!+#REF!+#REF!+#REF!+#REF!+#REF!+#REF!+#REF!+#REF!+#REF!+#REF!</f>
        <v>#REF!</v>
      </c>
      <c r="M68" s="6" t="e">
        <f>#REF!+#REF!+#REF!+#REF!+#REF!+#REF!+#REF!+#REF!+#REF!+#REF!+#REF!+#REF!+#REF!+#REF!+#REF!+#REF!+#REF!+#REF!+#REF!+#REF!+#REF!+#REF!+#REF!+#REF!+#REF!+#REF!+#REF!+#REF!+#REF!+#REF!</f>
        <v>#REF!</v>
      </c>
      <c r="N68" s="6" t="e">
        <f>#REF!+#REF!+#REF!+#REF!+#REF!+#REF!+#REF!+#REF!+#REF!+#REF!+#REF!+#REF!+#REF!+#REF!+#REF!+#REF!+#REF!+#REF!+#REF!+#REF!+#REF!+#REF!+#REF!+#REF!+#REF!+#REF!+#REF!+#REF!+#REF!+#REF!</f>
        <v>#REF!</v>
      </c>
      <c r="O68" s="6" t="e">
        <f>#REF!+#REF!+#REF!+#REF!+#REF!+#REF!+#REF!+#REF!+#REF!+#REF!+#REF!+#REF!+#REF!+#REF!+#REF!+#REF!+#REF!+#REF!+#REF!+#REF!+#REF!+#REF!+#REF!+#REF!+#REF!+#REF!+#REF!+#REF!+#REF!+#REF!</f>
        <v>#REF!</v>
      </c>
      <c r="P68" s="6" t="e">
        <f>#REF!+#REF!+#REF!+#REF!+#REF!+#REF!+#REF!+#REF!+#REF!+#REF!+#REF!+#REF!+#REF!+#REF!+#REF!+#REF!+#REF!+#REF!+#REF!+#REF!+#REF!+#REF!+#REF!+#REF!+#REF!+#REF!+#REF!+#REF!+#REF!+#REF!</f>
        <v>#REF!</v>
      </c>
      <c r="Q68" s="7" t="e">
        <f t="shared" si="0"/>
        <v>#REF!</v>
      </c>
      <c r="R68" s="6" t="e">
        <f>#REF!+#REF!+#REF!+#REF!+#REF!+#REF!+#REF!+#REF!+#REF!+#REF!+#REF!+#REF!+#REF!+#REF!+#REF!+#REF!+#REF!+#REF!+#REF!+#REF!+#REF!+#REF!+#REF!+#REF!+#REF!+#REF!+#REF!+#REF!+#REF!+#REF!</f>
        <v>#REF!</v>
      </c>
      <c r="S68" s="6" t="e">
        <f t="shared" si="1"/>
        <v>#REF!</v>
      </c>
      <c r="T68" s="6">
        <v>0</v>
      </c>
      <c r="U68" s="6" t="e">
        <f t="shared" si="2"/>
        <v>#REF!</v>
      </c>
      <c r="V68" s="86"/>
      <c r="W68" s="57"/>
      <c r="X68" s="46"/>
      <c r="Y68" s="61"/>
      <c r="Z68" s="47"/>
      <c r="AA68" s="61"/>
      <c r="AB68" s="67"/>
      <c r="AC68" s="61"/>
      <c r="AD68" s="66"/>
      <c r="AE68" s="61"/>
      <c r="AF68" s="52">
        <f t="shared" si="3"/>
        <v>0</v>
      </c>
      <c r="AG68" s="46" t="e">
        <f t="shared" si="4"/>
        <v>#REF!</v>
      </c>
      <c r="AH68" s="51" t="e">
        <f t="shared" si="5"/>
        <v>#REF!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/>
      <c r="D69" s="6" t="e">
        <f>#REF!+#REF!+#REF!+#REF!+#REF!+#REF!+#REF!+#REF!+#REF!+#REF!+#REF!+#REF!+#REF!+#REF!+#REF!+#REF!+#REF!+#REF!+#REF!+#REF!+#REF!+#REF!+#REF!+#REF!+#REF!+#REF!+#REF!+#REF!+#REF!+#REF!</f>
        <v>#REF!</v>
      </c>
      <c r="E69" s="6" t="e">
        <f>#REF!+#REF!+#REF!+#REF!+#REF!+#REF!+#REF!+#REF!+#REF!+#REF!+#REF!+#REF!+#REF!+#REF!+#REF!+#REF!+#REF!+#REF!+#REF!+#REF!+#REF!+#REF!+#REF!+#REF!+#REF!+#REF!+#REF!+#REF!+#REF!+#REF!</f>
        <v>#REF!</v>
      </c>
      <c r="F69" s="6" t="e">
        <f>#REF!+#REF!+#REF!+#REF!+#REF!+#REF!+#REF!+#REF!+#REF!+#REF!+#REF!+#REF!+#REF!+#REF!+#REF!+#REF!+#REF!+#REF!+#REF!+#REF!+#REF!+#REF!+#REF!+#REF!+#REF!+#REF!+#REF!+#REF!+#REF!+#REF!</f>
        <v>#REF!</v>
      </c>
      <c r="G69" s="6" t="e">
        <f>#REF!+#REF!+#REF!+#REF!+#REF!+#REF!+#REF!+#REF!+#REF!+#REF!+#REF!+#REF!+#REF!+#REF!+#REF!+#REF!+#REF!+#REF!+#REF!+#REF!+#REF!+#REF!+#REF!+#REF!+#REF!+#REF!+#REF!+#REF!+#REF!+#REF!</f>
        <v>#REF!</v>
      </c>
      <c r="H69" s="6" t="e">
        <f>#REF!+#REF!+#REF!+#REF!+#REF!+#REF!+#REF!+#REF!+#REF!+#REF!+#REF!+#REF!+#REF!+#REF!+#REF!+#REF!+#REF!+#REF!+#REF!+#REF!+#REF!+#REF!+#REF!+#REF!+#REF!+#REF!+#REF!+#REF!+#REF!+#REF!</f>
        <v>#REF!</v>
      </c>
      <c r="I69" s="6" t="e">
        <f>#REF!+#REF!+#REF!+#REF!+#REF!+#REF!+#REF!+#REF!+#REF!+#REF!+#REF!+#REF!+#REF!+#REF!+#REF!+#REF!+#REF!+#REF!+#REF!+#REF!+#REF!+#REF!+#REF!+#REF!+#REF!+#REF!+#REF!+#REF!+#REF!+#REF!</f>
        <v>#REF!</v>
      </c>
      <c r="J69" s="6" t="e">
        <f>#REF!+#REF!+#REF!+#REF!+#REF!+#REF!+#REF!+#REF!+#REF!+#REF!+#REF!+#REF!+#REF!+#REF!+#REF!+#REF!+#REF!+#REF!+#REF!+#REF!+#REF!+#REF!+#REF!+#REF!+#REF!+#REF!+#REF!+#REF!+#REF!+#REF!</f>
        <v>#REF!</v>
      </c>
      <c r="K69" s="6" t="e">
        <f>#REF!+#REF!+#REF!+#REF!+#REF!+#REF!+#REF!+#REF!+#REF!+#REF!+#REF!+#REF!+#REF!+#REF!+#REF!+#REF!+#REF!+#REF!+#REF!+#REF!+#REF!+#REF!+#REF!+#REF!+#REF!+#REF!+#REF!+#REF!+#REF!+#REF!</f>
        <v>#REF!</v>
      </c>
      <c r="L69" s="6" t="e">
        <f>#REF!+#REF!+#REF!+#REF!+#REF!+#REF!+#REF!+#REF!+#REF!+#REF!+#REF!+#REF!+#REF!+#REF!+#REF!+#REF!+#REF!+#REF!+#REF!+#REF!+#REF!+#REF!+#REF!+#REF!+#REF!+#REF!+#REF!+#REF!+#REF!+#REF!</f>
        <v>#REF!</v>
      </c>
      <c r="M69" s="6" t="e">
        <f>#REF!+#REF!+#REF!+#REF!+#REF!+#REF!+#REF!+#REF!+#REF!+#REF!+#REF!+#REF!+#REF!+#REF!+#REF!+#REF!+#REF!+#REF!+#REF!+#REF!+#REF!+#REF!+#REF!+#REF!+#REF!+#REF!+#REF!+#REF!+#REF!+#REF!</f>
        <v>#REF!</v>
      </c>
      <c r="N69" s="6" t="e">
        <f>#REF!+#REF!+#REF!+#REF!+#REF!+#REF!+#REF!+#REF!+#REF!+#REF!+#REF!+#REF!+#REF!+#REF!+#REF!+#REF!+#REF!+#REF!+#REF!+#REF!+#REF!+#REF!+#REF!+#REF!+#REF!+#REF!+#REF!+#REF!+#REF!+#REF!</f>
        <v>#REF!</v>
      </c>
      <c r="O69" s="6" t="e">
        <f>#REF!+#REF!+#REF!+#REF!+#REF!+#REF!+#REF!+#REF!+#REF!+#REF!+#REF!+#REF!+#REF!+#REF!+#REF!+#REF!+#REF!+#REF!+#REF!+#REF!+#REF!+#REF!+#REF!+#REF!+#REF!+#REF!+#REF!+#REF!+#REF!+#REF!</f>
        <v>#REF!</v>
      </c>
      <c r="P69" s="6" t="e">
        <f>#REF!+#REF!+#REF!+#REF!+#REF!+#REF!+#REF!+#REF!+#REF!+#REF!+#REF!+#REF!+#REF!+#REF!+#REF!+#REF!+#REF!+#REF!+#REF!+#REF!+#REF!+#REF!+#REF!+#REF!+#REF!+#REF!+#REF!+#REF!+#REF!+#REF!</f>
        <v>#REF!</v>
      </c>
      <c r="Q69" s="7" t="e">
        <f t="shared" si="0"/>
        <v>#REF!</v>
      </c>
      <c r="R69" s="6" t="e">
        <f>#REF!+#REF!+#REF!+#REF!+#REF!+#REF!+#REF!+#REF!+#REF!+#REF!+#REF!+#REF!+#REF!+#REF!+#REF!+#REF!+#REF!+#REF!+#REF!+#REF!+#REF!+#REF!+#REF!+#REF!+#REF!+#REF!+#REF!+#REF!+#REF!+#REF!</f>
        <v>#REF!</v>
      </c>
      <c r="S69" s="6" t="e">
        <f t="shared" si="1"/>
        <v>#REF!</v>
      </c>
      <c r="T69" s="6">
        <f>-17250+100-4000</f>
        <v>-21150</v>
      </c>
      <c r="U69" s="6" t="e">
        <f t="shared" si="2"/>
        <v>#REF!</v>
      </c>
      <c r="V69" s="86">
        <v>25</v>
      </c>
      <c r="W69" s="57"/>
      <c r="X69" s="46"/>
      <c r="Y69" s="61"/>
      <c r="Z69" s="47"/>
      <c r="AA69" s="61"/>
      <c r="AB69" s="64"/>
      <c r="AC69" s="61"/>
      <c r="AD69" s="66"/>
      <c r="AE69" s="61"/>
      <c r="AF69" s="52">
        <f t="shared" si="3"/>
        <v>0</v>
      </c>
      <c r="AG69" s="46" t="e">
        <f t="shared" si="4"/>
        <v>#REF!</v>
      </c>
      <c r="AH69" s="51" t="e">
        <f t="shared" si="5"/>
        <v>#REF!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/>
      <c r="D70" s="6" t="e">
        <f>#REF!+#REF!+#REF!+#REF!+#REF!+#REF!+#REF!+#REF!+#REF!+#REF!+#REF!+#REF!+#REF!+#REF!+#REF!+#REF!+#REF!+#REF!+#REF!+#REF!+#REF!+#REF!+#REF!+#REF!+#REF!+#REF!+#REF!+#REF!+#REF!+#REF!</f>
        <v>#REF!</v>
      </c>
      <c r="E70" s="6" t="e">
        <f>#REF!+#REF!+#REF!+#REF!+#REF!+#REF!+#REF!+#REF!+#REF!+#REF!+#REF!+#REF!+#REF!+#REF!+#REF!+#REF!+#REF!+#REF!+#REF!+#REF!+#REF!+#REF!+#REF!+#REF!+#REF!+#REF!+#REF!+#REF!+#REF!+#REF!</f>
        <v>#REF!</v>
      </c>
      <c r="F70" s="6" t="e">
        <f>#REF!+#REF!+#REF!+#REF!+#REF!+#REF!+#REF!+#REF!+#REF!+#REF!+#REF!+#REF!+#REF!+#REF!+#REF!+#REF!+#REF!+#REF!+#REF!+#REF!+#REF!+#REF!+#REF!+#REF!+#REF!+#REF!+#REF!+#REF!+#REF!+#REF!</f>
        <v>#REF!</v>
      </c>
      <c r="G70" s="6" t="e">
        <f>#REF!+#REF!+#REF!+#REF!+#REF!+#REF!+#REF!+#REF!+#REF!+#REF!+#REF!+#REF!+#REF!+#REF!+#REF!+#REF!+#REF!+#REF!+#REF!+#REF!+#REF!+#REF!+#REF!+#REF!+#REF!+#REF!+#REF!+#REF!+#REF!+#REF!</f>
        <v>#REF!</v>
      </c>
      <c r="H70" s="6" t="e">
        <f>#REF!+#REF!+#REF!+#REF!+#REF!+#REF!+#REF!+#REF!+#REF!+#REF!+#REF!+#REF!+#REF!+#REF!+#REF!+#REF!+#REF!+#REF!+#REF!+#REF!+#REF!+#REF!+#REF!+#REF!+#REF!+#REF!+#REF!+#REF!+#REF!+#REF!</f>
        <v>#REF!</v>
      </c>
      <c r="I70" s="6" t="e">
        <f>#REF!+#REF!+#REF!+#REF!+#REF!+#REF!+#REF!+#REF!+#REF!+#REF!+#REF!+#REF!+#REF!+#REF!+#REF!+#REF!+#REF!+#REF!+#REF!+#REF!+#REF!+#REF!+#REF!+#REF!+#REF!+#REF!+#REF!+#REF!+#REF!+#REF!</f>
        <v>#REF!</v>
      </c>
      <c r="J70" s="6" t="e">
        <f>#REF!+#REF!+#REF!+#REF!+#REF!+#REF!+#REF!+#REF!+#REF!+#REF!+#REF!+#REF!+#REF!+#REF!+#REF!+#REF!+#REF!+#REF!+#REF!+#REF!+#REF!+#REF!+#REF!+#REF!+#REF!+#REF!+#REF!+#REF!+#REF!+#REF!</f>
        <v>#REF!</v>
      </c>
      <c r="K70" s="6" t="e">
        <f>#REF!+#REF!+#REF!+#REF!+#REF!+#REF!+#REF!+#REF!+#REF!+#REF!+#REF!+#REF!+#REF!+#REF!+#REF!+#REF!+#REF!+#REF!+#REF!+#REF!+#REF!+#REF!+#REF!+#REF!+#REF!+#REF!+#REF!+#REF!+#REF!+#REF!</f>
        <v>#REF!</v>
      </c>
      <c r="L70" s="6" t="e">
        <f>#REF!+#REF!+#REF!+#REF!+#REF!+#REF!+#REF!+#REF!+#REF!+#REF!+#REF!+#REF!+#REF!+#REF!+#REF!+#REF!+#REF!+#REF!+#REF!+#REF!+#REF!+#REF!+#REF!+#REF!+#REF!+#REF!+#REF!+#REF!+#REF!+#REF!</f>
        <v>#REF!</v>
      </c>
      <c r="M70" s="6" t="e">
        <f>#REF!+#REF!+#REF!+#REF!+#REF!+#REF!+#REF!+#REF!+#REF!+#REF!+#REF!+#REF!+#REF!+#REF!+#REF!+#REF!+#REF!+#REF!+#REF!+#REF!+#REF!+#REF!+#REF!+#REF!+#REF!+#REF!+#REF!+#REF!+#REF!+#REF!</f>
        <v>#REF!</v>
      </c>
      <c r="N70" s="6" t="e">
        <f>#REF!+#REF!+#REF!+#REF!+#REF!+#REF!+#REF!+#REF!+#REF!+#REF!+#REF!+#REF!+#REF!+#REF!+#REF!+#REF!+#REF!+#REF!+#REF!+#REF!+#REF!+#REF!+#REF!+#REF!+#REF!+#REF!+#REF!+#REF!+#REF!+#REF!</f>
        <v>#REF!</v>
      </c>
      <c r="O70" s="6" t="e">
        <f>#REF!+#REF!+#REF!+#REF!+#REF!+#REF!+#REF!+#REF!+#REF!+#REF!+#REF!+#REF!+#REF!+#REF!+#REF!+#REF!+#REF!+#REF!+#REF!+#REF!+#REF!+#REF!+#REF!+#REF!+#REF!+#REF!+#REF!+#REF!+#REF!+#REF!</f>
        <v>#REF!</v>
      </c>
      <c r="P70" s="6" t="e">
        <f>#REF!+#REF!+#REF!+#REF!+#REF!+#REF!+#REF!+#REF!+#REF!+#REF!+#REF!+#REF!+#REF!+#REF!+#REF!+#REF!+#REF!+#REF!+#REF!+#REF!+#REF!+#REF!+#REF!+#REF!+#REF!+#REF!+#REF!+#REF!+#REF!+#REF!</f>
        <v>#REF!</v>
      </c>
      <c r="Q70" s="7" t="e">
        <f t="shared" si="0"/>
        <v>#REF!</v>
      </c>
      <c r="R70" s="6" t="e">
        <f>#REF!+#REF!+#REF!+#REF!+#REF!+#REF!+#REF!+#REF!+#REF!+#REF!+#REF!+#REF!+#REF!+#REF!+#REF!+#REF!+#REF!+#REF!+#REF!+#REF!+#REF!+#REF!+#REF!+#REF!+#REF!+#REF!+#REF!+#REF!+#REF!+#REF!</f>
        <v>#REF!</v>
      </c>
      <c r="S70" s="6" t="e">
        <f t="shared" si="1"/>
        <v>#REF!</v>
      </c>
      <c r="T70" s="6">
        <f>-9850+1000</f>
        <v>-8850</v>
      </c>
      <c r="U70" s="6" t="e">
        <f t="shared" si="2"/>
        <v>#REF!</v>
      </c>
      <c r="V70" s="71"/>
      <c r="W70" s="57"/>
      <c r="X70" s="46"/>
      <c r="Y70" s="61"/>
      <c r="Z70" s="66"/>
      <c r="AA70" s="61"/>
      <c r="AB70" s="67"/>
      <c r="AC70" s="61"/>
      <c r="AD70" s="66"/>
      <c r="AE70" s="61"/>
      <c r="AF70" s="52">
        <f t="shared" si="3"/>
        <v>0</v>
      </c>
      <c r="AG70" s="46" t="e">
        <f t="shared" si="4"/>
        <v>#REF!</v>
      </c>
      <c r="AH70" s="51" t="e">
        <f t="shared" si="5"/>
        <v>#REF!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/>
      <c r="D71" s="6" t="e">
        <f>#REF!+#REF!+#REF!+#REF!+#REF!+#REF!+#REF!+#REF!+#REF!+#REF!+#REF!+#REF!+#REF!+#REF!+#REF!+#REF!+#REF!+#REF!+#REF!+#REF!+#REF!+#REF!+#REF!+#REF!+#REF!+#REF!+#REF!+#REF!+#REF!+#REF!</f>
        <v>#REF!</v>
      </c>
      <c r="E71" s="6" t="e">
        <f>#REF!+#REF!+#REF!+#REF!+#REF!+#REF!+#REF!+#REF!+#REF!+#REF!+#REF!+#REF!+#REF!+#REF!+#REF!+#REF!+#REF!+#REF!+#REF!+#REF!+#REF!+#REF!+#REF!+#REF!+#REF!+#REF!+#REF!+#REF!+#REF!+#REF!</f>
        <v>#REF!</v>
      </c>
      <c r="F71" s="6" t="e">
        <f>#REF!+#REF!+#REF!+#REF!+#REF!+#REF!+#REF!+#REF!+#REF!+#REF!+#REF!+#REF!+#REF!+#REF!+#REF!+#REF!+#REF!+#REF!+#REF!+#REF!+#REF!+#REF!+#REF!+#REF!+#REF!+#REF!+#REF!+#REF!+#REF!+#REF!</f>
        <v>#REF!</v>
      </c>
      <c r="G71" s="6" t="e">
        <f>#REF!+#REF!+#REF!+#REF!+#REF!+#REF!+#REF!+#REF!+#REF!+#REF!+#REF!+#REF!+#REF!+#REF!+#REF!+#REF!+#REF!+#REF!+#REF!+#REF!+#REF!+#REF!+#REF!+#REF!+#REF!+#REF!+#REF!+#REF!+#REF!+#REF!</f>
        <v>#REF!</v>
      </c>
      <c r="H71" s="6" t="e">
        <f>#REF!+#REF!+#REF!+#REF!+#REF!+#REF!+#REF!+#REF!+#REF!+#REF!+#REF!+#REF!+#REF!+#REF!+#REF!+#REF!+#REF!+#REF!+#REF!+#REF!+#REF!+#REF!+#REF!+#REF!+#REF!+#REF!+#REF!+#REF!+#REF!+#REF!</f>
        <v>#REF!</v>
      </c>
      <c r="I71" s="6" t="e">
        <f>#REF!+#REF!+#REF!+#REF!+#REF!+#REF!+#REF!+#REF!+#REF!+#REF!+#REF!+#REF!+#REF!+#REF!+#REF!+#REF!+#REF!+#REF!+#REF!+#REF!+#REF!+#REF!+#REF!+#REF!+#REF!+#REF!+#REF!+#REF!+#REF!+#REF!</f>
        <v>#REF!</v>
      </c>
      <c r="J71" s="6" t="e">
        <f>#REF!+#REF!+#REF!+#REF!+#REF!+#REF!+#REF!+#REF!+#REF!+#REF!+#REF!+#REF!+#REF!+#REF!+#REF!+#REF!+#REF!+#REF!+#REF!+#REF!+#REF!+#REF!+#REF!+#REF!+#REF!+#REF!+#REF!+#REF!+#REF!+#REF!</f>
        <v>#REF!</v>
      </c>
      <c r="K71" s="6" t="e">
        <f>#REF!+#REF!+#REF!+#REF!+#REF!+#REF!+#REF!+#REF!+#REF!+#REF!+#REF!+#REF!+#REF!+#REF!+#REF!+#REF!+#REF!+#REF!+#REF!+#REF!+#REF!+#REF!+#REF!+#REF!+#REF!+#REF!+#REF!+#REF!+#REF!+#REF!</f>
        <v>#REF!</v>
      </c>
      <c r="L71" s="6" t="e">
        <f>#REF!+#REF!+#REF!+#REF!+#REF!+#REF!+#REF!+#REF!+#REF!+#REF!+#REF!+#REF!+#REF!+#REF!+#REF!+#REF!+#REF!+#REF!+#REF!+#REF!+#REF!+#REF!+#REF!+#REF!+#REF!+#REF!+#REF!+#REF!+#REF!+#REF!</f>
        <v>#REF!</v>
      </c>
      <c r="M71" s="6" t="e">
        <f>#REF!+#REF!+#REF!+#REF!+#REF!+#REF!+#REF!+#REF!+#REF!+#REF!+#REF!+#REF!+#REF!+#REF!+#REF!+#REF!+#REF!+#REF!+#REF!+#REF!+#REF!+#REF!+#REF!+#REF!+#REF!+#REF!+#REF!+#REF!+#REF!+#REF!</f>
        <v>#REF!</v>
      </c>
      <c r="N71" s="6" t="e">
        <f>#REF!+#REF!+#REF!+#REF!+#REF!+#REF!+#REF!+#REF!+#REF!+#REF!+#REF!+#REF!+#REF!+#REF!+#REF!+#REF!+#REF!+#REF!+#REF!+#REF!+#REF!+#REF!+#REF!+#REF!+#REF!+#REF!+#REF!+#REF!+#REF!+#REF!</f>
        <v>#REF!</v>
      </c>
      <c r="O71" s="6" t="e">
        <f>#REF!+#REF!+#REF!+#REF!+#REF!+#REF!+#REF!+#REF!+#REF!+#REF!+#REF!+#REF!+#REF!+#REF!+#REF!+#REF!+#REF!+#REF!+#REF!+#REF!+#REF!+#REF!+#REF!+#REF!+#REF!+#REF!+#REF!+#REF!+#REF!+#REF!</f>
        <v>#REF!</v>
      </c>
      <c r="P71" s="6" t="e">
        <f>#REF!+#REF!+#REF!+#REF!+#REF!+#REF!+#REF!+#REF!+#REF!+#REF!+#REF!+#REF!+#REF!+#REF!+#REF!+#REF!+#REF!+#REF!+#REF!+#REF!+#REF!+#REF!+#REF!+#REF!+#REF!+#REF!+#REF!+#REF!+#REF!+#REF!</f>
        <v>#REF!</v>
      </c>
      <c r="Q71" s="7" t="e">
        <f t="shared" si="0"/>
        <v>#REF!</v>
      </c>
      <c r="R71" s="6" t="e">
        <f>#REF!+#REF!+#REF!+#REF!+#REF!+#REF!+#REF!+#REF!+#REF!+#REF!+#REF!+#REF!+#REF!+#REF!+#REF!+#REF!+#REF!+#REF!+#REF!+#REF!+#REF!+#REF!+#REF!+#REF!+#REF!+#REF!+#REF!+#REF!+#REF!+#REF!</f>
        <v>#REF!</v>
      </c>
      <c r="S71" s="6" t="e">
        <f t="shared" si="1"/>
        <v>#REF!</v>
      </c>
      <c r="T71" s="6">
        <f>-19900+200+100-9000</f>
        <v>-28600</v>
      </c>
      <c r="U71" s="6" t="e">
        <f t="shared" si="2"/>
        <v>#REF!</v>
      </c>
      <c r="V71" s="86">
        <v>75</v>
      </c>
      <c r="W71" s="57"/>
      <c r="X71" s="46"/>
      <c r="Y71" s="61"/>
      <c r="Z71" s="47"/>
      <c r="AA71" s="61"/>
      <c r="AB71" s="64"/>
      <c r="AC71" s="61"/>
      <c r="AD71" s="66"/>
      <c r="AE71" s="61"/>
      <c r="AF71" s="52">
        <f t="shared" si="3"/>
        <v>0</v>
      </c>
      <c r="AG71" s="46" t="e">
        <f t="shared" si="4"/>
        <v>#REF!</v>
      </c>
      <c r="AH71" s="51" t="e">
        <f t="shared" si="5"/>
        <v>#REF!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57"/>
      <c r="X72" s="43"/>
      <c r="Y72" s="54"/>
      <c r="Z72" s="43"/>
      <c r="AA72" s="62"/>
      <c r="AB72" s="48"/>
      <c r="AC72" s="55"/>
      <c r="AD72" s="46"/>
      <c r="AE72" s="52"/>
      <c r="AF72" s="52">
        <f t="shared" ref="AF72" si="6">SUM(Y72:AE72)</f>
        <v>0</v>
      </c>
      <c r="AG72" s="46">
        <f t="shared" ref="AG72" si="7">U72+AF72</f>
        <v>0</v>
      </c>
      <c r="AH72" s="51">
        <f t="shared" ref="AH72" si="8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86">
        <f>SUM(C7:C72)</f>
        <v>0</v>
      </c>
      <c r="D73" s="89" t="e">
        <f t="shared" ref="D73:V73" si="9">SUM(D7:D72)</f>
        <v>#REF!</v>
      </c>
      <c r="E73" s="89" t="e">
        <f t="shared" si="9"/>
        <v>#REF!</v>
      </c>
      <c r="F73" s="89" t="e">
        <f t="shared" si="9"/>
        <v>#REF!</v>
      </c>
      <c r="G73" s="90" t="e">
        <f t="shared" si="9"/>
        <v>#REF!</v>
      </c>
      <c r="H73" s="27" t="e">
        <f t="shared" si="9"/>
        <v>#REF!</v>
      </c>
      <c r="I73" s="89" t="e">
        <f t="shared" si="9"/>
        <v>#REF!</v>
      </c>
      <c r="J73" s="89" t="e">
        <f t="shared" si="9"/>
        <v>#REF!</v>
      </c>
      <c r="K73" s="90" t="e">
        <f t="shared" si="9"/>
        <v>#REF!</v>
      </c>
      <c r="L73" s="89" t="e">
        <f t="shared" si="9"/>
        <v>#REF!</v>
      </c>
      <c r="M73" s="89" t="e">
        <f t="shared" si="9"/>
        <v>#REF!</v>
      </c>
      <c r="N73" s="89" t="e">
        <f t="shared" si="9"/>
        <v>#REF!</v>
      </c>
      <c r="O73" s="89" t="e">
        <f t="shared" si="9"/>
        <v>#REF!</v>
      </c>
      <c r="P73" s="89" t="e">
        <f t="shared" si="9"/>
        <v>#REF!</v>
      </c>
      <c r="Q73" s="86" t="e">
        <f t="shared" si="9"/>
        <v>#REF!</v>
      </c>
      <c r="R73" s="86" t="e">
        <f t="shared" si="9"/>
        <v>#REF!</v>
      </c>
      <c r="S73" s="86" t="e">
        <f t="shared" si="9"/>
        <v>#REF!</v>
      </c>
      <c r="T73" s="86">
        <f t="shared" si="9"/>
        <v>-233875</v>
      </c>
      <c r="U73" s="86" t="e">
        <f t="shared" si="9"/>
        <v>#REF!</v>
      </c>
      <c r="V73" s="86">
        <f t="shared" si="9"/>
        <v>5090</v>
      </c>
      <c r="W73" s="24"/>
      <c r="X73" s="43"/>
      <c r="Y73" s="53">
        <f>SUM(Y7:Y72)</f>
        <v>0</v>
      </c>
      <c r="Z73" s="53">
        <f t="shared" ref="Z73:AJ73" si="10">SUM(Z7:Z72)</f>
        <v>0</v>
      </c>
      <c r="AA73" s="53">
        <f t="shared" si="10"/>
        <v>0</v>
      </c>
      <c r="AB73" s="53">
        <f t="shared" si="10"/>
        <v>0</v>
      </c>
      <c r="AC73" s="53">
        <f t="shared" si="10"/>
        <v>0</v>
      </c>
      <c r="AD73" s="59">
        <f t="shared" si="10"/>
        <v>0</v>
      </c>
      <c r="AE73" s="59">
        <f t="shared" si="10"/>
        <v>0</v>
      </c>
      <c r="AF73" s="60">
        <f t="shared" si="10"/>
        <v>0</v>
      </c>
      <c r="AG73" s="43" t="e">
        <f t="shared" si="10"/>
        <v>#REF!</v>
      </c>
      <c r="AH73" s="43" t="e">
        <f t="shared" si="10"/>
        <v>#REF!</v>
      </c>
      <c r="AI73" s="43">
        <f t="shared" si="10"/>
        <v>0</v>
      </c>
      <c r="AJ73" s="43">
        <f t="shared" si="10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 t="e">
        <f>Q73</f>
        <v>#REF!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 t="e">
        <f>E74</f>
        <v>#REF!</v>
      </c>
      <c r="S74" s="179"/>
      <c r="T74" s="180" t="e">
        <f>R74+R75</f>
        <v>#REF!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 t="e">
        <f>D73</f>
        <v>#REF!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79" t="e">
        <f>E75</f>
        <v>#REF!</v>
      </c>
      <c r="S75" s="179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 t="e">
        <f>R73</f>
        <v>#REF!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 t="e">
        <f>D76</f>
        <v>#REF!</v>
      </c>
      <c r="S76" s="165"/>
      <c r="T76" s="22"/>
      <c r="U76" s="22"/>
      <c r="V76" s="2"/>
      <c r="W76" s="23"/>
      <c r="X76" s="23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6000+12000+6000+5750+11950+2900+12100+6000+12000+12000+6000+24000+2500+12100+6000+6000+6000+2850+23400+6000+2000+12000+12000+6000+18000+30000</f>
        <v>261550</v>
      </c>
      <c r="G77" s="172"/>
      <c r="H77" s="171" t="s">
        <v>92</v>
      </c>
      <c r="I77" s="171"/>
      <c r="J77" s="172"/>
      <c r="K77" s="172"/>
      <c r="L77" s="39" t="s">
        <v>89</v>
      </c>
      <c r="M77" s="40">
        <f>6000+2000</f>
        <v>8000</v>
      </c>
      <c r="N77" s="40" t="s">
        <v>90</v>
      </c>
      <c r="O77" s="82"/>
      <c r="P77" s="40" t="s">
        <v>91</v>
      </c>
      <c r="Q77" s="40">
        <v>17500</v>
      </c>
      <c r="R77" s="165">
        <f>Q77+O77+M77+J77+F77</f>
        <v>287050</v>
      </c>
      <c r="S77" s="165"/>
      <c r="T77" s="22"/>
      <c r="U77" s="22"/>
      <c r="V77" s="2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 t="e">
        <f>R76-R77</f>
        <v>#REF!</v>
      </c>
      <c r="S80" s="165"/>
      <c r="T80" s="22"/>
      <c r="U80" s="22"/>
      <c r="V80" s="2"/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73</v>
      </c>
      <c r="D84" s="162"/>
      <c r="E84" s="162"/>
      <c r="F84" s="162"/>
      <c r="G84" s="5"/>
      <c r="H84" s="162" t="s">
        <v>69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122</v>
      </c>
      <c r="S84" s="162"/>
      <c r="T84" s="162"/>
      <c r="U84" s="162"/>
      <c r="V84" s="162"/>
    </row>
    <row r="86" spans="1:31">
      <c r="S86" s="36"/>
      <c r="T86" s="36" t="s">
        <v>7</v>
      </c>
      <c r="U86" s="36"/>
      <c r="V86" s="36" t="s">
        <v>124</v>
      </c>
      <c r="W86" s="88" t="s">
        <v>14</v>
      </c>
      <c r="X86" s="36" t="s">
        <v>0</v>
      </c>
    </row>
    <row r="87" spans="1:31">
      <c r="C87" s="63"/>
      <c r="Q87" s="63"/>
      <c r="S87" s="36">
        <v>1</v>
      </c>
      <c r="T87" s="36">
        <v>33115</v>
      </c>
      <c r="U87" s="36">
        <v>1</v>
      </c>
      <c r="V87" s="36">
        <v>19790</v>
      </c>
      <c r="W87" s="36">
        <v>10570</v>
      </c>
      <c r="X87" s="36">
        <f>SUM(V87:W87)</f>
        <v>30360</v>
      </c>
    </row>
    <row r="88" spans="1:31">
      <c r="B88" s="36"/>
      <c r="C88" s="36"/>
      <c r="S88" s="36">
        <v>2</v>
      </c>
      <c r="T88" s="36">
        <v>45300</v>
      </c>
      <c r="U88" s="36">
        <v>2</v>
      </c>
      <c r="V88" s="36">
        <v>17950</v>
      </c>
      <c r="W88" s="36">
        <v>56025</v>
      </c>
      <c r="X88" s="36">
        <f t="shared" ref="X88:X117" si="11">SUM(V88:W88)</f>
        <v>73975</v>
      </c>
    </row>
    <row r="89" spans="1:31">
      <c r="B89" s="36"/>
      <c r="S89" s="36">
        <v>3</v>
      </c>
      <c r="T89" s="36">
        <v>36450</v>
      </c>
      <c r="U89" s="36">
        <v>3</v>
      </c>
      <c r="V89" s="36">
        <v>32875</v>
      </c>
      <c r="W89" s="36">
        <v>19690</v>
      </c>
      <c r="X89" s="36">
        <f t="shared" si="11"/>
        <v>52565</v>
      </c>
    </row>
    <row r="90" spans="1:31">
      <c r="B90" s="36"/>
      <c r="C90" s="36"/>
      <c r="S90" s="36">
        <v>4</v>
      </c>
      <c r="T90" s="36">
        <v>32000</v>
      </c>
      <c r="U90" s="36">
        <v>4</v>
      </c>
      <c r="V90" s="36">
        <v>2950</v>
      </c>
      <c r="W90" s="36">
        <v>46830</v>
      </c>
      <c r="X90" s="36">
        <f t="shared" si="11"/>
        <v>49780</v>
      </c>
    </row>
    <row r="91" spans="1:31">
      <c r="B91" s="36"/>
      <c r="C91" s="36"/>
      <c r="S91" s="36">
        <v>5</v>
      </c>
      <c r="T91" s="36">
        <v>43990</v>
      </c>
      <c r="U91" s="36">
        <v>5</v>
      </c>
      <c r="V91" s="83"/>
      <c r="W91" s="83">
        <v>11130</v>
      </c>
      <c r="X91" s="36">
        <f t="shared" si="11"/>
        <v>11130</v>
      </c>
    </row>
    <row r="92" spans="1:31">
      <c r="B92" s="36"/>
      <c r="C92" s="36"/>
      <c r="S92" s="36">
        <v>6</v>
      </c>
      <c r="T92" s="36">
        <v>30050</v>
      </c>
      <c r="U92" s="36">
        <v>6</v>
      </c>
      <c r="V92" s="36">
        <v>16950</v>
      </c>
      <c r="W92" s="36">
        <v>54775</v>
      </c>
      <c r="X92" s="36">
        <f t="shared" si="11"/>
        <v>71725</v>
      </c>
    </row>
    <row r="93" spans="1:31">
      <c r="B93" s="36"/>
      <c r="C93" s="41"/>
      <c r="S93" s="36">
        <v>7</v>
      </c>
      <c r="T93" s="36">
        <v>32125</v>
      </c>
      <c r="U93" s="36">
        <v>7</v>
      </c>
      <c r="V93" s="36">
        <v>6600</v>
      </c>
      <c r="W93" s="36">
        <v>62550</v>
      </c>
      <c r="X93" s="36">
        <f t="shared" si="11"/>
        <v>69150</v>
      </c>
    </row>
    <row r="94" spans="1:31">
      <c r="B94" s="36"/>
      <c r="C94" s="36"/>
      <c r="S94" s="36">
        <v>8</v>
      </c>
      <c r="T94" s="36">
        <v>56885</v>
      </c>
      <c r="U94" s="36">
        <v>8</v>
      </c>
      <c r="V94" s="36">
        <v>54300</v>
      </c>
      <c r="W94" s="36">
        <v>10975</v>
      </c>
      <c r="X94" s="36">
        <f t="shared" si="11"/>
        <v>65275</v>
      </c>
    </row>
    <row r="95" spans="1:31">
      <c r="B95" s="36"/>
      <c r="C95" s="36"/>
      <c r="S95" s="36">
        <v>9</v>
      </c>
      <c r="T95" s="36">
        <v>27750</v>
      </c>
      <c r="U95" s="36">
        <v>9</v>
      </c>
      <c r="V95" s="36">
        <v>36515</v>
      </c>
      <c r="W95" s="36">
        <v>21250</v>
      </c>
      <c r="X95" s="36">
        <f t="shared" si="11"/>
        <v>57765</v>
      </c>
    </row>
    <row r="96" spans="1:31">
      <c r="B96" s="36"/>
      <c r="C96" s="36"/>
      <c r="S96" s="36">
        <v>10</v>
      </c>
      <c r="T96" s="36">
        <v>10600</v>
      </c>
      <c r="U96" s="36">
        <v>10</v>
      </c>
      <c r="V96" s="36">
        <v>2420</v>
      </c>
      <c r="W96" s="36">
        <v>17500</v>
      </c>
      <c r="X96" s="36">
        <f t="shared" si="11"/>
        <v>19920</v>
      </c>
    </row>
    <row r="97" spans="19:24">
      <c r="S97" s="36">
        <v>11</v>
      </c>
      <c r="T97" s="36">
        <v>38000</v>
      </c>
      <c r="U97" s="36">
        <v>11</v>
      </c>
      <c r="V97" s="36">
        <v>2500</v>
      </c>
      <c r="W97" s="36">
        <v>25825</v>
      </c>
      <c r="X97" s="36">
        <f t="shared" si="11"/>
        <v>28325</v>
      </c>
    </row>
    <row r="98" spans="19:24">
      <c r="S98" s="36">
        <v>12</v>
      </c>
      <c r="T98" s="36">
        <v>32935</v>
      </c>
      <c r="U98" s="36">
        <v>12</v>
      </c>
      <c r="V98" s="36">
        <v>31800</v>
      </c>
      <c r="W98" s="36">
        <v>20500</v>
      </c>
      <c r="X98" s="36">
        <f t="shared" si="11"/>
        <v>52300</v>
      </c>
    </row>
    <row r="99" spans="19:24">
      <c r="S99" s="36">
        <v>13</v>
      </c>
      <c r="T99" s="36">
        <v>64650</v>
      </c>
      <c r="U99" s="36">
        <v>13</v>
      </c>
      <c r="V99" s="36">
        <v>3265</v>
      </c>
      <c r="W99" s="36">
        <v>80995</v>
      </c>
      <c r="X99" s="36">
        <f t="shared" si="11"/>
        <v>84260</v>
      </c>
    </row>
    <row r="100" spans="19:24">
      <c r="S100" s="36">
        <v>14</v>
      </c>
      <c r="T100" s="36">
        <v>69000</v>
      </c>
      <c r="U100" s="36">
        <v>14</v>
      </c>
      <c r="V100" s="36">
        <v>2000</v>
      </c>
      <c r="W100" s="36">
        <v>66250</v>
      </c>
      <c r="X100" s="36">
        <f t="shared" si="11"/>
        <v>68250</v>
      </c>
    </row>
    <row r="101" spans="19:24">
      <c r="S101" s="36">
        <v>15</v>
      </c>
      <c r="T101" s="36">
        <v>62490</v>
      </c>
      <c r="U101" s="36">
        <v>15</v>
      </c>
      <c r="V101" s="36">
        <v>13360</v>
      </c>
      <c r="W101" s="36">
        <v>49135</v>
      </c>
      <c r="X101" s="36">
        <f t="shared" si="11"/>
        <v>62495</v>
      </c>
    </row>
    <row r="102" spans="19:24">
      <c r="S102" s="36">
        <v>16</v>
      </c>
      <c r="T102" s="36">
        <v>19100</v>
      </c>
      <c r="U102" s="36">
        <v>16</v>
      </c>
      <c r="V102" s="36">
        <v>37950</v>
      </c>
      <c r="W102" s="36">
        <v>24400</v>
      </c>
      <c r="X102" s="36">
        <f t="shared" si="11"/>
        <v>62350</v>
      </c>
    </row>
    <row r="103" spans="19:24">
      <c r="S103" s="36">
        <v>17</v>
      </c>
      <c r="T103" s="36">
        <v>11660</v>
      </c>
      <c r="U103" s="36">
        <v>17</v>
      </c>
      <c r="V103" s="36">
        <v>54450</v>
      </c>
      <c r="W103" s="36">
        <v>20975</v>
      </c>
      <c r="X103" s="36">
        <f t="shared" si="11"/>
        <v>75425</v>
      </c>
    </row>
    <row r="104" spans="19:24">
      <c r="S104" s="36">
        <v>18</v>
      </c>
      <c r="T104" s="36">
        <v>41850</v>
      </c>
      <c r="U104" s="36">
        <v>18</v>
      </c>
      <c r="V104" s="36">
        <v>13400</v>
      </c>
      <c r="W104" s="36">
        <v>70975</v>
      </c>
      <c r="X104" s="36">
        <f t="shared" si="11"/>
        <v>84375</v>
      </c>
    </row>
    <row r="105" spans="19:24">
      <c r="S105" s="36">
        <v>19</v>
      </c>
      <c r="T105" s="36">
        <v>67600</v>
      </c>
      <c r="U105" s="36">
        <v>19</v>
      </c>
      <c r="V105" s="36">
        <v>600</v>
      </c>
      <c r="W105" s="36">
        <v>47920</v>
      </c>
      <c r="X105" s="36">
        <f t="shared" si="11"/>
        <v>48520</v>
      </c>
    </row>
    <row r="106" spans="19:24">
      <c r="S106" s="36">
        <v>20</v>
      </c>
      <c r="T106" s="36">
        <v>22750</v>
      </c>
      <c r="U106" s="36">
        <v>20</v>
      </c>
      <c r="V106" s="36">
        <v>32680</v>
      </c>
      <c r="W106" s="36">
        <v>25380</v>
      </c>
      <c r="X106" s="36">
        <f t="shared" si="11"/>
        <v>58060</v>
      </c>
    </row>
    <row r="107" spans="19:24">
      <c r="S107" s="36">
        <v>21</v>
      </c>
      <c r="T107" s="36">
        <v>56025</v>
      </c>
      <c r="U107" s="36">
        <v>21</v>
      </c>
      <c r="V107" s="36">
        <v>5520</v>
      </c>
      <c r="W107" s="36">
        <v>87350</v>
      </c>
      <c r="X107" s="36">
        <f t="shared" si="11"/>
        <v>92870</v>
      </c>
    </row>
    <row r="108" spans="19:24">
      <c r="S108" s="36">
        <v>22</v>
      </c>
      <c r="T108" s="36">
        <v>29020</v>
      </c>
      <c r="U108" s="36">
        <v>22</v>
      </c>
      <c r="V108" s="36">
        <v>59865</v>
      </c>
      <c r="W108" s="36">
        <v>29900</v>
      </c>
      <c r="X108" s="36">
        <f t="shared" si="11"/>
        <v>89765</v>
      </c>
    </row>
    <row r="109" spans="19:24">
      <c r="S109" s="36">
        <v>23</v>
      </c>
      <c r="T109" s="36">
        <v>29020</v>
      </c>
      <c r="U109" s="36">
        <v>23</v>
      </c>
      <c r="V109" s="36">
        <v>59865</v>
      </c>
      <c r="W109" s="36">
        <v>29900</v>
      </c>
      <c r="X109" s="36">
        <f t="shared" si="11"/>
        <v>89765</v>
      </c>
    </row>
    <row r="110" spans="19:24">
      <c r="S110" s="36">
        <v>24</v>
      </c>
      <c r="T110" s="36">
        <v>16500</v>
      </c>
      <c r="U110" s="36">
        <v>24</v>
      </c>
      <c r="V110" s="36">
        <v>6860</v>
      </c>
      <c r="W110" s="36">
        <v>80570</v>
      </c>
      <c r="X110" s="36">
        <f t="shared" si="11"/>
        <v>87430</v>
      </c>
    </row>
    <row r="111" spans="19:24">
      <c r="S111" s="36">
        <v>25</v>
      </c>
      <c r="T111" s="36">
        <v>67400</v>
      </c>
      <c r="U111" s="36">
        <v>25</v>
      </c>
      <c r="V111" s="36">
        <v>37810</v>
      </c>
      <c r="W111" s="36">
        <v>31560</v>
      </c>
      <c r="X111" s="36">
        <f t="shared" si="11"/>
        <v>69370</v>
      </c>
    </row>
    <row r="112" spans="19:24">
      <c r="S112" s="36">
        <v>26</v>
      </c>
      <c r="T112" s="36">
        <v>46200</v>
      </c>
      <c r="U112" s="36">
        <v>26</v>
      </c>
      <c r="V112" s="36">
        <v>13250</v>
      </c>
      <c r="W112" s="36">
        <v>10300</v>
      </c>
      <c r="X112" s="36">
        <f t="shared" si="11"/>
        <v>23550</v>
      </c>
    </row>
    <row r="113" spans="19:24">
      <c r="S113" s="36">
        <v>27</v>
      </c>
      <c r="T113" s="36">
        <v>42400</v>
      </c>
      <c r="U113" s="36">
        <v>27</v>
      </c>
      <c r="V113" s="36">
        <v>16270</v>
      </c>
      <c r="W113" s="36">
        <v>61650</v>
      </c>
      <c r="X113" s="36">
        <f t="shared" si="11"/>
        <v>77920</v>
      </c>
    </row>
    <row r="114" spans="19:24">
      <c r="S114" s="36">
        <v>28</v>
      </c>
      <c r="T114" s="36">
        <v>39750</v>
      </c>
      <c r="U114" s="36">
        <v>28</v>
      </c>
      <c r="V114" s="36">
        <v>6325</v>
      </c>
      <c r="W114" s="36">
        <v>72600</v>
      </c>
      <c r="X114" s="36">
        <f t="shared" si="11"/>
        <v>78925</v>
      </c>
    </row>
    <row r="115" spans="19:24">
      <c r="S115" s="36">
        <v>29</v>
      </c>
      <c r="T115" s="36">
        <v>33950</v>
      </c>
      <c r="U115" s="36">
        <v>29</v>
      </c>
      <c r="V115" s="36"/>
      <c r="W115" s="36">
        <v>24765</v>
      </c>
      <c r="X115" s="36">
        <f t="shared" si="11"/>
        <v>24765</v>
      </c>
    </row>
    <row r="116" spans="19:24">
      <c r="S116" s="36">
        <v>30</v>
      </c>
      <c r="T116" s="36">
        <v>33920</v>
      </c>
      <c r="U116" s="36">
        <v>30</v>
      </c>
      <c r="V116" s="36">
        <v>49200</v>
      </c>
      <c r="W116" s="36">
        <v>23850</v>
      </c>
      <c r="X116" s="36">
        <f t="shared" si="11"/>
        <v>73050</v>
      </c>
    </row>
    <row r="117" spans="19:24">
      <c r="S117" s="36">
        <v>31</v>
      </c>
      <c r="T117" s="36">
        <v>68900</v>
      </c>
      <c r="U117" s="36">
        <v>31</v>
      </c>
      <c r="V117" s="36">
        <f>48250-48065</f>
        <v>185</v>
      </c>
      <c r="W117" s="36">
        <f>46800+28870</f>
        <v>75670</v>
      </c>
      <c r="X117" s="36">
        <f t="shared" si="11"/>
        <v>75855</v>
      </c>
    </row>
    <row r="118" spans="19:24">
      <c r="T118" s="63">
        <f>SUM(T87:T117)</f>
        <v>1241385</v>
      </c>
      <c r="U118" s="63"/>
      <c r="V118" s="63">
        <f>SUM(V87:V117)</f>
        <v>637505</v>
      </c>
      <c r="W118" s="63">
        <f>SUM(W87:W117)</f>
        <v>1271765</v>
      </c>
      <c r="X118" s="36">
        <f>SUM(V118:W118)</f>
        <v>1909270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X76"/>
  <sheetViews>
    <sheetView topLeftCell="A10" workbookViewId="0">
      <selection activeCell="F69" sqref="F69:G74"/>
    </sheetView>
  </sheetViews>
  <sheetFormatPr defaultRowHeight="14.4"/>
  <cols>
    <col min="1" max="1" width="6.6640625" customWidth="1"/>
    <col min="2" max="2" width="20.109375" customWidth="1"/>
    <col min="4" max="4" width="7.5546875" customWidth="1"/>
    <col min="5" max="5" width="8" style="1" customWidth="1"/>
    <col min="6" max="6" width="8.21875" style="1" customWidth="1"/>
    <col min="7" max="7" width="7.44140625" customWidth="1"/>
    <col min="8" max="8" width="10.33203125" customWidth="1"/>
  </cols>
  <sheetData>
    <row r="1" spans="1:24" ht="5.4" customHeight="1"/>
    <row r="2" spans="1:24">
      <c r="A2" s="217" t="s">
        <v>1</v>
      </c>
      <c r="B2" s="217"/>
      <c r="C2" s="217"/>
      <c r="D2" s="217"/>
      <c r="E2" s="217"/>
      <c r="F2" s="217"/>
      <c r="G2" s="217"/>
      <c r="H2" s="217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4">
      <c r="A3" s="218" t="s">
        <v>2</v>
      </c>
      <c r="B3" s="218"/>
      <c r="C3" s="218"/>
      <c r="D3" s="218"/>
      <c r="E3" s="218"/>
      <c r="F3" s="218"/>
      <c r="G3" s="218"/>
      <c r="H3" s="218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</row>
    <row r="4" spans="1:24">
      <c r="A4" s="219" t="s">
        <v>119</v>
      </c>
      <c r="B4" s="219"/>
      <c r="C4" s="219"/>
      <c r="D4" s="219"/>
      <c r="E4" s="219"/>
      <c r="F4" s="219"/>
      <c r="G4" s="219"/>
      <c r="H4" s="219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spans="1:24" ht="6" customHeight="1"/>
    <row r="6" spans="1:24">
      <c r="A6" s="222" t="s">
        <v>112</v>
      </c>
      <c r="B6" s="222"/>
    </row>
    <row r="7" spans="1:24" ht="10.199999999999999" customHeight="1">
      <c r="A7" s="225" t="s">
        <v>117</v>
      </c>
      <c r="B7" s="223" t="s">
        <v>5</v>
      </c>
      <c r="C7" s="225" t="s">
        <v>82</v>
      </c>
      <c r="D7" s="227" t="s">
        <v>121</v>
      </c>
      <c r="E7" s="227" t="s">
        <v>120</v>
      </c>
      <c r="F7" s="229" t="s">
        <v>102</v>
      </c>
      <c r="G7" s="228" t="s">
        <v>84</v>
      </c>
      <c r="H7" s="228" t="s">
        <v>118</v>
      </c>
    </row>
    <row r="8" spans="1:24" ht="13.2" customHeight="1">
      <c r="A8" s="226"/>
      <c r="B8" s="224"/>
      <c r="C8" s="226"/>
      <c r="D8" s="227"/>
      <c r="E8" s="227"/>
      <c r="F8" s="229"/>
      <c r="G8" s="228"/>
      <c r="H8" s="228"/>
    </row>
    <row r="9" spans="1:24" ht="10.050000000000001" customHeight="1">
      <c r="A9" s="15">
        <v>1</v>
      </c>
      <c r="B9" s="77" t="s">
        <v>19</v>
      </c>
      <c r="C9" s="15"/>
      <c r="D9" s="75"/>
      <c r="E9" s="75"/>
      <c r="F9" s="75"/>
      <c r="G9" s="15"/>
      <c r="H9" s="15"/>
    </row>
    <row r="10" spans="1:24" ht="10.050000000000001" customHeight="1">
      <c r="A10" s="15">
        <v>2</v>
      </c>
      <c r="B10" s="77" t="s">
        <v>20</v>
      </c>
      <c r="C10" s="15"/>
      <c r="D10" s="75"/>
      <c r="E10" s="75"/>
      <c r="F10" s="75"/>
      <c r="G10" s="15"/>
      <c r="H10" s="15"/>
    </row>
    <row r="11" spans="1:24" ht="10.050000000000001" customHeight="1">
      <c r="A11" s="15">
        <v>3</v>
      </c>
      <c r="B11" s="77" t="s">
        <v>21</v>
      </c>
      <c r="C11" s="15"/>
      <c r="D11" s="75"/>
      <c r="E11" s="75"/>
      <c r="F11" s="75"/>
      <c r="G11" s="15"/>
      <c r="H11" s="15"/>
    </row>
    <row r="12" spans="1:24" ht="10.050000000000001" customHeight="1">
      <c r="A12" s="15">
        <v>4</v>
      </c>
      <c r="B12" s="77" t="s">
        <v>22</v>
      </c>
      <c r="C12" s="15"/>
      <c r="D12" s="75"/>
      <c r="E12" s="75"/>
      <c r="F12" s="75"/>
      <c r="G12" s="15"/>
      <c r="H12" s="15"/>
    </row>
    <row r="13" spans="1:24" ht="10.050000000000001" customHeight="1">
      <c r="A13" s="15">
        <v>5</v>
      </c>
      <c r="B13" s="77" t="s">
        <v>23</v>
      </c>
      <c r="C13" s="15"/>
      <c r="D13" s="75"/>
      <c r="E13" s="75"/>
      <c r="F13" s="75"/>
      <c r="G13" s="15"/>
      <c r="H13" s="15"/>
    </row>
    <row r="14" spans="1:24" ht="10.050000000000001" customHeight="1">
      <c r="A14" s="15">
        <v>6</v>
      </c>
      <c r="B14" s="77" t="s">
        <v>24</v>
      </c>
      <c r="C14" s="15"/>
      <c r="D14" s="75"/>
      <c r="E14" s="75"/>
      <c r="F14" s="75"/>
      <c r="G14" s="15"/>
      <c r="H14" s="15"/>
    </row>
    <row r="15" spans="1:24" ht="10.050000000000001" customHeight="1">
      <c r="A15" s="15">
        <v>7</v>
      </c>
      <c r="B15" s="77" t="s">
        <v>81</v>
      </c>
      <c r="C15" s="15"/>
      <c r="D15" s="75"/>
      <c r="E15" s="75"/>
      <c r="F15" s="75"/>
      <c r="G15" s="15"/>
      <c r="H15" s="15"/>
    </row>
    <row r="16" spans="1:24" ht="10.050000000000001" customHeight="1">
      <c r="A16" s="15">
        <v>8</v>
      </c>
      <c r="B16" s="77" t="s">
        <v>76</v>
      </c>
      <c r="C16" s="15"/>
      <c r="D16" s="75"/>
      <c r="E16" s="75"/>
      <c r="F16" s="75"/>
      <c r="G16" s="15"/>
      <c r="H16" s="15"/>
    </row>
    <row r="17" spans="1:8" ht="10.050000000000001" customHeight="1">
      <c r="A17" s="15">
        <v>9</v>
      </c>
      <c r="B17" s="77" t="s">
        <v>106</v>
      </c>
      <c r="C17" s="15"/>
      <c r="D17" s="75"/>
      <c r="E17" s="75"/>
      <c r="F17" s="75"/>
      <c r="G17" s="15"/>
      <c r="H17" s="15"/>
    </row>
    <row r="18" spans="1:8" ht="10.050000000000001" customHeight="1">
      <c r="A18" s="15">
        <v>10</v>
      </c>
      <c r="B18" s="77" t="s">
        <v>25</v>
      </c>
      <c r="C18" s="15"/>
      <c r="D18" s="75"/>
      <c r="E18" s="75"/>
      <c r="F18" s="75"/>
      <c r="G18" s="15"/>
      <c r="H18" s="15"/>
    </row>
    <row r="19" spans="1:8" ht="10.050000000000001" customHeight="1">
      <c r="A19" s="15">
        <v>11</v>
      </c>
      <c r="B19" s="77" t="s">
        <v>26</v>
      </c>
      <c r="C19" s="15"/>
      <c r="D19" s="75"/>
      <c r="E19" s="75"/>
      <c r="F19" s="75"/>
      <c r="G19" s="15"/>
      <c r="H19" s="15"/>
    </row>
    <row r="20" spans="1:8" ht="10.050000000000001" customHeight="1">
      <c r="A20" s="15">
        <v>12</v>
      </c>
      <c r="B20" s="78" t="s">
        <v>64</v>
      </c>
      <c r="C20" s="15"/>
      <c r="D20" s="75"/>
      <c r="E20" s="75"/>
      <c r="F20" s="75"/>
      <c r="G20" s="15"/>
      <c r="H20" s="15"/>
    </row>
    <row r="21" spans="1:8" ht="10.050000000000001" customHeight="1">
      <c r="A21" s="15">
        <v>13</v>
      </c>
      <c r="B21" s="77" t="s">
        <v>47</v>
      </c>
      <c r="C21" s="15"/>
      <c r="D21" s="75"/>
      <c r="E21" s="75"/>
      <c r="F21" s="75"/>
      <c r="G21" s="15"/>
      <c r="H21" s="15"/>
    </row>
    <row r="22" spans="1:8" ht="10.050000000000001" customHeight="1">
      <c r="A22" s="15">
        <v>14</v>
      </c>
      <c r="B22" s="79" t="s">
        <v>104</v>
      </c>
      <c r="C22" s="15"/>
      <c r="D22" s="75"/>
      <c r="E22" s="75"/>
      <c r="F22" s="75"/>
      <c r="G22" s="15"/>
      <c r="H22" s="15"/>
    </row>
    <row r="23" spans="1:8" ht="10.050000000000001" customHeight="1">
      <c r="A23" s="15">
        <v>15</v>
      </c>
      <c r="B23" s="77" t="s">
        <v>62</v>
      </c>
      <c r="C23" s="15"/>
      <c r="D23" s="75"/>
      <c r="E23" s="75"/>
      <c r="F23" s="75"/>
      <c r="G23" s="15"/>
      <c r="H23" s="15"/>
    </row>
    <row r="24" spans="1:8" ht="10.050000000000001" customHeight="1">
      <c r="A24" s="15">
        <v>16</v>
      </c>
      <c r="B24" s="77" t="s">
        <v>114</v>
      </c>
      <c r="C24" s="15"/>
      <c r="D24" s="75"/>
      <c r="E24" s="75"/>
      <c r="F24" s="75"/>
      <c r="G24" s="15"/>
      <c r="H24" s="15"/>
    </row>
    <row r="25" spans="1:8" ht="10.050000000000001" customHeight="1">
      <c r="A25" s="15">
        <v>17</v>
      </c>
      <c r="B25" s="79" t="s">
        <v>107</v>
      </c>
      <c r="C25" s="15"/>
      <c r="D25" s="75"/>
      <c r="E25" s="75"/>
      <c r="F25" s="75"/>
      <c r="G25" s="15"/>
      <c r="H25" s="15"/>
    </row>
    <row r="26" spans="1:8" ht="10.050000000000001" customHeight="1">
      <c r="A26" s="15">
        <v>18</v>
      </c>
      <c r="B26" s="77" t="s">
        <v>115</v>
      </c>
      <c r="C26" s="15"/>
      <c r="D26" s="75"/>
      <c r="E26" s="75"/>
      <c r="F26" s="75"/>
      <c r="G26" s="15"/>
      <c r="H26" s="15"/>
    </row>
    <row r="27" spans="1:8" ht="10.050000000000001" customHeight="1">
      <c r="A27" s="15">
        <v>19</v>
      </c>
      <c r="B27" s="77" t="s">
        <v>36</v>
      </c>
      <c r="C27" s="15"/>
      <c r="D27" s="75"/>
      <c r="E27" s="75"/>
      <c r="F27" s="75"/>
      <c r="G27" s="15"/>
      <c r="H27" s="15"/>
    </row>
    <row r="28" spans="1:8" ht="10.050000000000001" customHeight="1">
      <c r="A28" s="15">
        <v>20</v>
      </c>
      <c r="B28" s="77" t="s">
        <v>61</v>
      </c>
      <c r="C28" s="15"/>
      <c r="D28" s="75"/>
      <c r="E28" s="75"/>
      <c r="F28" s="75"/>
      <c r="G28" s="15"/>
      <c r="H28" s="15"/>
    </row>
    <row r="29" spans="1:8" ht="10.050000000000001" customHeight="1">
      <c r="A29" s="15">
        <v>21</v>
      </c>
      <c r="B29" s="77" t="s">
        <v>75</v>
      </c>
      <c r="C29" s="15"/>
      <c r="D29" s="75"/>
      <c r="E29" s="75"/>
      <c r="F29" s="75"/>
      <c r="G29" s="15"/>
      <c r="H29" s="15"/>
    </row>
    <row r="30" spans="1:8" ht="10.050000000000001" customHeight="1">
      <c r="A30" s="15">
        <v>22</v>
      </c>
      <c r="B30" s="77" t="s">
        <v>59</v>
      </c>
      <c r="C30" s="15"/>
      <c r="D30" s="75"/>
      <c r="E30" s="75"/>
      <c r="F30" s="75"/>
      <c r="G30" s="15"/>
      <c r="H30" s="15"/>
    </row>
    <row r="31" spans="1:8" ht="10.050000000000001" customHeight="1">
      <c r="A31" s="15">
        <v>23</v>
      </c>
      <c r="B31" s="77" t="s">
        <v>60</v>
      </c>
      <c r="C31" s="15"/>
      <c r="D31" s="75"/>
      <c r="E31" s="75"/>
      <c r="F31" s="75"/>
      <c r="G31" s="15"/>
      <c r="H31" s="15"/>
    </row>
    <row r="32" spans="1:8" ht="10.050000000000001" customHeight="1">
      <c r="A32" s="15">
        <v>24</v>
      </c>
      <c r="B32" s="77" t="s">
        <v>54</v>
      </c>
      <c r="C32" s="15"/>
      <c r="D32" s="75"/>
      <c r="E32" s="75"/>
      <c r="F32" s="75"/>
      <c r="G32" s="15"/>
      <c r="H32" s="15"/>
    </row>
    <row r="33" spans="1:8" ht="10.050000000000001" customHeight="1">
      <c r="A33" s="15">
        <v>25</v>
      </c>
      <c r="B33" s="77" t="s">
        <v>55</v>
      </c>
      <c r="C33" s="15"/>
      <c r="D33" s="75"/>
      <c r="E33" s="75"/>
      <c r="F33" s="75"/>
      <c r="G33" s="15"/>
      <c r="H33" s="15"/>
    </row>
    <row r="34" spans="1:8" ht="10.050000000000001" customHeight="1">
      <c r="A34" s="15">
        <v>26</v>
      </c>
      <c r="B34" s="77" t="s">
        <v>56</v>
      </c>
      <c r="C34" s="15"/>
      <c r="D34" s="75"/>
      <c r="E34" s="75"/>
      <c r="F34" s="75"/>
      <c r="G34" s="15"/>
      <c r="H34" s="15"/>
    </row>
    <row r="35" spans="1:8" ht="10.050000000000001" customHeight="1">
      <c r="A35" s="15">
        <v>27</v>
      </c>
      <c r="B35" s="77" t="s">
        <v>86</v>
      </c>
      <c r="C35" s="15"/>
      <c r="D35" s="75"/>
      <c r="E35" s="75"/>
      <c r="F35" s="75"/>
      <c r="G35" s="15"/>
      <c r="H35" s="15"/>
    </row>
    <row r="36" spans="1:8" ht="10.050000000000001" customHeight="1">
      <c r="A36" s="15">
        <v>28</v>
      </c>
      <c r="B36" s="77" t="s">
        <v>57</v>
      </c>
      <c r="C36" s="15"/>
      <c r="D36" s="75"/>
      <c r="E36" s="75"/>
      <c r="F36" s="75"/>
      <c r="G36" s="15"/>
      <c r="H36" s="15"/>
    </row>
    <row r="37" spans="1:8" ht="10.050000000000001" customHeight="1">
      <c r="A37" s="15">
        <v>29</v>
      </c>
      <c r="B37" s="77" t="s">
        <v>58</v>
      </c>
      <c r="C37" s="76"/>
      <c r="D37" s="75"/>
      <c r="E37" s="75"/>
      <c r="F37" s="75"/>
      <c r="G37" s="15"/>
      <c r="H37" s="15"/>
    </row>
    <row r="38" spans="1:8" ht="10.050000000000001" customHeight="1">
      <c r="A38" s="15">
        <v>30</v>
      </c>
      <c r="B38" s="77" t="s">
        <v>51</v>
      </c>
      <c r="C38" s="15"/>
      <c r="D38" s="75"/>
      <c r="E38" s="75"/>
      <c r="F38" s="75"/>
      <c r="G38" s="15"/>
      <c r="H38" s="15"/>
    </row>
    <row r="39" spans="1:8" ht="10.050000000000001" customHeight="1">
      <c r="A39" s="15">
        <v>31</v>
      </c>
      <c r="B39" s="77" t="s">
        <v>78</v>
      </c>
      <c r="C39" s="15"/>
      <c r="D39" s="75"/>
      <c r="E39" s="75"/>
      <c r="F39" s="75"/>
      <c r="G39" s="15"/>
      <c r="H39" s="15"/>
    </row>
    <row r="40" spans="1:8" ht="10.050000000000001" customHeight="1">
      <c r="A40" s="15">
        <v>32</v>
      </c>
      <c r="B40" s="77" t="s">
        <v>50</v>
      </c>
      <c r="C40" s="15"/>
      <c r="D40" s="75"/>
      <c r="E40" s="75"/>
      <c r="F40" s="75"/>
      <c r="G40" s="15"/>
      <c r="H40" s="15"/>
    </row>
    <row r="41" spans="1:8" ht="10.050000000000001" customHeight="1">
      <c r="A41" s="15">
        <v>33</v>
      </c>
      <c r="B41" s="77" t="s">
        <v>49</v>
      </c>
      <c r="C41" s="15"/>
      <c r="D41" s="75"/>
      <c r="E41" s="75"/>
      <c r="F41" s="75"/>
      <c r="G41" s="15"/>
      <c r="H41" s="15"/>
    </row>
    <row r="42" spans="1:8" ht="10.050000000000001" customHeight="1">
      <c r="A42" s="15">
        <v>34</v>
      </c>
      <c r="B42" s="77" t="s">
        <v>52</v>
      </c>
      <c r="C42" s="76"/>
      <c r="D42" s="75"/>
      <c r="E42" s="75"/>
      <c r="F42" s="75"/>
      <c r="G42" s="15"/>
      <c r="H42" s="15"/>
    </row>
    <row r="43" spans="1:8" ht="10.050000000000001" customHeight="1">
      <c r="A43" s="15">
        <v>35</v>
      </c>
      <c r="B43" s="77" t="s">
        <v>88</v>
      </c>
      <c r="C43" s="15"/>
      <c r="D43" s="75"/>
      <c r="E43" s="75"/>
      <c r="F43" s="75"/>
      <c r="G43" s="15"/>
      <c r="H43" s="15"/>
    </row>
    <row r="44" spans="1:8" ht="10.050000000000001" customHeight="1">
      <c r="A44" s="15">
        <v>36</v>
      </c>
      <c r="B44" s="77" t="s">
        <v>53</v>
      </c>
      <c r="C44" s="15"/>
      <c r="D44" s="75"/>
      <c r="E44" s="75"/>
      <c r="F44" s="75"/>
      <c r="G44" s="15"/>
      <c r="H44" s="15"/>
    </row>
    <row r="45" spans="1:8" ht="10.050000000000001" customHeight="1">
      <c r="A45" s="15">
        <v>37</v>
      </c>
      <c r="B45" s="80" t="s">
        <v>72</v>
      </c>
      <c r="C45" s="15"/>
      <c r="D45" s="75"/>
      <c r="E45" s="75"/>
      <c r="F45" s="75"/>
      <c r="G45" s="15"/>
      <c r="H45" s="15"/>
    </row>
    <row r="46" spans="1:8" ht="10.050000000000001" customHeight="1">
      <c r="A46" s="15">
        <v>38</v>
      </c>
      <c r="B46" s="77" t="s">
        <v>96</v>
      </c>
      <c r="C46" s="15"/>
      <c r="D46" s="75"/>
      <c r="E46" s="75"/>
      <c r="F46" s="75"/>
      <c r="G46" s="15"/>
      <c r="H46" s="15"/>
    </row>
    <row r="47" spans="1:8" ht="10.050000000000001" customHeight="1">
      <c r="A47" s="15">
        <v>39</v>
      </c>
      <c r="B47" s="77" t="s">
        <v>37</v>
      </c>
      <c r="C47" s="15"/>
      <c r="D47" s="75"/>
      <c r="E47" s="75"/>
      <c r="F47" s="75"/>
      <c r="G47" s="15"/>
      <c r="H47" s="15"/>
    </row>
    <row r="48" spans="1:8" ht="10.050000000000001" customHeight="1">
      <c r="A48" s="15">
        <v>40</v>
      </c>
      <c r="B48" s="77" t="s">
        <v>113</v>
      </c>
      <c r="C48" s="15"/>
      <c r="D48" s="75"/>
      <c r="E48" s="75"/>
      <c r="F48" s="75"/>
      <c r="G48" s="15"/>
      <c r="H48" s="15"/>
    </row>
    <row r="49" spans="1:8" ht="10.050000000000001" customHeight="1">
      <c r="A49" s="15">
        <v>41</v>
      </c>
      <c r="B49" s="77" t="s">
        <v>97</v>
      </c>
      <c r="C49" s="15"/>
      <c r="D49" s="75"/>
      <c r="E49" s="75"/>
      <c r="F49" s="75"/>
      <c r="G49" s="15"/>
      <c r="H49" s="15"/>
    </row>
    <row r="50" spans="1:8" ht="10.050000000000001" customHeight="1">
      <c r="A50" s="15">
        <v>42</v>
      </c>
      <c r="B50" s="77" t="s">
        <v>70</v>
      </c>
      <c r="C50" s="15"/>
      <c r="D50" s="75"/>
      <c r="E50" s="75"/>
      <c r="F50" s="75"/>
      <c r="G50" s="15"/>
      <c r="H50" s="15"/>
    </row>
    <row r="51" spans="1:8" ht="10.050000000000001" customHeight="1">
      <c r="A51" s="15">
        <v>43</v>
      </c>
      <c r="B51" s="77" t="s">
        <v>34</v>
      </c>
      <c r="C51" s="15"/>
      <c r="D51" s="75"/>
      <c r="E51" s="75"/>
      <c r="F51" s="75"/>
      <c r="G51" s="15"/>
      <c r="H51" s="15"/>
    </row>
    <row r="52" spans="1:8" ht="10.050000000000001" customHeight="1">
      <c r="A52" s="15">
        <v>44</v>
      </c>
      <c r="B52" s="77" t="s">
        <v>35</v>
      </c>
      <c r="C52" s="15"/>
      <c r="D52" s="75"/>
      <c r="E52" s="75"/>
      <c r="F52" s="75"/>
      <c r="G52" s="15"/>
      <c r="H52" s="15"/>
    </row>
    <row r="53" spans="1:8" ht="10.050000000000001" customHeight="1">
      <c r="A53" s="15">
        <v>45</v>
      </c>
      <c r="B53" s="77" t="s">
        <v>30</v>
      </c>
      <c r="C53" s="15"/>
      <c r="D53" s="75"/>
      <c r="E53" s="75"/>
      <c r="F53" s="75"/>
      <c r="G53" s="15"/>
      <c r="H53" s="15"/>
    </row>
    <row r="54" spans="1:8" ht="10.050000000000001" customHeight="1">
      <c r="A54" s="15">
        <v>46</v>
      </c>
      <c r="B54" s="77" t="s">
        <v>31</v>
      </c>
      <c r="C54" s="15"/>
      <c r="D54" s="75"/>
      <c r="E54" s="75"/>
      <c r="F54" s="75"/>
      <c r="G54" s="15"/>
      <c r="H54" s="15"/>
    </row>
    <row r="55" spans="1:8" ht="10.050000000000001" customHeight="1">
      <c r="A55" s="15">
        <v>47</v>
      </c>
      <c r="B55" s="77" t="s">
        <v>32</v>
      </c>
      <c r="C55" s="15"/>
      <c r="D55" s="75"/>
      <c r="E55" s="75"/>
      <c r="F55" s="75"/>
      <c r="G55" s="15"/>
      <c r="H55" s="15"/>
    </row>
    <row r="56" spans="1:8" ht="10.050000000000001" customHeight="1">
      <c r="A56" s="15">
        <v>48</v>
      </c>
      <c r="B56" s="77" t="s">
        <v>33</v>
      </c>
      <c r="C56" s="15"/>
      <c r="D56" s="75"/>
      <c r="E56" s="75"/>
      <c r="F56" s="75"/>
      <c r="G56" s="15"/>
      <c r="H56" s="15"/>
    </row>
    <row r="57" spans="1:8" ht="10.050000000000001" customHeight="1">
      <c r="A57" s="15">
        <v>49</v>
      </c>
      <c r="B57" s="77" t="s">
        <v>79</v>
      </c>
      <c r="C57" s="15"/>
      <c r="D57" s="75"/>
      <c r="E57" s="75"/>
      <c r="F57" s="75"/>
      <c r="G57" s="15"/>
      <c r="H57" s="15"/>
    </row>
    <row r="58" spans="1:8" ht="10.050000000000001" customHeight="1">
      <c r="A58" s="15">
        <v>50</v>
      </c>
      <c r="B58" s="77" t="s">
        <v>80</v>
      </c>
      <c r="C58" s="15"/>
      <c r="D58" s="75"/>
      <c r="E58" s="75"/>
      <c r="F58" s="75"/>
      <c r="G58" s="15"/>
      <c r="H58" s="15"/>
    </row>
    <row r="59" spans="1:8" ht="10.050000000000001" customHeight="1">
      <c r="A59" s="15">
        <v>51</v>
      </c>
      <c r="B59" s="77" t="s">
        <v>48</v>
      </c>
      <c r="C59" s="15"/>
      <c r="D59" s="75"/>
      <c r="E59" s="75"/>
      <c r="F59" s="75"/>
      <c r="G59" s="15"/>
      <c r="H59" s="15"/>
    </row>
    <row r="60" spans="1:8" ht="10.050000000000001" customHeight="1">
      <c r="A60" s="15">
        <v>52</v>
      </c>
      <c r="B60" s="77" t="s">
        <v>77</v>
      </c>
      <c r="C60" s="15"/>
      <c r="D60" s="75"/>
      <c r="E60" s="75"/>
      <c r="F60" s="75"/>
      <c r="G60" s="15"/>
      <c r="H60" s="15"/>
    </row>
    <row r="61" spans="1:8" ht="10.050000000000001" customHeight="1">
      <c r="A61" s="15">
        <v>53</v>
      </c>
      <c r="B61" s="77" t="s">
        <v>27</v>
      </c>
      <c r="C61" s="15"/>
      <c r="D61" s="75"/>
      <c r="E61" s="75"/>
      <c r="F61" s="75"/>
      <c r="G61" s="15"/>
      <c r="H61" s="15"/>
    </row>
    <row r="62" spans="1:8" ht="10.050000000000001" customHeight="1">
      <c r="A62" s="15">
        <v>54</v>
      </c>
      <c r="B62" s="77" t="s">
        <v>28</v>
      </c>
      <c r="C62" s="15"/>
      <c r="D62" s="75"/>
      <c r="E62" s="75"/>
      <c r="F62" s="75"/>
      <c r="G62" s="15"/>
      <c r="H62" s="15"/>
    </row>
    <row r="63" spans="1:8" ht="10.050000000000001" customHeight="1">
      <c r="A63" s="15">
        <v>55</v>
      </c>
      <c r="B63" s="77" t="s">
        <v>29</v>
      </c>
      <c r="C63" s="15"/>
      <c r="D63" s="75"/>
      <c r="E63" s="75"/>
      <c r="F63" s="75"/>
      <c r="G63" s="15"/>
      <c r="H63" s="15"/>
    </row>
    <row r="64" spans="1:8" ht="10.050000000000001" customHeight="1">
      <c r="A64" s="15">
        <v>56</v>
      </c>
      <c r="B64" s="77" t="s">
        <v>39</v>
      </c>
      <c r="C64" s="15"/>
      <c r="D64" s="75"/>
      <c r="E64" s="75"/>
      <c r="F64" s="75"/>
      <c r="G64" s="15"/>
      <c r="H64" s="15"/>
    </row>
    <row r="65" spans="1:17" ht="10.050000000000001" customHeight="1">
      <c r="A65" s="15">
        <v>57</v>
      </c>
      <c r="B65" s="77" t="s">
        <v>40</v>
      </c>
      <c r="C65" s="15"/>
      <c r="D65" s="75"/>
      <c r="E65" s="75"/>
      <c r="F65" s="75"/>
      <c r="G65" s="15"/>
      <c r="H65" s="15"/>
    </row>
    <row r="66" spans="1:17" ht="10.050000000000001" customHeight="1">
      <c r="A66" s="15">
        <v>58</v>
      </c>
      <c r="B66" s="77" t="s">
        <v>41</v>
      </c>
      <c r="C66" s="15"/>
      <c r="D66" s="75"/>
      <c r="E66" s="75"/>
      <c r="F66" s="75"/>
      <c r="G66" s="15"/>
      <c r="H66" s="15"/>
    </row>
    <row r="67" spans="1:17" ht="10.050000000000001" customHeight="1">
      <c r="A67" s="15">
        <v>59</v>
      </c>
      <c r="B67" s="77" t="s">
        <v>42</v>
      </c>
      <c r="C67" s="15"/>
      <c r="D67" s="75"/>
      <c r="E67" s="75"/>
      <c r="F67" s="75"/>
      <c r="G67" s="15"/>
      <c r="H67" s="15"/>
    </row>
    <row r="68" spans="1:17" ht="10.050000000000001" customHeight="1">
      <c r="A68" s="15">
        <v>60</v>
      </c>
      <c r="B68" s="81" t="s">
        <v>65</v>
      </c>
      <c r="C68" s="15"/>
      <c r="D68" s="75"/>
      <c r="E68" s="75"/>
      <c r="F68" s="75"/>
      <c r="G68" s="15"/>
      <c r="H68" s="15"/>
    </row>
    <row r="69" spans="1:17" ht="10.050000000000001" customHeight="1">
      <c r="A69" s="15">
        <v>61</v>
      </c>
      <c r="B69" s="77" t="s">
        <v>43</v>
      </c>
      <c r="C69" s="15" t="e">
        <f>#REF!+#REF!+#REF!+#REF!+#REF!+#REF!+#REF!+#REF!+#REF!+#REF!+#REF!+#REF!+#REF!+#REF!</f>
        <v>#REF!</v>
      </c>
      <c r="D69" s="15" t="e">
        <f>#REF!+#REF!+#REF!+#REF!+#REF!+#REF!+#REF!+#REF!+#REF!+#REF!+#REF!+#REF!+#REF!+#REF!</f>
        <v>#REF!</v>
      </c>
      <c r="E69" s="15" t="e">
        <f>#REF!+#REF!+#REF!+#REF!+#REF!+#REF!+#REF!+#REF!+#REF!+#REF!+#REF!+#REF!+#REF!+#REF!</f>
        <v>#REF!</v>
      </c>
      <c r="F69" s="15" t="e">
        <f>#REF!+#REF!+#REF!+#REF!+#REF!+#REF!+#REF!+#REF!+#REF!+#REF!+#REF!+#REF!+#REF!+#REF!</f>
        <v>#REF!</v>
      </c>
      <c r="G69" s="15" t="e">
        <f>#REF!+#REF!+#REF!+#REF!+#REF!+#REF!+#REF!+#REF!+#REF!+#REF!+#REF!+#REF!+#REF!+#REF!</f>
        <v>#REF!</v>
      </c>
      <c r="H69" s="15" t="e">
        <f>#REF!+#REF!+#REF!+#REF!+#REF!+#REF!+#REF!+#REF!+#REF!+#REF!+#REF!+#REF!+#REF!+#REF!</f>
        <v>#REF!</v>
      </c>
      <c r="I69" s="15" t="e">
        <f>#REF!+#REF!+#REF!+#REF!+#REF!+#REF!+#REF!+#REF!+#REF!+#REF!+#REF!+#REF!+#REF!+#REF!</f>
        <v>#REF!</v>
      </c>
      <c r="J69" s="15" t="e">
        <f>#REF!+#REF!+#REF!+#REF!+#REF!+#REF!+#REF!+#REF!+#REF!+#REF!+#REF!+#REF!+#REF!+#REF!</f>
        <v>#REF!</v>
      </c>
      <c r="K69" s="15" t="e">
        <f>#REF!+#REF!+#REF!+#REF!+#REF!+#REF!+#REF!+#REF!+#REF!+#REF!+#REF!+#REF!+#REF!+#REF!</f>
        <v>#REF!</v>
      </c>
      <c r="L69" s="15" t="e">
        <f>#REF!+#REF!+#REF!+#REF!+#REF!+#REF!+#REF!+#REF!+#REF!+#REF!+#REF!+#REF!+#REF!+#REF!</f>
        <v>#REF!</v>
      </c>
      <c r="M69" s="15" t="e">
        <f>#REF!+#REF!+#REF!+#REF!+#REF!+#REF!+#REF!+#REF!+#REF!+#REF!+#REF!+#REF!+#REF!+#REF!</f>
        <v>#REF!</v>
      </c>
      <c r="N69" s="15" t="e">
        <f>#REF!+#REF!+#REF!+#REF!+#REF!+#REF!+#REF!+#REF!+#REF!+#REF!+#REF!+#REF!+#REF!+#REF!</f>
        <v>#REF!</v>
      </c>
      <c r="O69" s="15" t="e">
        <f>#REF!+#REF!+#REF!+#REF!+#REF!+#REF!+#REF!+#REF!+#REF!+#REF!+#REF!+#REF!+#REF!+#REF!</f>
        <v>#REF!</v>
      </c>
      <c r="P69" s="15" t="e">
        <f>#REF!+#REF!+#REF!+#REF!+#REF!+#REF!+#REF!+#REF!+#REF!+#REF!+#REF!+#REF!+#REF!+#REF!</f>
        <v>#REF!</v>
      </c>
      <c r="Q69" s="15" t="e">
        <f>#REF!+#REF!+#REF!+#REF!+#REF!+#REF!+#REF!+#REF!+#REF!+#REF!+#REF!+#REF!+#REF!+#REF!</f>
        <v>#REF!</v>
      </c>
    </row>
    <row r="70" spans="1:17" ht="10.050000000000001" customHeight="1">
      <c r="A70" s="15">
        <v>62</v>
      </c>
      <c r="B70" s="77" t="s">
        <v>63</v>
      </c>
      <c r="C70" s="15" t="e">
        <f>#REF!+#REF!+#REF!+#REF!+#REF!+#REF!+#REF!+#REF!+#REF!+#REF!+#REF!+#REF!+#REF!+#REF!</f>
        <v>#REF!</v>
      </c>
      <c r="D70" s="15" t="e">
        <f>#REF!+#REF!+#REF!+#REF!+#REF!+#REF!+#REF!+#REF!+#REF!+#REF!+#REF!+#REF!+#REF!+#REF!</f>
        <v>#REF!</v>
      </c>
      <c r="E70" s="15" t="e">
        <f>#REF!+#REF!+#REF!+#REF!+#REF!+#REF!+#REF!+#REF!+#REF!+#REF!+#REF!+#REF!+#REF!+#REF!</f>
        <v>#REF!</v>
      </c>
      <c r="F70" s="15" t="e">
        <f>#REF!+#REF!+#REF!+#REF!+#REF!+#REF!+#REF!+#REF!+#REF!+#REF!+#REF!+#REF!+#REF!+#REF!</f>
        <v>#REF!</v>
      </c>
      <c r="G70" s="15" t="e">
        <f>#REF!+#REF!+#REF!+#REF!+#REF!+#REF!+#REF!+#REF!+#REF!+#REF!+#REF!+#REF!+#REF!+#REF!</f>
        <v>#REF!</v>
      </c>
      <c r="H70" s="15" t="e">
        <f>#REF!+#REF!+#REF!+#REF!+#REF!+#REF!+#REF!+#REF!+#REF!+#REF!+#REF!+#REF!+#REF!+#REF!</f>
        <v>#REF!</v>
      </c>
      <c r="I70" s="15" t="e">
        <f>#REF!+#REF!+#REF!+#REF!+#REF!+#REF!+#REF!+#REF!+#REF!+#REF!+#REF!+#REF!+#REF!+#REF!</f>
        <v>#REF!</v>
      </c>
      <c r="J70" s="15" t="e">
        <f>#REF!+#REF!+#REF!+#REF!+#REF!+#REF!+#REF!+#REF!+#REF!+#REF!+#REF!+#REF!+#REF!+#REF!</f>
        <v>#REF!</v>
      </c>
      <c r="K70" s="15" t="e">
        <f>#REF!+#REF!+#REF!+#REF!+#REF!+#REF!+#REF!+#REF!+#REF!+#REF!+#REF!+#REF!+#REF!+#REF!</f>
        <v>#REF!</v>
      </c>
      <c r="L70" s="15" t="e">
        <f>#REF!+#REF!+#REF!+#REF!+#REF!+#REF!+#REF!+#REF!+#REF!+#REF!+#REF!+#REF!+#REF!+#REF!</f>
        <v>#REF!</v>
      </c>
      <c r="M70" s="15" t="e">
        <f>#REF!+#REF!+#REF!+#REF!+#REF!+#REF!+#REF!+#REF!+#REF!+#REF!+#REF!+#REF!+#REF!+#REF!</f>
        <v>#REF!</v>
      </c>
      <c r="N70" s="15" t="e">
        <f>#REF!+#REF!+#REF!+#REF!+#REF!+#REF!+#REF!+#REF!+#REF!+#REF!+#REF!+#REF!+#REF!+#REF!</f>
        <v>#REF!</v>
      </c>
      <c r="O70" s="15" t="e">
        <f>#REF!+#REF!+#REF!+#REF!+#REF!+#REF!+#REF!+#REF!+#REF!+#REF!+#REF!+#REF!+#REF!+#REF!</f>
        <v>#REF!</v>
      </c>
      <c r="P70" s="15" t="e">
        <f>#REF!+#REF!+#REF!+#REF!+#REF!+#REF!+#REF!+#REF!+#REF!+#REF!+#REF!+#REF!+#REF!+#REF!</f>
        <v>#REF!</v>
      </c>
      <c r="Q70" s="15" t="e">
        <f>#REF!+#REF!+#REF!+#REF!+#REF!+#REF!+#REF!+#REF!+#REF!+#REF!+#REF!+#REF!+#REF!+#REF!</f>
        <v>#REF!</v>
      </c>
    </row>
    <row r="71" spans="1:17" ht="10.050000000000001" customHeight="1">
      <c r="A71" s="15">
        <v>63</v>
      </c>
      <c r="B71" s="77" t="s">
        <v>44</v>
      </c>
      <c r="C71" s="15" t="e">
        <f>#REF!+#REF!+#REF!+#REF!+#REF!+#REF!+#REF!+#REF!+#REF!+#REF!+#REF!+#REF!+#REF!+#REF!</f>
        <v>#REF!</v>
      </c>
      <c r="D71" s="15" t="e">
        <f>#REF!+#REF!+#REF!+#REF!+#REF!+#REF!+#REF!+#REF!+#REF!+#REF!+#REF!+#REF!+#REF!+#REF!</f>
        <v>#REF!</v>
      </c>
      <c r="E71" s="15" t="e">
        <f>#REF!+#REF!+#REF!+#REF!+#REF!+#REF!+#REF!+#REF!+#REF!+#REF!+#REF!+#REF!+#REF!+#REF!</f>
        <v>#REF!</v>
      </c>
      <c r="F71" s="15" t="e">
        <f>#REF!+#REF!+#REF!+#REF!+#REF!+#REF!+#REF!+#REF!+#REF!+#REF!+#REF!+#REF!+#REF!+#REF!</f>
        <v>#REF!</v>
      </c>
      <c r="G71" s="15" t="e">
        <f>#REF!+#REF!+#REF!+#REF!+#REF!+#REF!+#REF!+#REF!+#REF!+#REF!+#REF!+#REF!+#REF!+#REF!</f>
        <v>#REF!</v>
      </c>
      <c r="H71" s="15" t="e">
        <f>#REF!+#REF!+#REF!+#REF!+#REF!+#REF!+#REF!+#REF!+#REF!+#REF!+#REF!+#REF!+#REF!+#REF!</f>
        <v>#REF!</v>
      </c>
      <c r="I71" s="15" t="e">
        <f>#REF!+#REF!+#REF!+#REF!+#REF!+#REF!+#REF!+#REF!+#REF!+#REF!+#REF!+#REF!+#REF!+#REF!</f>
        <v>#REF!</v>
      </c>
      <c r="J71" s="15" t="e">
        <f>#REF!+#REF!+#REF!+#REF!+#REF!+#REF!+#REF!+#REF!+#REF!+#REF!+#REF!+#REF!+#REF!+#REF!</f>
        <v>#REF!</v>
      </c>
      <c r="K71" s="15" t="e">
        <f>#REF!+#REF!+#REF!+#REF!+#REF!+#REF!+#REF!+#REF!+#REF!+#REF!+#REF!+#REF!+#REF!+#REF!</f>
        <v>#REF!</v>
      </c>
      <c r="L71" s="15" t="e">
        <f>#REF!+#REF!+#REF!+#REF!+#REF!+#REF!+#REF!+#REF!+#REF!+#REF!+#REF!+#REF!+#REF!+#REF!</f>
        <v>#REF!</v>
      </c>
      <c r="M71" s="15" t="e">
        <f>#REF!+#REF!+#REF!+#REF!+#REF!+#REF!+#REF!+#REF!+#REF!+#REF!+#REF!+#REF!+#REF!+#REF!</f>
        <v>#REF!</v>
      </c>
      <c r="N71" s="15" t="e">
        <f>#REF!+#REF!+#REF!+#REF!+#REF!+#REF!+#REF!+#REF!+#REF!+#REF!+#REF!+#REF!+#REF!+#REF!</f>
        <v>#REF!</v>
      </c>
      <c r="O71" s="15" t="e">
        <f>#REF!+#REF!+#REF!+#REF!+#REF!+#REF!+#REF!+#REF!+#REF!+#REF!+#REF!+#REF!+#REF!+#REF!</f>
        <v>#REF!</v>
      </c>
      <c r="P71" s="15" t="e">
        <f>#REF!+#REF!+#REF!+#REF!+#REF!+#REF!+#REF!+#REF!+#REF!+#REF!+#REF!+#REF!+#REF!+#REF!</f>
        <v>#REF!</v>
      </c>
      <c r="Q71" s="15" t="e">
        <f>#REF!+#REF!+#REF!+#REF!+#REF!+#REF!+#REF!+#REF!+#REF!+#REF!+#REF!+#REF!+#REF!+#REF!</f>
        <v>#REF!</v>
      </c>
    </row>
    <row r="72" spans="1:17" ht="10.050000000000001" customHeight="1">
      <c r="A72" s="15">
        <v>64</v>
      </c>
      <c r="B72" s="77" t="s">
        <v>45</v>
      </c>
      <c r="C72" s="15" t="e">
        <f>#REF!+#REF!+#REF!+#REF!+#REF!+#REF!+#REF!+#REF!+#REF!+#REF!+#REF!+#REF!+#REF!+#REF!</f>
        <v>#REF!</v>
      </c>
      <c r="D72" s="15" t="e">
        <f>#REF!+#REF!+#REF!+#REF!+#REF!+#REF!+#REF!+#REF!+#REF!+#REF!+#REF!+#REF!+#REF!+#REF!</f>
        <v>#REF!</v>
      </c>
      <c r="E72" s="15" t="e">
        <f>#REF!+#REF!+#REF!+#REF!+#REF!+#REF!+#REF!+#REF!+#REF!+#REF!+#REF!+#REF!+#REF!+#REF!</f>
        <v>#REF!</v>
      </c>
      <c r="F72" s="15" t="e">
        <f>#REF!+#REF!+#REF!+#REF!+#REF!+#REF!+#REF!+#REF!+#REF!+#REF!+#REF!+#REF!+#REF!+#REF!</f>
        <v>#REF!</v>
      </c>
      <c r="G72" s="15" t="e">
        <f>#REF!+#REF!+#REF!+#REF!+#REF!+#REF!+#REF!+#REF!+#REF!+#REF!+#REF!+#REF!+#REF!+#REF!</f>
        <v>#REF!</v>
      </c>
      <c r="H72" s="15" t="e">
        <f>#REF!+#REF!+#REF!+#REF!+#REF!+#REF!+#REF!+#REF!+#REF!+#REF!+#REF!+#REF!+#REF!+#REF!</f>
        <v>#REF!</v>
      </c>
      <c r="I72" s="15" t="e">
        <f>#REF!+#REF!+#REF!+#REF!+#REF!+#REF!+#REF!+#REF!+#REF!+#REF!+#REF!+#REF!+#REF!+#REF!</f>
        <v>#REF!</v>
      </c>
      <c r="J72" s="15" t="e">
        <f>#REF!+#REF!+#REF!+#REF!+#REF!+#REF!+#REF!+#REF!+#REF!+#REF!+#REF!+#REF!+#REF!+#REF!</f>
        <v>#REF!</v>
      </c>
      <c r="K72" s="15" t="e">
        <f>#REF!+#REF!+#REF!+#REF!+#REF!+#REF!+#REF!+#REF!+#REF!+#REF!+#REF!+#REF!+#REF!+#REF!</f>
        <v>#REF!</v>
      </c>
      <c r="L72" s="15" t="e">
        <f>#REF!+#REF!+#REF!+#REF!+#REF!+#REF!+#REF!+#REF!+#REF!+#REF!+#REF!+#REF!+#REF!+#REF!</f>
        <v>#REF!</v>
      </c>
      <c r="M72" s="15" t="e">
        <f>#REF!+#REF!+#REF!+#REF!+#REF!+#REF!+#REF!+#REF!+#REF!+#REF!+#REF!+#REF!+#REF!+#REF!</f>
        <v>#REF!</v>
      </c>
      <c r="N72" s="15" t="e">
        <f>#REF!+#REF!+#REF!+#REF!+#REF!+#REF!+#REF!+#REF!+#REF!+#REF!+#REF!+#REF!+#REF!+#REF!</f>
        <v>#REF!</v>
      </c>
      <c r="O72" s="15" t="e">
        <f>#REF!+#REF!+#REF!+#REF!+#REF!+#REF!+#REF!+#REF!+#REF!+#REF!+#REF!+#REF!+#REF!+#REF!</f>
        <v>#REF!</v>
      </c>
      <c r="P72" s="15" t="e">
        <f>#REF!+#REF!+#REF!+#REF!+#REF!+#REF!+#REF!+#REF!+#REF!+#REF!+#REF!+#REF!+#REF!+#REF!</f>
        <v>#REF!</v>
      </c>
      <c r="Q72" s="15" t="e">
        <f>#REF!+#REF!+#REF!+#REF!+#REF!+#REF!+#REF!+#REF!+#REF!+#REF!+#REF!+#REF!+#REF!+#REF!</f>
        <v>#REF!</v>
      </c>
    </row>
    <row r="73" spans="1:17" ht="10.050000000000001" customHeight="1">
      <c r="A73" s="15">
        <v>65</v>
      </c>
      <c r="B73" s="77" t="s">
        <v>46</v>
      </c>
      <c r="C73" s="15" t="e">
        <f>#REF!+#REF!+#REF!+#REF!+#REF!+#REF!+#REF!+#REF!+#REF!+#REF!+#REF!+#REF!+#REF!+#REF!</f>
        <v>#REF!</v>
      </c>
      <c r="D73" s="15" t="e">
        <f>#REF!+#REF!+#REF!+#REF!+#REF!+#REF!+#REF!+#REF!+#REF!+#REF!+#REF!+#REF!+#REF!+#REF!</f>
        <v>#REF!</v>
      </c>
      <c r="E73" s="15" t="e">
        <f>#REF!+#REF!+#REF!+#REF!+#REF!+#REF!+#REF!+#REF!+#REF!+#REF!+#REF!+#REF!+#REF!+#REF!</f>
        <v>#REF!</v>
      </c>
      <c r="F73" s="15" t="e">
        <f>#REF!+#REF!+#REF!+#REF!+#REF!+#REF!+#REF!+#REF!+#REF!+#REF!+#REF!+#REF!+#REF!+#REF!</f>
        <v>#REF!</v>
      </c>
      <c r="G73" s="15" t="e">
        <f>#REF!+#REF!+#REF!+#REF!+#REF!+#REF!+#REF!+#REF!+#REF!+#REF!+#REF!+#REF!+#REF!+#REF!</f>
        <v>#REF!</v>
      </c>
      <c r="H73" s="15" t="e">
        <f>#REF!+#REF!+#REF!+#REF!+#REF!+#REF!+#REF!+#REF!+#REF!+#REF!+#REF!+#REF!+#REF!+#REF!</f>
        <v>#REF!</v>
      </c>
      <c r="I73" s="15" t="e">
        <f>#REF!+#REF!+#REF!+#REF!+#REF!+#REF!+#REF!+#REF!+#REF!+#REF!+#REF!+#REF!+#REF!+#REF!</f>
        <v>#REF!</v>
      </c>
      <c r="J73" s="15" t="e">
        <f>#REF!+#REF!+#REF!+#REF!+#REF!+#REF!+#REF!+#REF!+#REF!+#REF!+#REF!+#REF!+#REF!+#REF!</f>
        <v>#REF!</v>
      </c>
      <c r="K73" s="15" t="e">
        <f>#REF!+#REF!+#REF!+#REF!+#REF!+#REF!+#REF!+#REF!+#REF!+#REF!+#REF!+#REF!+#REF!+#REF!</f>
        <v>#REF!</v>
      </c>
      <c r="L73" s="15" t="e">
        <f>#REF!+#REF!+#REF!+#REF!+#REF!+#REF!+#REF!+#REF!+#REF!+#REF!+#REF!+#REF!+#REF!+#REF!</f>
        <v>#REF!</v>
      </c>
      <c r="M73" s="15" t="e">
        <f>#REF!+#REF!+#REF!+#REF!+#REF!+#REF!+#REF!+#REF!+#REF!+#REF!+#REF!+#REF!+#REF!+#REF!</f>
        <v>#REF!</v>
      </c>
      <c r="N73" s="15" t="e">
        <f>#REF!+#REF!+#REF!+#REF!+#REF!+#REF!+#REF!+#REF!+#REF!+#REF!+#REF!+#REF!+#REF!+#REF!</f>
        <v>#REF!</v>
      </c>
      <c r="O73" s="15" t="e">
        <f>#REF!+#REF!+#REF!+#REF!+#REF!+#REF!+#REF!+#REF!+#REF!+#REF!+#REF!+#REF!+#REF!+#REF!</f>
        <v>#REF!</v>
      </c>
      <c r="P73" s="15" t="e">
        <f>#REF!+#REF!+#REF!+#REF!+#REF!+#REF!+#REF!+#REF!+#REF!+#REF!+#REF!+#REF!+#REF!+#REF!</f>
        <v>#REF!</v>
      </c>
      <c r="Q73" s="15" t="e">
        <f>#REF!+#REF!+#REF!+#REF!+#REF!+#REF!+#REF!+#REF!+#REF!+#REF!+#REF!+#REF!+#REF!+#REF!</f>
        <v>#REF!</v>
      </c>
    </row>
    <row r="74" spans="1:17" ht="10.050000000000001" customHeight="1">
      <c r="A74" s="15"/>
      <c r="B74" s="79"/>
      <c r="C74" s="15"/>
      <c r="D74" s="15"/>
      <c r="E74" s="15"/>
      <c r="F74" s="15"/>
      <c r="G74" s="15"/>
      <c r="H74" s="15"/>
      <c r="N74" s="15" t="e">
        <f>#REF!+#REF!+#REF!+#REF!+#REF!+#REF!+#REF!+#REF!+#REF!+#REF!+#REF!+#REF!+#REF!+#REF!+#REF!</f>
        <v>#REF!</v>
      </c>
      <c r="O74" s="15" t="e">
        <f>#REF!+#REF!+#REF!+#REF!+#REF!+#REF!+#REF!+#REF!+#REF!+#REF!+#REF!+#REF!+#REF!+#REF!+#REF!</f>
        <v>#REF!</v>
      </c>
      <c r="P74" s="15" t="e">
        <f>#REF!+#REF!+#REF!+#REF!+#REF!+#REF!+#REF!+#REF!+#REF!+#REF!+#REF!+#REF!+#REF!+#REF!+#REF!</f>
        <v>#REF!</v>
      </c>
      <c r="Q74" s="15" t="e">
        <f>#REF!+#REF!+#REF!+#REF!+#REF!+#REF!+#REF!+#REF!+#REF!+#REF!+#REF!+#REF!+#REF!+#REF!+#REF!</f>
        <v>#REF!</v>
      </c>
    </row>
    <row r="76" spans="1:17">
      <c r="C76" t="e">
        <f>SUM(C69:C75)</f>
        <v>#REF!</v>
      </c>
      <c r="Q76" t="e">
        <f>SUM(Q69:Q75)</f>
        <v>#REF!</v>
      </c>
    </row>
  </sheetData>
  <mergeCells count="12">
    <mergeCell ref="A6:B6"/>
    <mergeCell ref="A2:H2"/>
    <mergeCell ref="A3:H3"/>
    <mergeCell ref="A4:H4"/>
    <mergeCell ref="B7:B8"/>
    <mergeCell ref="C7:C8"/>
    <mergeCell ref="D7:D8"/>
    <mergeCell ref="G7:G8"/>
    <mergeCell ref="A7:A8"/>
    <mergeCell ref="H7:H8"/>
    <mergeCell ref="E7:E8"/>
    <mergeCell ref="F7:F8"/>
  </mergeCells>
  <pageMargins left="0.95" right="0.7" top="0.2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D69" sqref="D69:D71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154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151</v>
      </c>
      <c r="P6" s="91" t="s">
        <v>150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12650</v>
      </c>
      <c r="D7" s="6">
        <v>2500</v>
      </c>
      <c r="E7" s="6"/>
      <c r="F7" s="6"/>
      <c r="G7" s="6"/>
      <c r="H7" s="6"/>
      <c r="I7" s="6"/>
      <c r="J7" s="6"/>
      <c r="K7" s="6"/>
      <c r="L7" s="6"/>
      <c r="M7" s="6"/>
      <c r="N7" s="6">
        <v>1000</v>
      </c>
      <c r="O7" s="6"/>
      <c r="P7" s="6"/>
      <c r="Q7" s="7">
        <f t="shared" ref="Q7:Q71" si="0">SUM(E7:P7)</f>
        <v>1000</v>
      </c>
      <c r="R7" s="6">
        <f>250+500</f>
        <v>750</v>
      </c>
      <c r="S7" s="6">
        <f>C7+D7-R7</f>
        <v>14400</v>
      </c>
      <c r="T7" s="34">
        <v>-9150</v>
      </c>
      <c r="U7" s="6">
        <f>S7+T7</f>
        <v>5250</v>
      </c>
      <c r="V7" s="52"/>
      <c r="W7" s="57"/>
      <c r="X7" s="46"/>
      <c r="Y7" s="65"/>
      <c r="Z7" s="66">
        <f>W7-S7</f>
        <v>-14400</v>
      </c>
      <c r="AA7" s="65"/>
      <c r="AB7" s="67"/>
      <c r="AC7" s="65"/>
      <c r="AD7" s="47"/>
      <c r="AE7" s="61"/>
      <c r="AF7" s="52">
        <f>SUM(Y7:AE7)</f>
        <v>-14400</v>
      </c>
      <c r="AG7" s="46">
        <f>U7+AF7</f>
        <v>-9150</v>
      </c>
      <c r="AH7" s="51">
        <f>AG7-S7</f>
        <v>-23550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34050</v>
      </c>
      <c r="D8" s="6">
        <v>15000</v>
      </c>
      <c r="E8" s="6"/>
      <c r="F8" s="6"/>
      <c r="G8" s="6"/>
      <c r="H8" s="6"/>
      <c r="I8" s="6"/>
      <c r="J8" s="6"/>
      <c r="K8" s="6"/>
      <c r="L8" s="6"/>
      <c r="M8" s="6"/>
      <c r="N8" s="6">
        <v>2000</v>
      </c>
      <c r="O8" s="6"/>
      <c r="P8" s="6"/>
      <c r="Q8" s="7">
        <f t="shared" si="0"/>
        <v>2000</v>
      </c>
      <c r="R8" s="6">
        <f>500+2000+7000</f>
        <v>9500</v>
      </c>
      <c r="S8" s="6">
        <f t="shared" ref="S8:S71" si="1">C8+D8-R8</f>
        <v>39550</v>
      </c>
      <c r="T8" s="6">
        <v>-24350</v>
      </c>
      <c r="U8" s="6">
        <f t="shared" ref="U8:U71" si="2">S8+T8</f>
        <v>15200</v>
      </c>
      <c r="V8" s="52"/>
      <c r="W8" s="57"/>
      <c r="X8" s="46"/>
      <c r="Y8" s="61"/>
      <c r="Z8" s="66">
        <f t="shared" ref="Z8:Z71" si="3">W8-S8</f>
        <v>-39550</v>
      </c>
      <c r="AA8" s="61"/>
      <c r="AB8" s="67"/>
      <c r="AC8" s="61"/>
      <c r="AD8" s="66"/>
      <c r="AE8" s="61"/>
      <c r="AF8" s="52">
        <f t="shared" ref="AF8:AF71" si="4">SUM(Y8:AE8)</f>
        <v>-39550</v>
      </c>
      <c r="AG8" s="46">
        <f t="shared" ref="AG8:AG71" si="5">U8+AF8</f>
        <v>-24350</v>
      </c>
      <c r="AH8" s="51">
        <f t="shared" ref="AH8:AH71" si="6">AG8-S8</f>
        <v>-63900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8075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8075</v>
      </c>
      <c r="T10" s="6">
        <v>-5175</v>
      </c>
      <c r="U10" s="6">
        <f t="shared" si="2"/>
        <v>2900</v>
      </c>
      <c r="V10" s="52"/>
      <c r="W10" s="57"/>
      <c r="X10" s="46"/>
      <c r="Y10" s="61"/>
      <c r="Z10" s="66">
        <f t="shared" si="3"/>
        <v>-8075</v>
      </c>
      <c r="AA10" s="61"/>
      <c r="AB10" s="67"/>
      <c r="AC10" s="61"/>
      <c r="AD10" s="66"/>
      <c r="AE10" s="61"/>
      <c r="AF10" s="52">
        <f t="shared" si="4"/>
        <v>-8075</v>
      </c>
      <c r="AG10" s="46">
        <f t="shared" si="5"/>
        <v>-5175</v>
      </c>
      <c r="AH10" s="51">
        <f t="shared" si="6"/>
        <v>-13250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4500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500+200</f>
        <v>700</v>
      </c>
      <c r="S11" s="6">
        <f t="shared" si="1"/>
        <v>3800</v>
      </c>
      <c r="T11" s="6">
        <v>-3750</v>
      </c>
      <c r="U11" s="6">
        <f t="shared" si="2"/>
        <v>50</v>
      </c>
      <c r="V11" s="52"/>
      <c r="W11" s="57"/>
      <c r="X11" s="46"/>
      <c r="Y11" s="61"/>
      <c r="Z11" s="66">
        <f t="shared" si="3"/>
        <v>-3800</v>
      </c>
      <c r="AA11" s="61"/>
      <c r="AB11" s="67"/>
      <c r="AC11" s="61"/>
      <c r="AD11" s="66"/>
      <c r="AE11" s="61"/>
      <c r="AF11" s="52">
        <f t="shared" si="4"/>
        <v>-3800</v>
      </c>
      <c r="AG11" s="46">
        <f t="shared" si="5"/>
        <v>-3750</v>
      </c>
      <c r="AH11" s="51">
        <f t="shared" si="6"/>
        <v>-7550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1200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2000+250+500+3000</f>
        <v>5750</v>
      </c>
      <c r="S12" s="6">
        <f t="shared" si="1"/>
        <v>-4550</v>
      </c>
      <c r="T12" s="6">
        <v>4700</v>
      </c>
      <c r="U12" s="6">
        <f t="shared" si="2"/>
        <v>150</v>
      </c>
      <c r="V12" s="52"/>
      <c r="W12" s="57"/>
      <c r="X12" s="46"/>
      <c r="Y12" s="61"/>
      <c r="Z12" s="66">
        <f t="shared" si="3"/>
        <v>4550</v>
      </c>
      <c r="AA12" s="61"/>
      <c r="AB12" s="67"/>
      <c r="AC12" s="61"/>
      <c r="AD12" s="66"/>
      <c r="AE12" s="61"/>
      <c r="AF12" s="52">
        <f t="shared" si="4"/>
        <v>4550</v>
      </c>
      <c r="AG12" s="46">
        <f t="shared" si="5"/>
        <v>4700</v>
      </c>
      <c r="AH12" s="51">
        <f t="shared" si="6"/>
        <v>9250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30860</v>
      </c>
      <c r="D14" s="6">
        <v>9900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1500+1250+2000+3950+6000+1500+700+4000+5000</f>
        <v>25900</v>
      </c>
      <c r="S14" s="6">
        <f t="shared" si="1"/>
        <v>14860</v>
      </c>
      <c r="T14" s="6">
        <v>-5760</v>
      </c>
      <c r="U14" s="6">
        <f t="shared" si="2"/>
        <v>9100</v>
      </c>
      <c r="V14" s="52"/>
      <c r="W14" s="57"/>
      <c r="X14" s="46"/>
      <c r="Y14" s="61"/>
      <c r="Z14" s="66">
        <f t="shared" si="3"/>
        <v>-14860</v>
      </c>
      <c r="AA14" s="61"/>
      <c r="AB14" s="66"/>
      <c r="AC14" s="61"/>
      <c r="AD14" s="66"/>
      <c r="AE14" s="61"/>
      <c r="AF14" s="52">
        <f t="shared" si="4"/>
        <v>-14860</v>
      </c>
      <c r="AG14" s="46">
        <f t="shared" si="5"/>
        <v>-5760</v>
      </c>
      <c r="AH14" s="51">
        <f t="shared" si="6"/>
        <v>-20620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11200</v>
      </c>
      <c r="D16" s="6">
        <v>2850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f>500+1000</f>
        <v>1500</v>
      </c>
      <c r="S16" s="6">
        <f t="shared" si="1"/>
        <v>12550</v>
      </c>
      <c r="T16" s="34">
        <v>-10050</v>
      </c>
      <c r="U16" s="6">
        <f t="shared" si="2"/>
        <v>2500</v>
      </c>
      <c r="V16" s="52"/>
      <c r="W16" s="57"/>
      <c r="X16" s="46"/>
      <c r="Y16" s="61"/>
      <c r="Z16" s="66">
        <f t="shared" si="3"/>
        <v>-12550</v>
      </c>
      <c r="AA16" s="61"/>
      <c r="AB16" s="67"/>
      <c r="AC16" s="61"/>
      <c r="AD16" s="47"/>
      <c r="AE16" s="61"/>
      <c r="AF16" s="52">
        <f t="shared" si="4"/>
        <v>-12550</v>
      </c>
      <c r="AG16" s="46">
        <f t="shared" si="5"/>
        <v>-10050</v>
      </c>
      <c r="AH16" s="51">
        <f t="shared" si="6"/>
        <v>-22600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12600</v>
      </c>
      <c r="D17" s="6">
        <v>10000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2050+500</f>
        <v>2550</v>
      </c>
      <c r="S17" s="6">
        <f t="shared" si="1"/>
        <v>20050</v>
      </c>
      <c r="T17" s="6">
        <v>-5000</v>
      </c>
      <c r="U17" s="6">
        <f t="shared" si="2"/>
        <v>15050</v>
      </c>
      <c r="V17" s="52"/>
      <c r="W17" s="57"/>
      <c r="X17" s="46"/>
      <c r="Y17" s="61"/>
      <c r="Z17" s="66">
        <f t="shared" si="3"/>
        <v>-20050</v>
      </c>
      <c r="AA17" s="61"/>
      <c r="AB17" s="66"/>
      <c r="AC17" s="61"/>
      <c r="AD17" s="66"/>
      <c r="AE17" s="61"/>
      <c r="AF17" s="52">
        <f t="shared" si="4"/>
        <v>-20050</v>
      </c>
      <c r="AG17" s="46">
        <f t="shared" si="5"/>
        <v>-5000</v>
      </c>
      <c r="AH17" s="51">
        <f t="shared" si="6"/>
        <v>-25050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7">
        <f t="shared" si="0"/>
        <v>0</v>
      </c>
      <c r="R22" s="101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7">
        <f t="shared" si="0"/>
        <v>0</v>
      </c>
      <c r="R24" s="101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7">
        <f t="shared" si="0"/>
        <v>0</v>
      </c>
      <c r="R25" s="101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7">
        <f t="shared" si="0"/>
        <v>0</v>
      </c>
      <c r="R26" s="101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7">
        <f t="shared" si="0"/>
        <v>0</v>
      </c>
      <c r="R27" s="101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4380</v>
      </c>
      <c r="D28" s="6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7">
        <f t="shared" si="0"/>
        <v>0</v>
      </c>
      <c r="R28" s="101">
        <f>420+1000</f>
        <v>1420</v>
      </c>
      <c r="S28" s="6">
        <f t="shared" si="1"/>
        <v>2960</v>
      </c>
      <c r="T28" s="6">
        <f>-40-100</f>
        <v>-140</v>
      </c>
      <c r="U28" s="6">
        <f t="shared" si="2"/>
        <v>2820</v>
      </c>
      <c r="V28" s="52"/>
      <c r="W28" s="57"/>
      <c r="X28" s="46"/>
      <c r="Y28" s="61"/>
      <c r="Z28" s="66">
        <f t="shared" si="3"/>
        <v>-2960</v>
      </c>
      <c r="AA28" s="61"/>
      <c r="AB28" s="67"/>
      <c r="AC28" s="61"/>
      <c r="AD28" s="66"/>
      <c r="AE28" s="61"/>
      <c r="AF28" s="52">
        <f t="shared" si="4"/>
        <v>-2960</v>
      </c>
      <c r="AG28" s="46">
        <f t="shared" si="5"/>
        <v>-140</v>
      </c>
      <c r="AH28" s="51">
        <f t="shared" si="6"/>
        <v>-3100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1820</v>
      </c>
      <c r="D29" s="6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7">
        <f t="shared" si="0"/>
        <v>0</v>
      </c>
      <c r="R29" s="101"/>
      <c r="S29" s="6">
        <f t="shared" si="1"/>
        <v>1820</v>
      </c>
      <c r="T29" s="6">
        <f>860+100</f>
        <v>960</v>
      </c>
      <c r="U29" s="6">
        <f t="shared" si="2"/>
        <v>2780</v>
      </c>
      <c r="V29" s="52"/>
      <c r="W29" s="57"/>
      <c r="X29" s="46"/>
      <c r="Y29" s="61"/>
      <c r="Z29" s="66">
        <f t="shared" si="3"/>
        <v>-1820</v>
      </c>
      <c r="AA29" s="61"/>
      <c r="AB29" s="67"/>
      <c r="AC29" s="61"/>
      <c r="AD29" s="66"/>
      <c r="AE29" s="61"/>
      <c r="AF29" s="52">
        <f t="shared" si="4"/>
        <v>-1820</v>
      </c>
      <c r="AG29" s="46">
        <f t="shared" si="5"/>
        <v>960</v>
      </c>
      <c r="AH29" s="51">
        <f t="shared" si="6"/>
        <v>-860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7">
        <f t="shared" si="0"/>
        <v>0</v>
      </c>
      <c r="R30" s="101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18340</v>
      </c>
      <c r="D31" s="6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7">
        <f t="shared" si="0"/>
        <v>0</v>
      </c>
      <c r="R31" s="101"/>
      <c r="S31" s="6">
        <f t="shared" si="1"/>
        <v>18340</v>
      </c>
      <c r="T31" s="6">
        <v>-17140</v>
      </c>
      <c r="U31" s="6">
        <f t="shared" si="2"/>
        <v>1200</v>
      </c>
      <c r="V31" s="52"/>
      <c r="W31" s="57"/>
      <c r="X31" s="46"/>
      <c r="Y31" s="61"/>
      <c r="Z31" s="66">
        <f t="shared" si="3"/>
        <v>-18340</v>
      </c>
      <c r="AA31" s="61"/>
      <c r="AB31" s="64"/>
      <c r="AC31" s="61"/>
      <c r="AD31" s="66"/>
      <c r="AE31" s="61"/>
      <c r="AF31" s="52">
        <f t="shared" si="4"/>
        <v>-18340</v>
      </c>
      <c r="AG31" s="46">
        <f t="shared" si="5"/>
        <v>-17140</v>
      </c>
      <c r="AH31" s="51">
        <f t="shared" si="6"/>
        <v>-35480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30720</v>
      </c>
      <c r="D32" s="6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6"/>
      <c r="P32" s="6"/>
      <c r="Q32" s="7">
        <f>SUM(E32:P32)</f>
        <v>0</v>
      </c>
      <c r="R32" s="101"/>
      <c r="S32" s="6">
        <f t="shared" si="1"/>
        <v>30720</v>
      </c>
      <c r="T32" s="6">
        <v>-18280</v>
      </c>
      <c r="U32" s="6">
        <f t="shared" si="2"/>
        <v>12440</v>
      </c>
      <c r="V32" s="52"/>
      <c r="W32" s="57"/>
      <c r="X32" s="46"/>
      <c r="Y32" s="61"/>
      <c r="Z32" s="66">
        <f t="shared" si="3"/>
        <v>-30720</v>
      </c>
      <c r="AA32" s="61"/>
      <c r="AB32" s="67"/>
      <c r="AC32" s="61"/>
      <c r="AD32" s="66"/>
      <c r="AE32" s="61"/>
      <c r="AF32" s="52">
        <f t="shared" si="4"/>
        <v>-30720</v>
      </c>
      <c r="AG32" s="46">
        <f t="shared" si="5"/>
        <v>-18280</v>
      </c>
      <c r="AH32" s="51">
        <f t="shared" si="6"/>
        <v>-49000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7">
        <f t="shared" si="0"/>
        <v>0</v>
      </c>
      <c r="R33" s="101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01"/>
      <c r="F34" s="101"/>
      <c r="G34" s="101"/>
      <c r="H34" s="101"/>
      <c r="I34" s="101"/>
      <c r="J34" s="101"/>
      <c r="K34" s="6"/>
      <c r="L34" s="101"/>
      <c r="M34" s="101"/>
      <c r="N34" s="101"/>
      <c r="O34" s="101"/>
      <c r="P34" s="101"/>
      <c r="Q34" s="7">
        <f t="shared" si="0"/>
        <v>0</v>
      </c>
      <c r="R34" s="101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01"/>
      <c r="F35" s="101"/>
      <c r="G35" s="101">
        <v>5740</v>
      </c>
      <c r="H35" s="101"/>
      <c r="I35" s="101"/>
      <c r="J35" s="101"/>
      <c r="K35" s="6"/>
      <c r="L35" s="101"/>
      <c r="M35" s="101"/>
      <c r="N35" s="101"/>
      <c r="O35" s="101"/>
      <c r="P35" s="101"/>
      <c r="Q35" s="7">
        <f t="shared" si="0"/>
        <v>5740</v>
      </c>
      <c r="R35" s="101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7">
        <f t="shared" si="0"/>
        <v>0</v>
      </c>
      <c r="R36" s="101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7">
        <f t="shared" si="0"/>
        <v>0</v>
      </c>
      <c r="R37" s="101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f>980-1680</f>
        <v>-700</v>
      </c>
      <c r="D38" s="6">
        <v>8600</v>
      </c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7">
        <f>SUM(E38:P38)</f>
        <v>0</v>
      </c>
      <c r="R38" s="101"/>
      <c r="S38" s="6">
        <f t="shared" si="1"/>
        <v>7900</v>
      </c>
      <c r="T38" s="6">
        <v>-980</v>
      </c>
      <c r="U38" s="6">
        <f t="shared" si="2"/>
        <v>6920</v>
      </c>
      <c r="V38" s="52"/>
      <c r="W38" s="57"/>
      <c r="X38" s="46"/>
      <c r="Y38" s="61"/>
      <c r="Z38" s="66">
        <f t="shared" si="3"/>
        <v>-7900</v>
      </c>
      <c r="AA38" s="61"/>
      <c r="AB38" s="64"/>
      <c r="AC38" s="61"/>
      <c r="AD38" s="66"/>
      <c r="AE38" s="61"/>
      <c r="AF38" s="52">
        <f t="shared" si="4"/>
        <v>-7900</v>
      </c>
      <c r="AG38" s="46">
        <f t="shared" si="5"/>
        <v>-980</v>
      </c>
      <c r="AH38" s="51">
        <f t="shared" si="6"/>
        <v>-8880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7">
        <f>SUM(E39:P39)</f>
        <v>0</v>
      </c>
      <c r="R39" s="101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f>520+1480</f>
        <v>2000</v>
      </c>
      <c r="D40" s="6"/>
      <c r="E40" s="101"/>
      <c r="F40" s="101"/>
      <c r="G40" s="101"/>
      <c r="H40" s="27"/>
      <c r="I40" s="101"/>
      <c r="J40" s="101"/>
      <c r="K40" s="101"/>
      <c r="L40" s="101"/>
      <c r="M40" s="101"/>
      <c r="N40" s="101"/>
      <c r="O40" s="101"/>
      <c r="P40" s="101"/>
      <c r="Q40" s="7">
        <f>SUM(E40:P40)</f>
        <v>0</v>
      </c>
      <c r="R40" s="101">
        <v>1480</v>
      </c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7">
        <f>SUM(E41:P41)</f>
        <v>0</v>
      </c>
      <c r="R41" s="101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f>1960+200</f>
        <v>2160</v>
      </c>
      <c r="D42" s="6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7">
        <f>SUM(E42:P42)</f>
        <v>0</v>
      </c>
      <c r="R42" s="101">
        <v>240</v>
      </c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7">
        <f t="shared" si="0"/>
        <v>0</v>
      </c>
      <c r="R44" s="101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7">
        <f t="shared" si="0"/>
        <v>0</v>
      </c>
      <c r="R45" s="101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7">
        <f t="shared" si="0"/>
        <v>0</v>
      </c>
      <c r="R46" s="101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7">
        <f t="shared" si="0"/>
        <v>0</v>
      </c>
      <c r="R47" s="101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7">
        <f t="shared" si="0"/>
        <v>0</v>
      </c>
      <c r="R48" s="101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7">
        <f t="shared" si="0"/>
        <v>0</v>
      </c>
      <c r="R49" s="101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4550</v>
      </c>
      <c r="D50" s="6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7">
        <f t="shared" si="0"/>
        <v>0</v>
      </c>
      <c r="R50" s="101"/>
      <c r="S50" s="6">
        <f t="shared" si="1"/>
        <v>4550</v>
      </c>
      <c r="T50" s="6">
        <f>-12000+8615</f>
        <v>-3385</v>
      </c>
      <c r="U50" s="6">
        <f t="shared" si="2"/>
        <v>1165</v>
      </c>
      <c r="V50" s="52"/>
      <c r="W50" s="57"/>
      <c r="X50" s="46"/>
      <c r="Y50" s="61"/>
      <c r="Z50" s="66">
        <f t="shared" si="3"/>
        <v>-4550</v>
      </c>
      <c r="AA50" s="61"/>
      <c r="AB50" s="64"/>
      <c r="AC50" s="61"/>
      <c r="AD50" s="66"/>
      <c r="AE50" s="61"/>
      <c r="AF50" s="52">
        <f t="shared" si="4"/>
        <v>-4550</v>
      </c>
      <c r="AG50" s="46">
        <f t="shared" si="5"/>
        <v>-3385</v>
      </c>
      <c r="AH50" s="51">
        <f t="shared" si="6"/>
        <v>-7935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7">
        <f t="shared" si="0"/>
        <v>0</v>
      </c>
      <c r="R51" s="101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2690</v>
      </c>
      <c r="D52" s="6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7">
        <f t="shared" si="0"/>
        <v>0</v>
      </c>
      <c r="R52" s="101"/>
      <c r="S52" s="6">
        <f t="shared" si="1"/>
        <v>2690</v>
      </c>
      <c r="T52" s="6">
        <v>-2510</v>
      </c>
      <c r="U52" s="6">
        <f t="shared" si="2"/>
        <v>180</v>
      </c>
      <c r="V52" s="52"/>
      <c r="W52" s="57"/>
      <c r="X52" s="46"/>
      <c r="Y52" s="61"/>
      <c r="Z52" s="66">
        <f t="shared" si="3"/>
        <v>-2690</v>
      </c>
      <c r="AA52" s="61"/>
      <c r="AB52" s="67"/>
      <c r="AC52" s="61"/>
      <c r="AD52" s="66"/>
      <c r="AE52" s="61"/>
      <c r="AF52" s="52">
        <f t="shared" si="4"/>
        <v>-2690</v>
      </c>
      <c r="AG52" s="46">
        <f t="shared" si="5"/>
        <v>-2510</v>
      </c>
      <c r="AH52" s="51">
        <f t="shared" si="6"/>
        <v>-5200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13025</v>
      </c>
      <c r="D53" s="6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7">
        <f t="shared" si="0"/>
        <v>0</v>
      </c>
      <c r="R53" s="101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6700</v>
      </c>
      <c r="D54" s="6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7">
        <f t="shared" si="0"/>
        <v>0</v>
      </c>
      <c r="R54" s="101"/>
      <c r="S54" s="6">
        <f t="shared" si="1"/>
        <v>6700</v>
      </c>
      <c r="T54" s="6">
        <v>-2850</v>
      </c>
      <c r="U54" s="6">
        <f t="shared" si="2"/>
        <v>3850</v>
      </c>
      <c r="V54" s="52"/>
      <c r="W54" s="57"/>
      <c r="X54" s="46"/>
      <c r="Y54" s="61"/>
      <c r="Z54" s="66">
        <f t="shared" si="3"/>
        <v>-6700</v>
      </c>
      <c r="AA54" s="61"/>
      <c r="AB54" s="67"/>
      <c r="AC54" s="61"/>
      <c r="AD54" s="66"/>
      <c r="AE54" s="61"/>
      <c r="AF54" s="52">
        <f t="shared" si="4"/>
        <v>-6700</v>
      </c>
      <c r="AG54" s="46">
        <f t="shared" si="5"/>
        <v>-2850</v>
      </c>
      <c r="AH54" s="51">
        <f t="shared" si="6"/>
        <v>-9550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7">
        <f t="shared" si="0"/>
        <v>0</v>
      </c>
      <c r="R55" s="101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7">
        <f>SUM(E56:P56)</f>
        <v>0</v>
      </c>
      <c r="R56" s="101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7">
        <f t="shared" si="0"/>
        <v>0</v>
      </c>
      <c r="R61" s="101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7">
        <f t="shared" si="0"/>
        <v>0</v>
      </c>
      <c r="R62" s="100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7">
        <f t="shared" si="0"/>
        <v>0</v>
      </c>
      <c r="R63" s="100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7">
        <f t="shared" si="0"/>
        <v>0</v>
      </c>
      <c r="R64" s="100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7">
        <f t="shared" si="0"/>
        <v>0</v>
      </c>
      <c r="R65" s="100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02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2775</v>
      </c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7">
        <f t="shared" si="0"/>
        <v>0</v>
      </c>
      <c r="R67" s="101">
        <v>500</v>
      </c>
      <c r="S67" s="6">
        <f t="shared" si="1"/>
        <v>2275</v>
      </c>
      <c r="T67" s="6">
        <v>-1525</v>
      </c>
      <c r="U67" s="6">
        <f t="shared" si="2"/>
        <v>750</v>
      </c>
      <c r="V67" s="52"/>
      <c r="W67" s="57"/>
      <c r="X67" s="46"/>
      <c r="Y67" s="61"/>
      <c r="Z67" s="66">
        <f t="shared" si="3"/>
        <v>-2275</v>
      </c>
      <c r="AA67" s="61"/>
      <c r="AB67" s="67"/>
      <c r="AC67" s="61"/>
      <c r="AD67" s="66"/>
      <c r="AE67" s="61"/>
      <c r="AF67" s="52">
        <f t="shared" si="4"/>
        <v>-2275</v>
      </c>
      <c r="AG67" s="46">
        <f t="shared" si="5"/>
        <v>-1525</v>
      </c>
      <c r="AH67" s="51">
        <f t="shared" si="6"/>
        <v>-3800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9200</v>
      </c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7">
        <f t="shared" si="0"/>
        <v>0</v>
      </c>
      <c r="R68" s="101"/>
      <c r="S68" s="6">
        <f t="shared" si="1"/>
        <v>9200</v>
      </c>
      <c r="T68" s="6">
        <v>0</v>
      </c>
      <c r="U68" s="6">
        <f t="shared" si="2"/>
        <v>9200</v>
      </c>
      <c r="V68" s="52"/>
      <c r="W68" s="57"/>
      <c r="X68" s="46"/>
      <c r="Y68" s="61"/>
      <c r="Z68" s="66">
        <f t="shared" si="3"/>
        <v>-9200</v>
      </c>
      <c r="AA68" s="61"/>
      <c r="AB68" s="67"/>
      <c r="AC68" s="61"/>
      <c r="AD68" s="66"/>
      <c r="AE68" s="61"/>
      <c r="AF68" s="52">
        <f t="shared" si="4"/>
        <v>-9200</v>
      </c>
      <c r="AG68" s="46">
        <f t="shared" si="5"/>
        <v>0</v>
      </c>
      <c r="AH68" s="51">
        <f t="shared" si="6"/>
        <v>-9200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24025</v>
      </c>
      <c r="D69" s="101">
        <v>15175</v>
      </c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7">
        <f t="shared" si="0"/>
        <v>0</v>
      </c>
      <c r="R69" s="101">
        <f>125+1000+1000</f>
        <v>2125</v>
      </c>
      <c r="S69" s="6">
        <f t="shared" si="1"/>
        <v>37075</v>
      </c>
      <c r="T69" s="6">
        <v>-16950</v>
      </c>
      <c r="U69" s="6">
        <f t="shared" si="2"/>
        <v>20125</v>
      </c>
      <c r="V69" s="52"/>
      <c r="W69" s="57"/>
      <c r="X69" s="46"/>
      <c r="Y69" s="61"/>
      <c r="Z69" s="66">
        <f t="shared" si="3"/>
        <v>-37075</v>
      </c>
      <c r="AA69" s="61"/>
      <c r="AB69" s="64"/>
      <c r="AC69" s="61"/>
      <c r="AD69" s="66"/>
      <c r="AE69" s="61"/>
      <c r="AF69" s="52">
        <f t="shared" si="4"/>
        <v>-37075</v>
      </c>
      <c r="AG69" s="46">
        <f t="shared" si="5"/>
        <v>-16950</v>
      </c>
      <c r="AH69" s="51">
        <f t="shared" si="6"/>
        <v>-54025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11350</v>
      </c>
      <c r="D70" s="101">
        <v>9750</v>
      </c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7">
        <f t="shared" si="0"/>
        <v>0</v>
      </c>
      <c r="R70" s="101">
        <f>6000+1500</f>
        <v>7500</v>
      </c>
      <c r="S70" s="6">
        <f t="shared" si="1"/>
        <v>13600</v>
      </c>
      <c r="T70" s="6">
        <v>-9425</v>
      </c>
      <c r="U70" s="6">
        <f t="shared" si="2"/>
        <v>4175</v>
      </c>
      <c r="V70" s="52"/>
      <c r="W70" s="57"/>
      <c r="X70" s="46"/>
      <c r="Y70" s="61"/>
      <c r="Z70" s="66">
        <f t="shared" si="3"/>
        <v>-13600</v>
      </c>
      <c r="AA70" s="61"/>
      <c r="AB70" s="67"/>
      <c r="AC70" s="61"/>
      <c r="AD70" s="66"/>
      <c r="AE70" s="61"/>
      <c r="AF70" s="52">
        <f t="shared" si="4"/>
        <v>-13600</v>
      </c>
      <c r="AG70" s="46">
        <f t="shared" si="5"/>
        <v>-9425</v>
      </c>
      <c r="AH70" s="51">
        <f t="shared" si="6"/>
        <v>-23025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42750</v>
      </c>
      <c r="D71" s="101">
        <v>9950</v>
      </c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7">
        <f t="shared" si="0"/>
        <v>0</v>
      </c>
      <c r="R71" s="101">
        <f>125+1000+2000+3000</f>
        <v>6125</v>
      </c>
      <c r="S71" s="6">
        <f t="shared" si="1"/>
        <v>46575</v>
      </c>
      <c r="T71" s="6">
        <v>-27500</v>
      </c>
      <c r="U71" s="6">
        <f t="shared" si="2"/>
        <v>19075</v>
      </c>
      <c r="V71" s="52"/>
      <c r="W71" s="57"/>
      <c r="X71" s="46"/>
      <c r="Y71" s="61"/>
      <c r="Z71" s="66">
        <f t="shared" si="3"/>
        <v>-46575</v>
      </c>
      <c r="AA71" s="61"/>
      <c r="AB71" s="64"/>
      <c r="AC71" s="61"/>
      <c r="AD71" s="66"/>
      <c r="AE71" s="61"/>
      <c r="AF71" s="52">
        <f t="shared" si="4"/>
        <v>-46575</v>
      </c>
      <c r="AG71" s="46">
        <f t="shared" si="5"/>
        <v>-27500</v>
      </c>
      <c r="AH71" s="51">
        <f t="shared" si="6"/>
        <v>-74075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01">
        <f>SUM(C7:C72)</f>
        <v>418855</v>
      </c>
      <c r="D73" s="101">
        <f t="shared" ref="D73:V73" si="11">SUM(D7:D72)</f>
        <v>83725</v>
      </c>
      <c r="E73" s="101">
        <f t="shared" si="11"/>
        <v>0</v>
      </c>
      <c r="F73" s="101">
        <f t="shared" si="11"/>
        <v>0</v>
      </c>
      <c r="G73" s="101">
        <f t="shared" si="11"/>
        <v>5740</v>
      </c>
      <c r="H73" s="27">
        <f t="shared" si="11"/>
        <v>0</v>
      </c>
      <c r="I73" s="101">
        <f t="shared" si="11"/>
        <v>0</v>
      </c>
      <c r="J73" s="101">
        <f t="shared" si="11"/>
        <v>0</v>
      </c>
      <c r="K73" s="101">
        <f t="shared" si="11"/>
        <v>0</v>
      </c>
      <c r="L73" s="101">
        <f t="shared" si="11"/>
        <v>0</v>
      </c>
      <c r="M73" s="101">
        <f t="shared" si="11"/>
        <v>0</v>
      </c>
      <c r="N73" s="101">
        <f t="shared" si="11"/>
        <v>3000</v>
      </c>
      <c r="O73" s="101">
        <f t="shared" si="11"/>
        <v>0</v>
      </c>
      <c r="P73" s="101">
        <f t="shared" si="11"/>
        <v>0</v>
      </c>
      <c r="Q73" s="101">
        <f t="shared" si="11"/>
        <v>8740</v>
      </c>
      <c r="R73" s="101">
        <f t="shared" si="11"/>
        <v>66040</v>
      </c>
      <c r="S73" s="101">
        <f t="shared" si="11"/>
        <v>436540</v>
      </c>
      <c r="T73" s="101">
        <f t="shared" si="11"/>
        <v>-276370</v>
      </c>
      <c r="U73" s="101">
        <f t="shared" si="11"/>
        <v>160170</v>
      </c>
      <c r="V73" s="101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-436540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-436540</v>
      </c>
      <c r="AG73" s="43">
        <f t="shared" si="12"/>
        <v>-276370</v>
      </c>
      <c r="AH73" s="43">
        <f t="shared" si="12"/>
        <v>-712910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8740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</f>
        <v>21540</v>
      </c>
      <c r="S74" s="179"/>
      <c r="T74" s="180">
        <f>R74+R75</f>
        <v>304015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83725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</f>
        <v>282475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66040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</f>
        <v>227740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</f>
        <v>7500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65">
        <f>Q77+O77+M77+J77+F77</f>
        <v>7500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39100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53365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220240</v>
      </c>
      <c r="S80" s="165"/>
      <c r="T80" s="22"/>
      <c r="U80" s="22"/>
      <c r="V80" s="2"/>
      <c r="X80" s="63">
        <f>SUM(X77:X79)</f>
        <v>92465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03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/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/>
      <c r="R90" s="36"/>
      <c r="S90" s="36">
        <v>4</v>
      </c>
      <c r="T90" s="36"/>
      <c r="U90" s="36">
        <v>4</v>
      </c>
      <c r="V90" s="36"/>
      <c r="W90" s="36"/>
      <c r="X90" s="36">
        <f t="shared" si="13"/>
        <v>0</v>
      </c>
      <c r="Z90" s="36"/>
      <c r="AA90" s="36"/>
    </row>
    <row r="91" spans="1:31">
      <c r="B91" s="36"/>
      <c r="C91" s="36"/>
      <c r="Q91" s="63"/>
      <c r="R91" s="36"/>
      <c r="S91" s="36">
        <v>5</v>
      </c>
      <c r="T91" s="36"/>
      <c r="U91" s="36">
        <v>5</v>
      </c>
      <c r="V91" s="83"/>
      <c r="W91" s="83"/>
      <c r="X91" s="36">
        <f t="shared" si="13"/>
        <v>0</v>
      </c>
      <c r="Z91" s="36"/>
      <c r="AA91" s="36"/>
    </row>
    <row r="92" spans="1:31">
      <c r="B92" s="36"/>
      <c r="C92" s="36"/>
      <c r="Q92" s="63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2140</v>
      </c>
      <c r="R118" s="63">
        <f t="shared" si="14"/>
        <v>36500</v>
      </c>
      <c r="S118" s="63"/>
      <c r="T118" s="63">
        <f>SUM(T87:T117)</f>
        <v>227740</v>
      </c>
      <c r="U118" s="63"/>
      <c r="V118" s="63">
        <f>SUM(V87:V117)</f>
        <v>21540</v>
      </c>
      <c r="W118" s="63">
        <f>SUM(W87:W117)</f>
        <v>282475</v>
      </c>
      <c r="X118" s="36">
        <f>SUM(V118:W118)</f>
        <v>304015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S73" sqref="S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155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151</v>
      </c>
      <c r="P6" s="91" t="s">
        <v>150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14400</v>
      </c>
      <c r="D7" s="6">
        <v>2200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1000+500</f>
        <v>1500</v>
      </c>
      <c r="S7" s="6">
        <f>C7+D7-R7</f>
        <v>15100</v>
      </c>
      <c r="T7" s="34">
        <v>-9150</v>
      </c>
      <c r="U7" s="6">
        <f>S7+T7</f>
        <v>5950</v>
      </c>
      <c r="V7" s="52"/>
      <c r="W7" s="57"/>
      <c r="X7" s="46"/>
      <c r="Y7" s="65"/>
      <c r="Z7" s="66">
        <f>W7-S7</f>
        <v>-15100</v>
      </c>
      <c r="AA7" s="65"/>
      <c r="AB7" s="67"/>
      <c r="AC7" s="65"/>
      <c r="AD7" s="47"/>
      <c r="AE7" s="61"/>
      <c r="AF7" s="52">
        <f>SUM(Y7:AE7)</f>
        <v>-15100</v>
      </c>
      <c r="AG7" s="46">
        <f>U7+AF7</f>
        <v>-9150</v>
      </c>
      <c r="AH7" s="51">
        <f>AG7-S7</f>
        <v>-24250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39550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3000+500</f>
        <v>3500</v>
      </c>
      <c r="S8" s="6">
        <f t="shared" ref="S8:S71" si="1">C8+D8-R8</f>
        <v>36050</v>
      </c>
      <c r="T8" s="6">
        <v>-24350</v>
      </c>
      <c r="U8" s="6">
        <f t="shared" ref="U8:U71" si="2">S8+T8</f>
        <v>11700</v>
      </c>
      <c r="V8" s="52"/>
      <c r="W8" s="57"/>
      <c r="X8" s="46"/>
      <c r="Y8" s="61"/>
      <c r="Z8" s="66">
        <f t="shared" ref="Z8:Z71" si="3">W8-S8</f>
        <v>-36050</v>
      </c>
      <c r="AA8" s="61"/>
      <c r="AB8" s="67"/>
      <c r="AC8" s="61"/>
      <c r="AD8" s="66"/>
      <c r="AE8" s="61"/>
      <c r="AF8" s="52">
        <f t="shared" ref="AF8:AF71" si="4">SUM(Y8:AE8)</f>
        <v>-36050</v>
      </c>
      <c r="AG8" s="46">
        <f t="shared" ref="AG8:AG71" si="5">U8+AF8</f>
        <v>-24350</v>
      </c>
      <c r="AH8" s="51">
        <f t="shared" ref="AH8:AH71" si="6">AG8-S8</f>
        <v>-60400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8075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8075</v>
      </c>
      <c r="T10" s="6">
        <v>-5175</v>
      </c>
      <c r="U10" s="6">
        <f t="shared" si="2"/>
        <v>2900</v>
      </c>
      <c r="V10" s="52"/>
      <c r="W10" s="57"/>
      <c r="X10" s="46"/>
      <c r="Y10" s="61"/>
      <c r="Z10" s="66">
        <f t="shared" si="3"/>
        <v>-8075</v>
      </c>
      <c r="AA10" s="61"/>
      <c r="AB10" s="67"/>
      <c r="AC10" s="61"/>
      <c r="AD10" s="66"/>
      <c r="AE10" s="61"/>
      <c r="AF10" s="52">
        <f t="shared" si="4"/>
        <v>-8075</v>
      </c>
      <c r="AG10" s="46">
        <f t="shared" si="5"/>
        <v>-5175</v>
      </c>
      <c r="AH10" s="51">
        <f t="shared" si="6"/>
        <v>-13250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3800</v>
      </c>
      <c r="D11" s="6">
        <v>6000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9800</v>
      </c>
      <c r="T11" s="6">
        <v>-3750</v>
      </c>
      <c r="U11" s="6">
        <f t="shared" si="2"/>
        <v>6050</v>
      </c>
      <c r="V11" s="52"/>
      <c r="W11" s="57"/>
      <c r="X11" s="46"/>
      <c r="Y11" s="61"/>
      <c r="Z11" s="66">
        <f t="shared" si="3"/>
        <v>-9800</v>
      </c>
      <c r="AA11" s="61"/>
      <c r="AB11" s="67"/>
      <c r="AC11" s="61"/>
      <c r="AD11" s="66"/>
      <c r="AE11" s="61"/>
      <c r="AF11" s="52">
        <f t="shared" si="4"/>
        <v>-9800</v>
      </c>
      <c r="AG11" s="46">
        <f t="shared" si="5"/>
        <v>-3750</v>
      </c>
      <c r="AH11" s="51">
        <f t="shared" si="6"/>
        <v>-13550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-4550</v>
      </c>
      <c r="D12" s="6">
        <v>4850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300</v>
      </c>
      <c r="T12" s="6">
        <v>4700</v>
      </c>
      <c r="U12" s="6">
        <f t="shared" si="2"/>
        <v>5000</v>
      </c>
      <c r="V12" s="52"/>
      <c r="W12" s="57"/>
      <c r="X12" s="46"/>
      <c r="Y12" s="61"/>
      <c r="Z12" s="66">
        <f t="shared" si="3"/>
        <v>-300</v>
      </c>
      <c r="AA12" s="61"/>
      <c r="AB12" s="67"/>
      <c r="AC12" s="61"/>
      <c r="AD12" s="66"/>
      <c r="AE12" s="61"/>
      <c r="AF12" s="52">
        <f t="shared" si="4"/>
        <v>-300</v>
      </c>
      <c r="AG12" s="46">
        <f t="shared" si="5"/>
        <v>4700</v>
      </c>
      <c r="AH12" s="51">
        <f t="shared" si="6"/>
        <v>4400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14860</v>
      </c>
      <c r="D14" s="6">
        <f>5000+9950</f>
        <v>14950</v>
      </c>
      <c r="E14" s="6"/>
      <c r="F14" s="6"/>
      <c r="G14" s="6">
        <v>6050</v>
      </c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6050</v>
      </c>
      <c r="R14" s="6">
        <f>3000+500+2000</f>
        <v>5500</v>
      </c>
      <c r="S14" s="6">
        <f t="shared" si="1"/>
        <v>24310</v>
      </c>
      <c r="T14" s="6">
        <v>-5760</v>
      </c>
      <c r="U14" s="6">
        <f t="shared" si="2"/>
        <v>18550</v>
      </c>
      <c r="V14" s="52"/>
      <c r="W14" s="57"/>
      <c r="X14" s="46"/>
      <c r="Y14" s="61"/>
      <c r="Z14" s="66">
        <f t="shared" si="3"/>
        <v>-24310</v>
      </c>
      <c r="AA14" s="61"/>
      <c r="AB14" s="66"/>
      <c r="AC14" s="61"/>
      <c r="AD14" s="66"/>
      <c r="AE14" s="61"/>
      <c r="AF14" s="52">
        <f t="shared" si="4"/>
        <v>-24310</v>
      </c>
      <c r="AG14" s="46">
        <f t="shared" si="5"/>
        <v>-5760</v>
      </c>
      <c r="AH14" s="51">
        <f t="shared" si="6"/>
        <v>-30070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12550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12550</v>
      </c>
      <c r="T16" s="34">
        <v>-10050</v>
      </c>
      <c r="U16" s="6">
        <f t="shared" si="2"/>
        <v>2500</v>
      </c>
      <c r="V16" s="52"/>
      <c r="W16" s="57"/>
      <c r="X16" s="46"/>
      <c r="Y16" s="61"/>
      <c r="Z16" s="66">
        <f t="shared" si="3"/>
        <v>-12550</v>
      </c>
      <c r="AA16" s="61"/>
      <c r="AB16" s="67"/>
      <c r="AC16" s="61"/>
      <c r="AD16" s="47"/>
      <c r="AE16" s="61"/>
      <c r="AF16" s="52">
        <f t="shared" si="4"/>
        <v>-12550</v>
      </c>
      <c r="AG16" s="46">
        <f t="shared" si="5"/>
        <v>-10050</v>
      </c>
      <c r="AH16" s="51">
        <f t="shared" si="6"/>
        <v>-22600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20050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500</v>
      </c>
      <c r="S17" s="6">
        <f t="shared" si="1"/>
        <v>19550</v>
      </c>
      <c r="T17" s="6">
        <v>-5000</v>
      </c>
      <c r="U17" s="6">
        <f t="shared" si="2"/>
        <v>14550</v>
      </c>
      <c r="V17" s="52"/>
      <c r="W17" s="57"/>
      <c r="X17" s="46"/>
      <c r="Y17" s="61"/>
      <c r="Z17" s="66">
        <f t="shared" si="3"/>
        <v>-19550</v>
      </c>
      <c r="AA17" s="61"/>
      <c r="AB17" s="66"/>
      <c r="AC17" s="61"/>
      <c r="AD17" s="66"/>
      <c r="AE17" s="61"/>
      <c r="AF17" s="52">
        <f t="shared" si="4"/>
        <v>-19550</v>
      </c>
      <c r="AG17" s="46">
        <f t="shared" si="5"/>
        <v>-5000</v>
      </c>
      <c r="AH17" s="51">
        <f t="shared" si="6"/>
        <v>-24550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7">
        <f t="shared" si="0"/>
        <v>0</v>
      </c>
      <c r="R22" s="105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7">
        <f t="shared" si="0"/>
        <v>0</v>
      </c>
      <c r="R24" s="105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7">
        <f t="shared" si="0"/>
        <v>0</v>
      </c>
      <c r="R25" s="105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7">
        <f t="shared" si="0"/>
        <v>0</v>
      </c>
      <c r="R26" s="105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7">
        <f t="shared" si="0"/>
        <v>0</v>
      </c>
      <c r="R27" s="105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2960</v>
      </c>
      <c r="D28" s="6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7">
        <f t="shared" si="0"/>
        <v>0</v>
      </c>
      <c r="R28" s="105"/>
      <c r="S28" s="6">
        <f t="shared" si="1"/>
        <v>2960</v>
      </c>
      <c r="T28" s="6">
        <f>-40-100</f>
        <v>-140</v>
      </c>
      <c r="U28" s="6">
        <f t="shared" si="2"/>
        <v>2820</v>
      </c>
      <c r="V28" s="52"/>
      <c r="W28" s="57"/>
      <c r="X28" s="46"/>
      <c r="Y28" s="61"/>
      <c r="Z28" s="66">
        <f t="shared" si="3"/>
        <v>-2960</v>
      </c>
      <c r="AA28" s="61"/>
      <c r="AB28" s="67"/>
      <c r="AC28" s="61"/>
      <c r="AD28" s="66"/>
      <c r="AE28" s="61"/>
      <c r="AF28" s="52">
        <f t="shared" si="4"/>
        <v>-2960</v>
      </c>
      <c r="AG28" s="46">
        <f t="shared" si="5"/>
        <v>-140</v>
      </c>
      <c r="AH28" s="51">
        <f t="shared" si="6"/>
        <v>-3100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1820</v>
      </c>
      <c r="D29" s="6"/>
      <c r="E29" s="105"/>
      <c r="F29" s="105"/>
      <c r="G29" s="105">
        <v>5000</v>
      </c>
      <c r="H29" s="105"/>
      <c r="I29" s="105"/>
      <c r="J29" s="105"/>
      <c r="K29" s="105"/>
      <c r="L29" s="105"/>
      <c r="M29" s="105"/>
      <c r="N29" s="105"/>
      <c r="O29" s="105"/>
      <c r="P29" s="105"/>
      <c r="Q29" s="7">
        <f t="shared" si="0"/>
        <v>5000</v>
      </c>
      <c r="R29" s="105"/>
      <c r="S29" s="6">
        <f t="shared" si="1"/>
        <v>1820</v>
      </c>
      <c r="T29" s="6">
        <f>860+100</f>
        <v>960</v>
      </c>
      <c r="U29" s="6">
        <f t="shared" si="2"/>
        <v>2780</v>
      </c>
      <c r="V29" s="52"/>
      <c r="W29" s="57"/>
      <c r="X29" s="46"/>
      <c r="Y29" s="61"/>
      <c r="Z29" s="66">
        <f t="shared" si="3"/>
        <v>-1820</v>
      </c>
      <c r="AA29" s="61"/>
      <c r="AB29" s="67"/>
      <c r="AC29" s="61"/>
      <c r="AD29" s="66"/>
      <c r="AE29" s="61"/>
      <c r="AF29" s="52">
        <f t="shared" si="4"/>
        <v>-1820</v>
      </c>
      <c r="AG29" s="46">
        <f t="shared" si="5"/>
        <v>960</v>
      </c>
      <c r="AH29" s="51">
        <f t="shared" si="6"/>
        <v>-860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7">
        <f t="shared" si="0"/>
        <v>0</v>
      </c>
      <c r="R30" s="105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18340</v>
      </c>
      <c r="D31" s="6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7">
        <f t="shared" si="0"/>
        <v>0</v>
      </c>
      <c r="R31" s="105"/>
      <c r="S31" s="6">
        <f t="shared" si="1"/>
        <v>18340</v>
      </c>
      <c r="T31" s="6">
        <v>-17140</v>
      </c>
      <c r="U31" s="6">
        <f t="shared" si="2"/>
        <v>1200</v>
      </c>
      <c r="V31" s="52"/>
      <c r="W31" s="57"/>
      <c r="X31" s="46"/>
      <c r="Y31" s="61"/>
      <c r="Z31" s="66">
        <f t="shared" si="3"/>
        <v>-18340</v>
      </c>
      <c r="AA31" s="61"/>
      <c r="AB31" s="64"/>
      <c r="AC31" s="61"/>
      <c r="AD31" s="66"/>
      <c r="AE31" s="61"/>
      <c r="AF31" s="52">
        <f t="shared" si="4"/>
        <v>-18340</v>
      </c>
      <c r="AG31" s="46">
        <f t="shared" si="5"/>
        <v>-17140</v>
      </c>
      <c r="AH31" s="51">
        <f t="shared" si="6"/>
        <v>-35480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30720</v>
      </c>
      <c r="D32" s="6">
        <v>7300</v>
      </c>
      <c r="E32" s="105"/>
      <c r="F32" s="105"/>
      <c r="G32" s="105">
        <v>3540</v>
      </c>
      <c r="H32" s="105"/>
      <c r="I32" s="105"/>
      <c r="J32" s="105"/>
      <c r="K32" s="105"/>
      <c r="L32" s="105"/>
      <c r="M32" s="105"/>
      <c r="N32" s="105"/>
      <c r="O32" s="6"/>
      <c r="P32" s="6"/>
      <c r="Q32" s="7">
        <f>SUM(E32:P32)</f>
        <v>3540</v>
      </c>
      <c r="R32" s="105">
        <v>4800</v>
      </c>
      <c r="S32" s="6">
        <f t="shared" si="1"/>
        <v>33220</v>
      </c>
      <c r="T32" s="6">
        <v>-18280</v>
      </c>
      <c r="U32" s="6">
        <f t="shared" si="2"/>
        <v>14940</v>
      </c>
      <c r="V32" s="52"/>
      <c r="W32" s="57"/>
      <c r="X32" s="46"/>
      <c r="Y32" s="61"/>
      <c r="Z32" s="66">
        <f t="shared" si="3"/>
        <v>-33220</v>
      </c>
      <c r="AA32" s="61"/>
      <c r="AB32" s="67"/>
      <c r="AC32" s="61"/>
      <c r="AD32" s="66"/>
      <c r="AE32" s="61"/>
      <c r="AF32" s="52">
        <f t="shared" si="4"/>
        <v>-33220</v>
      </c>
      <c r="AG32" s="46">
        <f t="shared" si="5"/>
        <v>-18280</v>
      </c>
      <c r="AH32" s="51">
        <f t="shared" si="6"/>
        <v>-51500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7">
        <f t="shared" si="0"/>
        <v>0</v>
      </c>
      <c r="R33" s="105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05"/>
      <c r="F34" s="105"/>
      <c r="G34" s="105"/>
      <c r="H34" s="105"/>
      <c r="I34" s="105"/>
      <c r="J34" s="105"/>
      <c r="K34" s="6"/>
      <c r="L34" s="105"/>
      <c r="M34" s="105"/>
      <c r="N34" s="105"/>
      <c r="O34" s="105"/>
      <c r="P34" s="105"/>
      <c r="Q34" s="7">
        <f t="shared" si="0"/>
        <v>0</v>
      </c>
      <c r="R34" s="105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05"/>
      <c r="F35" s="105"/>
      <c r="G35" s="105"/>
      <c r="H35" s="105"/>
      <c r="I35" s="105"/>
      <c r="J35" s="105"/>
      <c r="K35" s="6"/>
      <c r="L35" s="105"/>
      <c r="M35" s="105"/>
      <c r="N35" s="105"/>
      <c r="O35" s="105"/>
      <c r="P35" s="105"/>
      <c r="Q35" s="7">
        <f t="shared" si="0"/>
        <v>0</v>
      </c>
      <c r="R35" s="105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7">
        <f t="shared" si="0"/>
        <v>0</v>
      </c>
      <c r="R36" s="105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7">
        <f t="shared" si="0"/>
        <v>0</v>
      </c>
      <c r="R37" s="105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7900</v>
      </c>
      <c r="D38" s="6">
        <v>12000</v>
      </c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7">
        <f>SUM(E38:P38)</f>
        <v>0</v>
      </c>
      <c r="R38" s="105">
        <v>9880</v>
      </c>
      <c r="S38" s="6">
        <f t="shared" si="1"/>
        <v>10020</v>
      </c>
      <c r="T38" s="6">
        <v>-980</v>
      </c>
      <c r="U38" s="6">
        <f t="shared" si="2"/>
        <v>9040</v>
      </c>
      <c r="V38" s="52"/>
      <c r="W38" s="57"/>
      <c r="X38" s="46"/>
      <c r="Y38" s="61"/>
      <c r="Z38" s="66">
        <f t="shared" si="3"/>
        <v>-10020</v>
      </c>
      <c r="AA38" s="61"/>
      <c r="AB38" s="64"/>
      <c r="AC38" s="61"/>
      <c r="AD38" s="66"/>
      <c r="AE38" s="61"/>
      <c r="AF38" s="52">
        <f t="shared" si="4"/>
        <v>-10020</v>
      </c>
      <c r="AG38" s="46">
        <f t="shared" si="5"/>
        <v>-980</v>
      </c>
      <c r="AH38" s="51">
        <f t="shared" si="6"/>
        <v>-11000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7">
        <f>SUM(E39:P39)</f>
        <v>0</v>
      </c>
      <c r="R39" s="105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05"/>
      <c r="F40" s="105"/>
      <c r="G40" s="105">
        <v>200</v>
      </c>
      <c r="H40" s="27"/>
      <c r="I40" s="105"/>
      <c r="J40" s="105"/>
      <c r="K40" s="105"/>
      <c r="L40" s="105"/>
      <c r="M40" s="105"/>
      <c r="N40" s="105"/>
      <c r="O40" s="105"/>
      <c r="P40" s="105"/>
      <c r="Q40" s="7">
        <f>SUM(E40:P40)</f>
        <v>200</v>
      </c>
      <c r="R40" s="105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7">
        <f>SUM(E41:P41)</f>
        <v>0</v>
      </c>
      <c r="R41" s="105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7">
        <f>SUM(E42:P42)</f>
        <v>0</v>
      </c>
      <c r="R42" s="105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7">
        <f t="shared" si="0"/>
        <v>0</v>
      </c>
      <c r="R44" s="105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7">
        <f t="shared" si="0"/>
        <v>0</v>
      </c>
      <c r="R45" s="105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7">
        <f t="shared" si="0"/>
        <v>0</v>
      </c>
      <c r="R46" s="105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7">
        <f t="shared" si="0"/>
        <v>0</v>
      </c>
      <c r="R47" s="105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7">
        <f t="shared" si="0"/>
        <v>0</v>
      </c>
      <c r="R48" s="105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7">
        <f t="shared" si="0"/>
        <v>0</v>
      </c>
      <c r="R49" s="105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4550</v>
      </c>
      <c r="D50" s="6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7">
        <f t="shared" si="0"/>
        <v>0</v>
      </c>
      <c r="R50" s="105"/>
      <c r="S50" s="6">
        <f t="shared" si="1"/>
        <v>4550</v>
      </c>
      <c r="T50" s="6">
        <f>-12000+8615</f>
        <v>-3385</v>
      </c>
      <c r="U50" s="6">
        <f t="shared" si="2"/>
        <v>1165</v>
      </c>
      <c r="V50" s="52"/>
      <c r="W50" s="57"/>
      <c r="X50" s="46"/>
      <c r="Y50" s="61"/>
      <c r="Z50" s="66">
        <f t="shared" si="3"/>
        <v>-4550</v>
      </c>
      <c r="AA50" s="61"/>
      <c r="AB50" s="64"/>
      <c r="AC50" s="61"/>
      <c r="AD50" s="66"/>
      <c r="AE50" s="61"/>
      <c r="AF50" s="52">
        <f t="shared" si="4"/>
        <v>-4550</v>
      </c>
      <c r="AG50" s="46">
        <f t="shared" si="5"/>
        <v>-3385</v>
      </c>
      <c r="AH50" s="51">
        <f t="shared" si="6"/>
        <v>-7935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7">
        <f t="shared" si="0"/>
        <v>0</v>
      </c>
      <c r="R51" s="105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2690</v>
      </c>
      <c r="D52" s="6">
        <v>3720</v>
      </c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7">
        <f t="shared" si="0"/>
        <v>0</v>
      </c>
      <c r="R52" s="105">
        <v>2000</v>
      </c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13025</v>
      </c>
      <c r="D53" s="6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7">
        <f t="shared" si="0"/>
        <v>0</v>
      </c>
      <c r="R53" s="105">
        <v>900</v>
      </c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6700</v>
      </c>
      <c r="D54" s="6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7">
        <f t="shared" si="0"/>
        <v>0</v>
      </c>
      <c r="R54" s="105">
        <v>2300</v>
      </c>
      <c r="S54" s="6">
        <f t="shared" si="1"/>
        <v>4400</v>
      </c>
      <c r="T54" s="6">
        <v>-2850</v>
      </c>
      <c r="U54" s="6">
        <f t="shared" si="2"/>
        <v>1550</v>
      </c>
      <c r="V54" s="52"/>
      <c r="W54" s="57"/>
      <c r="X54" s="46"/>
      <c r="Y54" s="61"/>
      <c r="Z54" s="66">
        <f t="shared" si="3"/>
        <v>-4400</v>
      </c>
      <c r="AA54" s="61"/>
      <c r="AB54" s="67"/>
      <c r="AC54" s="61"/>
      <c r="AD54" s="66"/>
      <c r="AE54" s="61"/>
      <c r="AF54" s="52">
        <f t="shared" si="4"/>
        <v>-4400</v>
      </c>
      <c r="AG54" s="46">
        <f t="shared" si="5"/>
        <v>-2850</v>
      </c>
      <c r="AH54" s="51">
        <f t="shared" si="6"/>
        <v>-7250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7">
        <f t="shared" si="0"/>
        <v>0</v>
      </c>
      <c r="R55" s="105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7">
        <f>SUM(E56:P56)</f>
        <v>0</v>
      </c>
      <c r="R56" s="105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7">
        <f t="shared" si="0"/>
        <v>0</v>
      </c>
      <c r="R61" s="105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7">
        <f t="shared" si="0"/>
        <v>0</v>
      </c>
      <c r="R62" s="104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7">
        <f t="shared" si="0"/>
        <v>0</v>
      </c>
      <c r="R63" s="104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7">
        <f t="shared" si="0"/>
        <v>0</v>
      </c>
      <c r="R64" s="104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7">
        <f t="shared" si="0"/>
        <v>0</v>
      </c>
      <c r="R65" s="104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06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2275</v>
      </c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7">
        <f t="shared" si="0"/>
        <v>0</v>
      </c>
      <c r="R67" s="105">
        <f>500+100</f>
        <v>600</v>
      </c>
      <c r="S67" s="6">
        <f t="shared" si="1"/>
        <v>1675</v>
      </c>
      <c r="T67" s="6">
        <v>-1525</v>
      </c>
      <c r="U67" s="6">
        <f t="shared" si="2"/>
        <v>150</v>
      </c>
      <c r="V67" s="52"/>
      <c r="W67" s="57"/>
      <c r="X67" s="46"/>
      <c r="Y67" s="61"/>
      <c r="Z67" s="66">
        <f t="shared" si="3"/>
        <v>-1675</v>
      </c>
      <c r="AA67" s="61"/>
      <c r="AB67" s="67"/>
      <c r="AC67" s="61"/>
      <c r="AD67" s="66"/>
      <c r="AE67" s="61"/>
      <c r="AF67" s="52">
        <f t="shared" si="4"/>
        <v>-1675</v>
      </c>
      <c r="AG67" s="46">
        <f t="shared" si="5"/>
        <v>-1525</v>
      </c>
      <c r="AH67" s="51">
        <f t="shared" si="6"/>
        <v>-3200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9200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7">
        <f t="shared" si="0"/>
        <v>0</v>
      </c>
      <c r="R68" s="105"/>
      <c r="S68" s="6">
        <f t="shared" si="1"/>
        <v>9200</v>
      </c>
      <c r="T68" s="6">
        <v>0</v>
      </c>
      <c r="U68" s="6">
        <f t="shared" si="2"/>
        <v>9200</v>
      </c>
      <c r="V68" s="52"/>
      <c r="W68" s="57"/>
      <c r="X68" s="46"/>
      <c r="Y68" s="61"/>
      <c r="Z68" s="66">
        <f t="shared" si="3"/>
        <v>-9200</v>
      </c>
      <c r="AA68" s="61"/>
      <c r="AB68" s="67"/>
      <c r="AC68" s="61"/>
      <c r="AD68" s="66"/>
      <c r="AE68" s="61"/>
      <c r="AF68" s="52">
        <f t="shared" si="4"/>
        <v>-9200</v>
      </c>
      <c r="AG68" s="46">
        <f t="shared" si="5"/>
        <v>0</v>
      </c>
      <c r="AH68" s="51">
        <f t="shared" si="6"/>
        <v>-9200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37075</v>
      </c>
      <c r="D69" s="105">
        <v>4800</v>
      </c>
      <c r="E69" s="105"/>
      <c r="F69" s="105"/>
      <c r="G69" s="105">
        <v>6000</v>
      </c>
      <c r="H69" s="105"/>
      <c r="I69" s="105"/>
      <c r="J69" s="105"/>
      <c r="K69" s="105"/>
      <c r="L69" s="105"/>
      <c r="M69" s="105"/>
      <c r="N69" s="105"/>
      <c r="O69" s="105"/>
      <c r="P69" s="105"/>
      <c r="Q69" s="7">
        <f t="shared" si="0"/>
        <v>6000</v>
      </c>
      <c r="R69" s="105">
        <f>1000+300+5000</f>
        <v>6300</v>
      </c>
      <c r="S69" s="6">
        <f t="shared" si="1"/>
        <v>35575</v>
      </c>
      <c r="T69" s="6">
        <v>-16950</v>
      </c>
      <c r="U69" s="6">
        <f t="shared" si="2"/>
        <v>18625</v>
      </c>
      <c r="V69" s="52"/>
      <c r="W69" s="57"/>
      <c r="X69" s="46"/>
      <c r="Y69" s="61"/>
      <c r="Z69" s="66">
        <f t="shared" si="3"/>
        <v>-35575</v>
      </c>
      <c r="AA69" s="61"/>
      <c r="AB69" s="64"/>
      <c r="AC69" s="61"/>
      <c r="AD69" s="66"/>
      <c r="AE69" s="61"/>
      <c r="AF69" s="52">
        <f t="shared" si="4"/>
        <v>-35575</v>
      </c>
      <c r="AG69" s="46">
        <f t="shared" si="5"/>
        <v>-16950</v>
      </c>
      <c r="AH69" s="51">
        <f t="shared" si="6"/>
        <v>-52525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13600</v>
      </c>
      <c r="D70" s="105">
        <v>6000</v>
      </c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7">
        <f t="shared" si="0"/>
        <v>0</v>
      </c>
      <c r="R70" s="105">
        <f>3000+1500</f>
        <v>4500</v>
      </c>
      <c r="S70" s="6">
        <f t="shared" si="1"/>
        <v>15100</v>
      </c>
      <c r="T70" s="6">
        <v>-9425</v>
      </c>
      <c r="U70" s="6">
        <f t="shared" si="2"/>
        <v>5675</v>
      </c>
      <c r="V70" s="52"/>
      <c r="W70" s="57"/>
      <c r="X70" s="46"/>
      <c r="Y70" s="61"/>
      <c r="Z70" s="66">
        <f t="shared" si="3"/>
        <v>-15100</v>
      </c>
      <c r="AA70" s="61"/>
      <c r="AB70" s="67"/>
      <c r="AC70" s="61"/>
      <c r="AD70" s="66"/>
      <c r="AE70" s="61"/>
      <c r="AF70" s="52">
        <f t="shared" si="4"/>
        <v>-15100</v>
      </c>
      <c r="AG70" s="46">
        <f t="shared" si="5"/>
        <v>-9425</v>
      </c>
      <c r="AH70" s="51">
        <f t="shared" si="6"/>
        <v>-24525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46575</v>
      </c>
      <c r="D71" s="105">
        <v>10000</v>
      </c>
      <c r="E71" s="105"/>
      <c r="F71" s="105"/>
      <c r="G71" s="105">
        <f>15000+1525</f>
        <v>16525</v>
      </c>
      <c r="H71" s="105">
        <v>2000</v>
      </c>
      <c r="I71" s="105"/>
      <c r="J71" s="105"/>
      <c r="K71" s="105"/>
      <c r="L71" s="105"/>
      <c r="M71" s="105"/>
      <c r="N71" s="105"/>
      <c r="O71" s="105"/>
      <c r="P71" s="105"/>
      <c r="Q71" s="7">
        <f t="shared" si="0"/>
        <v>18525</v>
      </c>
      <c r="R71" s="105">
        <f>2000+1500+100+2000+10000</f>
        <v>15600</v>
      </c>
      <c r="S71" s="6">
        <f t="shared" si="1"/>
        <v>40975</v>
      </c>
      <c r="T71" s="6">
        <v>-27500</v>
      </c>
      <c r="U71" s="6">
        <f t="shared" si="2"/>
        <v>13475</v>
      </c>
      <c r="V71" s="52"/>
      <c r="W71" s="57"/>
      <c r="X71" s="46"/>
      <c r="Y71" s="61"/>
      <c r="Z71" s="66">
        <f t="shared" si="3"/>
        <v>-40975</v>
      </c>
      <c r="AA71" s="61"/>
      <c r="AB71" s="64"/>
      <c r="AC71" s="61"/>
      <c r="AD71" s="66"/>
      <c r="AE71" s="61"/>
      <c r="AF71" s="52">
        <f t="shared" si="4"/>
        <v>-40975</v>
      </c>
      <c r="AG71" s="46">
        <f t="shared" si="5"/>
        <v>-27500</v>
      </c>
      <c r="AH71" s="51">
        <f t="shared" si="6"/>
        <v>-68475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05">
        <f>SUM(C7:C72)</f>
        <v>436540</v>
      </c>
      <c r="D73" s="105">
        <f t="shared" ref="D73:V73" si="11">SUM(D7:D72)</f>
        <v>71820</v>
      </c>
      <c r="E73" s="105">
        <f t="shared" si="11"/>
        <v>0</v>
      </c>
      <c r="F73" s="105">
        <f t="shared" si="11"/>
        <v>0</v>
      </c>
      <c r="G73" s="105">
        <f t="shared" si="11"/>
        <v>37315</v>
      </c>
      <c r="H73" s="27">
        <f t="shared" si="11"/>
        <v>2000</v>
      </c>
      <c r="I73" s="105">
        <f t="shared" si="11"/>
        <v>0</v>
      </c>
      <c r="J73" s="105">
        <f t="shared" si="11"/>
        <v>0</v>
      </c>
      <c r="K73" s="105">
        <f t="shared" si="11"/>
        <v>0</v>
      </c>
      <c r="L73" s="105">
        <f t="shared" si="11"/>
        <v>0</v>
      </c>
      <c r="M73" s="105">
        <f t="shared" si="11"/>
        <v>0</v>
      </c>
      <c r="N73" s="105">
        <f t="shared" si="11"/>
        <v>0</v>
      </c>
      <c r="O73" s="105">
        <f t="shared" si="11"/>
        <v>0</v>
      </c>
      <c r="P73" s="105">
        <f t="shared" si="11"/>
        <v>0</v>
      </c>
      <c r="Q73" s="105">
        <f t="shared" si="11"/>
        <v>39315</v>
      </c>
      <c r="R73" s="105">
        <f t="shared" si="11"/>
        <v>57880</v>
      </c>
      <c r="S73" s="105">
        <f t="shared" si="11"/>
        <v>450480</v>
      </c>
      <c r="T73" s="105">
        <f t="shared" si="11"/>
        <v>-276370</v>
      </c>
      <c r="U73" s="105">
        <f t="shared" si="11"/>
        <v>174110</v>
      </c>
      <c r="V73" s="105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-450480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-450480</v>
      </c>
      <c r="AG73" s="43">
        <f t="shared" si="12"/>
        <v>-276370</v>
      </c>
      <c r="AH73" s="43">
        <f t="shared" si="12"/>
        <v>-726850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39315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</f>
        <v>60855</v>
      </c>
      <c r="S74" s="179"/>
      <c r="T74" s="180">
        <f>R74+R75</f>
        <v>415150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71820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</f>
        <v>354295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57880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</f>
        <v>227740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</f>
        <v>36500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f>2140+9880</f>
        <v>12020</v>
      </c>
      <c r="N77" s="40" t="s">
        <v>90</v>
      </c>
      <c r="O77" s="82">
        <v>0</v>
      </c>
      <c r="P77" s="40" t="s">
        <v>91</v>
      </c>
      <c r="Q77" s="40">
        <v>12000</v>
      </c>
      <c r="R77" s="165">
        <f>Q77+O77+M77+J77+F77</f>
        <v>60520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61670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49465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167220</v>
      </c>
      <c r="S80" s="165"/>
      <c r="T80" s="22"/>
      <c r="U80" s="22"/>
      <c r="V80" s="2"/>
      <c r="X80" s="63">
        <f>SUM(X77:X79)</f>
        <v>111135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07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/>
      <c r="S91" s="36">
        <v>5</v>
      </c>
      <c r="T91" s="36"/>
      <c r="U91" s="36">
        <v>5</v>
      </c>
      <c r="V91" s="83"/>
      <c r="W91" s="83"/>
      <c r="X91" s="36">
        <f t="shared" si="13"/>
        <v>0</v>
      </c>
      <c r="Z91" s="36"/>
      <c r="AA91" s="36"/>
    </row>
    <row r="92" spans="1:31">
      <c r="B92" s="36"/>
      <c r="C92" s="36"/>
      <c r="Q92" s="63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0</v>
      </c>
      <c r="Q118" s="63">
        <f t="shared" si="14"/>
        <v>12020</v>
      </c>
      <c r="R118" s="63">
        <f t="shared" si="14"/>
        <v>36500</v>
      </c>
      <c r="S118" s="63"/>
      <c r="T118" s="63">
        <f>SUM(T87:T117)</f>
        <v>285620</v>
      </c>
      <c r="U118" s="63"/>
      <c r="V118" s="63">
        <f>SUM(V87:V117)</f>
        <v>60855</v>
      </c>
      <c r="W118" s="63">
        <f>SUM(W87:W117)</f>
        <v>354295</v>
      </c>
      <c r="X118" s="36">
        <f>SUM(V118:W118)</f>
        <v>415150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74" activePane="bottomRight" state="frozen"/>
      <selection activeCell="O32" sqref="O32"/>
      <selection pane="topRight" activeCell="O32" sqref="O32"/>
      <selection pane="bottomLeft" activeCell="O32" sqref="O32"/>
      <selection pane="bottomRight" activeCell="R91" sqref="R91:W91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156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151</v>
      </c>
      <c r="P6" s="91" t="s">
        <v>157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15100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1000</v>
      </c>
      <c r="S7" s="6">
        <f>C7+D7-R7</f>
        <v>14100</v>
      </c>
      <c r="T7" s="34">
        <v>-9150</v>
      </c>
      <c r="U7" s="6">
        <f>S7+T7</f>
        <v>4950</v>
      </c>
      <c r="V7" s="52"/>
      <c r="W7" s="57"/>
      <c r="X7" s="46"/>
      <c r="Y7" s="65"/>
      <c r="Z7" s="66">
        <f>W7-S7</f>
        <v>-14100</v>
      </c>
      <c r="AA7" s="65"/>
      <c r="AB7" s="67"/>
      <c r="AC7" s="65"/>
      <c r="AD7" s="47"/>
      <c r="AE7" s="61"/>
      <c r="AF7" s="52">
        <f>SUM(Y7:AE7)</f>
        <v>-14100</v>
      </c>
      <c r="AG7" s="46">
        <f>U7+AF7</f>
        <v>-9150</v>
      </c>
      <c r="AH7" s="51">
        <f>AG7-S7</f>
        <v>-23250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36050</v>
      </c>
      <c r="D8" s="6">
        <v>10000</v>
      </c>
      <c r="E8" s="6"/>
      <c r="F8" s="6"/>
      <c r="G8" s="6">
        <v>12850</v>
      </c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12850</v>
      </c>
      <c r="R8" s="6">
        <v>500</v>
      </c>
      <c r="S8" s="6">
        <f t="shared" ref="S8:S71" si="1">C8+D8-R8</f>
        <v>45550</v>
      </c>
      <c r="T8" s="6">
        <v>-24350</v>
      </c>
      <c r="U8" s="6">
        <f t="shared" ref="U8:U71" si="2">S8+T8</f>
        <v>21200</v>
      </c>
      <c r="V8" s="52"/>
      <c r="W8" s="57"/>
      <c r="X8" s="46"/>
      <c r="Y8" s="61"/>
      <c r="Z8" s="66">
        <f t="shared" ref="Z8:Z71" si="3">W8-S8</f>
        <v>-45550</v>
      </c>
      <c r="AA8" s="61"/>
      <c r="AB8" s="67"/>
      <c r="AC8" s="61"/>
      <c r="AD8" s="66"/>
      <c r="AE8" s="61"/>
      <c r="AF8" s="52">
        <f t="shared" ref="AF8:AF71" si="4">SUM(Y8:AE8)</f>
        <v>-45550</v>
      </c>
      <c r="AG8" s="46">
        <f t="shared" ref="AG8:AG71" si="5">U8+AF8</f>
        <v>-24350</v>
      </c>
      <c r="AH8" s="51">
        <f t="shared" ref="AH8:AH71" si="6">AG8-S8</f>
        <v>-69900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8075</v>
      </c>
      <c r="D10" s="6"/>
      <c r="E10" s="6"/>
      <c r="F10" s="6"/>
      <c r="G10" s="6">
        <v>4875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4875</v>
      </c>
      <c r="R10" s="6">
        <v>125</v>
      </c>
      <c r="S10" s="6">
        <f t="shared" si="1"/>
        <v>7950</v>
      </c>
      <c r="T10" s="6">
        <v>-5175</v>
      </c>
      <c r="U10" s="6">
        <f t="shared" si="2"/>
        <v>2775</v>
      </c>
      <c r="V10" s="52"/>
      <c r="W10" s="57"/>
      <c r="X10" s="46"/>
      <c r="Y10" s="61"/>
      <c r="Z10" s="66">
        <f t="shared" si="3"/>
        <v>-7950</v>
      </c>
      <c r="AA10" s="61"/>
      <c r="AB10" s="67"/>
      <c r="AC10" s="61"/>
      <c r="AD10" s="66"/>
      <c r="AE10" s="61"/>
      <c r="AF10" s="52">
        <f t="shared" si="4"/>
        <v>-7950</v>
      </c>
      <c r="AG10" s="46">
        <f t="shared" si="5"/>
        <v>-5175</v>
      </c>
      <c r="AH10" s="51">
        <f t="shared" si="6"/>
        <v>-13125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9800</v>
      </c>
      <c r="D11" s="6">
        <v>5000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500+250+1500+3000+500</f>
        <v>5750</v>
      </c>
      <c r="S11" s="6">
        <f t="shared" si="1"/>
        <v>9050</v>
      </c>
      <c r="T11" s="6">
        <v>-3750</v>
      </c>
      <c r="U11" s="6">
        <f t="shared" si="2"/>
        <v>5300</v>
      </c>
      <c r="V11" s="52"/>
      <c r="W11" s="57"/>
      <c r="X11" s="46"/>
      <c r="Y11" s="61"/>
      <c r="Z11" s="66">
        <f t="shared" si="3"/>
        <v>-9050</v>
      </c>
      <c r="AA11" s="61"/>
      <c r="AB11" s="67"/>
      <c r="AC11" s="61"/>
      <c r="AD11" s="66"/>
      <c r="AE11" s="61"/>
      <c r="AF11" s="52">
        <f t="shared" si="4"/>
        <v>-9050</v>
      </c>
      <c r="AG11" s="46">
        <f t="shared" si="5"/>
        <v>-3750</v>
      </c>
      <c r="AH11" s="51">
        <f t="shared" si="6"/>
        <v>-12800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300</v>
      </c>
      <c r="D12" s="6">
        <v>5950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500+500+6000+100+1000</f>
        <v>8100</v>
      </c>
      <c r="S12" s="6">
        <f t="shared" si="1"/>
        <v>-1850</v>
      </c>
      <c r="T12" s="6">
        <v>4700</v>
      </c>
      <c r="U12" s="6">
        <f t="shared" si="2"/>
        <v>2850</v>
      </c>
      <c r="V12" s="52"/>
      <c r="W12" s="57"/>
      <c r="X12" s="46"/>
      <c r="Y12" s="61"/>
      <c r="Z12" s="66">
        <f t="shared" si="3"/>
        <v>1850</v>
      </c>
      <c r="AA12" s="61"/>
      <c r="AB12" s="67"/>
      <c r="AC12" s="61"/>
      <c r="AD12" s="66"/>
      <c r="AE12" s="61"/>
      <c r="AF12" s="52">
        <f t="shared" si="4"/>
        <v>1850</v>
      </c>
      <c r="AG12" s="46">
        <f t="shared" si="5"/>
        <v>4700</v>
      </c>
      <c r="AH12" s="51">
        <f t="shared" si="6"/>
        <v>6550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24310</v>
      </c>
      <c r="D14" s="6">
        <f>15800+12900+5000</f>
        <v>33700</v>
      </c>
      <c r="E14" s="6"/>
      <c r="F14" s="6"/>
      <c r="G14" s="6">
        <v>3900</v>
      </c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3900</v>
      </c>
      <c r="R14" s="6">
        <f>6000+1100+750+3950+1000+1000+1650+3500</f>
        <v>18950</v>
      </c>
      <c r="S14" s="6">
        <f t="shared" si="1"/>
        <v>39060</v>
      </c>
      <c r="T14" s="6">
        <v>-5760</v>
      </c>
      <c r="U14" s="6">
        <f t="shared" si="2"/>
        <v>33300</v>
      </c>
      <c r="V14" s="52"/>
      <c r="W14" s="57"/>
      <c r="X14" s="46"/>
      <c r="Y14" s="61"/>
      <c r="Z14" s="66">
        <f t="shared" si="3"/>
        <v>-39060</v>
      </c>
      <c r="AA14" s="61"/>
      <c r="AB14" s="66"/>
      <c r="AC14" s="61"/>
      <c r="AD14" s="66"/>
      <c r="AE14" s="61"/>
      <c r="AF14" s="52">
        <f t="shared" si="4"/>
        <v>-39060</v>
      </c>
      <c r="AG14" s="46">
        <f t="shared" si="5"/>
        <v>-5760</v>
      </c>
      <c r="AH14" s="51">
        <f t="shared" si="6"/>
        <v>-44820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12550</v>
      </c>
      <c r="D16" s="6">
        <v>4800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17350</v>
      </c>
      <c r="T16" s="34">
        <v>-10050</v>
      </c>
      <c r="U16" s="6">
        <f t="shared" si="2"/>
        <v>7300</v>
      </c>
      <c r="V16" s="52"/>
      <c r="W16" s="57"/>
      <c r="X16" s="46"/>
      <c r="Y16" s="61"/>
      <c r="Z16" s="66">
        <f t="shared" si="3"/>
        <v>-17350</v>
      </c>
      <c r="AA16" s="61"/>
      <c r="AB16" s="67"/>
      <c r="AC16" s="61"/>
      <c r="AD16" s="47"/>
      <c r="AE16" s="61"/>
      <c r="AF16" s="52">
        <f t="shared" si="4"/>
        <v>-17350</v>
      </c>
      <c r="AG16" s="46">
        <f t="shared" si="5"/>
        <v>-10050</v>
      </c>
      <c r="AH16" s="51">
        <f t="shared" si="6"/>
        <v>-27400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19550</v>
      </c>
      <c r="D17" s="6">
        <f>2000+10250</f>
        <v>12250</v>
      </c>
      <c r="E17" s="6"/>
      <c r="F17" s="6"/>
      <c r="G17" s="6">
        <v>6000</v>
      </c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6000</v>
      </c>
      <c r="R17" s="6">
        <f>1000+500+10000+2000</f>
        <v>13500</v>
      </c>
      <c r="S17" s="6">
        <f t="shared" si="1"/>
        <v>18300</v>
      </c>
      <c r="T17" s="6">
        <v>-5000</v>
      </c>
      <c r="U17" s="6">
        <f t="shared" si="2"/>
        <v>13300</v>
      </c>
      <c r="V17" s="52"/>
      <c r="W17" s="57"/>
      <c r="X17" s="46"/>
      <c r="Y17" s="61"/>
      <c r="Z17" s="66">
        <f t="shared" si="3"/>
        <v>-18300</v>
      </c>
      <c r="AA17" s="61"/>
      <c r="AB17" s="66"/>
      <c r="AC17" s="61"/>
      <c r="AD17" s="66"/>
      <c r="AE17" s="61"/>
      <c r="AF17" s="52">
        <f t="shared" si="4"/>
        <v>-18300</v>
      </c>
      <c r="AG17" s="46">
        <f t="shared" si="5"/>
        <v>-5000</v>
      </c>
      <c r="AH17" s="51">
        <f t="shared" si="6"/>
        <v>-23300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7">
        <f t="shared" si="0"/>
        <v>0</v>
      </c>
      <c r="R22" s="109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7">
        <f t="shared" si="0"/>
        <v>0</v>
      </c>
      <c r="R24" s="109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7">
        <f t="shared" si="0"/>
        <v>0</v>
      </c>
      <c r="R25" s="109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7">
        <f t="shared" si="0"/>
        <v>0</v>
      </c>
      <c r="R26" s="109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7">
        <f t="shared" si="0"/>
        <v>0</v>
      </c>
      <c r="R27" s="109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2960</v>
      </c>
      <c r="D28" s="6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7">
        <f t="shared" si="0"/>
        <v>0</v>
      </c>
      <c r="R28" s="109">
        <v>400</v>
      </c>
      <c r="S28" s="6">
        <f t="shared" si="1"/>
        <v>2560</v>
      </c>
      <c r="T28" s="6">
        <f>-40-100</f>
        <v>-140</v>
      </c>
      <c r="U28" s="6">
        <f t="shared" si="2"/>
        <v>2420</v>
      </c>
      <c r="V28" s="52"/>
      <c r="W28" s="57"/>
      <c r="X28" s="46"/>
      <c r="Y28" s="61"/>
      <c r="Z28" s="66">
        <f t="shared" si="3"/>
        <v>-2560</v>
      </c>
      <c r="AA28" s="61"/>
      <c r="AB28" s="67"/>
      <c r="AC28" s="61"/>
      <c r="AD28" s="66"/>
      <c r="AE28" s="61"/>
      <c r="AF28" s="52">
        <f t="shared" si="4"/>
        <v>-2560</v>
      </c>
      <c r="AG28" s="46">
        <f t="shared" si="5"/>
        <v>-140</v>
      </c>
      <c r="AH28" s="51">
        <f t="shared" si="6"/>
        <v>-2700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1820</v>
      </c>
      <c r="D29" s="6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7">
        <f t="shared" si="0"/>
        <v>0</v>
      </c>
      <c r="R29" s="109"/>
      <c r="S29" s="6">
        <f t="shared" si="1"/>
        <v>1820</v>
      </c>
      <c r="T29" s="6">
        <f>860+100</f>
        <v>960</v>
      </c>
      <c r="U29" s="6">
        <f t="shared" si="2"/>
        <v>2780</v>
      </c>
      <c r="V29" s="52"/>
      <c r="W29" s="57"/>
      <c r="X29" s="46"/>
      <c r="Y29" s="61"/>
      <c r="Z29" s="66">
        <f t="shared" si="3"/>
        <v>-1820</v>
      </c>
      <c r="AA29" s="61"/>
      <c r="AB29" s="67"/>
      <c r="AC29" s="61"/>
      <c r="AD29" s="66"/>
      <c r="AE29" s="61"/>
      <c r="AF29" s="52">
        <f t="shared" si="4"/>
        <v>-1820</v>
      </c>
      <c r="AG29" s="46">
        <f t="shared" si="5"/>
        <v>960</v>
      </c>
      <c r="AH29" s="51">
        <f t="shared" si="6"/>
        <v>-860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7">
        <f t="shared" si="0"/>
        <v>0</v>
      </c>
      <c r="R30" s="109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18340</v>
      </c>
      <c r="D31" s="6"/>
      <c r="E31" s="109"/>
      <c r="F31" s="109"/>
      <c r="G31" s="109">
        <v>3860</v>
      </c>
      <c r="H31" s="109"/>
      <c r="I31" s="109"/>
      <c r="J31" s="109"/>
      <c r="K31" s="109"/>
      <c r="L31" s="109"/>
      <c r="M31" s="109"/>
      <c r="N31" s="109"/>
      <c r="O31" s="109"/>
      <c r="P31" s="109"/>
      <c r="Q31" s="7">
        <f t="shared" si="0"/>
        <v>3860</v>
      </c>
      <c r="R31" s="109">
        <v>200</v>
      </c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33220</v>
      </c>
      <c r="D32" s="6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"/>
      <c r="P32" s="6">
        <f>2320+2680</f>
        <v>5000</v>
      </c>
      <c r="Q32" s="7">
        <f>SUM(E32:P32)</f>
        <v>5000</v>
      </c>
      <c r="R32" s="109"/>
      <c r="S32" s="6">
        <f t="shared" si="1"/>
        <v>33220</v>
      </c>
      <c r="T32" s="6">
        <v>-18280</v>
      </c>
      <c r="U32" s="6">
        <f t="shared" si="2"/>
        <v>14940</v>
      </c>
      <c r="V32" s="52"/>
      <c r="W32" s="57"/>
      <c r="X32" s="46"/>
      <c r="Y32" s="61"/>
      <c r="Z32" s="66">
        <f t="shared" si="3"/>
        <v>-33220</v>
      </c>
      <c r="AA32" s="61"/>
      <c r="AB32" s="67"/>
      <c r="AC32" s="61"/>
      <c r="AD32" s="66"/>
      <c r="AE32" s="61"/>
      <c r="AF32" s="52">
        <f t="shared" si="4"/>
        <v>-33220</v>
      </c>
      <c r="AG32" s="46">
        <f t="shared" si="5"/>
        <v>-18280</v>
      </c>
      <c r="AH32" s="51">
        <f t="shared" si="6"/>
        <v>-51500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7">
        <f t="shared" si="0"/>
        <v>0</v>
      </c>
      <c r="R33" s="109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09"/>
      <c r="F34" s="109"/>
      <c r="G34" s="109"/>
      <c r="H34" s="109"/>
      <c r="I34" s="109"/>
      <c r="J34" s="109"/>
      <c r="K34" s="6"/>
      <c r="L34" s="109"/>
      <c r="M34" s="109"/>
      <c r="N34" s="109"/>
      <c r="O34" s="109"/>
      <c r="P34" s="109"/>
      <c r="Q34" s="7">
        <f t="shared" si="0"/>
        <v>0</v>
      </c>
      <c r="R34" s="109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09"/>
      <c r="F35" s="109"/>
      <c r="G35" s="109"/>
      <c r="H35" s="109"/>
      <c r="I35" s="109"/>
      <c r="J35" s="109"/>
      <c r="K35" s="6"/>
      <c r="L35" s="109"/>
      <c r="M35" s="109"/>
      <c r="N35" s="109"/>
      <c r="O35" s="109"/>
      <c r="P35" s="109"/>
      <c r="Q35" s="7">
        <f t="shared" si="0"/>
        <v>0</v>
      </c>
      <c r="R35" s="109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09"/>
      <c r="F36" s="109"/>
      <c r="G36" s="109">
        <v>200</v>
      </c>
      <c r="H36" s="109"/>
      <c r="I36" s="109"/>
      <c r="J36" s="109"/>
      <c r="K36" s="109"/>
      <c r="L36" s="109"/>
      <c r="M36" s="109"/>
      <c r="N36" s="109"/>
      <c r="O36" s="109"/>
      <c r="P36" s="109"/>
      <c r="Q36" s="7">
        <f t="shared" si="0"/>
        <v>200</v>
      </c>
      <c r="R36" s="109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7">
        <f t="shared" si="0"/>
        <v>0</v>
      </c>
      <c r="R37" s="109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10020</v>
      </c>
      <c r="D38" s="6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7">
        <f>SUM(E38:P38)</f>
        <v>0</v>
      </c>
      <c r="R38" s="109">
        <v>12320</v>
      </c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7">
        <f>SUM(E39:P39)</f>
        <v>0</v>
      </c>
      <c r="R39" s="109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09"/>
      <c r="F40" s="109"/>
      <c r="G40" s="109"/>
      <c r="H40" s="27"/>
      <c r="I40" s="109"/>
      <c r="J40" s="109"/>
      <c r="K40" s="109"/>
      <c r="L40" s="109"/>
      <c r="M40" s="109"/>
      <c r="N40" s="109"/>
      <c r="O40" s="109"/>
      <c r="P40" s="109"/>
      <c r="Q40" s="7">
        <f>SUM(E40:P40)</f>
        <v>0</v>
      </c>
      <c r="R40" s="109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7">
        <f>SUM(E41:P41)</f>
        <v>0</v>
      </c>
      <c r="R41" s="109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7">
        <f>SUM(E42:P42)</f>
        <v>0</v>
      </c>
      <c r="R42" s="109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7">
        <f t="shared" si="0"/>
        <v>0</v>
      </c>
      <c r="R44" s="109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7">
        <f t="shared" si="0"/>
        <v>0</v>
      </c>
      <c r="R45" s="109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7">
        <f t="shared" si="0"/>
        <v>0</v>
      </c>
      <c r="R46" s="109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7">
        <f t="shared" si="0"/>
        <v>0</v>
      </c>
      <c r="R47" s="109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7">
        <f t="shared" si="0"/>
        <v>0</v>
      </c>
      <c r="R48" s="109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7">
        <f t="shared" si="0"/>
        <v>0</v>
      </c>
      <c r="R49" s="109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4550</v>
      </c>
      <c r="D50" s="6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7">
        <f t="shared" si="0"/>
        <v>0</v>
      </c>
      <c r="R50" s="109"/>
      <c r="S50" s="6">
        <f t="shared" si="1"/>
        <v>4550</v>
      </c>
      <c r="T50" s="6">
        <f>-12000+8615</f>
        <v>-3385</v>
      </c>
      <c r="U50" s="6">
        <f t="shared" si="2"/>
        <v>1165</v>
      </c>
      <c r="V50" s="52"/>
      <c r="W50" s="57"/>
      <c r="X50" s="46"/>
      <c r="Y50" s="61"/>
      <c r="Z50" s="66">
        <f t="shared" si="3"/>
        <v>-4550</v>
      </c>
      <c r="AA50" s="61"/>
      <c r="AB50" s="64"/>
      <c r="AC50" s="61"/>
      <c r="AD50" s="66"/>
      <c r="AE50" s="61"/>
      <c r="AF50" s="52">
        <f t="shared" si="4"/>
        <v>-4550</v>
      </c>
      <c r="AG50" s="46">
        <f t="shared" si="5"/>
        <v>-3385</v>
      </c>
      <c r="AH50" s="51">
        <f t="shared" si="6"/>
        <v>-7935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7">
        <f t="shared" si="0"/>
        <v>0</v>
      </c>
      <c r="R51" s="109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7">
        <f t="shared" si="0"/>
        <v>0</v>
      </c>
      <c r="R52" s="109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09"/>
      <c r="F53" s="109"/>
      <c r="G53" s="109"/>
      <c r="H53" s="109"/>
      <c r="I53" s="109"/>
      <c r="J53" s="109"/>
      <c r="K53" s="109">
        <v>1200</v>
      </c>
      <c r="L53" s="109"/>
      <c r="M53" s="109"/>
      <c r="N53" s="109"/>
      <c r="O53" s="109"/>
      <c r="P53" s="109"/>
      <c r="Q53" s="7">
        <f t="shared" si="0"/>
        <v>1200</v>
      </c>
      <c r="R53" s="109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4400</v>
      </c>
      <c r="D54" s="6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7">
        <f t="shared" si="0"/>
        <v>0</v>
      </c>
      <c r="R54" s="109"/>
      <c r="S54" s="6">
        <f t="shared" si="1"/>
        <v>4400</v>
      </c>
      <c r="T54" s="6">
        <v>-2850</v>
      </c>
      <c r="U54" s="6">
        <f t="shared" si="2"/>
        <v>1550</v>
      </c>
      <c r="V54" s="52"/>
      <c r="W54" s="57"/>
      <c r="X54" s="46"/>
      <c r="Y54" s="61"/>
      <c r="Z54" s="66">
        <f t="shared" si="3"/>
        <v>-4400</v>
      </c>
      <c r="AA54" s="61"/>
      <c r="AB54" s="67"/>
      <c r="AC54" s="61"/>
      <c r="AD54" s="66"/>
      <c r="AE54" s="61"/>
      <c r="AF54" s="52">
        <f t="shared" si="4"/>
        <v>-4400</v>
      </c>
      <c r="AG54" s="46">
        <f t="shared" si="5"/>
        <v>-2850</v>
      </c>
      <c r="AH54" s="51">
        <f t="shared" si="6"/>
        <v>-7250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7">
        <f t="shared" si="0"/>
        <v>0</v>
      </c>
      <c r="R55" s="109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7">
        <f>SUM(E56:P56)</f>
        <v>0</v>
      </c>
      <c r="R56" s="109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7">
        <f t="shared" si="0"/>
        <v>0</v>
      </c>
      <c r="R61" s="109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7">
        <f t="shared" si="0"/>
        <v>0</v>
      </c>
      <c r="R62" s="108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7">
        <f t="shared" si="0"/>
        <v>0</v>
      </c>
      <c r="R63" s="108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7">
        <f t="shared" si="0"/>
        <v>0</v>
      </c>
      <c r="R64" s="108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7">
        <f t="shared" si="0"/>
        <v>0</v>
      </c>
      <c r="R65" s="108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10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1675</v>
      </c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7">
        <f t="shared" si="0"/>
        <v>0</v>
      </c>
      <c r="R67" s="109"/>
      <c r="S67" s="6">
        <f t="shared" si="1"/>
        <v>1675</v>
      </c>
      <c r="T67" s="6">
        <v>-1525</v>
      </c>
      <c r="U67" s="6">
        <f t="shared" si="2"/>
        <v>150</v>
      </c>
      <c r="V67" s="52"/>
      <c r="W67" s="57"/>
      <c r="X67" s="46"/>
      <c r="Y67" s="61"/>
      <c r="Z67" s="66">
        <f t="shared" si="3"/>
        <v>-1675</v>
      </c>
      <c r="AA67" s="61"/>
      <c r="AB67" s="67"/>
      <c r="AC67" s="61"/>
      <c r="AD67" s="66"/>
      <c r="AE67" s="61"/>
      <c r="AF67" s="52">
        <f t="shared" si="4"/>
        <v>-1675</v>
      </c>
      <c r="AG67" s="46">
        <f t="shared" si="5"/>
        <v>-1525</v>
      </c>
      <c r="AH67" s="51">
        <f t="shared" si="6"/>
        <v>-3200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9200</v>
      </c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7">
        <f t="shared" si="0"/>
        <v>0</v>
      </c>
      <c r="R68" s="109"/>
      <c r="S68" s="6">
        <f t="shared" si="1"/>
        <v>9200</v>
      </c>
      <c r="T68" s="6">
        <v>0</v>
      </c>
      <c r="U68" s="6">
        <f t="shared" si="2"/>
        <v>9200</v>
      </c>
      <c r="V68" s="52"/>
      <c r="W68" s="57"/>
      <c r="X68" s="46"/>
      <c r="Y68" s="61"/>
      <c r="Z68" s="66">
        <f t="shared" si="3"/>
        <v>-9200</v>
      </c>
      <c r="AA68" s="61"/>
      <c r="AB68" s="67"/>
      <c r="AC68" s="61"/>
      <c r="AD68" s="66"/>
      <c r="AE68" s="61"/>
      <c r="AF68" s="52">
        <f t="shared" si="4"/>
        <v>-9200</v>
      </c>
      <c r="AG68" s="46">
        <f t="shared" si="5"/>
        <v>0</v>
      </c>
      <c r="AH68" s="51">
        <f t="shared" si="6"/>
        <v>-9200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35575</v>
      </c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7">
        <f t="shared" si="0"/>
        <v>0</v>
      </c>
      <c r="R69" s="109">
        <f>125+1000+250</f>
        <v>1375</v>
      </c>
      <c r="S69" s="6">
        <f t="shared" si="1"/>
        <v>34200</v>
      </c>
      <c r="T69" s="6">
        <v>-16950</v>
      </c>
      <c r="U69" s="6">
        <f t="shared" si="2"/>
        <v>17250</v>
      </c>
      <c r="V69" s="52"/>
      <c r="W69" s="57"/>
      <c r="X69" s="46"/>
      <c r="Y69" s="61"/>
      <c r="Z69" s="66">
        <f t="shared" si="3"/>
        <v>-34200</v>
      </c>
      <c r="AA69" s="61"/>
      <c r="AB69" s="64"/>
      <c r="AC69" s="61"/>
      <c r="AD69" s="66"/>
      <c r="AE69" s="61"/>
      <c r="AF69" s="52">
        <f t="shared" si="4"/>
        <v>-34200</v>
      </c>
      <c r="AG69" s="46">
        <f t="shared" si="5"/>
        <v>-16950</v>
      </c>
      <c r="AH69" s="51">
        <f t="shared" si="6"/>
        <v>-51150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15100</v>
      </c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7">
        <f t="shared" si="0"/>
        <v>0</v>
      </c>
      <c r="R70" s="109">
        <f>3000+750</f>
        <v>3750</v>
      </c>
      <c r="S70" s="6">
        <f t="shared" si="1"/>
        <v>11350</v>
      </c>
      <c r="T70" s="6">
        <v>-9425</v>
      </c>
      <c r="U70" s="6">
        <f t="shared" si="2"/>
        <v>1925</v>
      </c>
      <c r="V70" s="52"/>
      <c r="W70" s="57"/>
      <c r="X70" s="46"/>
      <c r="Y70" s="61"/>
      <c r="Z70" s="66">
        <f t="shared" si="3"/>
        <v>-11350</v>
      </c>
      <c r="AA70" s="61"/>
      <c r="AB70" s="67"/>
      <c r="AC70" s="61"/>
      <c r="AD70" s="66"/>
      <c r="AE70" s="61"/>
      <c r="AF70" s="52">
        <f t="shared" si="4"/>
        <v>-11350</v>
      </c>
      <c r="AG70" s="46">
        <f t="shared" si="5"/>
        <v>-9425</v>
      </c>
      <c r="AH70" s="51">
        <f t="shared" si="6"/>
        <v>-20775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40975</v>
      </c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7">
        <f t="shared" si="0"/>
        <v>0</v>
      </c>
      <c r="R71" s="109">
        <f>500+7000</f>
        <v>7500</v>
      </c>
      <c r="S71" s="6">
        <f t="shared" si="1"/>
        <v>33475</v>
      </c>
      <c r="T71" s="6">
        <v>-27500</v>
      </c>
      <c r="U71" s="6">
        <f t="shared" si="2"/>
        <v>5975</v>
      </c>
      <c r="V71" s="52"/>
      <c r="W71" s="57"/>
      <c r="X71" s="46"/>
      <c r="Y71" s="61"/>
      <c r="Z71" s="66">
        <f t="shared" si="3"/>
        <v>-33475</v>
      </c>
      <c r="AA71" s="61"/>
      <c r="AB71" s="64"/>
      <c r="AC71" s="61"/>
      <c r="AD71" s="66"/>
      <c r="AE71" s="61"/>
      <c r="AF71" s="52">
        <f t="shared" si="4"/>
        <v>-33475</v>
      </c>
      <c r="AG71" s="46">
        <f t="shared" si="5"/>
        <v>-27500</v>
      </c>
      <c r="AH71" s="51">
        <f t="shared" si="6"/>
        <v>-60975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09">
        <f>SUM(C7:C72)</f>
        <v>450480</v>
      </c>
      <c r="D73" s="109">
        <f t="shared" ref="D73:V73" si="11">SUM(D7:D72)</f>
        <v>71700</v>
      </c>
      <c r="E73" s="109">
        <f t="shared" si="11"/>
        <v>0</v>
      </c>
      <c r="F73" s="109">
        <f t="shared" si="11"/>
        <v>0</v>
      </c>
      <c r="G73" s="109">
        <f t="shared" si="11"/>
        <v>31685</v>
      </c>
      <c r="H73" s="27">
        <f t="shared" si="11"/>
        <v>0</v>
      </c>
      <c r="I73" s="109">
        <f t="shared" si="11"/>
        <v>0</v>
      </c>
      <c r="J73" s="109">
        <f t="shared" si="11"/>
        <v>0</v>
      </c>
      <c r="K73" s="109">
        <f t="shared" si="11"/>
        <v>1200</v>
      </c>
      <c r="L73" s="109">
        <f t="shared" si="11"/>
        <v>0</v>
      </c>
      <c r="M73" s="109">
        <f t="shared" si="11"/>
        <v>0</v>
      </c>
      <c r="N73" s="109">
        <f t="shared" si="11"/>
        <v>0</v>
      </c>
      <c r="O73" s="109">
        <f t="shared" si="11"/>
        <v>0</v>
      </c>
      <c r="P73" s="109">
        <f t="shared" si="11"/>
        <v>5000</v>
      </c>
      <c r="Q73" s="109">
        <f t="shared" si="11"/>
        <v>37885</v>
      </c>
      <c r="R73" s="109">
        <f t="shared" si="11"/>
        <v>73470</v>
      </c>
      <c r="S73" s="109">
        <f t="shared" si="11"/>
        <v>448710</v>
      </c>
      <c r="T73" s="109">
        <f t="shared" si="11"/>
        <v>-273090</v>
      </c>
      <c r="U73" s="109">
        <f t="shared" si="11"/>
        <v>175620</v>
      </c>
      <c r="V73" s="109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-448710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-448710</v>
      </c>
      <c r="AG73" s="43">
        <f t="shared" si="12"/>
        <v>-273090</v>
      </c>
      <c r="AH73" s="43">
        <f t="shared" si="12"/>
        <v>-721800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37885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</f>
        <v>98740</v>
      </c>
      <c r="S74" s="179"/>
      <c r="T74" s="180">
        <f>R74+R75</f>
        <v>524735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71700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</f>
        <v>425995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73470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</f>
        <v>301210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</f>
        <v>49500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f>2140+9880</f>
        <v>12020</v>
      </c>
      <c r="N77" s="40" t="s">
        <v>90</v>
      </c>
      <c r="O77" s="82">
        <v>0</v>
      </c>
      <c r="P77" s="40" t="s">
        <v>91</v>
      </c>
      <c r="Q77" s="40">
        <v>12000</v>
      </c>
      <c r="R77" s="165">
        <f>Q77+O77+M77+J77+F77</f>
        <v>73520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47970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61615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227690</v>
      </c>
      <c r="S80" s="165"/>
      <c r="T80" s="22"/>
      <c r="U80" s="22"/>
      <c r="V80" s="2"/>
      <c r="X80" s="63">
        <f>SUM(X77:X79)</f>
        <v>109585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11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0</v>
      </c>
      <c r="Q118" s="63">
        <f t="shared" si="14"/>
        <v>12020</v>
      </c>
      <c r="R118" s="63">
        <f t="shared" si="14"/>
        <v>49500</v>
      </c>
      <c r="S118" s="63"/>
      <c r="T118" s="63">
        <f>SUM(T87:T117)</f>
        <v>359090</v>
      </c>
      <c r="U118" s="63"/>
      <c r="V118" s="63">
        <f>SUM(V87:V117)</f>
        <v>98740</v>
      </c>
      <c r="W118" s="63">
        <f>SUM(W87:W117)</f>
        <v>425995</v>
      </c>
      <c r="X118" s="36">
        <f>SUM(V118:W118)</f>
        <v>524735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49" activePane="bottomRight" state="frozen"/>
      <selection activeCell="O32" sqref="O32"/>
      <selection pane="topRight" activeCell="O32" sqref="O32"/>
      <selection pane="bottomLeft" activeCell="O32" sqref="O32"/>
      <selection pane="bottomRight" activeCell="W18" sqref="W18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158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159</v>
      </c>
      <c r="P6" s="91" t="s">
        <v>157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14100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300+500</f>
        <v>800</v>
      </c>
      <c r="S7" s="6">
        <f>C7+D7-R7</f>
        <v>13300</v>
      </c>
      <c r="T7" s="34">
        <v>-9150</v>
      </c>
      <c r="U7" s="6">
        <f>S7+T7</f>
        <v>4150</v>
      </c>
      <c r="V7" s="52"/>
      <c r="W7" s="57"/>
      <c r="X7" s="46"/>
      <c r="Y7" s="65"/>
      <c r="Z7" s="66">
        <f>W7-S7</f>
        <v>-13300</v>
      </c>
      <c r="AA7" s="65"/>
      <c r="AB7" s="67"/>
      <c r="AC7" s="65"/>
      <c r="AD7" s="47"/>
      <c r="AE7" s="61"/>
      <c r="AF7" s="52">
        <f>SUM(Y7:AE7)</f>
        <v>-13300</v>
      </c>
      <c r="AG7" s="46">
        <f>U7+AF7</f>
        <v>-9150</v>
      </c>
      <c r="AH7" s="51">
        <f>AG7-S7</f>
        <v>-22450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45550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200+4000</f>
        <v>4200</v>
      </c>
      <c r="S8" s="6">
        <f t="shared" ref="S8:S71" si="1">C8+D8-R8</f>
        <v>41350</v>
      </c>
      <c r="T8" s="6">
        <v>-24350</v>
      </c>
      <c r="U8" s="6">
        <f t="shared" ref="U8:U71" si="2">S8+T8</f>
        <v>17000</v>
      </c>
      <c r="V8" s="52"/>
      <c r="W8" s="57"/>
      <c r="X8" s="46"/>
      <c r="Y8" s="61"/>
      <c r="Z8" s="66">
        <f t="shared" ref="Z8:Z71" si="3">W8-S8</f>
        <v>-41350</v>
      </c>
      <c r="AA8" s="61"/>
      <c r="AB8" s="67"/>
      <c r="AC8" s="61"/>
      <c r="AD8" s="66"/>
      <c r="AE8" s="61"/>
      <c r="AF8" s="52">
        <f t="shared" ref="AF8:AF71" si="4">SUM(Y8:AE8)</f>
        <v>-41350</v>
      </c>
      <c r="AG8" s="46">
        <f t="shared" ref="AG8:AG71" si="5">U8+AF8</f>
        <v>-24350</v>
      </c>
      <c r="AH8" s="51">
        <f t="shared" ref="AH8:AH71" si="6">AG8-S8</f>
        <v>-65700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7950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>
        <v>500</v>
      </c>
      <c r="S10" s="6">
        <f t="shared" si="1"/>
        <v>7450</v>
      </c>
      <c r="T10" s="6">
        <v>-5175</v>
      </c>
      <c r="U10" s="6">
        <f t="shared" si="2"/>
        <v>2275</v>
      </c>
      <c r="V10" s="52"/>
      <c r="W10" s="57"/>
      <c r="X10" s="46"/>
      <c r="Y10" s="61"/>
      <c r="Z10" s="66">
        <f t="shared" si="3"/>
        <v>-7450</v>
      </c>
      <c r="AA10" s="61"/>
      <c r="AB10" s="67"/>
      <c r="AC10" s="61"/>
      <c r="AD10" s="66"/>
      <c r="AE10" s="61"/>
      <c r="AF10" s="52">
        <f t="shared" si="4"/>
        <v>-7450</v>
      </c>
      <c r="AG10" s="46">
        <f t="shared" si="5"/>
        <v>-5175</v>
      </c>
      <c r="AH10" s="51">
        <f t="shared" si="6"/>
        <v>-12625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9050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100</v>
      </c>
      <c r="S11" s="6">
        <f t="shared" si="1"/>
        <v>8950</v>
      </c>
      <c r="T11" s="6">
        <v>-3750</v>
      </c>
      <c r="U11" s="6">
        <f t="shared" si="2"/>
        <v>5200</v>
      </c>
      <c r="V11" s="52"/>
      <c r="W11" s="57"/>
      <c r="X11" s="46"/>
      <c r="Y11" s="61"/>
      <c r="Z11" s="66">
        <f t="shared" si="3"/>
        <v>-8950</v>
      </c>
      <c r="AA11" s="61"/>
      <c r="AB11" s="67"/>
      <c r="AC11" s="61"/>
      <c r="AD11" s="66"/>
      <c r="AE11" s="61"/>
      <c r="AF11" s="52">
        <f t="shared" si="4"/>
        <v>-8950</v>
      </c>
      <c r="AG11" s="46">
        <f t="shared" si="5"/>
        <v>-3750</v>
      </c>
      <c r="AH11" s="51">
        <f t="shared" si="6"/>
        <v>-12700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-1850</v>
      </c>
      <c r="D12" s="6">
        <v>9900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250+2700+2500</f>
        <v>5450</v>
      </c>
      <c r="S12" s="6">
        <f t="shared" si="1"/>
        <v>2600</v>
      </c>
      <c r="T12" s="6">
        <v>4700</v>
      </c>
      <c r="U12" s="6">
        <f t="shared" si="2"/>
        <v>7300</v>
      </c>
      <c r="V12" s="52"/>
      <c r="W12" s="57"/>
      <c r="X12" s="46"/>
      <c r="Y12" s="61"/>
      <c r="Z12" s="66">
        <f t="shared" si="3"/>
        <v>-2600</v>
      </c>
      <c r="AA12" s="61"/>
      <c r="AB12" s="67"/>
      <c r="AC12" s="61"/>
      <c r="AD12" s="66"/>
      <c r="AE12" s="61"/>
      <c r="AF12" s="52">
        <f t="shared" si="4"/>
        <v>-2600</v>
      </c>
      <c r="AG12" s="46">
        <f t="shared" si="5"/>
        <v>4700</v>
      </c>
      <c r="AH12" s="51">
        <f t="shared" si="6"/>
        <v>2100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39060</v>
      </c>
      <c r="D14" s="6">
        <f>10300</f>
        <v>10300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1250+100+1600+1500+7000</f>
        <v>11450</v>
      </c>
      <c r="S14" s="6">
        <f t="shared" si="1"/>
        <v>37910</v>
      </c>
      <c r="T14" s="6">
        <v>-5760</v>
      </c>
      <c r="U14" s="6">
        <f t="shared" si="2"/>
        <v>32150</v>
      </c>
      <c r="V14" s="52"/>
      <c r="W14" s="57"/>
      <c r="X14" s="46"/>
      <c r="Y14" s="61"/>
      <c r="Z14" s="66">
        <f t="shared" si="3"/>
        <v>-37910</v>
      </c>
      <c r="AA14" s="61"/>
      <c r="AB14" s="66"/>
      <c r="AC14" s="61"/>
      <c r="AD14" s="66"/>
      <c r="AE14" s="61"/>
      <c r="AF14" s="52">
        <f t="shared" si="4"/>
        <v>-37910</v>
      </c>
      <c r="AG14" s="46">
        <f t="shared" si="5"/>
        <v>-5760</v>
      </c>
      <c r="AH14" s="51">
        <f t="shared" si="6"/>
        <v>-43670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17350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17350</v>
      </c>
      <c r="T16" s="34">
        <v>-10050</v>
      </c>
      <c r="U16" s="6">
        <f t="shared" si="2"/>
        <v>7300</v>
      </c>
      <c r="V16" s="52"/>
      <c r="W16" s="57"/>
      <c r="X16" s="46"/>
      <c r="Y16" s="61"/>
      <c r="Z16" s="66">
        <f t="shared" si="3"/>
        <v>-17350</v>
      </c>
      <c r="AA16" s="61"/>
      <c r="AB16" s="67"/>
      <c r="AC16" s="61"/>
      <c r="AD16" s="47"/>
      <c r="AE16" s="61"/>
      <c r="AF16" s="52">
        <f t="shared" si="4"/>
        <v>-17350</v>
      </c>
      <c r="AG16" s="46">
        <f t="shared" si="5"/>
        <v>-10050</v>
      </c>
      <c r="AH16" s="51">
        <f t="shared" si="6"/>
        <v>-27400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18300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18300</v>
      </c>
      <c r="T17" s="6">
        <v>-5000</v>
      </c>
      <c r="U17" s="6">
        <f t="shared" si="2"/>
        <v>13300</v>
      </c>
      <c r="V17" s="52"/>
      <c r="W17" s="57"/>
      <c r="X17" s="46"/>
      <c r="Y17" s="61"/>
      <c r="Z17" s="66">
        <f t="shared" si="3"/>
        <v>-18300</v>
      </c>
      <c r="AA17" s="61"/>
      <c r="AB17" s="66"/>
      <c r="AC17" s="61"/>
      <c r="AD17" s="66"/>
      <c r="AE17" s="61"/>
      <c r="AF17" s="52">
        <f t="shared" si="4"/>
        <v>-18300</v>
      </c>
      <c r="AG17" s="46">
        <f t="shared" si="5"/>
        <v>-5000</v>
      </c>
      <c r="AH17" s="51">
        <f t="shared" si="6"/>
        <v>-23300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7">
        <f t="shared" si="0"/>
        <v>0</v>
      </c>
      <c r="R22" s="109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7">
        <f t="shared" si="0"/>
        <v>0</v>
      </c>
      <c r="R24" s="109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7">
        <f t="shared" si="0"/>
        <v>0</v>
      </c>
      <c r="R25" s="109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7">
        <f t="shared" si="0"/>
        <v>0</v>
      </c>
      <c r="R26" s="109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7">
        <f t="shared" si="0"/>
        <v>0</v>
      </c>
      <c r="R27" s="109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2560</v>
      </c>
      <c r="D28" s="6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7">
        <f t="shared" si="0"/>
        <v>0</v>
      </c>
      <c r="R28" s="109"/>
      <c r="S28" s="6">
        <f t="shared" si="1"/>
        <v>2560</v>
      </c>
      <c r="T28" s="6">
        <f>-40-100</f>
        <v>-140</v>
      </c>
      <c r="U28" s="6">
        <f t="shared" si="2"/>
        <v>2420</v>
      </c>
      <c r="V28" s="52"/>
      <c r="W28" s="57"/>
      <c r="X28" s="46"/>
      <c r="Y28" s="61"/>
      <c r="Z28" s="66">
        <f t="shared" si="3"/>
        <v>-2560</v>
      </c>
      <c r="AA28" s="61"/>
      <c r="AB28" s="67"/>
      <c r="AC28" s="61"/>
      <c r="AD28" s="66"/>
      <c r="AE28" s="61"/>
      <c r="AF28" s="52">
        <f t="shared" si="4"/>
        <v>-2560</v>
      </c>
      <c r="AG28" s="46">
        <f t="shared" si="5"/>
        <v>-140</v>
      </c>
      <c r="AH28" s="51">
        <f t="shared" si="6"/>
        <v>-2700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1820</v>
      </c>
      <c r="D29" s="6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7">
        <f t="shared" si="0"/>
        <v>0</v>
      </c>
      <c r="R29" s="109"/>
      <c r="S29" s="6">
        <f t="shared" si="1"/>
        <v>1820</v>
      </c>
      <c r="T29" s="6">
        <f>860+100</f>
        <v>960</v>
      </c>
      <c r="U29" s="6">
        <f t="shared" si="2"/>
        <v>2780</v>
      </c>
      <c r="V29" s="52"/>
      <c r="W29" s="57"/>
      <c r="X29" s="46"/>
      <c r="Y29" s="61"/>
      <c r="Z29" s="66">
        <f t="shared" si="3"/>
        <v>-1820</v>
      </c>
      <c r="AA29" s="61"/>
      <c r="AB29" s="67"/>
      <c r="AC29" s="61"/>
      <c r="AD29" s="66"/>
      <c r="AE29" s="61"/>
      <c r="AF29" s="52">
        <f t="shared" si="4"/>
        <v>-1820</v>
      </c>
      <c r="AG29" s="46">
        <f t="shared" si="5"/>
        <v>960</v>
      </c>
      <c r="AH29" s="51">
        <f t="shared" si="6"/>
        <v>-860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7">
        <f t="shared" si="0"/>
        <v>0</v>
      </c>
      <c r="R30" s="109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7">
        <f t="shared" si="0"/>
        <v>0</v>
      </c>
      <c r="R31" s="109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33220</v>
      </c>
      <c r="D32" s="6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"/>
      <c r="P32" s="6"/>
      <c r="Q32" s="7">
        <f>SUM(E32:P32)</f>
        <v>0</v>
      </c>
      <c r="R32" s="109">
        <v>2000</v>
      </c>
      <c r="S32" s="6">
        <f t="shared" si="1"/>
        <v>31220</v>
      </c>
      <c r="T32" s="6">
        <v>-18280</v>
      </c>
      <c r="U32" s="6">
        <f t="shared" si="2"/>
        <v>12940</v>
      </c>
      <c r="V32" s="52"/>
      <c r="W32" s="57"/>
      <c r="X32" s="46"/>
      <c r="Y32" s="61"/>
      <c r="Z32" s="66">
        <f t="shared" si="3"/>
        <v>-31220</v>
      </c>
      <c r="AA32" s="61"/>
      <c r="AB32" s="67"/>
      <c r="AC32" s="61"/>
      <c r="AD32" s="66"/>
      <c r="AE32" s="61"/>
      <c r="AF32" s="52">
        <f t="shared" si="4"/>
        <v>-31220</v>
      </c>
      <c r="AG32" s="46">
        <f t="shared" si="5"/>
        <v>-18280</v>
      </c>
      <c r="AH32" s="51">
        <f t="shared" si="6"/>
        <v>-49500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7">
        <f t="shared" si="0"/>
        <v>0</v>
      </c>
      <c r="R33" s="109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09"/>
      <c r="F34" s="109"/>
      <c r="G34" s="109"/>
      <c r="H34" s="109"/>
      <c r="I34" s="109"/>
      <c r="J34" s="109"/>
      <c r="K34" s="6"/>
      <c r="L34" s="109"/>
      <c r="M34" s="109"/>
      <c r="N34" s="109"/>
      <c r="O34" s="109"/>
      <c r="P34" s="109"/>
      <c r="Q34" s="7">
        <f t="shared" si="0"/>
        <v>0</v>
      </c>
      <c r="R34" s="109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09"/>
      <c r="F35" s="109"/>
      <c r="G35" s="109"/>
      <c r="H35" s="109"/>
      <c r="I35" s="109"/>
      <c r="J35" s="109"/>
      <c r="K35" s="6"/>
      <c r="L35" s="109"/>
      <c r="M35" s="109"/>
      <c r="N35" s="109"/>
      <c r="O35" s="109"/>
      <c r="P35" s="109"/>
      <c r="Q35" s="7">
        <f t="shared" si="0"/>
        <v>0</v>
      </c>
      <c r="R35" s="109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7">
        <f t="shared" si="0"/>
        <v>0</v>
      </c>
      <c r="R36" s="109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7">
        <f t="shared" si="0"/>
        <v>0</v>
      </c>
      <c r="R37" s="109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>
        <v>4000</v>
      </c>
      <c r="P38" s="109"/>
      <c r="Q38" s="7">
        <f>SUM(E38:P38)</f>
        <v>4000</v>
      </c>
      <c r="R38" s="109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7">
        <f>SUM(E39:P39)</f>
        <v>0</v>
      </c>
      <c r="R39" s="109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09"/>
      <c r="F40" s="109"/>
      <c r="G40" s="109"/>
      <c r="H40" s="27"/>
      <c r="I40" s="109"/>
      <c r="J40" s="109"/>
      <c r="K40" s="109"/>
      <c r="L40" s="109"/>
      <c r="M40" s="109"/>
      <c r="N40" s="109"/>
      <c r="O40" s="109"/>
      <c r="P40" s="109"/>
      <c r="Q40" s="7">
        <f>SUM(E40:P40)</f>
        <v>0</v>
      </c>
      <c r="R40" s="109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7">
        <f>SUM(E41:P41)</f>
        <v>0</v>
      </c>
      <c r="R41" s="109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7">
        <f>SUM(E42:P42)</f>
        <v>0</v>
      </c>
      <c r="R42" s="109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7">
        <f t="shared" si="0"/>
        <v>0</v>
      </c>
      <c r="R44" s="109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7">
        <f t="shared" si="0"/>
        <v>0</v>
      </c>
      <c r="R45" s="109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7">
        <f t="shared" si="0"/>
        <v>0</v>
      </c>
      <c r="R46" s="109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7">
        <f t="shared" si="0"/>
        <v>0</v>
      </c>
      <c r="R47" s="109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7">
        <f t="shared" si="0"/>
        <v>0</v>
      </c>
      <c r="R48" s="109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7">
        <f t="shared" si="0"/>
        <v>0</v>
      </c>
      <c r="R49" s="109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4550</v>
      </c>
      <c r="D50" s="6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7">
        <f t="shared" si="0"/>
        <v>0</v>
      </c>
      <c r="R50" s="109"/>
      <c r="S50" s="6">
        <f t="shared" si="1"/>
        <v>4550</v>
      </c>
      <c r="T50" s="6">
        <f>-12000+8615</f>
        <v>-3385</v>
      </c>
      <c r="U50" s="6">
        <f t="shared" si="2"/>
        <v>1165</v>
      </c>
      <c r="V50" s="52"/>
      <c r="W50" s="57"/>
      <c r="X50" s="46"/>
      <c r="Y50" s="61"/>
      <c r="Z50" s="66">
        <f t="shared" si="3"/>
        <v>-4550</v>
      </c>
      <c r="AA50" s="61"/>
      <c r="AB50" s="64"/>
      <c r="AC50" s="61"/>
      <c r="AD50" s="66"/>
      <c r="AE50" s="61"/>
      <c r="AF50" s="52">
        <f t="shared" si="4"/>
        <v>-4550</v>
      </c>
      <c r="AG50" s="46">
        <f t="shared" si="5"/>
        <v>-3385</v>
      </c>
      <c r="AH50" s="51">
        <f t="shared" si="6"/>
        <v>-7935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7">
        <f t="shared" si="0"/>
        <v>0</v>
      </c>
      <c r="R51" s="109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7">
        <f t="shared" si="0"/>
        <v>0</v>
      </c>
      <c r="R52" s="109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7">
        <f t="shared" si="0"/>
        <v>0</v>
      </c>
      <c r="R53" s="109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4400</v>
      </c>
      <c r="D54" s="6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7">
        <f t="shared" si="0"/>
        <v>0</v>
      </c>
      <c r="R54" s="109">
        <v>525</v>
      </c>
      <c r="S54" s="6">
        <f t="shared" si="1"/>
        <v>3875</v>
      </c>
      <c r="T54" s="6">
        <v>-2850</v>
      </c>
      <c r="U54" s="6">
        <f t="shared" si="2"/>
        <v>1025</v>
      </c>
      <c r="V54" s="52"/>
      <c r="W54" s="57"/>
      <c r="X54" s="46"/>
      <c r="Y54" s="61"/>
      <c r="Z54" s="66">
        <f t="shared" si="3"/>
        <v>-3875</v>
      </c>
      <c r="AA54" s="61"/>
      <c r="AB54" s="67"/>
      <c r="AC54" s="61"/>
      <c r="AD54" s="66"/>
      <c r="AE54" s="61"/>
      <c r="AF54" s="52">
        <f t="shared" si="4"/>
        <v>-3875</v>
      </c>
      <c r="AG54" s="46">
        <f t="shared" si="5"/>
        <v>-2850</v>
      </c>
      <c r="AH54" s="51">
        <f t="shared" si="6"/>
        <v>-6725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7">
        <f t="shared" si="0"/>
        <v>0</v>
      </c>
      <c r="R55" s="109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7">
        <f>SUM(E56:P56)</f>
        <v>0</v>
      </c>
      <c r="R56" s="109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7">
        <f t="shared" si="0"/>
        <v>0</v>
      </c>
      <c r="R61" s="109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7">
        <f t="shared" si="0"/>
        <v>0</v>
      </c>
      <c r="R62" s="108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7">
        <f t="shared" si="0"/>
        <v>0</v>
      </c>
      <c r="R63" s="108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7">
        <f t="shared" si="0"/>
        <v>0</v>
      </c>
      <c r="R64" s="108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7">
        <f t="shared" si="0"/>
        <v>0</v>
      </c>
      <c r="R65" s="108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10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1675</v>
      </c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7">
        <f t="shared" si="0"/>
        <v>0</v>
      </c>
      <c r="R67" s="109"/>
      <c r="S67" s="6">
        <f t="shared" si="1"/>
        <v>1675</v>
      </c>
      <c r="T67" s="6">
        <v>-1525</v>
      </c>
      <c r="U67" s="6">
        <f t="shared" si="2"/>
        <v>150</v>
      </c>
      <c r="V67" s="52"/>
      <c r="W67" s="57"/>
      <c r="X67" s="46"/>
      <c r="Y67" s="61"/>
      <c r="Z67" s="66">
        <f t="shared" si="3"/>
        <v>-1675</v>
      </c>
      <c r="AA67" s="61"/>
      <c r="AB67" s="67"/>
      <c r="AC67" s="61"/>
      <c r="AD67" s="66"/>
      <c r="AE67" s="61"/>
      <c r="AF67" s="52">
        <f t="shared" si="4"/>
        <v>-1675</v>
      </c>
      <c r="AG67" s="46">
        <f t="shared" si="5"/>
        <v>-1525</v>
      </c>
      <c r="AH67" s="51">
        <f t="shared" si="6"/>
        <v>-3200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9200</v>
      </c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7">
        <f t="shared" si="0"/>
        <v>0</v>
      </c>
      <c r="R68" s="109"/>
      <c r="S68" s="6">
        <f t="shared" si="1"/>
        <v>9200</v>
      </c>
      <c r="T68" s="6">
        <v>0</v>
      </c>
      <c r="U68" s="6">
        <f t="shared" si="2"/>
        <v>9200</v>
      </c>
      <c r="V68" s="52"/>
      <c r="W68" s="57"/>
      <c r="X68" s="46"/>
      <c r="Y68" s="61"/>
      <c r="Z68" s="66">
        <f t="shared" si="3"/>
        <v>-9200</v>
      </c>
      <c r="AA68" s="61"/>
      <c r="AB68" s="67"/>
      <c r="AC68" s="61"/>
      <c r="AD68" s="66"/>
      <c r="AE68" s="61"/>
      <c r="AF68" s="52">
        <f t="shared" si="4"/>
        <v>-9200</v>
      </c>
      <c r="AG68" s="46">
        <f t="shared" si="5"/>
        <v>0</v>
      </c>
      <c r="AH68" s="51">
        <f t="shared" si="6"/>
        <v>-9200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34200</v>
      </c>
      <c r="D69" s="109">
        <v>10000</v>
      </c>
      <c r="E69" s="109"/>
      <c r="F69" s="109"/>
      <c r="G69" s="109">
        <v>1000</v>
      </c>
      <c r="H69" s="109"/>
      <c r="I69" s="109"/>
      <c r="J69" s="109"/>
      <c r="K69" s="109"/>
      <c r="L69" s="109"/>
      <c r="M69" s="109"/>
      <c r="N69" s="109"/>
      <c r="O69" s="109"/>
      <c r="P69" s="109"/>
      <c r="Q69" s="7">
        <f t="shared" si="0"/>
        <v>1000</v>
      </c>
      <c r="R69" s="109">
        <f>25+1000+5500+3000</f>
        <v>9525</v>
      </c>
      <c r="S69" s="6">
        <f t="shared" si="1"/>
        <v>34675</v>
      </c>
      <c r="T69" s="6">
        <v>-16950</v>
      </c>
      <c r="U69" s="6">
        <f t="shared" si="2"/>
        <v>17725</v>
      </c>
      <c r="V69" s="52"/>
      <c r="W69" s="57"/>
      <c r="X69" s="46"/>
      <c r="Y69" s="61"/>
      <c r="Z69" s="66">
        <f t="shared" si="3"/>
        <v>-34675</v>
      </c>
      <c r="AA69" s="61"/>
      <c r="AB69" s="64"/>
      <c r="AC69" s="61"/>
      <c r="AD69" s="66"/>
      <c r="AE69" s="61"/>
      <c r="AF69" s="52">
        <f t="shared" si="4"/>
        <v>-34675</v>
      </c>
      <c r="AG69" s="46">
        <f t="shared" si="5"/>
        <v>-16950</v>
      </c>
      <c r="AH69" s="51">
        <f t="shared" si="6"/>
        <v>-51625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11350</v>
      </c>
      <c r="D70" s="109">
        <f>5000+5000</f>
        <v>10000</v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7">
        <f t="shared" si="0"/>
        <v>0</v>
      </c>
      <c r="R70" s="109">
        <f>1975+2000</f>
        <v>3975</v>
      </c>
      <c r="S70" s="6">
        <f t="shared" si="1"/>
        <v>17375</v>
      </c>
      <c r="T70" s="6">
        <v>-9425</v>
      </c>
      <c r="U70" s="6">
        <f t="shared" si="2"/>
        <v>7950</v>
      </c>
      <c r="V70" s="52"/>
      <c r="W70" s="57"/>
      <c r="X70" s="46"/>
      <c r="Y70" s="61"/>
      <c r="Z70" s="66">
        <f t="shared" si="3"/>
        <v>-17375</v>
      </c>
      <c r="AA70" s="61"/>
      <c r="AB70" s="67"/>
      <c r="AC70" s="61"/>
      <c r="AD70" s="66"/>
      <c r="AE70" s="61"/>
      <c r="AF70" s="52">
        <f t="shared" si="4"/>
        <v>-17375</v>
      </c>
      <c r="AG70" s="46">
        <f t="shared" si="5"/>
        <v>-9425</v>
      </c>
      <c r="AH70" s="51">
        <f t="shared" si="6"/>
        <v>-26800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33475</v>
      </c>
      <c r="D71" s="109">
        <f>20000+15500</f>
        <v>35500</v>
      </c>
      <c r="E71" s="109"/>
      <c r="F71" s="109"/>
      <c r="G71" s="109">
        <f>2000+2400+5000</f>
        <v>9400</v>
      </c>
      <c r="H71" s="109"/>
      <c r="I71" s="109"/>
      <c r="J71" s="109"/>
      <c r="K71" s="109"/>
      <c r="L71" s="109"/>
      <c r="M71" s="109"/>
      <c r="N71" s="109"/>
      <c r="O71" s="109"/>
      <c r="P71" s="109"/>
      <c r="Q71" s="7">
        <f t="shared" si="0"/>
        <v>9400</v>
      </c>
      <c r="R71" s="109">
        <f>4300+2000</f>
        <v>6300</v>
      </c>
      <c r="S71" s="6">
        <f t="shared" si="1"/>
        <v>62675</v>
      </c>
      <c r="T71" s="6">
        <v>-27500</v>
      </c>
      <c r="U71" s="6">
        <f t="shared" si="2"/>
        <v>35175</v>
      </c>
      <c r="V71" s="52"/>
      <c r="W71" s="57"/>
      <c r="X71" s="46"/>
      <c r="Y71" s="61"/>
      <c r="Z71" s="66">
        <f t="shared" si="3"/>
        <v>-62675</v>
      </c>
      <c r="AA71" s="61"/>
      <c r="AB71" s="64"/>
      <c r="AC71" s="61"/>
      <c r="AD71" s="66"/>
      <c r="AE71" s="61"/>
      <c r="AF71" s="52">
        <f t="shared" si="4"/>
        <v>-62675</v>
      </c>
      <c r="AG71" s="46">
        <f t="shared" si="5"/>
        <v>-27500</v>
      </c>
      <c r="AH71" s="51">
        <f t="shared" si="6"/>
        <v>-90175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09">
        <f>SUM(C7:C72)</f>
        <v>448710</v>
      </c>
      <c r="D73" s="109">
        <f t="shared" ref="D73:V73" si="11">SUM(D7:D72)</f>
        <v>75700</v>
      </c>
      <c r="E73" s="109">
        <f t="shared" si="11"/>
        <v>0</v>
      </c>
      <c r="F73" s="109">
        <f t="shared" si="11"/>
        <v>0</v>
      </c>
      <c r="G73" s="109">
        <f t="shared" si="11"/>
        <v>10400</v>
      </c>
      <c r="H73" s="27">
        <f t="shared" si="11"/>
        <v>0</v>
      </c>
      <c r="I73" s="109">
        <f t="shared" si="11"/>
        <v>0</v>
      </c>
      <c r="J73" s="109">
        <f t="shared" si="11"/>
        <v>0</v>
      </c>
      <c r="K73" s="109">
        <f t="shared" si="11"/>
        <v>0</v>
      </c>
      <c r="L73" s="109">
        <f t="shared" si="11"/>
        <v>0</v>
      </c>
      <c r="M73" s="109">
        <f t="shared" si="11"/>
        <v>0</v>
      </c>
      <c r="N73" s="109">
        <f t="shared" si="11"/>
        <v>0</v>
      </c>
      <c r="O73" s="109">
        <f t="shared" si="11"/>
        <v>4000</v>
      </c>
      <c r="P73" s="109">
        <f t="shared" si="11"/>
        <v>0</v>
      </c>
      <c r="Q73" s="109">
        <f t="shared" si="11"/>
        <v>14400</v>
      </c>
      <c r="R73" s="109">
        <f t="shared" si="11"/>
        <v>44825</v>
      </c>
      <c r="S73" s="109">
        <f t="shared" si="11"/>
        <v>479585</v>
      </c>
      <c r="T73" s="109">
        <f t="shared" si="11"/>
        <v>-273090</v>
      </c>
      <c r="U73" s="109">
        <f t="shared" si="11"/>
        <v>206495</v>
      </c>
      <c r="V73" s="109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-479585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-479585</v>
      </c>
      <c r="AG73" s="43">
        <f t="shared" si="12"/>
        <v>-273090</v>
      </c>
      <c r="AH73" s="43">
        <f t="shared" si="12"/>
        <v>-752675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14400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</f>
        <v>113140</v>
      </c>
      <c r="S74" s="179"/>
      <c r="T74" s="180">
        <f>R74+R75</f>
        <v>614835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75700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</f>
        <v>501695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44825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</f>
        <v>346035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</f>
        <v>56500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f>2140+9880+12320</f>
        <v>24340</v>
      </c>
      <c r="N77" s="40" t="s">
        <v>90</v>
      </c>
      <c r="O77" s="82">
        <v>0</v>
      </c>
      <c r="P77" s="40" t="s">
        <v>91</v>
      </c>
      <c r="Q77" s="40">
        <v>12000</v>
      </c>
      <c r="R77" s="165">
        <f>Q77+O77+M77+J77+F77</f>
        <v>92840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64600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25500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253195</v>
      </c>
      <c r="S80" s="165"/>
      <c r="T80" s="22"/>
      <c r="U80" s="22"/>
      <c r="V80" s="2"/>
      <c r="X80" s="63">
        <f>SUM(X77:X79)</f>
        <v>90100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11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0</v>
      </c>
      <c r="Q118" s="63">
        <f t="shared" si="14"/>
        <v>12020</v>
      </c>
      <c r="R118" s="63">
        <f t="shared" si="14"/>
        <v>56500</v>
      </c>
      <c r="S118" s="63"/>
      <c r="T118" s="63">
        <f>SUM(T87:T117)</f>
        <v>403915</v>
      </c>
      <c r="U118" s="63"/>
      <c r="V118" s="63">
        <f>SUM(V87:V117)</f>
        <v>113140</v>
      </c>
      <c r="W118" s="63">
        <f>SUM(W87:W117)</f>
        <v>501695</v>
      </c>
      <c r="X118" s="36">
        <f>SUM(V118:W118)</f>
        <v>614835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2" activePane="bottomRight" state="frozen"/>
      <selection activeCell="O32" sqref="O32"/>
      <selection pane="topRight" activeCell="O32" sqref="O32"/>
      <selection pane="bottomLeft" activeCell="O32" sqref="O32"/>
      <selection pane="bottomRight" activeCell="W25" sqref="W25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160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159</v>
      </c>
      <c r="P6" s="91" t="s">
        <v>157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13300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750</v>
      </c>
      <c r="S7" s="6">
        <f>C7+D7-R7</f>
        <v>12550</v>
      </c>
      <c r="T7" s="34">
        <v>-9150</v>
      </c>
      <c r="U7" s="6">
        <f>S7+T7</f>
        <v>3400</v>
      </c>
      <c r="V7" s="52"/>
      <c r="W7" s="57"/>
      <c r="X7" s="46"/>
      <c r="Y7" s="65"/>
      <c r="Z7" s="66">
        <f>W7-S7</f>
        <v>-12550</v>
      </c>
      <c r="AA7" s="65"/>
      <c r="AB7" s="67"/>
      <c r="AC7" s="65"/>
      <c r="AD7" s="47"/>
      <c r="AE7" s="61"/>
      <c r="AF7" s="52">
        <f>SUM(Y7:AE7)</f>
        <v>-12550</v>
      </c>
      <c r="AG7" s="46">
        <f>U7+AF7</f>
        <v>-9150</v>
      </c>
      <c r="AH7" s="51">
        <f>AG7-S7</f>
        <v>-21700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41350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200+1500</f>
        <v>1700</v>
      </c>
      <c r="S8" s="6">
        <f t="shared" ref="S8:S71" si="1">C8+D8-R8</f>
        <v>39650</v>
      </c>
      <c r="T8" s="6">
        <v>-24350</v>
      </c>
      <c r="U8" s="6">
        <f t="shared" ref="U8:U71" si="2">S8+T8</f>
        <v>15300</v>
      </c>
      <c r="V8" s="52"/>
      <c r="W8" s="57"/>
      <c r="X8" s="46"/>
      <c r="Y8" s="61"/>
      <c r="Z8" s="66">
        <f t="shared" ref="Z8:Z71" si="3">W8-S8</f>
        <v>-39650</v>
      </c>
      <c r="AA8" s="61"/>
      <c r="AB8" s="67"/>
      <c r="AC8" s="61"/>
      <c r="AD8" s="66"/>
      <c r="AE8" s="61"/>
      <c r="AF8" s="52">
        <f t="shared" ref="AF8:AF71" si="4">SUM(Y8:AE8)</f>
        <v>-39650</v>
      </c>
      <c r="AG8" s="46">
        <f t="shared" ref="AG8:AG71" si="5">U8+AF8</f>
        <v>-24350</v>
      </c>
      <c r="AH8" s="51">
        <f t="shared" ref="AH8:AH71" si="6">AG8-S8</f>
        <v>-64000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7450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>
        <v>1000</v>
      </c>
      <c r="S10" s="6">
        <f t="shared" si="1"/>
        <v>6450</v>
      </c>
      <c r="T10" s="6">
        <v>-5175</v>
      </c>
      <c r="U10" s="6">
        <f t="shared" si="2"/>
        <v>1275</v>
      </c>
      <c r="V10" s="52"/>
      <c r="W10" s="57"/>
      <c r="X10" s="46"/>
      <c r="Y10" s="61"/>
      <c r="Z10" s="66">
        <f t="shared" si="3"/>
        <v>-6450</v>
      </c>
      <c r="AA10" s="61"/>
      <c r="AB10" s="67"/>
      <c r="AC10" s="61"/>
      <c r="AD10" s="66"/>
      <c r="AE10" s="61"/>
      <c r="AF10" s="52">
        <f t="shared" si="4"/>
        <v>-6450</v>
      </c>
      <c r="AG10" s="46">
        <f t="shared" si="5"/>
        <v>-5175</v>
      </c>
      <c r="AH10" s="51">
        <f t="shared" si="6"/>
        <v>-11625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8950</v>
      </c>
      <c r="D11" s="6">
        <v>2000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1000+4000</f>
        <v>5000</v>
      </c>
      <c r="S11" s="6">
        <f t="shared" si="1"/>
        <v>5950</v>
      </c>
      <c r="T11" s="6">
        <v>-3750</v>
      </c>
      <c r="U11" s="6">
        <f t="shared" si="2"/>
        <v>2200</v>
      </c>
      <c r="V11" s="52"/>
      <c r="W11" s="57"/>
      <c r="X11" s="46"/>
      <c r="Y11" s="61"/>
      <c r="Z11" s="66">
        <f t="shared" si="3"/>
        <v>-5950</v>
      </c>
      <c r="AA11" s="61"/>
      <c r="AB11" s="67"/>
      <c r="AC11" s="61"/>
      <c r="AD11" s="66"/>
      <c r="AE11" s="61"/>
      <c r="AF11" s="52">
        <f t="shared" si="4"/>
        <v>-5950</v>
      </c>
      <c r="AG11" s="46">
        <f t="shared" si="5"/>
        <v>-3750</v>
      </c>
      <c r="AH11" s="51">
        <f t="shared" si="6"/>
        <v>-9700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2600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2000+500</f>
        <v>2500</v>
      </c>
      <c r="S12" s="6">
        <f t="shared" si="1"/>
        <v>100</v>
      </c>
      <c r="T12" s="6">
        <v>4700</v>
      </c>
      <c r="U12" s="6">
        <f t="shared" si="2"/>
        <v>4800</v>
      </c>
      <c r="V12" s="52"/>
      <c r="W12" s="57"/>
      <c r="X12" s="46"/>
      <c r="Y12" s="61"/>
      <c r="Z12" s="66">
        <f t="shared" si="3"/>
        <v>-100</v>
      </c>
      <c r="AA12" s="61"/>
      <c r="AB12" s="67"/>
      <c r="AC12" s="61"/>
      <c r="AD12" s="66"/>
      <c r="AE12" s="61"/>
      <c r="AF12" s="52">
        <f t="shared" si="4"/>
        <v>-100</v>
      </c>
      <c r="AG12" s="46">
        <f t="shared" si="5"/>
        <v>4700</v>
      </c>
      <c r="AH12" s="51">
        <f t="shared" si="6"/>
        <v>4600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37910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7000+2400+500+1000</f>
        <v>10900</v>
      </c>
      <c r="S14" s="6">
        <f t="shared" si="1"/>
        <v>27010</v>
      </c>
      <c r="T14" s="6">
        <v>-5760</v>
      </c>
      <c r="U14" s="6">
        <f t="shared" si="2"/>
        <v>21250</v>
      </c>
      <c r="V14" s="52"/>
      <c r="W14" s="57"/>
      <c r="X14" s="46"/>
      <c r="Y14" s="61"/>
      <c r="Z14" s="66">
        <f t="shared" si="3"/>
        <v>-27010</v>
      </c>
      <c r="AA14" s="61"/>
      <c r="AB14" s="66"/>
      <c r="AC14" s="61"/>
      <c r="AD14" s="66"/>
      <c r="AE14" s="61"/>
      <c r="AF14" s="52">
        <f t="shared" si="4"/>
        <v>-27010</v>
      </c>
      <c r="AG14" s="46">
        <f t="shared" si="5"/>
        <v>-5760</v>
      </c>
      <c r="AH14" s="51">
        <f t="shared" si="6"/>
        <v>-32770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17350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f>50+4000</f>
        <v>4050</v>
      </c>
      <c r="S16" s="6">
        <f t="shared" si="1"/>
        <v>13300</v>
      </c>
      <c r="T16" s="34">
        <v>-10050</v>
      </c>
      <c r="U16" s="6">
        <f t="shared" si="2"/>
        <v>3250</v>
      </c>
      <c r="V16" s="52"/>
      <c r="W16" s="57"/>
      <c r="X16" s="46"/>
      <c r="Y16" s="61"/>
      <c r="Z16" s="66">
        <f t="shared" si="3"/>
        <v>-13300</v>
      </c>
      <c r="AA16" s="61"/>
      <c r="AB16" s="67"/>
      <c r="AC16" s="61"/>
      <c r="AD16" s="47"/>
      <c r="AE16" s="61"/>
      <c r="AF16" s="52">
        <f t="shared" si="4"/>
        <v>-13300</v>
      </c>
      <c r="AG16" s="46">
        <f t="shared" si="5"/>
        <v>-10050</v>
      </c>
      <c r="AH16" s="51">
        <f t="shared" si="6"/>
        <v>-23350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18300</v>
      </c>
      <c r="D17" s="6">
        <v>5300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50+7000+7000</f>
        <v>14050</v>
      </c>
      <c r="S17" s="6">
        <f t="shared" si="1"/>
        <v>9550</v>
      </c>
      <c r="T17" s="6">
        <v>-5000</v>
      </c>
      <c r="U17" s="6">
        <f t="shared" si="2"/>
        <v>4550</v>
      </c>
      <c r="V17" s="52"/>
      <c r="W17" s="57"/>
      <c r="X17" s="46"/>
      <c r="Y17" s="61"/>
      <c r="Z17" s="66">
        <f t="shared" si="3"/>
        <v>-9550</v>
      </c>
      <c r="AA17" s="61"/>
      <c r="AB17" s="66"/>
      <c r="AC17" s="61"/>
      <c r="AD17" s="66"/>
      <c r="AE17" s="61"/>
      <c r="AF17" s="52">
        <f t="shared" si="4"/>
        <v>-9550</v>
      </c>
      <c r="AG17" s="46">
        <f t="shared" si="5"/>
        <v>-5000</v>
      </c>
      <c r="AH17" s="51">
        <f t="shared" si="6"/>
        <v>-14550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7">
        <f t="shared" si="0"/>
        <v>0</v>
      </c>
      <c r="R22" s="115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7">
        <f t="shared" si="0"/>
        <v>0</v>
      </c>
      <c r="R24" s="115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7">
        <f t="shared" si="0"/>
        <v>0</v>
      </c>
      <c r="R25" s="115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7">
        <f t="shared" si="0"/>
        <v>0</v>
      </c>
      <c r="R26" s="115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7">
        <f t="shared" si="0"/>
        <v>0</v>
      </c>
      <c r="R27" s="115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2560</v>
      </c>
      <c r="D28" s="6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7">
        <f t="shared" si="0"/>
        <v>0</v>
      </c>
      <c r="R28" s="115"/>
      <c r="S28" s="6">
        <f t="shared" si="1"/>
        <v>2560</v>
      </c>
      <c r="T28" s="6">
        <f>-40-100</f>
        <v>-140</v>
      </c>
      <c r="U28" s="6">
        <f t="shared" si="2"/>
        <v>2420</v>
      </c>
      <c r="V28" s="52"/>
      <c r="W28" s="57"/>
      <c r="X28" s="46"/>
      <c r="Y28" s="61"/>
      <c r="Z28" s="66">
        <f t="shared" si="3"/>
        <v>-2560</v>
      </c>
      <c r="AA28" s="61"/>
      <c r="AB28" s="67"/>
      <c r="AC28" s="61"/>
      <c r="AD28" s="66"/>
      <c r="AE28" s="61"/>
      <c r="AF28" s="52">
        <f t="shared" si="4"/>
        <v>-2560</v>
      </c>
      <c r="AG28" s="46">
        <f t="shared" si="5"/>
        <v>-140</v>
      </c>
      <c r="AH28" s="51">
        <f t="shared" si="6"/>
        <v>-2700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1820</v>
      </c>
      <c r="D29" s="6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7">
        <f t="shared" si="0"/>
        <v>0</v>
      </c>
      <c r="R29" s="115"/>
      <c r="S29" s="6">
        <f t="shared" si="1"/>
        <v>1820</v>
      </c>
      <c r="T29" s="6">
        <f>860+100</f>
        <v>960</v>
      </c>
      <c r="U29" s="6">
        <f t="shared" si="2"/>
        <v>2780</v>
      </c>
      <c r="V29" s="52"/>
      <c r="W29" s="57"/>
      <c r="X29" s="46"/>
      <c r="Y29" s="61"/>
      <c r="Z29" s="66">
        <f t="shared" si="3"/>
        <v>-1820</v>
      </c>
      <c r="AA29" s="61"/>
      <c r="AB29" s="67"/>
      <c r="AC29" s="61"/>
      <c r="AD29" s="66"/>
      <c r="AE29" s="61"/>
      <c r="AF29" s="52">
        <f t="shared" si="4"/>
        <v>-1820</v>
      </c>
      <c r="AG29" s="46">
        <f t="shared" si="5"/>
        <v>960</v>
      </c>
      <c r="AH29" s="51">
        <f t="shared" si="6"/>
        <v>-860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7">
        <f t="shared" si="0"/>
        <v>0</v>
      </c>
      <c r="R30" s="115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7">
        <f t="shared" si="0"/>
        <v>0</v>
      </c>
      <c r="R31" s="115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31220</v>
      </c>
      <c r="D32" s="6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6"/>
      <c r="P32" s="6"/>
      <c r="Q32" s="7">
        <f>SUM(E32:P32)</f>
        <v>0</v>
      </c>
      <c r="R32" s="115">
        <v>500</v>
      </c>
      <c r="S32" s="6">
        <f t="shared" si="1"/>
        <v>30720</v>
      </c>
      <c r="T32" s="6">
        <v>-18280</v>
      </c>
      <c r="U32" s="6">
        <f t="shared" si="2"/>
        <v>12440</v>
      </c>
      <c r="V32" s="52"/>
      <c r="W32" s="57"/>
      <c r="X32" s="46"/>
      <c r="Y32" s="61"/>
      <c r="Z32" s="66">
        <f t="shared" si="3"/>
        <v>-30720</v>
      </c>
      <c r="AA32" s="61"/>
      <c r="AB32" s="67"/>
      <c r="AC32" s="61"/>
      <c r="AD32" s="66"/>
      <c r="AE32" s="61"/>
      <c r="AF32" s="52">
        <f t="shared" si="4"/>
        <v>-30720</v>
      </c>
      <c r="AG32" s="46">
        <f t="shared" si="5"/>
        <v>-18280</v>
      </c>
      <c r="AH32" s="51">
        <f t="shared" si="6"/>
        <v>-49000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7">
        <f t="shared" si="0"/>
        <v>0</v>
      </c>
      <c r="R33" s="115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15"/>
      <c r="F34" s="115"/>
      <c r="G34" s="115"/>
      <c r="H34" s="115"/>
      <c r="I34" s="115"/>
      <c r="J34" s="115"/>
      <c r="K34" s="6"/>
      <c r="L34" s="115"/>
      <c r="M34" s="115"/>
      <c r="N34" s="115"/>
      <c r="O34" s="115"/>
      <c r="P34" s="115"/>
      <c r="Q34" s="7">
        <f t="shared" si="0"/>
        <v>0</v>
      </c>
      <c r="R34" s="115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15"/>
      <c r="F35" s="115"/>
      <c r="G35" s="115"/>
      <c r="H35" s="115"/>
      <c r="I35" s="115"/>
      <c r="J35" s="115"/>
      <c r="K35" s="6"/>
      <c r="L35" s="115"/>
      <c r="M35" s="115"/>
      <c r="N35" s="115"/>
      <c r="O35" s="115"/>
      <c r="P35" s="115"/>
      <c r="Q35" s="7">
        <f t="shared" si="0"/>
        <v>0</v>
      </c>
      <c r="R35" s="115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7">
        <f t="shared" si="0"/>
        <v>0</v>
      </c>
      <c r="R36" s="115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7">
        <f t="shared" si="0"/>
        <v>0</v>
      </c>
      <c r="R37" s="115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7">
        <f>SUM(E38:P38)</f>
        <v>0</v>
      </c>
      <c r="R38" s="115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7">
        <f>SUM(E39:P39)</f>
        <v>0</v>
      </c>
      <c r="R39" s="115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15"/>
      <c r="F40" s="115"/>
      <c r="G40" s="115"/>
      <c r="H40" s="27"/>
      <c r="I40" s="115"/>
      <c r="J40" s="115"/>
      <c r="K40" s="115"/>
      <c r="L40" s="115"/>
      <c r="M40" s="115"/>
      <c r="N40" s="115"/>
      <c r="O40" s="115"/>
      <c r="P40" s="115"/>
      <c r="Q40" s="7">
        <f>SUM(E40:P40)</f>
        <v>0</v>
      </c>
      <c r="R40" s="115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7">
        <f>SUM(E41:P41)</f>
        <v>0</v>
      </c>
      <c r="R41" s="115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7">
        <f>SUM(E42:P42)</f>
        <v>0</v>
      </c>
      <c r="R42" s="115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7">
        <f t="shared" si="0"/>
        <v>0</v>
      </c>
      <c r="R44" s="115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7">
        <f t="shared" si="0"/>
        <v>0</v>
      </c>
      <c r="R45" s="115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7">
        <f t="shared" si="0"/>
        <v>0</v>
      </c>
      <c r="R46" s="115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7">
        <f t="shared" si="0"/>
        <v>0</v>
      </c>
      <c r="R47" s="115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7">
        <f t="shared" si="0"/>
        <v>0</v>
      </c>
      <c r="R48" s="115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7">
        <f t="shared" si="0"/>
        <v>0</v>
      </c>
      <c r="R49" s="115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4550</v>
      </c>
      <c r="D50" s="6">
        <v>6000</v>
      </c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7">
        <f t="shared" si="0"/>
        <v>0</v>
      </c>
      <c r="R50" s="115">
        <v>1000</v>
      </c>
      <c r="S50" s="6">
        <f t="shared" si="1"/>
        <v>9550</v>
      </c>
      <c r="T50" s="6">
        <f>-12000+8615</f>
        <v>-3385</v>
      </c>
      <c r="U50" s="6">
        <f t="shared" si="2"/>
        <v>6165</v>
      </c>
      <c r="V50" s="52"/>
      <c r="W50" s="57"/>
      <c r="X50" s="46"/>
      <c r="Y50" s="61"/>
      <c r="Z50" s="66">
        <f t="shared" si="3"/>
        <v>-9550</v>
      </c>
      <c r="AA50" s="61"/>
      <c r="AB50" s="64"/>
      <c r="AC50" s="61"/>
      <c r="AD50" s="66"/>
      <c r="AE50" s="61"/>
      <c r="AF50" s="52">
        <f t="shared" si="4"/>
        <v>-9550</v>
      </c>
      <c r="AG50" s="46">
        <f t="shared" si="5"/>
        <v>-3385</v>
      </c>
      <c r="AH50" s="51">
        <f t="shared" si="6"/>
        <v>-12935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7">
        <f t="shared" si="0"/>
        <v>0</v>
      </c>
      <c r="R51" s="115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7">
        <f t="shared" si="0"/>
        <v>0</v>
      </c>
      <c r="R52" s="115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7">
        <f t="shared" si="0"/>
        <v>0</v>
      </c>
      <c r="R53" s="115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3875</v>
      </c>
      <c r="D54" s="6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7">
        <f t="shared" si="0"/>
        <v>0</v>
      </c>
      <c r="R54" s="115"/>
      <c r="S54" s="6">
        <f t="shared" si="1"/>
        <v>3875</v>
      </c>
      <c r="T54" s="6">
        <v>-2850</v>
      </c>
      <c r="U54" s="6">
        <f t="shared" si="2"/>
        <v>1025</v>
      </c>
      <c r="V54" s="52"/>
      <c r="W54" s="57"/>
      <c r="X54" s="46"/>
      <c r="Y54" s="61"/>
      <c r="Z54" s="66">
        <f t="shared" si="3"/>
        <v>-3875</v>
      </c>
      <c r="AA54" s="61"/>
      <c r="AB54" s="67"/>
      <c r="AC54" s="61"/>
      <c r="AD54" s="66"/>
      <c r="AE54" s="61"/>
      <c r="AF54" s="52">
        <f t="shared" si="4"/>
        <v>-3875</v>
      </c>
      <c r="AG54" s="46">
        <f t="shared" si="5"/>
        <v>-2850</v>
      </c>
      <c r="AH54" s="51">
        <f t="shared" si="6"/>
        <v>-6725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7">
        <f t="shared" si="0"/>
        <v>0</v>
      </c>
      <c r="R55" s="115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7">
        <f>SUM(E56:P56)</f>
        <v>0</v>
      </c>
      <c r="R56" s="115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7">
        <f t="shared" si="0"/>
        <v>0</v>
      </c>
      <c r="R61" s="115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7">
        <f t="shared" si="0"/>
        <v>0</v>
      </c>
      <c r="R62" s="114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7">
        <f t="shared" si="0"/>
        <v>0</v>
      </c>
      <c r="R63" s="114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7">
        <f t="shared" si="0"/>
        <v>0</v>
      </c>
      <c r="R64" s="114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7">
        <f t="shared" si="0"/>
        <v>0</v>
      </c>
      <c r="R65" s="114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13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1675</v>
      </c>
      <c r="D67" s="115">
        <v>1900</v>
      </c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7">
        <f t="shared" si="0"/>
        <v>0</v>
      </c>
      <c r="R67" s="115"/>
      <c r="S67" s="6">
        <f t="shared" si="1"/>
        <v>3575</v>
      </c>
      <c r="T67" s="6">
        <v>-1525</v>
      </c>
      <c r="U67" s="6">
        <f t="shared" si="2"/>
        <v>2050</v>
      </c>
      <c r="V67" s="52"/>
      <c r="W67" s="57"/>
      <c r="X67" s="46"/>
      <c r="Y67" s="61"/>
      <c r="Z67" s="66">
        <f t="shared" si="3"/>
        <v>-3575</v>
      </c>
      <c r="AA67" s="61"/>
      <c r="AB67" s="67"/>
      <c r="AC67" s="61"/>
      <c r="AD67" s="66"/>
      <c r="AE67" s="61"/>
      <c r="AF67" s="52">
        <f t="shared" si="4"/>
        <v>-3575</v>
      </c>
      <c r="AG67" s="46">
        <f t="shared" si="5"/>
        <v>-1525</v>
      </c>
      <c r="AH67" s="51">
        <f t="shared" si="6"/>
        <v>-5100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9200</v>
      </c>
      <c r="D68" s="115">
        <v>32500</v>
      </c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7">
        <f t="shared" si="0"/>
        <v>0</v>
      </c>
      <c r="R68" s="115"/>
      <c r="S68" s="6">
        <f t="shared" si="1"/>
        <v>41700</v>
      </c>
      <c r="T68" s="6">
        <v>0</v>
      </c>
      <c r="U68" s="6">
        <f t="shared" si="2"/>
        <v>41700</v>
      </c>
      <c r="V68" s="52"/>
      <c r="W68" s="57"/>
      <c r="X68" s="46"/>
      <c r="Y68" s="61"/>
      <c r="Z68" s="66">
        <f t="shared" si="3"/>
        <v>-41700</v>
      </c>
      <c r="AA68" s="61"/>
      <c r="AB68" s="67"/>
      <c r="AC68" s="61"/>
      <c r="AD68" s="66"/>
      <c r="AE68" s="61"/>
      <c r="AF68" s="52">
        <f t="shared" si="4"/>
        <v>-41700</v>
      </c>
      <c r="AG68" s="46">
        <f t="shared" si="5"/>
        <v>0</v>
      </c>
      <c r="AH68" s="51">
        <f t="shared" si="6"/>
        <v>-41700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34675</v>
      </c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7">
        <f t="shared" si="0"/>
        <v>0</v>
      </c>
      <c r="R69" s="115">
        <f>7000+1250+1000</f>
        <v>9250</v>
      </c>
      <c r="S69" s="6">
        <f t="shared" si="1"/>
        <v>25425</v>
      </c>
      <c r="T69" s="6">
        <v>-16950</v>
      </c>
      <c r="U69" s="6">
        <f t="shared" si="2"/>
        <v>8475</v>
      </c>
      <c r="V69" s="52"/>
      <c r="W69" s="57"/>
      <c r="X69" s="46"/>
      <c r="Y69" s="61"/>
      <c r="Z69" s="66">
        <f t="shared" si="3"/>
        <v>-25425</v>
      </c>
      <c r="AA69" s="61"/>
      <c r="AB69" s="64"/>
      <c r="AC69" s="61"/>
      <c r="AD69" s="66"/>
      <c r="AE69" s="61"/>
      <c r="AF69" s="52">
        <f t="shared" si="4"/>
        <v>-25425</v>
      </c>
      <c r="AG69" s="46">
        <f t="shared" si="5"/>
        <v>-16950</v>
      </c>
      <c r="AH69" s="51">
        <f t="shared" si="6"/>
        <v>-42375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17375</v>
      </c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7">
        <f t="shared" si="0"/>
        <v>0</v>
      </c>
      <c r="R70" s="115">
        <v>1000</v>
      </c>
      <c r="S70" s="6">
        <f t="shared" si="1"/>
        <v>16375</v>
      </c>
      <c r="T70" s="6">
        <v>-9425</v>
      </c>
      <c r="U70" s="6">
        <f t="shared" si="2"/>
        <v>6950</v>
      </c>
      <c r="V70" s="52"/>
      <c r="W70" s="57"/>
      <c r="X70" s="46"/>
      <c r="Y70" s="61"/>
      <c r="Z70" s="66">
        <f t="shared" si="3"/>
        <v>-16375</v>
      </c>
      <c r="AA70" s="61"/>
      <c r="AB70" s="67"/>
      <c r="AC70" s="61"/>
      <c r="AD70" s="66"/>
      <c r="AE70" s="61"/>
      <c r="AF70" s="52">
        <f t="shared" si="4"/>
        <v>-16375</v>
      </c>
      <c r="AG70" s="46">
        <f t="shared" si="5"/>
        <v>-9425</v>
      </c>
      <c r="AH70" s="51">
        <f t="shared" si="6"/>
        <v>-25800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62675</v>
      </c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7">
        <f t="shared" si="0"/>
        <v>0</v>
      </c>
      <c r="R71" s="115">
        <f>125+8000+500</f>
        <v>8625</v>
      </c>
      <c r="S71" s="6">
        <f t="shared" si="1"/>
        <v>54050</v>
      </c>
      <c r="T71" s="6">
        <v>-27500</v>
      </c>
      <c r="U71" s="6">
        <f t="shared" si="2"/>
        <v>26550</v>
      </c>
      <c r="V71" s="52"/>
      <c r="W71" s="57"/>
      <c r="X71" s="46"/>
      <c r="Y71" s="61"/>
      <c r="Z71" s="66">
        <f t="shared" si="3"/>
        <v>-54050</v>
      </c>
      <c r="AA71" s="61"/>
      <c r="AB71" s="64"/>
      <c r="AC71" s="61"/>
      <c r="AD71" s="66"/>
      <c r="AE71" s="61"/>
      <c r="AF71" s="52">
        <f t="shared" si="4"/>
        <v>-54050</v>
      </c>
      <c r="AG71" s="46">
        <f t="shared" si="5"/>
        <v>-27500</v>
      </c>
      <c r="AH71" s="51">
        <f t="shared" si="6"/>
        <v>-81550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15">
        <f>SUM(C7:C72)</f>
        <v>479585</v>
      </c>
      <c r="D73" s="115">
        <f t="shared" ref="D73:V73" si="11">SUM(D7:D72)</f>
        <v>47700</v>
      </c>
      <c r="E73" s="115">
        <f t="shared" si="11"/>
        <v>0</v>
      </c>
      <c r="F73" s="115">
        <f t="shared" si="11"/>
        <v>0</v>
      </c>
      <c r="G73" s="115">
        <f t="shared" si="11"/>
        <v>0</v>
      </c>
      <c r="H73" s="27">
        <f t="shared" si="11"/>
        <v>0</v>
      </c>
      <c r="I73" s="115">
        <f t="shared" si="11"/>
        <v>0</v>
      </c>
      <c r="J73" s="115">
        <f t="shared" si="11"/>
        <v>0</v>
      </c>
      <c r="K73" s="115">
        <f t="shared" si="11"/>
        <v>0</v>
      </c>
      <c r="L73" s="115">
        <f t="shared" si="11"/>
        <v>0</v>
      </c>
      <c r="M73" s="115">
        <f t="shared" si="11"/>
        <v>0</v>
      </c>
      <c r="N73" s="115">
        <f t="shared" si="11"/>
        <v>0</v>
      </c>
      <c r="O73" s="115">
        <f t="shared" si="11"/>
        <v>0</v>
      </c>
      <c r="P73" s="115">
        <f t="shared" si="11"/>
        <v>0</v>
      </c>
      <c r="Q73" s="115">
        <f t="shared" si="11"/>
        <v>0</v>
      </c>
      <c r="R73" s="115">
        <f t="shared" si="11"/>
        <v>60325</v>
      </c>
      <c r="S73" s="115">
        <f t="shared" si="11"/>
        <v>466960</v>
      </c>
      <c r="T73" s="115">
        <f t="shared" si="11"/>
        <v>-273090</v>
      </c>
      <c r="U73" s="115">
        <f t="shared" si="11"/>
        <v>193870</v>
      </c>
      <c r="V73" s="115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-466960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-466960</v>
      </c>
      <c r="AG73" s="43">
        <f t="shared" si="12"/>
        <v>-273090</v>
      </c>
      <c r="AH73" s="43">
        <f t="shared" si="12"/>
        <v>-740050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</f>
        <v>113140</v>
      </c>
      <c r="S74" s="179"/>
      <c r="T74" s="180">
        <f>R74+R75</f>
        <v>662535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47700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</f>
        <v>549395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60325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</f>
        <v>406360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</f>
        <v>68900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f>2140+9880+12320</f>
        <v>24340</v>
      </c>
      <c r="N77" s="40" t="s">
        <v>90</v>
      </c>
      <c r="O77" s="82">
        <v>0</v>
      </c>
      <c r="P77" s="40" t="s">
        <v>91</v>
      </c>
      <c r="Q77" s="40">
        <v>12000</v>
      </c>
      <c r="R77" s="165">
        <f>Q77+O77+M77+J77+F77</f>
        <v>105240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9200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38500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301120</v>
      </c>
      <c r="S80" s="165"/>
      <c r="T80" s="22"/>
      <c r="U80" s="22"/>
      <c r="V80" s="2"/>
      <c r="X80" s="63">
        <f>SUM(X77:X79)</f>
        <v>47700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12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0</v>
      </c>
      <c r="Q118" s="63">
        <f t="shared" si="14"/>
        <v>12020</v>
      </c>
      <c r="R118" s="63">
        <f t="shared" si="14"/>
        <v>68900</v>
      </c>
      <c r="S118" s="63"/>
      <c r="T118" s="63">
        <f>SUM(T87:T117)</f>
        <v>464240</v>
      </c>
      <c r="U118" s="63"/>
      <c r="V118" s="63">
        <f>SUM(V87:V117)</f>
        <v>113140</v>
      </c>
      <c r="W118" s="63">
        <f>SUM(W87:W117)</f>
        <v>549395</v>
      </c>
      <c r="X118" s="36">
        <f>SUM(V118:W118)</f>
        <v>662535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X20" sqref="X20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161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159</v>
      </c>
      <c r="P6" s="91" t="s">
        <v>157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12550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1000+1500</f>
        <v>2500</v>
      </c>
      <c r="S7" s="6">
        <f>C7+D7-R7</f>
        <v>10050</v>
      </c>
      <c r="T7" s="34">
        <v>-9150</v>
      </c>
      <c r="U7" s="6">
        <f>S7+T7</f>
        <v>900</v>
      </c>
      <c r="V7" s="52"/>
      <c r="W7" s="57"/>
      <c r="X7" s="46"/>
      <c r="Y7" s="65"/>
      <c r="Z7" s="66">
        <f>W7-S7</f>
        <v>-10050</v>
      </c>
      <c r="AA7" s="65"/>
      <c r="AB7" s="67"/>
      <c r="AC7" s="65"/>
      <c r="AD7" s="47"/>
      <c r="AE7" s="61"/>
      <c r="AF7" s="52">
        <f>SUM(Y7:AE7)</f>
        <v>-10050</v>
      </c>
      <c r="AG7" s="46">
        <f>U7+AF7</f>
        <v>-9150</v>
      </c>
      <c r="AH7" s="51">
        <f>AG7-S7</f>
        <v>-19200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39650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2000+2100</f>
        <v>4100</v>
      </c>
      <c r="S8" s="6">
        <f t="shared" ref="S8:S71" si="1">C8+D8-R8</f>
        <v>35550</v>
      </c>
      <c r="T8" s="6">
        <v>-24350</v>
      </c>
      <c r="U8" s="6">
        <f t="shared" ref="U8:U71" si="2">S8+T8</f>
        <v>11200</v>
      </c>
      <c r="V8" s="52"/>
      <c r="W8" s="57"/>
      <c r="X8" s="46"/>
      <c r="Y8" s="61"/>
      <c r="Z8" s="66">
        <f t="shared" ref="Z8:Z71" si="3">W8-S8</f>
        <v>-35550</v>
      </c>
      <c r="AA8" s="61"/>
      <c r="AB8" s="67"/>
      <c r="AC8" s="61"/>
      <c r="AD8" s="66"/>
      <c r="AE8" s="61"/>
      <c r="AF8" s="52">
        <f t="shared" ref="AF8:AF71" si="4">SUM(Y8:AE8)</f>
        <v>-35550</v>
      </c>
      <c r="AG8" s="46">
        <f t="shared" ref="AG8:AG71" si="5">U8+AF8</f>
        <v>-24350</v>
      </c>
      <c r="AH8" s="51">
        <f t="shared" ref="AH8:AH71" si="6">AG8-S8</f>
        <v>-59900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6450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>
        <v>500</v>
      </c>
      <c r="S10" s="6">
        <f t="shared" si="1"/>
        <v>5950</v>
      </c>
      <c r="T10" s="6">
        <v>-5175</v>
      </c>
      <c r="U10" s="6">
        <f t="shared" si="2"/>
        <v>775</v>
      </c>
      <c r="V10" s="52"/>
      <c r="W10" s="57"/>
      <c r="X10" s="46"/>
      <c r="Y10" s="61"/>
      <c r="Z10" s="66">
        <f t="shared" si="3"/>
        <v>-5950</v>
      </c>
      <c r="AA10" s="61"/>
      <c r="AB10" s="67"/>
      <c r="AC10" s="61"/>
      <c r="AD10" s="66"/>
      <c r="AE10" s="61"/>
      <c r="AF10" s="52">
        <f t="shared" si="4"/>
        <v>-5950</v>
      </c>
      <c r="AG10" s="46">
        <f t="shared" si="5"/>
        <v>-5175</v>
      </c>
      <c r="AH10" s="51">
        <f t="shared" si="6"/>
        <v>-11125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5950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500</v>
      </c>
      <c r="S11" s="6">
        <f t="shared" si="1"/>
        <v>5450</v>
      </c>
      <c r="T11" s="6">
        <v>-3750</v>
      </c>
      <c r="U11" s="6">
        <f t="shared" si="2"/>
        <v>1700</v>
      </c>
      <c r="V11" s="52"/>
      <c r="W11" s="57"/>
      <c r="X11" s="46"/>
      <c r="Y11" s="61"/>
      <c r="Z11" s="66">
        <f t="shared" si="3"/>
        <v>-5450</v>
      </c>
      <c r="AA11" s="61"/>
      <c r="AB11" s="67"/>
      <c r="AC11" s="61"/>
      <c r="AD11" s="66"/>
      <c r="AE11" s="61"/>
      <c r="AF11" s="52">
        <f t="shared" si="4"/>
        <v>-5450</v>
      </c>
      <c r="AG11" s="46">
        <f t="shared" si="5"/>
        <v>-3750</v>
      </c>
      <c r="AH11" s="51">
        <f t="shared" si="6"/>
        <v>-9200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100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1000+500</f>
        <v>1500</v>
      </c>
      <c r="S12" s="6">
        <f t="shared" si="1"/>
        <v>-1400</v>
      </c>
      <c r="T12" s="6">
        <v>4700</v>
      </c>
      <c r="U12" s="6">
        <f t="shared" si="2"/>
        <v>3300</v>
      </c>
      <c r="V12" s="52"/>
      <c r="W12" s="57"/>
      <c r="X12" s="46"/>
      <c r="Y12" s="61"/>
      <c r="Z12" s="66">
        <f t="shared" si="3"/>
        <v>1400</v>
      </c>
      <c r="AA12" s="61"/>
      <c r="AB12" s="67"/>
      <c r="AC12" s="61"/>
      <c r="AD12" s="66"/>
      <c r="AE12" s="61"/>
      <c r="AF12" s="52">
        <f t="shared" si="4"/>
        <v>1400</v>
      </c>
      <c r="AG12" s="46">
        <f t="shared" si="5"/>
        <v>4700</v>
      </c>
      <c r="AH12" s="51">
        <f t="shared" si="6"/>
        <v>6100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27010</v>
      </c>
      <c r="D14" s="6">
        <v>10400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6000+900+6000</f>
        <v>12900</v>
      </c>
      <c r="S14" s="6">
        <f t="shared" si="1"/>
        <v>24510</v>
      </c>
      <c r="T14" s="6">
        <v>-5760</v>
      </c>
      <c r="U14" s="6">
        <f t="shared" si="2"/>
        <v>18750</v>
      </c>
      <c r="V14" s="52"/>
      <c r="W14" s="57"/>
      <c r="X14" s="46"/>
      <c r="Y14" s="61"/>
      <c r="Z14" s="66">
        <f t="shared" si="3"/>
        <v>-24510</v>
      </c>
      <c r="AA14" s="61"/>
      <c r="AB14" s="66"/>
      <c r="AC14" s="61"/>
      <c r="AD14" s="66"/>
      <c r="AE14" s="61"/>
      <c r="AF14" s="52">
        <f t="shared" si="4"/>
        <v>-24510</v>
      </c>
      <c r="AG14" s="46">
        <f t="shared" si="5"/>
        <v>-5760</v>
      </c>
      <c r="AH14" s="51">
        <f t="shared" si="6"/>
        <v>-30270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13300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f>1000+500+100+1000</f>
        <v>2600</v>
      </c>
      <c r="S16" s="6">
        <f t="shared" si="1"/>
        <v>10700</v>
      </c>
      <c r="T16" s="34">
        <v>-10050</v>
      </c>
      <c r="U16" s="6">
        <f t="shared" si="2"/>
        <v>650</v>
      </c>
      <c r="V16" s="52"/>
      <c r="W16" s="57"/>
      <c r="X16" s="46"/>
      <c r="Y16" s="61"/>
      <c r="Z16" s="66">
        <f t="shared" si="3"/>
        <v>-10700</v>
      </c>
      <c r="AA16" s="61"/>
      <c r="AB16" s="67"/>
      <c r="AC16" s="61"/>
      <c r="AD16" s="47"/>
      <c r="AE16" s="61"/>
      <c r="AF16" s="52">
        <f t="shared" si="4"/>
        <v>-10700</v>
      </c>
      <c r="AG16" s="46">
        <f t="shared" si="5"/>
        <v>-10050</v>
      </c>
      <c r="AH16" s="51">
        <f t="shared" si="6"/>
        <v>-20750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9550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600+1000+500+1000</f>
        <v>3100</v>
      </c>
      <c r="S17" s="6">
        <f t="shared" si="1"/>
        <v>6450</v>
      </c>
      <c r="T17" s="6">
        <v>-5000</v>
      </c>
      <c r="U17" s="6">
        <f t="shared" si="2"/>
        <v>1450</v>
      </c>
      <c r="V17" s="52"/>
      <c r="W17" s="57"/>
      <c r="X17" s="46"/>
      <c r="Y17" s="61"/>
      <c r="Z17" s="66">
        <f t="shared" si="3"/>
        <v>-6450</v>
      </c>
      <c r="AA17" s="61"/>
      <c r="AB17" s="66"/>
      <c r="AC17" s="61"/>
      <c r="AD17" s="66"/>
      <c r="AE17" s="61"/>
      <c r="AF17" s="52">
        <f t="shared" si="4"/>
        <v>-6450</v>
      </c>
      <c r="AG17" s="46">
        <f t="shared" si="5"/>
        <v>-5000</v>
      </c>
      <c r="AH17" s="51">
        <f t="shared" si="6"/>
        <v>-11450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7">
        <f t="shared" si="0"/>
        <v>0</v>
      </c>
      <c r="R22" s="119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7">
        <f t="shared" si="0"/>
        <v>0</v>
      </c>
      <c r="R24" s="119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7">
        <f t="shared" si="0"/>
        <v>0</v>
      </c>
      <c r="R25" s="119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7">
        <f t="shared" si="0"/>
        <v>0</v>
      </c>
      <c r="R26" s="119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7">
        <f t="shared" si="0"/>
        <v>0</v>
      </c>
      <c r="R27" s="119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2560</v>
      </c>
      <c r="D28" s="6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7">
        <f t="shared" si="0"/>
        <v>0</v>
      </c>
      <c r="R28" s="119">
        <v>200</v>
      </c>
      <c r="S28" s="6">
        <f t="shared" si="1"/>
        <v>2360</v>
      </c>
      <c r="T28" s="6">
        <f>-40-100</f>
        <v>-140</v>
      </c>
      <c r="U28" s="6">
        <f t="shared" si="2"/>
        <v>2220</v>
      </c>
      <c r="V28" s="52"/>
      <c r="W28" s="57"/>
      <c r="X28" s="46"/>
      <c r="Y28" s="61"/>
      <c r="Z28" s="66">
        <f t="shared" si="3"/>
        <v>-2360</v>
      </c>
      <c r="AA28" s="61"/>
      <c r="AB28" s="67"/>
      <c r="AC28" s="61"/>
      <c r="AD28" s="66"/>
      <c r="AE28" s="61"/>
      <c r="AF28" s="52">
        <f t="shared" si="4"/>
        <v>-2360</v>
      </c>
      <c r="AG28" s="46">
        <f t="shared" si="5"/>
        <v>-140</v>
      </c>
      <c r="AH28" s="51">
        <f t="shared" si="6"/>
        <v>-2500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1820</v>
      </c>
      <c r="D29" s="6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7">
        <f t="shared" si="0"/>
        <v>0</v>
      </c>
      <c r="R29" s="119">
        <v>200</v>
      </c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7">
        <f t="shared" si="0"/>
        <v>0</v>
      </c>
      <c r="R30" s="119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7">
        <f t="shared" si="0"/>
        <v>0</v>
      </c>
      <c r="R31" s="119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30720</v>
      </c>
      <c r="D32" s="6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6"/>
      <c r="P32" s="6"/>
      <c r="Q32" s="7">
        <f>SUM(E32:P32)</f>
        <v>0</v>
      </c>
      <c r="R32" s="119"/>
      <c r="S32" s="6">
        <f t="shared" si="1"/>
        <v>30720</v>
      </c>
      <c r="T32" s="6">
        <v>-18280</v>
      </c>
      <c r="U32" s="6">
        <f t="shared" si="2"/>
        <v>12440</v>
      </c>
      <c r="V32" s="52"/>
      <c r="W32" s="57"/>
      <c r="X32" s="46"/>
      <c r="Y32" s="61"/>
      <c r="Z32" s="66">
        <f t="shared" si="3"/>
        <v>-30720</v>
      </c>
      <c r="AA32" s="61"/>
      <c r="AB32" s="67"/>
      <c r="AC32" s="61"/>
      <c r="AD32" s="66"/>
      <c r="AE32" s="61"/>
      <c r="AF32" s="52">
        <f t="shared" si="4"/>
        <v>-30720</v>
      </c>
      <c r="AG32" s="46">
        <f t="shared" si="5"/>
        <v>-18280</v>
      </c>
      <c r="AH32" s="51">
        <f t="shared" si="6"/>
        <v>-49000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7">
        <f t="shared" si="0"/>
        <v>0</v>
      </c>
      <c r="R33" s="119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19"/>
      <c r="F34" s="119"/>
      <c r="G34" s="119"/>
      <c r="H34" s="119"/>
      <c r="I34" s="119"/>
      <c r="J34" s="119"/>
      <c r="K34" s="6"/>
      <c r="L34" s="119"/>
      <c r="M34" s="119"/>
      <c r="N34" s="119"/>
      <c r="O34" s="119"/>
      <c r="P34" s="119"/>
      <c r="Q34" s="7">
        <f t="shared" si="0"/>
        <v>0</v>
      </c>
      <c r="R34" s="119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19"/>
      <c r="F35" s="119"/>
      <c r="G35" s="119"/>
      <c r="H35" s="119"/>
      <c r="I35" s="119"/>
      <c r="J35" s="119"/>
      <c r="K35" s="6"/>
      <c r="L35" s="119"/>
      <c r="M35" s="119"/>
      <c r="N35" s="119"/>
      <c r="O35" s="119"/>
      <c r="P35" s="119"/>
      <c r="Q35" s="7">
        <f t="shared" si="0"/>
        <v>0</v>
      </c>
      <c r="R35" s="119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7">
        <f t="shared" si="0"/>
        <v>0</v>
      </c>
      <c r="R36" s="119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7">
        <f t="shared" si="0"/>
        <v>0</v>
      </c>
      <c r="R37" s="119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7">
        <f>SUM(E38:P38)</f>
        <v>0</v>
      </c>
      <c r="R38" s="119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7">
        <f>SUM(E39:P39)</f>
        <v>0</v>
      </c>
      <c r="R39" s="119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19"/>
      <c r="F40" s="119"/>
      <c r="G40" s="119"/>
      <c r="H40" s="27"/>
      <c r="I40" s="119"/>
      <c r="J40" s="119"/>
      <c r="K40" s="119"/>
      <c r="L40" s="119"/>
      <c r="M40" s="119"/>
      <c r="N40" s="119"/>
      <c r="O40" s="119"/>
      <c r="P40" s="119"/>
      <c r="Q40" s="7">
        <f>SUM(E40:P40)</f>
        <v>0</v>
      </c>
      <c r="R40" s="119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7">
        <f>SUM(E41:P41)</f>
        <v>0</v>
      </c>
      <c r="R41" s="119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7">
        <f>SUM(E42:P42)</f>
        <v>0</v>
      </c>
      <c r="R42" s="119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7">
        <f t="shared" si="0"/>
        <v>0</v>
      </c>
      <c r="R44" s="119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7">
        <f t="shared" si="0"/>
        <v>0</v>
      </c>
      <c r="R45" s="119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7">
        <f t="shared" si="0"/>
        <v>0</v>
      </c>
      <c r="R46" s="119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7">
        <f t="shared" si="0"/>
        <v>0</v>
      </c>
      <c r="R47" s="119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7">
        <f t="shared" si="0"/>
        <v>0</v>
      </c>
      <c r="R48" s="119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7">
        <f t="shared" si="0"/>
        <v>0</v>
      </c>
      <c r="R49" s="119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9550</v>
      </c>
      <c r="D50" s="6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7">
        <f t="shared" si="0"/>
        <v>0</v>
      </c>
      <c r="R50" s="119"/>
      <c r="S50" s="6">
        <f t="shared" si="1"/>
        <v>9550</v>
      </c>
      <c r="T50" s="6">
        <f>-12000+8615</f>
        <v>-3385</v>
      </c>
      <c r="U50" s="6">
        <f t="shared" si="2"/>
        <v>6165</v>
      </c>
      <c r="V50" s="52"/>
      <c r="W50" s="57"/>
      <c r="X50" s="46"/>
      <c r="Y50" s="61"/>
      <c r="Z50" s="66">
        <f t="shared" si="3"/>
        <v>-9550</v>
      </c>
      <c r="AA50" s="61"/>
      <c r="AB50" s="64"/>
      <c r="AC50" s="61"/>
      <c r="AD50" s="66"/>
      <c r="AE50" s="61"/>
      <c r="AF50" s="52">
        <f t="shared" si="4"/>
        <v>-9550</v>
      </c>
      <c r="AG50" s="46">
        <f t="shared" si="5"/>
        <v>-3385</v>
      </c>
      <c r="AH50" s="51">
        <f t="shared" si="6"/>
        <v>-12935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7">
        <f t="shared" si="0"/>
        <v>0</v>
      </c>
      <c r="R51" s="119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7">
        <f t="shared" si="0"/>
        <v>0</v>
      </c>
      <c r="R52" s="119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7">
        <f t="shared" si="0"/>
        <v>0</v>
      </c>
      <c r="R53" s="119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3875</v>
      </c>
      <c r="D54" s="6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7">
        <f t="shared" si="0"/>
        <v>0</v>
      </c>
      <c r="R54" s="119"/>
      <c r="S54" s="6">
        <f t="shared" si="1"/>
        <v>3875</v>
      </c>
      <c r="T54" s="6">
        <v>-2850</v>
      </c>
      <c r="U54" s="6">
        <f t="shared" si="2"/>
        <v>1025</v>
      </c>
      <c r="V54" s="52"/>
      <c r="W54" s="57"/>
      <c r="X54" s="46"/>
      <c r="Y54" s="61"/>
      <c r="Z54" s="66">
        <f t="shared" si="3"/>
        <v>-3875</v>
      </c>
      <c r="AA54" s="61"/>
      <c r="AB54" s="67"/>
      <c r="AC54" s="61"/>
      <c r="AD54" s="66"/>
      <c r="AE54" s="61"/>
      <c r="AF54" s="52">
        <f t="shared" si="4"/>
        <v>-3875</v>
      </c>
      <c r="AG54" s="46">
        <f t="shared" si="5"/>
        <v>-2850</v>
      </c>
      <c r="AH54" s="51">
        <f t="shared" si="6"/>
        <v>-6725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7">
        <f t="shared" si="0"/>
        <v>0</v>
      </c>
      <c r="R55" s="119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7">
        <f>SUM(E56:P56)</f>
        <v>0</v>
      </c>
      <c r="R56" s="119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7">
        <f t="shared" si="0"/>
        <v>0</v>
      </c>
      <c r="R61" s="119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7">
        <f t="shared" si="0"/>
        <v>0</v>
      </c>
      <c r="R62" s="118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7">
        <f t="shared" si="0"/>
        <v>0</v>
      </c>
      <c r="R63" s="118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7">
        <f t="shared" si="0"/>
        <v>0</v>
      </c>
      <c r="R64" s="118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7">
        <f t="shared" si="0"/>
        <v>0</v>
      </c>
      <c r="R65" s="118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17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3575</v>
      </c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7">
        <f t="shared" si="0"/>
        <v>0</v>
      </c>
      <c r="R67" s="119">
        <f>225+500</f>
        <v>725</v>
      </c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41700</v>
      </c>
      <c r="D68" s="119">
        <f>48450+50000</f>
        <v>98450</v>
      </c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7">
        <f t="shared" si="0"/>
        <v>0</v>
      </c>
      <c r="R68" s="119"/>
      <c r="S68" s="6">
        <f t="shared" si="1"/>
        <v>140150</v>
      </c>
      <c r="T68" s="6">
        <v>0</v>
      </c>
      <c r="U68" s="6">
        <f t="shared" si="2"/>
        <v>140150</v>
      </c>
      <c r="V68" s="52"/>
      <c r="W68" s="57"/>
      <c r="X68" s="46"/>
      <c r="Y68" s="61"/>
      <c r="Z68" s="66">
        <f t="shared" si="3"/>
        <v>-140150</v>
      </c>
      <c r="AA68" s="61"/>
      <c r="AB68" s="67"/>
      <c r="AC68" s="61"/>
      <c r="AD68" s="66"/>
      <c r="AE68" s="61"/>
      <c r="AF68" s="52">
        <f t="shared" si="4"/>
        <v>-140150</v>
      </c>
      <c r="AG68" s="46">
        <f t="shared" si="5"/>
        <v>0</v>
      </c>
      <c r="AH68" s="51">
        <f t="shared" si="6"/>
        <v>-140150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v>25425</v>
      </c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7">
        <f t="shared" si="0"/>
        <v>0</v>
      </c>
      <c r="R69" s="119">
        <f>2000+3000</f>
        <v>5000</v>
      </c>
      <c r="S69" s="6">
        <f t="shared" si="1"/>
        <v>20425</v>
      </c>
      <c r="T69" s="6">
        <v>-16950</v>
      </c>
      <c r="U69" s="6">
        <f t="shared" si="2"/>
        <v>3475</v>
      </c>
      <c r="V69" s="52"/>
      <c r="W69" s="57"/>
      <c r="X69" s="46"/>
      <c r="Y69" s="61"/>
      <c r="Z69" s="66">
        <f t="shared" si="3"/>
        <v>-20425</v>
      </c>
      <c r="AA69" s="61"/>
      <c r="AB69" s="64"/>
      <c r="AC69" s="61"/>
      <c r="AD69" s="66"/>
      <c r="AE69" s="61"/>
      <c r="AF69" s="52">
        <f t="shared" si="4"/>
        <v>-20425</v>
      </c>
      <c r="AG69" s="46">
        <f t="shared" si="5"/>
        <v>-16950</v>
      </c>
      <c r="AH69" s="51">
        <f t="shared" si="6"/>
        <v>-37375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16375</v>
      </c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7">
        <f t="shared" si="0"/>
        <v>0</v>
      </c>
      <c r="R70" s="119">
        <f>250+500+2000</f>
        <v>2750</v>
      </c>
      <c r="S70" s="6">
        <f t="shared" si="1"/>
        <v>13625</v>
      </c>
      <c r="T70" s="6">
        <v>-9425</v>
      </c>
      <c r="U70" s="6">
        <f t="shared" si="2"/>
        <v>4200</v>
      </c>
      <c r="V70" s="52"/>
      <c r="W70" s="57"/>
      <c r="X70" s="46"/>
      <c r="Y70" s="61"/>
      <c r="Z70" s="66">
        <f t="shared" si="3"/>
        <v>-13625</v>
      </c>
      <c r="AA70" s="61"/>
      <c r="AB70" s="67"/>
      <c r="AC70" s="61"/>
      <c r="AD70" s="66"/>
      <c r="AE70" s="61"/>
      <c r="AF70" s="52">
        <f t="shared" si="4"/>
        <v>-13625</v>
      </c>
      <c r="AG70" s="46">
        <f t="shared" si="5"/>
        <v>-9425</v>
      </c>
      <c r="AH70" s="51">
        <f t="shared" si="6"/>
        <v>-23050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v>54050</v>
      </c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7">
        <f t="shared" si="0"/>
        <v>0</v>
      </c>
      <c r="R71" s="119">
        <f>1000+3000+2000</f>
        <v>6000</v>
      </c>
      <c r="S71" s="6">
        <f t="shared" si="1"/>
        <v>48050</v>
      </c>
      <c r="T71" s="6">
        <v>-27500</v>
      </c>
      <c r="U71" s="6">
        <f t="shared" si="2"/>
        <v>20550</v>
      </c>
      <c r="V71" s="52"/>
      <c r="W71" s="57"/>
      <c r="X71" s="46"/>
      <c r="Y71" s="61"/>
      <c r="Z71" s="66">
        <f t="shared" si="3"/>
        <v>-48050</v>
      </c>
      <c r="AA71" s="61"/>
      <c r="AB71" s="64"/>
      <c r="AC71" s="61"/>
      <c r="AD71" s="66"/>
      <c r="AE71" s="61"/>
      <c r="AF71" s="52">
        <f t="shared" si="4"/>
        <v>-48050</v>
      </c>
      <c r="AG71" s="46">
        <f t="shared" si="5"/>
        <v>-27500</v>
      </c>
      <c r="AH71" s="51">
        <f t="shared" si="6"/>
        <v>-75550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19">
        <f>SUM(C7:C72)</f>
        <v>466960</v>
      </c>
      <c r="D73" s="119">
        <f t="shared" ref="D73:V73" si="11">SUM(D7:D72)</f>
        <v>108850</v>
      </c>
      <c r="E73" s="119">
        <f t="shared" si="11"/>
        <v>0</v>
      </c>
      <c r="F73" s="119">
        <f t="shared" si="11"/>
        <v>0</v>
      </c>
      <c r="G73" s="119">
        <f t="shared" si="11"/>
        <v>0</v>
      </c>
      <c r="H73" s="27">
        <f t="shared" si="11"/>
        <v>0</v>
      </c>
      <c r="I73" s="119">
        <f t="shared" si="11"/>
        <v>0</v>
      </c>
      <c r="J73" s="119">
        <f t="shared" si="11"/>
        <v>0</v>
      </c>
      <c r="K73" s="119">
        <f t="shared" si="11"/>
        <v>0</v>
      </c>
      <c r="L73" s="119">
        <f t="shared" si="11"/>
        <v>0</v>
      </c>
      <c r="M73" s="119">
        <f t="shared" si="11"/>
        <v>0</v>
      </c>
      <c r="N73" s="119">
        <f t="shared" si="11"/>
        <v>0</v>
      </c>
      <c r="O73" s="119">
        <f t="shared" si="11"/>
        <v>0</v>
      </c>
      <c r="P73" s="119">
        <f t="shared" si="11"/>
        <v>0</v>
      </c>
      <c r="Q73" s="119">
        <f t="shared" si="11"/>
        <v>0</v>
      </c>
      <c r="R73" s="119">
        <f t="shared" si="11"/>
        <v>42575</v>
      </c>
      <c r="S73" s="119">
        <f t="shared" si="11"/>
        <v>533235</v>
      </c>
      <c r="T73" s="119">
        <f t="shared" si="11"/>
        <v>-273090</v>
      </c>
      <c r="U73" s="119">
        <f t="shared" si="11"/>
        <v>260145</v>
      </c>
      <c r="V73" s="119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-533235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-533235</v>
      </c>
      <c r="AG73" s="43">
        <f t="shared" si="12"/>
        <v>-273090</v>
      </c>
      <c r="AH73" s="43">
        <f t="shared" si="12"/>
        <v>-806325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</f>
        <v>113140</v>
      </c>
      <c r="S74" s="179"/>
      <c r="T74" s="180">
        <f>R74+R75</f>
        <v>771385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108850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</f>
        <v>658245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42575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</f>
        <v>448935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</f>
        <v>68900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f>2140+9880+12320</f>
        <v>24340</v>
      </c>
      <c r="N77" s="40" t="s">
        <v>90</v>
      </c>
      <c r="O77" s="82">
        <v>0</v>
      </c>
      <c r="P77" s="40" t="s">
        <v>91</v>
      </c>
      <c r="Q77" s="40">
        <v>12000</v>
      </c>
      <c r="R77" s="165">
        <f>Q77+O77+M77+J77+F77</f>
        <v>105240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48450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60400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343695</v>
      </c>
      <c r="S80" s="165"/>
      <c r="T80" s="22"/>
      <c r="U80" s="22"/>
      <c r="V80" s="2"/>
      <c r="X80" s="63">
        <f>SUM(X77:X79)</f>
        <v>108850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16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0</v>
      </c>
      <c r="Q118" s="63">
        <f t="shared" si="14"/>
        <v>12020</v>
      </c>
      <c r="R118" s="63">
        <f t="shared" si="14"/>
        <v>75900</v>
      </c>
      <c r="S118" s="63"/>
      <c r="T118" s="63">
        <f>SUM(T87:T117)</f>
        <v>506815</v>
      </c>
      <c r="U118" s="63"/>
      <c r="V118" s="63">
        <f>SUM(V87:V117)</f>
        <v>113140</v>
      </c>
      <c r="W118" s="63">
        <f>SUM(W87:W117)</f>
        <v>658245</v>
      </c>
      <c r="X118" s="36">
        <f>SUM(V118:W118)</f>
        <v>771385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F60" sqref="F60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6.664062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17" t="s">
        <v>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</row>
    <row r="2" spans="1:49" ht="7.8" customHeight="1">
      <c r="A2" s="218" t="s">
        <v>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</row>
    <row r="3" spans="1:49" ht="9.6" customHeight="1">
      <c r="A3" s="219" t="s">
        <v>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20" t="s">
        <v>162</v>
      </c>
      <c r="S4" s="220"/>
      <c r="T4" s="220"/>
      <c r="U4" s="220"/>
      <c r="V4" s="220"/>
      <c r="AG4" s="221" t="s">
        <v>116</v>
      </c>
      <c r="AH4" s="221"/>
    </row>
    <row r="5" spans="1:49" ht="9.6" customHeight="1">
      <c r="A5" s="190" t="s">
        <v>4</v>
      </c>
      <c r="B5" s="192" t="s">
        <v>5</v>
      </c>
      <c r="C5" s="194" t="s">
        <v>82</v>
      </c>
      <c r="D5" s="196" t="s">
        <v>6</v>
      </c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8"/>
      <c r="Q5" s="199" t="s">
        <v>0</v>
      </c>
      <c r="R5" s="213" t="s">
        <v>7</v>
      </c>
      <c r="S5" s="194" t="s">
        <v>83</v>
      </c>
      <c r="T5" s="194" t="s">
        <v>84</v>
      </c>
      <c r="U5" s="194" t="s">
        <v>85</v>
      </c>
      <c r="V5" s="215" t="s">
        <v>87</v>
      </c>
      <c r="W5" s="216" t="s">
        <v>134</v>
      </c>
      <c r="X5" s="50"/>
      <c r="Y5" s="186" t="s">
        <v>103</v>
      </c>
      <c r="Z5" s="186"/>
      <c r="AA5" s="186"/>
      <c r="AB5" s="186"/>
      <c r="AC5" s="186"/>
      <c r="AD5" s="186"/>
      <c r="AE5" s="186"/>
      <c r="AF5" s="186"/>
      <c r="AG5" s="187" t="s">
        <v>102</v>
      </c>
      <c r="AH5" s="188" t="s">
        <v>84</v>
      </c>
      <c r="AI5" s="44"/>
      <c r="AJ5" s="189"/>
      <c r="AK5" s="189"/>
      <c r="AL5" s="189"/>
      <c r="AM5" s="189"/>
      <c r="AN5" s="44"/>
      <c r="AO5" s="189"/>
      <c r="AP5" s="189"/>
      <c r="AQ5" s="189"/>
      <c r="AR5" s="189"/>
      <c r="AS5" s="44"/>
      <c r="AT5" s="189"/>
      <c r="AU5" s="189"/>
      <c r="AV5" s="189"/>
      <c r="AW5" s="189"/>
    </row>
    <row r="6" spans="1:49" ht="15.6" customHeight="1">
      <c r="A6" s="191"/>
      <c r="B6" s="193"/>
      <c r="C6" s="195"/>
      <c r="D6" s="21" t="s">
        <v>14</v>
      </c>
      <c r="E6" s="37" t="s">
        <v>130</v>
      </c>
      <c r="F6" s="37" t="s">
        <v>148</v>
      </c>
      <c r="G6" s="31" t="s">
        <v>18</v>
      </c>
      <c r="H6" s="31" t="s">
        <v>109</v>
      </c>
      <c r="I6" s="37" t="s">
        <v>138</v>
      </c>
      <c r="J6" s="37" t="s">
        <v>140</v>
      </c>
      <c r="K6" s="31" t="s">
        <v>123</v>
      </c>
      <c r="L6" s="37" t="s">
        <v>142</v>
      </c>
      <c r="M6" s="37" t="s">
        <v>147</v>
      </c>
      <c r="N6" s="37" t="s">
        <v>139</v>
      </c>
      <c r="O6" s="37" t="s">
        <v>159</v>
      </c>
      <c r="P6" s="91" t="s">
        <v>157</v>
      </c>
      <c r="Q6" s="200"/>
      <c r="R6" s="214"/>
      <c r="S6" s="195"/>
      <c r="T6" s="195"/>
      <c r="U6" s="195"/>
      <c r="V6" s="215"/>
      <c r="W6" s="216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187"/>
      <c r="AH6" s="188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01" t="s">
        <v>67</v>
      </c>
      <c r="B7" s="10" t="s">
        <v>19</v>
      </c>
      <c r="C7" s="32">
        <v>10050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10050</v>
      </c>
      <c r="T7" s="34">
        <v>-9150</v>
      </c>
      <c r="U7" s="6">
        <f>S7+T7</f>
        <v>900</v>
      </c>
      <c r="V7" s="52"/>
      <c r="W7" s="57"/>
      <c r="X7" s="46"/>
      <c r="Y7" s="65"/>
      <c r="Z7" s="66">
        <f>W7-S7</f>
        <v>-10050</v>
      </c>
      <c r="AA7" s="65"/>
      <c r="AB7" s="67"/>
      <c r="AC7" s="65"/>
      <c r="AD7" s="47"/>
      <c r="AE7" s="61"/>
      <c r="AF7" s="52">
        <f>SUM(Y7:AE7)</f>
        <v>-10050</v>
      </c>
      <c r="AG7" s="46">
        <f>U7+AF7</f>
        <v>-9150</v>
      </c>
      <c r="AH7" s="51">
        <f>AG7-S7</f>
        <v>-19200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02"/>
      <c r="B8" s="10" t="s">
        <v>20</v>
      </c>
      <c r="C8" s="32">
        <v>35550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35550</v>
      </c>
      <c r="T8" s="6">
        <v>-24350</v>
      </c>
      <c r="U8" s="6">
        <f t="shared" ref="U8:U71" si="2">S8+T8</f>
        <v>11200</v>
      </c>
      <c r="V8" s="52"/>
      <c r="W8" s="57"/>
      <c r="X8" s="46"/>
      <c r="Y8" s="61"/>
      <c r="Z8" s="66">
        <f t="shared" ref="Z8:Z71" si="3">W8-S8</f>
        <v>-35550</v>
      </c>
      <c r="AA8" s="61"/>
      <c r="AB8" s="67"/>
      <c r="AC8" s="61"/>
      <c r="AD8" s="66"/>
      <c r="AE8" s="61"/>
      <c r="AF8" s="52">
        <f t="shared" ref="AF8:AF71" si="4">SUM(Y8:AE8)</f>
        <v>-35550</v>
      </c>
      <c r="AG8" s="46">
        <f t="shared" ref="AG8:AG71" si="5">U8+AF8</f>
        <v>-24350</v>
      </c>
      <c r="AH8" s="51">
        <f t="shared" ref="AH8:AH71" si="6">AG8-S8</f>
        <v>-59900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02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02"/>
      <c r="B10" s="10" t="s">
        <v>22</v>
      </c>
      <c r="C10" s="32">
        <v>5950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5950</v>
      </c>
      <c r="T10" s="6">
        <v>-5175</v>
      </c>
      <c r="U10" s="6">
        <f t="shared" si="2"/>
        <v>775</v>
      </c>
      <c r="V10" s="52"/>
      <c r="W10" s="57"/>
      <c r="X10" s="46"/>
      <c r="Y10" s="61"/>
      <c r="Z10" s="66">
        <f t="shared" si="3"/>
        <v>-5950</v>
      </c>
      <c r="AA10" s="61"/>
      <c r="AB10" s="67"/>
      <c r="AC10" s="61"/>
      <c r="AD10" s="66"/>
      <c r="AE10" s="61"/>
      <c r="AF10" s="52">
        <f t="shared" si="4"/>
        <v>-5950</v>
      </c>
      <c r="AG10" s="46">
        <f t="shared" si="5"/>
        <v>-5175</v>
      </c>
      <c r="AH10" s="51">
        <f t="shared" si="6"/>
        <v>-11125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02"/>
      <c r="B11" s="10" t="s">
        <v>23</v>
      </c>
      <c r="C11" s="32">
        <v>5450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5450</v>
      </c>
      <c r="T11" s="6">
        <v>-3750</v>
      </c>
      <c r="U11" s="6">
        <f t="shared" si="2"/>
        <v>1700</v>
      </c>
      <c r="V11" s="52"/>
      <c r="W11" s="57"/>
      <c r="X11" s="46"/>
      <c r="Y11" s="61"/>
      <c r="Z11" s="66">
        <f t="shared" si="3"/>
        <v>-5450</v>
      </c>
      <c r="AA11" s="61"/>
      <c r="AB11" s="67"/>
      <c r="AC11" s="61"/>
      <c r="AD11" s="66"/>
      <c r="AE11" s="61"/>
      <c r="AF11" s="52">
        <f t="shared" si="4"/>
        <v>-5450</v>
      </c>
      <c r="AG11" s="46">
        <f t="shared" si="5"/>
        <v>-3750</v>
      </c>
      <c r="AH11" s="51">
        <f t="shared" si="6"/>
        <v>-9200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02"/>
      <c r="B12" s="10" t="s">
        <v>24</v>
      </c>
      <c r="C12" s="32">
        <v>-1400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1000+750</f>
        <v>1750</v>
      </c>
      <c r="S12" s="6">
        <f t="shared" si="1"/>
        <v>-3150</v>
      </c>
      <c r="T12" s="6">
        <v>4700</v>
      </c>
      <c r="U12" s="6">
        <f t="shared" si="2"/>
        <v>1550</v>
      </c>
      <c r="V12" s="52"/>
      <c r="W12" s="57"/>
      <c r="X12" s="46"/>
      <c r="Y12" s="61"/>
      <c r="Z12" s="66">
        <f t="shared" si="3"/>
        <v>3150</v>
      </c>
      <c r="AA12" s="61"/>
      <c r="AB12" s="67"/>
      <c r="AC12" s="61"/>
      <c r="AD12" s="66"/>
      <c r="AE12" s="61"/>
      <c r="AF12" s="52">
        <f t="shared" si="4"/>
        <v>3150</v>
      </c>
      <c r="AG12" s="46">
        <f t="shared" si="5"/>
        <v>4700</v>
      </c>
      <c r="AH12" s="51">
        <f t="shared" si="6"/>
        <v>7850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02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02"/>
      <c r="B14" s="10" t="s">
        <v>76</v>
      </c>
      <c r="C14" s="32">
        <v>24510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3000+1050+4350+1500</f>
        <v>9900</v>
      </c>
      <c r="S14" s="6">
        <f t="shared" si="1"/>
        <v>14610</v>
      </c>
      <c r="T14" s="6">
        <v>-5760</v>
      </c>
      <c r="U14" s="6">
        <f t="shared" si="2"/>
        <v>8850</v>
      </c>
      <c r="V14" s="52"/>
      <c r="W14" s="57"/>
      <c r="X14" s="46"/>
      <c r="Y14" s="61"/>
      <c r="Z14" s="66">
        <f t="shared" si="3"/>
        <v>-14610</v>
      </c>
      <c r="AA14" s="61"/>
      <c r="AB14" s="66"/>
      <c r="AC14" s="61"/>
      <c r="AD14" s="66"/>
      <c r="AE14" s="61"/>
      <c r="AF14" s="52">
        <f t="shared" si="4"/>
        <v>-14610</v>
      </c>
      <c r="AG14" s="46">
        <f t="shared" si="5"/>
        <v>-5760</v>
      </c>
      <c r="AH14" s="51">
        <f t="shared" si="6"/>
        <v>-20370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02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02"/>
      <c r="B16" s="10" t="s">
        <v>25</v>
      </c>
      <c r="C16" s="32">
        <v>10700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10700</v>
      </c>
      <c r="T16" s="34">
        <v>-10050</v>
      </c>
      <c r="U16" s="6">
        <f t="shared" si="2"/>
        <v>650</v>
      </c>
      <c r="V16" s="52"/>
      <c r="W16" s="57"/>
      <c r="X16" s="46"/>
      <c r="Y16" s="61"/>
      <c r="Z16" s="66">
        <f t="shared" si="3"/>
        <v>-10700</v>
      </c>
      <c r="AA16" s="61"/>
      <c r="AB16" s="67"/>
      <c r="AC16" s="61"/>
      <c r="AD16" s="47"/>
      <c r="AE16" s="61"/>
      <c r="AF16" s="52">
        <f t="shared" si="4"/>
        <v>-10700</v>
      </c>
      <c r="AG16" s="46">
        <f t="shared" si="5"/>
        <v>-10050</v>
      </c>
      <c r="AH16" s="51">
        <f t="shared" si="6"/>
        <v>-20750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02"/>
      <c r="B17" s="10" t="s">
        <v>26</v>
      </c>
      <c r="C17" s="32">
        <v>6450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6450</v>
      </c>
      <c r="T17" s="6">
        <v>-5000</v>
      </c>
      <c r="U17" s="6">
        <f t="shared" si="2"/>
        <v>1450</v>
      </c>
      <c r="V17" s="52"/>
      <c r="W17" s="57"/>
      <c r="X17" s="46"/>
      <c r="Y17" s="61"/>
      <c r="Z17" s="66">
        <f t="shared" si="3"/>
        <v>-6450</v>
      </c>
      <c r="AA17" s="61"/>
      <c r="AB17" s="66"/>
      <c r="AC17" s="61"/>
      <c r="AD17" s="66"/>
      <c r="AE17" s="61"/>
      <c r="AF17" s="52">
        <f t="shared" si="4"/>
        <v>-6450</v>
      </c>
      <c r="AG17" s="46">
        <f t="shared" si="5"/>
        <v>-5000</v>
      </c>
      <c r="AH17" s="51">
        <f t="shared" si="6"/>
        <v>-11450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03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04" t="s">
        <v>66</v>
      </c>
      <c r="B19" s="10" t="s">
        <v>47</v>
      </c>
      <c r="C19" s="32">
        <v>9400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9400</v>
      </c>
      <c r="T19" s="6">
        <v>-8940</v>
      </c>
      <c r="U19" s="6">
        <f t="shared" si="2"/>
        <v>460</v>
      </c>
      <c r="V19" s="52"/>
      <c r="W19" s="57"/>
      <c r="X19" s="46"/>
      <c r="Y19" s="61"/>
      <c r="Z19" s="66">
        <f t="shared" si="3"/>
        <v>-9400</v>
      </c>
      <c r="AA19" s="61"/>
      <c r="AB19" s="67"/>
      <c r="AC19" s="61"/>
      <c r="AD19" s="66"/>
      <c r="AE19" s="61"/>
      <c r="AF19" s="52">
        <f t="shared" si="4"/>
        <v>-9400</v>
      </c>
      <c r="AG19" s="46">
        <f t="shared" si="5"/>
        <v>-8940</v>
      </c>
      <c r="AH19" s="51">
        <f t="shared" si="6"/>
        <v>-18340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05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05"/>
      <c r="B21" s="10" t="s">
        <v>62</v>
      </c>
      <c r="C21" s="32">
        <v>1080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1080</v>
      </c>
      <c r="T21" s="6">
        <v>-1080</v>
      </c>
      <c r="U21" s="6">
        <f t="shared" si="2"/>
        <v>0</v>
      </c>
      <c r="V21" s="52"/>
      <c r="W21" s="57"/>
      <c r="X21" s="46"/>
      <c r="Y21" s="61"/>
      <c r="Z21" s="66">
        <f t="shared" si="3"/>
        <v>-1080</v>
      </c>
      <c r="AA21" s="61"/>
      <c r="AB21" s="67"/>
      <c r="AC21" s="61"/>
      <c r="AD21" s="66"/>
      <c r="AE21" s="61"/>
      <c r="AF21" s="52">
        <f t="shared" si="4"/>
        <v>-1080</v>
      </c>
      <c r="AG21" s="46">
        <f t="shared" si="5"/>
        <v>-1080</v>
      </c>
      <c r="AH21" s="51">
        <f t="shared" si="6"/>
        <v>-2160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05"/>
      <c r="B22" s="10" t="s">
        <v>114</v>
      </c>
      <c r="C22" s="32">
        <v>5040</v>
      </c>
      <c r="D22" s="6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">
        <f t="shared" si="0"/>
        <v>0</v>
      </c>
      <c r="R22" s="121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05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05"/>
      <c r="B24" s="28" t="s">
        <v>115</v>
      </c>
      <c r="C24" s="32">
        <v>0</v>
      </c>
      <c r="D24" s="6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7">
        <f t="shared" si="0"/>
        <v>0</v>
      </c>
      <c r="R24" s="121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05"/>
      <c r="B25" s="28" t="s">
        <v>36</v>
      </c>
      <c r="C25" s="32">
        <v>1820</v>
      </c>
      <c r="D25" s="6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7">
        <f t="shared" si="0"/>
        <v>0</v>
      </c>
      <c r="R25" s="121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05"/>
      <c r="B26" s="10" t="s">
        <v>61</v>
      </c>
      <c r="C26" s="32">
        <v>0</v>
      </c>
      <c r="D26" s="6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7">
        <f t="shared" si="0"/>
        <v>0</v>
      </c>
      <c r="R26" s="121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05"/>
      <c r="B27" s="29" t="s">
        <v>75</v>
      </c>
      <c r="C27" s="32">
        <v>5780</v>
      </c>
      <c r="D27" s="6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7">
        <f t="shared" si="0"/>
        <v>0</v>
      </c>
      <c r="R27" s="121"/>
      <c r="S27" s="6">
        <f t="shared" si="1"/>
        <v>5780</v>
      </c>
      <c r="T27" s="6">
        <v>-40</v>
      </c>
      <c r="U27" s="6">
        <f t="shared" si="2"/>
        <v>5740</v>
      </c>
      <c r="V27" s="52"/>
      <c r="W27" s="57"/>
      <c r="X27" s="46"/>
      <c r="Y27" s="61"/>
      <c r="Z27" s="66">
        <f t="shared" si="3"/>
        <v>-5780</v>
      </c>
      <c r="AA27" s="61"/>
      <c r="AB27" s="67"/>
      <c r="AC27" s="61"/>
      <c r="AD27" s="66"/>
      <c r="AE27" s="61"/>
      <c r="AF27" s="52">
        <f t="shared" si="4"/>
        <v>-5780</v>
      </c>
      <c r="AG27" s="46">
        <f t="shared" si="5"/>
        <v>-40</v>
      </c>
      <c r="AH27" s="51">
        <f t="shared" si="6"/>
        <v>-5820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05"/>
      <c r="B28" s="10" t="s">
        <v>59</v>
      </c>
      <c r="C28" s="32">
        <v>2360</v>
      </c>
      <c r="D28" s="6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7">
        <f t="shared" si="0"/>
        <v>0</v>
      </c>
      <c r="R28" s="121"/>
      <c r="S28" s="6">
        <f t="shared" si="1"/>
        <v>2360</v>
      </c>
      <c r="T28" s="6">
        <f>-40-100</f>
        <v>-140</v>
      </c>
      <c r="U28" s="6">
        <f t="shared" si="2"/>
        <v>2220</v>
      </c>
      <c r="V28" s="52"/>
      <c r="W28" s="57"/>
      <c r="X28" s="46"/>
      <c r="Y28" s="61"/>
      <c r="Z28" s="66">
        <f t="shared" si="3"/>
        <v>-2360</v>
      </c>
      <c r="AA28" s="61"/>
      <c r="AB28" s="67"/>
      <c r="AC28" s="61"/>
      <c r="AD28" s="66"/>
      <c r="AE28" s="61"/>
      <c r="AF28" s="52">
        <f t="shared" si="4"/>
        <v>-2360</v>
      </c>
      <c r="AG28" s="46">
        <f t="shared" si="5"/>
        <v>-140</v>
      </c>
      <c r="AH28" s="51">
        <f t="shared" si="6"/>
        <v>-2500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05"/>
      <c r="B29" s="10" t="s">
        <v>60</v>
      </c>
      <c r="C29" s="32">
        <v>1620</v>
      </c>
      <c r="D29" s="6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7">
        <f t="shared" si="0"/>
        <v>0</v>
      </c>
      <c r="R29" s="121"/>
      <c r="S29" s="6">
        <f t="shared" si="1"/>
        <v>1620</v>
      </c>
      <c r="T29" s="6">
        <f>860+100</f>
        <v>960</v>
      </c>
      <c r="U29" s="6">
        <f t="shared" si="2"/>
        <v>2580</v>
      </c>
      <c r="V29" s="52"/>
      <c r="W29" s="57"/>
      <c r="X29" s="46"/>
      <c r="Y29" s="61"/>
      <c r="Z29" s="66">
        <f t="shared" si="3"/>
        <v>-1620</v>
      </c>
      <c r="AA29" s="61"/>
      <c r="AB29" s="67"/>
      <c r="AC29" s="61"/>
      <c r="AD29" s="66"/>
      <c r="AE29" s="61"/>
      <c r="AF29" s="52">
        <f t="shared" si="4"/>
        <v>-1620</v>
      </c>
      <c r="AG29" s="46">
        <f t="shared" si="5"/>
        <v>960</v>
      </c>
      <c r="AH29" s="51">
        <f t="shared" si="6"/>
        <v>-660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05"/>
      <c r="B30" s="10" t="s">
        <v>54</v>
      </c>
      <c r="C30" s="32">
        <v>19370</v>
      </c>
      <c r="D30" s="6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7">
        <f t="shared" si="0"/>
        <v>0</v>
      </c>
      <c r="R30" s="121"/>
      <c r="S30" s="6">
        <f t="shared" si="1"/>
        <v>19370</v>
      </c>
      <c r="T30" s="6">
        <v>-18970</v>
      </c>
      <c r="U30" s="6">
        <f t="shared" si="2"/>
        <v>400</v>
      </c>
      <c r="V30" s="52"/>
      <c r="W30" s="57"/>
      <c r="X30" s="46"/>
      <c r="Y30" s="61"/>
      <c r="Z30" s="66">
        <f t="shared" si="3"/>
        <v>-19370</v>
      </c>
      <c r="AA30" s="61"/>
      <c r="AB30" s="67"/>
      <c r="AC30" s="61"/>
      <c r="AD30" s="66"/>
      <c r="AE30" s="61"/>
      <c r="AF30" s="52">
        <f t="shared" si="4"/>
        <v>-19370</v>
      </c>
      <c r="AG30" s="46">
        <f t="shared" si="5"/>
        <v>-18970</v>
      </c>
      <c r="AH30" s="51">
        <f t="shared" si="6"/>
        <v>-38340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05"/>
      <c r="B31" s="10" t="s">
        <v>55</v>
      </c>
      <c r="C31" s="32">
        <v>18140</v>
      </c>
      <c r="D31" s="6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7">
        <f t="shared" si="0"/>
        <v>0</v>
      </c>
      <c r="R31" s="121"/>
      <c r="S31" s="6">
        <f t="shared" si="1"/>
        <v>18140</v>
      </c>
      <c r="T31" s="6">
        <v>-17140</v>
      </c>
      <c r="U31" s="6">
        <f t="shared" si="2"/>
        <v>1000</v>
      </c>
      <c r="V31" s="52"/>
      <c r="W31" s="57"/>
      <c r="X31" s="46"/>
      <c r="Y31" s="61"/>
      <c r="Z31" s="66">
        <f t="shared" si="3"/>
        <v>-18140</v>
      </c>
      <c r="AA31" s="61"/>
      <c r="AB31" s="64"/>
      <c r="AC31" s="61"/>
      <c r="AD31" s="66"/>
      <c r="AE31" s="61"/>
      <c r="AF31" s="52">
        <f t="shared" si="4"/>
        <v>-18140</v>
      </c>
      <c r="AG31" s="46">
        <f t="shared" si="5"/>
        <v>-17140</v>
      </c>
      <c r="AH31" s="51">
        <f t="shared" si="6"/>
        <v>-35280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05"/>
      <c r="B32" s="10" t="s">
        <v>56</v>
      </c>
      <c r="C32" s="32">
        <v>30720</v>
      </c>
      <c r="D32" s="6"/>
      <c r="E32" s="121"/>
      <c r="F32" s="121"/>
      <c r="G32" s="121">
        <f>1340+2900</f>
        <v>4240</v>
      </c>
      <c r="H32" s="121"/>
      <c r="I32" s="121"/>
      <c r="J32" s="121"/>
      <c r="K32" s="121"/>
      <c r="L32" s="121"/>
      <c r="M32" s="121"/>
      <c r="N32" s="121"/>
      <c r="O32" s="6"/>
      <c r="P32" s="6"/>
      <c r="Q32" s="7">
        <f>SUM(E32:P32)</f>
        <v>4240</v>
      </c>
      <c r="R32" s="121">
        <v>500</v>
      </c>
      <c r="S32" s="6">
        <f t="shared" si="1"/>
        <v>30220</v>
      </c>
      <c r="T32" s="6">
        <v>-18280</v>
      </c>
      <c r="U32" s="6">
        <f t="shared" si="2"/>
        <v>11940</v>
      </c>
      <c r="V32" s="52"/>
      <c r="W32" s="57"/>
      <c r="X32" s="46"/>
      <c r="Y32" s="61"/>
      <c r="Z32" s="66">
        <f t="shared" si="3"/>
        <v>-30220</v>
      </c>
      <c r="AA32" s="61"/>
      <c r="AB32" s="67"/>
      <c r="AC32" s="61"/>
      <c r="AD32" s="66"/>
      <c r="AE32" s="61"/>
      <c r="AF32" s="52">
        <f t="shared" si="4"/>
        <v>-30220</v>
      </c>
      <c r="AG32" s="46">
        <f t="shared" si="5"/>
        <v>-18280</v>
      </c>
      <c r="AH32" s="51">
        <f t="shared" si="6"/>
        <v>-48500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05"/>
      <c r="B33" s="10" t="s">
        <v>86</v>
      </c>
      <c r="C33" s="32">
        <v>2560</v>
      </c>
      <c r="D33" s="6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7">
        <f t="shared" si="0"/>
        <v>0</v>
      </c>
      <c r="R33" s="121"/>
      <c r="S33" s="6">
        <f t="shared" si="1"/>
        <v>2560</v>
      </c>
      <c r="T33" s="6">
        <v>-600</v>
      </c>
      <c r="U33" s="6">
        <f t="shared" si="2"/>
        <v>1960</v>
      </c>
      <c r="V33" s="52"/>
      <c r="W33" s="57"/>
      <c r="X33" s="46"/>
      <c r="Y33" s="61"/>
      <c r="Z33" s="66">
        <f t="shared" si="3"/>
        <v>-2560</v>
      </c>
      <c r="AA33" s="61"/>
      <c r="AB33" s="67"/>
      <c r="AC33" s="61"/>
      <c r="AD33" s="66"/>
      <c r="AE33" s="61"/>
      <c r="AF33" s="52">
        <f t="shared" si="4"/>
        <v>-2560</v>
      </c>
      <c r="AG33" s="46">
        <f t="shared" si="5"/>
        <v>-600</v>
      </c>
      <c r="AH33" s="51">
        <f t="shared" si="6"/>
        <v>-3160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05"/>
      <c r="B34" s="10" t="s">
        <v>57</v>
      </c>
      <c r="C34" s="32">
        <v>1560</v>
      </c>
      <c r="D34" s="6"/>
      <c r="E34" s="121"/>
      <c r="F34" s="121"/>
      <c r="G34" s="121"/>
      <c r="H34" s="121"/>
      <c r="I34" s="121"/>
      <c r="J34" s="121"/>
      <c r="K34" s="6"/>
      <c r="L34" s="121"/>
      <c r="M34" s="121"/>
      <c r="N34" s="121"/>
      <c r="O34" s="121"/>
      <c r="P34" s="121"/>
      <c r="Q34" s="7">
        <f t="shared" si="0"/>
        <v>0</v>
      </c>
      <c r="R34" s="121"/>
      <c r="S34" s="6">
        <f t="shared" si="1"/>
        <v>1560</v>
      </c>
      <c r="T34" s="6">
        <v>2960</v>
      </c>
      <c r="U34" s="6">
        <f t="shared" si="2"/>
        <v>4520</v>
      </c>
      <c r="V34" s="52"/>
      <c r="W34" s="57"/>
      <c r="X34" s="46"/>
      <c r="Y34" s="61"/>
      <c r="Z34" s="66">
        <f t="shared" si="3"/>
        <v>-1560</v>
      </c>
      <c r="AA34" s="61"/>
      <c r="AB34" s="67"/>
      <c r="AC34" s="61"/>
      <c r="AD34" s="66"/>
      <c r="AE34" s="61"/>
      <c r="AF34" s="52">
        <f t="shared" si="4"/>
        <v>-1560</v>
      </c>
      <c r="AG34" s="46">
        <f t="shared" si="5"/>
        <v>2960</v>
      </c>
      <c r="AH34" s="51">
        <f t="shared" si="6"/>
        <v>1400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05"/>
      <c r="B35" s="10" t="s">
        <v>58</v>
      </c>
      <c r="C35" s="33">
        <v>3220</v>
      </c>
      <c r="D35" s="6"/>
      <c r="E35" s="121"/>
      <c r="F35" s="121"/>
      <c r="G35" s="121"/>
      <c r="H35" s="121"/>
      <c r="I35" s="121"/>
      <c r="J35" s="121"/>
      <c r="K35" s="6"/>
      <c r="L35" s="121"/>
      <c r="M35" s="121"/>
      <c r="N35" s="121"/>
      <c r="O35" s="121"/>
      <c r="P35" s="121"/>
      <c r="Q35" s="7">
        <f t="shared" si="0"/>
        <v>0</v>
      </c>
      <c r="R35" s="121"/>
      <c r="S35" s="6">
        <f t="shared" si="1"/>
        <v>3220</v>
      </c>
      <c r="T35" s="6">
        <v>-1760</v>
      </c>
      <c r="U35" s="6">
        <f t="shared" si="2"/>
        <v>1460</v>
      </c>
      <c r="V35" s="52"/>
      <c r="W35" s="57"/>
      <c r="X35" s="46"/>
      <c r="Y35" s="61"/>
      <c r="Z35" s="66">
        <f t="shared" si="3"/>
        <v>-3220</v>
      </c>
      <c r="AA35" s="61"/>
      <c r="AB35" s="67"/>
      <c r="AC35" s="61"/>
      <c r="AD35" s="66"/>
      <c r="AE35" s="61"/>
      <c r="AF35" s="52">
        <f t="shared" si="4"/>
        <v>-3220</v>
      </c>
      <c r="AG35" s="46">
        <f t="shared" si="5"/>
        <v>-1760</v>
      </c>
      <c r="AH35" s="51">
        <f t="shared" si="6"/>
        <v>-4980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05"/>
      <c r="B36" s="10" t="s">
        <v>51</v>
      </c>
      <c r="C36" s="32">
        <v>540</v>
      </c>
      <c r="D36" s="6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7">
        <f t="shared" si="0"/>
        <v>0</v>
      </c>
      <c r="R36" s="121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05"/>
      <c r="B37" s="10" t="s">
        <v>78</v>
      </c>
      <c r="C37" s="32">
        <v>10</v>
      </c>
      <c r="D37" s="6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7">
        <f t="shared" si="0"/>
        <v>0</v>
      </c>
      <c r="R37" s="121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05"/>
      <c r="B38" s="10" t="s">
        <v>50</v>
      </c>
      <c r="C38" s="32">
        <v>-2300</v>
      </c>
      <c r="D38" s="6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7">
        <f>SUM(E38:P38)</f>
        <v>0</v>
      </c>
      <c r="R38" s="121"/>
      <c r="S38" s="6">
        <f t="shared" si="1"/>
        <v>-2300</v>
      </c>
      <c r="T38" s="6">
        <v>2300</v>
      </c>
      <c r="U38" s="6">
        <f t="shared" si="2"/>
        <v>0</v>
      </c>
      <c r="V38" s="52"/>
      <c r="W38" s="57"/>
      <c r="X38" s="46"/>
      <c r="Y38" s="61"/>
      <c r="Z38" s="66">
        <f t="shared" si="3"/>
        <v>2300</v>
      </c>
      <c r="AA38" s="61"/>
      <c r="AB38" s="64"/>
      <c r="AC38" s="61"/>
      <c r="AD38" s="66"/>
      <c r="AE38" s="61"/>
      <c r="AF38" s="52">
        <f t="shared" si="4"/>
        <v>2300</v>
      </c>
      <c r="AG38" s="46">
        <f t="shared" si="5"/>
        <v>2300</v>
      </c>
      <c r="AH38" s="51">
        <f t="shared" si="6"/>
        <v>4600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05"/>
      <c r="B39" s="10" t="s">
        <v>49</v>
      </c>
      <c r="C39" s="32">
        <v>15760</v>
      </c>
      <c r="D39" s="6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7">
        <f>SUM(E39:P39)</f>
        <v>0</v>
      </c>
      <c r="R39" s="121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05"/>
      <c r="B40" s="10" t="s">
        <v>52</v>
      </c>
      <c r="C40" s="33">
        <v>520</v>
      </c>
      <c r="D40" s="6"/>
      <c r="E40" s="121"/>
      <c r="F40" s="121"/>
      <c r="G40" s="121"/>
      <c r="H40" s="27"/>
      <c r="I40" s="121"/>
      <c r="J40" s="121"/>
      <c r="K40" s="121"/>
      <c r="L40" s="121"/>
      <c r="M40" s="121"/>
      <c r="N40" s="121"/>
      <c r="O40" s="121"/>
      <c r="P40" s="121"/>
      <c r="Q40" s="7">
        <f>SUM(E40:P40)</f>
        <v>0</v>
      </c>
      <c r="R40" s="121"/>
      <c r="S40" s="6">
        <f t="shared" si="1"/>
        <v>520</v>
      </c>
      <c r="T40" s="6">
        <v>-520</v>
      </c>
      <c r="U40" s="6">
        <f t="shared" si="2"/>
        <v>0</v>
      </c>
      <c r="V40" s="52"/>
      <c r="W40" s="57"/>
      <c r="X40" s="46"/>
      <c r="Y40" s="61"/>
      <c r="Z40" s="66">
        <f t="shared" si="3"/>
        <v>-520</v>
      </c>
      <c r="AA40" s="61"/>
      <c r="AB40" s="67"/>
      <c r="AC40" s="61"/>
      <c r="AD40" s="66"/>
      <c r="AE40" s="61"/>
      <c r="AF40" s="52">
        <f t="shared" si="4"/>
        <v>-520</v>
      </c>
      <c r="AG40" s="46">
        <f t="shared" si="5"/>
        <v>-520</v>
      </c>
      <c r="AH40" s="51">
        <f t="shared" si="6"/>
        <v>-1040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05"/>
      <c r="B41" s="10" t="s">
        <v>88</v>
      </c>
      <c r="C41" s="32">
        <v>340</v>
      </c>
      <c r="D41" s="6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7">
        <f>SUM(E41:P41)</f>
        <v>0</v>
      </c>
      <c r="R41" s="121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05"/>
      <c r="B42" s="10" t="s">
        <v>53</v>
      </c>
      <c r="C42" s="32">
        <v>1920</v>
      </c>
      <c r="D42" s="6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7">
        <f>SUM(E42:P42)</f>
        <v>0</v>
      </c>
      <c r="R42" s="121"/>
      <c r="S42" s="6">
        <f t="shared" si="1"/>
        <v>1920</v>
      </c>
      <c r="T42" s="6">
        <v>-1920</v>
      </c>
      <c r="U42" s="6">
        <f t="shared" si="2"/>
        <v>0</v>
      </c>
      <c r="V42" s="52"/>
      <c r="W42" s="57"/>
      <c r="X42" s="46"/>
      <c r="Y42" s="61"/>
      <c r="Z42" s="66">
        <f t="shared" si="3"/>
        <v>-1920</v>
      </c>
      <c r="AA42" s="61"/>
      <c r="AB42" s="67"/>
      <c r="AC42" s="61"/>
      <c r="AD42" s="66"/>
      <c r="AE42" s="61"/>
      <c r="AF42" s="52">
        <f t="shared" si="4"/>
        <v>-1920</v>
      </c>
      <c r="AG42" s="46">
        <f t="shared" si="5"/>
        <v>-1920</v>
      </c>
      <c r="AH42" s="51">
        <f t="shared" si="6"/>
        <v>-3840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06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07" t="s">
        <v>68</v>
      </c>
      <c r="B44" s="10" t="s">
        <v>96</v>
      </c>
      <c r="C44" s="32">
        <v>900</v>
      </c>
      <c r="D44" s="6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7">
        <f t="shared" si="0"/>
        <v>0</v>
      </c>
      <c r="R44" s="121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08"/>
      <c r="B45" s="10" t="s">
        <v>37</v>
      </c>
      <c r="C45" s="32">
        <v>3100</v>
      </c>
      <c r="D45" s="6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7">
        <f t="shared" si="0"/>
        <v>0</v>
      </c>
      <c r="R45" s="121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08"/>
      <c r="B46" s="10" t="s">
        <v>113</v>
      </c>
      <c r="C46" s="32">
        <v>0</v>
      </c>
      <c r="D46" s="6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7">
        <f t="shared" si="0"/>
        <v>0</v>
      </c>
      <c r="R46" s="121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08"/>
      <c r="B47" s="10" t="s">
        <v>97</v>
      </c>
      <c r="C47" s="32">
        <v>1520</v>
      </c>
      <c r="D47" s="6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7">
        <f t="shared" si="0"/>
        <v>0</v>
      </c>
      <c r="R47" s="121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08"/>
      <c r="B48" s="10" t="s">
        <v>70</v>
      </c>
      <c r="C48" s="32">
        <v>1850</v>
      </c>
      <c r="D48" s="6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7">
        <f t="shared" si="0"/>
        <v>0</v>
      </c>
      <c r="R48" s="121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08"/>
      <c r="B49" s="10" t="s">
        <v>34</v>
      </c>
      <c r="C49" s="32">
        <v>2325</v>
      </c>
      <c r="D49" s="6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7">
        <f t="shared" si="0"/>
        <v>0</v>
      </c>
      <c r="R49" s="121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08"/>
      <c r="B50" s="10" t="s">
        <v>35</v>
      </c>
      <c r="C50" s="32">
        <v>9550</v>
      </c>
      <c r="D50" s="6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7">
        <f t="shared" si="0"/>
        <v>0</v>
      </c>
      <c r="R50" s="121"/>
      <c r="S50" s="6">
        <f t="shared" si="1"/>
        <v>9550</v>
      </c>
      <c r="T50" s="6">
        <f>-12000+8615</f>
        <v>-3385</v>
      </c>
      <c r="U50" s="6">
        <f t="shared" si="2"/>
        <v>6165</v>
      </c>
      <c r="V50" s="52"/>
      <c r="W50" s="57"/>
      <c r="X50" s="46"/>
      <c r="Y50" s="61"/>
      <c r="Z50" s="66">
        <f t="shared" si="3"/>
        <v>-9550</v>
      </c>
      <c r="AA50" s="61"/>
      <c r="AB50" s="64"/>
      <c r="AC50" s="61"/>
      <c r="AD50" s="66"/>
      <c r="AE50" s="61"/>
      <c r="AF50" s="52">
        <f t="shared" si="4"/>
        <v>-9550</v>
      </c>
      <c r="AG50" s="46">
        <f t="shared" si="5"/>
        <v>-3385</v>
      </c>
      <c r="AH50" s="51">
        <f t="shared" si="6"/>
        <v>-12935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08"/>
      <c r="B51" s="10" t="s">
        <v>30</v>
      </c>
      <c r="C51" s="32">
        <v>6310</v>
      </c>
      <c r="D51" s="6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7">
        <f t="shared" si="0"/>
        <v>0</v>
      </c>
      <c r="R51" s="121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08"/>
      <c r="B52" s="10" t="s">
        <v>31</v>
      </c>
      <c r="C52" s="32">
        <v>4410</v>
      </c>
      <c r="D52" s="6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7">
        <f t="shared" si="0"/>
        <v>0</v>
      </c>
      <c r="R52" s="121"/>
      <c r="S52" s="6">
        <f t="shared" si="1"/>
        <v>4410</v>
      </c>
      <c r="T52" s="6">
        <v>-2510</v>
      </c>
      <c r="U52" s="6">
        <f t="shared" si="2"/>
        <v>1900</v>
      </c>
      <c r="V52" s="52"/>
      <c r="W52" s="57"/>
      <c r="X52" s="46"/>
      <c r="Y52" s="61"/>
      <c r="Z52" s="66">
        <f t="shared" si="3"/>
        <v>-4410</v>
      </c>
      <c r="AA52" s="61"/>
      <c r="AB52" s="67"/>
      <c r="AC52" s="61"/>
      <c r="AD52" s="66"/>
      <c r="AE52" s="61"/>
      <c r="AF52" s="52">
        <f t="shared" si="4"/>
        <v>-4410</v>
      </c>
      <c r="AG52" s="46">
        <f t="shared" si="5"/>
        <v>-2510</v>
      </c>
      <c r="AH52" s="51">
        <f t="shared" si="6"/>
        <v>-6920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08"/>
      <c r="B53" s="10" t="s">
        <v>32</v>
      </c>
      <c r="C53" s="32">
        <v>12125</v>
      </c>
      <c r="D53" s="6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7">
        <f t="shared" si="0"/>
        <v>0</v>
      </c>
      <c r="R53" s="121"/>
      <c r="S53" s="6">
        <f t="shared" si="1"/>
        <v>12125</v>
      </c>
      <c r="T53" s="6">
        <v>-11550</v>
      </c>
      <c r="U53" s="6">
        <f t="shared" si="2"/>
        <v>575</v>
      </c>
      <c r="V53" s="52"/>
      <c r="W53" s="57"/>
      <c r="X53" s="46"/>
      <c r="Y53" s="61"/>
      <c r="Z53" s="66">
        <f t="shared" si="3"/>
        <v>-12125</v>
      </c>
      <c r="AA53" s="61"/>
      <c r="AB53" s="67"/>
      <c r="AC53" s="61"/>
      <c r="AD53" s="66"/>
      <c r="AE53" s="61"/>
      <c r="AF53" s="52">
        <f t="shared" si="4"/>
        <v>-12125</v>
      </c>
      <c r="AG53" s="46">
        <f t="shared" si="5"/>
        <v>-11550</v>
      </c>
      <c r="AH53" s="51">
        <f t="shared" si="6"/>
        <v>-23675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08"/>
      <c r="B54" s="10" t="s">
        <v>33</v>
      </c>
      <c r="C54" s="32">
        <v>3875</v>
      </c>
      <c r="D54" s="6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7">
        <f t="shared" si="0"/>
        <v>0</v>
      </c>
      <c r="R54" s="121"/>
      <c r="S54" s="6">
        <f t="shared" si="1"/>
        <v>3875</v>
      </c>
      <c r="T54" s="6">
        <v>-2850</v>
      </c>
      <c r="U54" s="6">
        <f t="shared" si="2"/>
        <v>1025</v>
      </c>
      <c r="V54" s="52"/>
      <c r="W54" s="57"/>
      <c r="X54" s="46"/>
      <c r="Y54" s="61"/>
      <c r="Z54" s="66">
        <f t="shared" si="3"/>
        <v>-3875</v>
      </c>
      <c r="AA54" s="61"/>
      <c r="AB54" s="67"/>
      <c r="AC54" s="61"/>
      <c r="AD54" s="66"/>
      <c r="AE54" s="61"/>
      <c r="AF54" s="52">
        <f t="shared" si="4"/>
        <v>-3875</v>
      </c>
      <c r="AG54" s="46">
        <f t="shared" si="5"/>
        <v>-2850</v>
      </c>
      <c r="AH54" s="51">
        <f t="shared" si="6"/>
        <v>-6725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08"/>
      <c r="B55" s="10" t="s">
        <v>79</v>
      </c>
      <c r="C55" s="32">
        <v>100</v>
      </c>
      <c r="D55" s="6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7">
        <f t="shared" si="0"/>
        <v>0</v>
      </c>
      <c r="R55" s="121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08"/>
      <c r="B56" s="10" t="s">
        <v>80</v>
      </c>
      <c r="C56" s="32">
        <v>0</v>
      </c>
      <c r="D56" s="6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7">
        <f>SUM(E56:P56)</f>
        <v>0</v>
      </c>
      <c r="R56" s="121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08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08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08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08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09"/>
      <c r="B61" s="10" t="s">
        <v>29</v>
      </c>
      <c r="C61" s="32">
        <v>1675</v>
      </c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7">
        <f t="shared" si="0"/>
        <v>0</v>
      </c>
      <c r="R61" s="121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10" t="s">
        <v>38</v>
      </c>
      <c r="B62" s="10" t="s">
        <v>39</v>
      </c>
      <c r="C62" s="32">
        <v>0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7">
        <f t="shared" si="0"/>
        <v>0</v>
      </c>
      <c r="R62" s="120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11"/>
      <c r="B63" s="10" t="s">
        <v>40</v>
      </c>
      <c r="C63" s="32">
        <v>2400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7">
        <f t="shared" si="0"/>
        <v>0</v>
      </c>
      <c r="R63" s="120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11"/>
      <c r="B64" s="10" t="s">
        <v>41</v>
      </c>
      <c r="C64" s="32">
        <v>0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7">
        <f t="shared" si="0"/>
        <v>0</v>
      </c>
      <c r="R64" s="120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12"/>
      <c r="B65" s="10" t="s">
        <v>42</v>
      </c>
      <c r="C65" s="32">
        <v>1675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7">
        <f t="shared" si="0"/>
        <v>0</v>
      </c>
      <c r="R65" s="120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22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07" t="s">
        <v>13</v>
      </c>
      <c r="B67" s="10" t="s">
        <v>43</v>
      </c>
      <c r="C67" s="32">
        <v>2850</v>
      </c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7">
        <f t="shared" si="0"/>
        <v>0</v>
      </c>
      <c r="R67" s="121"/>
      <c r="S67" s="6">
        <f t="shared" si="1"/>
        <v>2850</v>
      </c>
      <c r="T67" s="6">
        <v>-1525</v>
      </c>
      <c r="U67" s="6">
        <f t="shared" si="2"/>
        <v>1325</v>
      </c>
      <c r="V67" s="52"/>
      <c r="W67" s="57"/>
      <c r="X67" s="46"/>
      <c r="Y67" s="61"/>
      <c r="Z67" s="66">
        <f t="shared" si="3"/>
        <v>-2850</v>
      </c>
      <c r="AA67" s="61"/>
      <c r="AB67" s="67"/>
      <c r="AC67" s="61"/>
      <c r="AD67" s="66"/>
      <c r="AE67" s="61"/>
      <c r="AF67" s="52">
        <f t="shared" si="4"/>
        <v>-2850</v>
      </c>
      <c r="AG67" s="46">
        <f t="shared" si="5"/>
        <v>-1525</v>
      </c>
      <c r="AH67" s="51">
        <f t="shared" si="6"/>
        <v>-4375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08"/>
      <c r="B68" s="10" t="s">
        <v>149</v>
      </c>
      <c r="C68" s="32">
        <v>140150</v>
      </c>
      <c r="D68" s="121">
        <f>54000+57100</f>
        <v>111100</v>
      </c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7">
        <f t="shared" si="0"/>
        <v>0</v>
      </c>
      <c r="R68" s="121"/>
      <c r="S68" s="6">
        <f t="shared" si="1"/>
        <v>251250</v>
      </c>
      <c r="T68" s="6">
        <v>0</v>
      </c>
      <c r="U68" s="6">
        <f t="shared" si="2"/>
        <v>251250</v>
      </c>
      <c r="V68" s="52"/>
      <c r="W68" s="57"/>
      <c r="X68" s="46"/>
      <c r="Y68" s="61"/>
      <c r="Z68" s="66">
        <f t="shared" si="3"/>
        <v>-251250</v>
      </c>
      <c r="AA68" s="61"/>
      <c r="AB68" s="67"/>
      <c r="AC68" s="61"/>
      <c r="AD68" s="66"/>
      <c r="AE68" s="61"/>
      <c r="AF68" s="52">
        <f t="shared" si="4"/>
        <v>-251250</v>
      </c>
      <c r="AG68" s="46">
        <f t="shared" si="5"/>
        <v>0</v>
      </c>
      <c r="AH68" s="51">
        <f t="shared" si="6"/>
        <v>-251250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08"/>
      <c r="B69" s="10" t="s">
        <v>44</v>
      </c>
      <c r="C69" s="35">
        <f>20425+1175</f>
        <v>21600</v>
      </c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7">
        <f t="shared" si="0"/>
        <v>0</v>
      </c>
      <c r="R69" s="121">
        <f>250+250+4150</f>
        <v>4650</v>
      </c>
      <c r="S69" s="6">
        <f t="shared" si="1"/>
        <v>16950</v>
      </c>
      <c r="T69" s="6">
        <v>-16950</v>
      </c>
      <c r="U69" s="6">
        <f t="shared" si="2"/>
        <v>0</v>
      </c>
      <c r="V69" s="52"/>
      <c r="W69" s="57"/>
      <c r="X69" s="46"/>
      <c r="Y69" s="61"/>
      <c r="Z69" s="66">
        <f t="shared" si="3"/>
        <v>-16950</v>
      </c>
      <c r="AA69" s="61"/>
      <c r="AB69" s="64"/>
      <c r="AC69" s="61"/>
      <c r="AD69" s="66"/>
      <c r="AE69" s="61"/>
      <c r="AF69" s="52">
        <f t="shared" si="4"/>
        <v>-16950</v>
      </c>
      <c r="AG69" s="46">
        <f t="shared" si="5"/>
        <v>-16950</v>
      </c>
      <c r="AH69" s="51">
        <f t="shared" si="6"/>
        <v>-33900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08"/>
      <c r="B70" s="10" t="s">
        <v>45</v>
      </c>
      <c r="C70" s="35">
        <v>13625</v>
      </c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7">
        <f t="shared" si="0"/>
        <v>0</v>
      </c>
      <c r="R70" s="121"/>
      <c r="S70" s="6">
        <f t="shared" si="1"/>
        <v>13625</v>
      </c>
      <c r="T70" s="6">
        <v>-9425</v>
      </c>
      <c r="U70" s="6">
        <f t="shared" si="2"/>
        <v>4200</v>
      </c>
      <c r="V70" s="52"/>
      <c r="W70" s="57"/>
      <c r="X70" s="46"/>
      <c r="Y70" s="61"/>
      <c r="Z70" s="66">
        <f t="shared" si="3"/>
        <v>-13625</v>
      </c>
      <c r="AA70" s="61"/>
      <c r="AB70" s="67"/>
      <c r="AC70" s="61"/>
      <c r="AD70" s="66"/>
      <c r="AE70" s="61"/>
      <c r="AF70" s="52">
        <f t="shared" si="4"/>
        <v>-13625</v>
      </c>
      <c r="AG70" s="46">
        <f t="shared" si="5"/>
        <v>-9425</v>
      </c>
      <c r="AH70" s="51">
        <f t="shared" si="6"/>
        <v>-23050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09"/>
      <c r="B71" s="10" t="s">
        <v>46</v>
      </c>
      <c r="C71" s="35">
        <f>48050-1175</f>
        <v>46875</v>
      </c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7">
        <f t="shared" si="0"/>
        <v>0</v>
      </c>
      <c r="R71" s="121">
        <f>2000+750+500+10850</f>
        <v>14100</v>
      </c>
      <c r="S71" s="6">
        <f t="shared" si="1"/>
        <v>32775</v>
      </c>
      <c r="T71" s="6">
        <v>-27500</v>
      </c>
      <c r="U71" s="6">
        <f t="shared" si="2"/>
        <v>5275</v>
      </c>
      <c r="V71" s="52"/>
      <c r="W71" s="57"/>
      <c r="X71" s="46"/>
      <c r="Y71" s="61"/>
      <c r="Z71" s="66">
        <f t="shared" si="3"/>
        <v>-32775</v>
      </c>
      <c r="AA71" s="61"/>
      <c r="AB71" s="64"/>
      <c r="AC71" s="61"/>
      <c r="AD71" s="66"/>
      <c r="AE71" s="61"/>
      <c r="AF71" s="52">
        <f t="shared" si="4"/>
        <v>-32775</v>
      </c>
      <c r="AG71" s="46">
        <f t="shared" si="5"/>
        <v>-27500</v>
      </c>
      <c r="AH71" s="51">
        <f t="shared" si="6"/>
        <v>-60275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184" t="s">
        <v>15</v>
      </c>
      <c r="B72" s="185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173" t="s">
        <v>10</v>
      </c>
      <c r="B73" s="174"/>
      <c r="C73" s="121">
        <f>SUM(C7:C72)</f>
        <v>533235</v>
      </c>
      <c r="D73" s="121">
        <f t="shared" ref="D73:V73" si="11">SUM(D7:D72)</f>
        <v>111100</v>
      </c>
      <c r="E73" s="121">
        <f t="shared" si="11"/>
        <v>0</v>
      </c>
      <c r="F73" s="121">
        <f t="shared" si="11"/>
        <v>0</v>
      </c>
      <c r="G73" s="121">
        <f t="shared" si="11"/>
        <v>4240</v>
      </c>
      <c r="H73" s="27">
        <f t="shared" si="11"/>
        <v>0</v>
      </c>
      <c r="I73" s="121">
        <f t="shared" si="11"/>
        <v>0</v>
      </c>
      <c r="J73" s="121">
        <f t="shared" si="11"/>
        <v>0</v>
      </c>
      <c r="K73" s="121">
        <f t="shared" si="11"/>
        <v>0</v>
      </c>
      <c r="L73" s="121">
        <f t="shared" si="11"/>
        <v>0</v>
      </c>
      <c r="M73" s="121">
        <f t="shared" si="11"/>
        <v>0</v>
      </c>
      <c r="N73" s="121">
        <f t="shared" si="11"/>
        <v>0</v>
      </c>
      <c r="O73" s="121">
        <f t="shared" si="11"/>
        <v>0</v>
      </c>
      <c r="P73" s="121">
        <f t="shared" si="11"/>
        <v>0</v>
      </c>
      <c r="Q73" s="121">
        <f t="shared" si="11"/>
        <v>4240</v>
      </c>
      <c r="R73" s="121">
        <f t="shared" si="11"/>
        <v>30900</v>
      </c>
      <c r="S73" s="121">
        <f t="shared" si="11"/>
        <v>613435</v>
      </c>
      <c r="T73" s="121">
        <f t="shared" si="11"/>
        <v>-273090</v>
      </c>
      <c r="U73" s="121">
        <f t="shared" si="11"/>
        <v>340345</v>
      </c>
      <c r="V73" s="121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-613435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-613435</v>
      </c>
      <c r="AG73" s="43">
        <f t="shared" si="12"/>
        <v>-273090</v>
      </c>
      <c r="AH73" s="43">
        <f t="shared" si="12"/>
        <v>-886525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169" t="s">
        <v>16</v>
      </c>
      <c r="C74" s="175"/>
      <c r="D74" s="170"/>
      <c r="E74" s="176">
        <f>Q73</f>
        <v>4240</v>
      </c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8"/>
      <c r="R74" s="179">
        <f>12800+8740+39315+37885+14400+4240</f>
        <v>117380</v>
      </c>
      <c r="S74" s="179"/>
      <c r="T74" s="180">
        <f>R74+R75</f>
        <v>886725</v>
      </c>
      <c r="U74" s="181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169" t="s">
        <v>17</v>
      </c>
      <c r="C75" s="175"/>
      <c r="D75" s="170"/>
      <c r="E75" s="164">
        <f>D73</f>
        <v>111100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5">
        <f>124500+74250+83725+71820+71700+75700+47700+108850+111100</f>
        <v>769345</v>
      </c>
      <c r="S75" s="165"/>
      <c r="T75" s="182"/>
      <c r="U75" s="183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63" t="s">
        <v>12</v>
      </c>
      <c r="C76" s="163"/>
      <c r="D76" s="164">
        <f>R73</f>
        <v>30900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5">
        <f>80750+80950+66040+73470+44825+60325+42575+30900</f>
        <v>479835</v>
      </c>
      <c r="S76" s="165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169" t="s">
        <v>71</v>
      </c>
      <c r="C77" s="170"/>
      <c r="D77" s="171" t="s">
        <v>93</v>
      </c>
      <c r="E77" s="171"/>
      <c r="F77" s="172">
        <f>7500+11500+17500+13000+7000+12400+5850</f>
        <v>74750</v>
      </c>
      <c r="G77" s="172"/>
      <c r="H77" s="171" t="s">
        <v>128</v>
      </c>
      <c r="I77" s="171"/>
      <c r="J77" s="172">
        <v>0</v>
      </c>
      <c r="K77" s="172"/>
      <c r="L77" s="39" t="s">
        <v>89</v>
      </c>
      <c r="M77" s="40">
        <f>2140+9880+12320</f>
        <v>24340</v>
      </c>
      <c r="N77" s="40" t="s">
        <v>90</v>
      </c>
      <c r="O77" s="82">
        <v>0</v>
      </c>
      <c r="P77" s="40" t="s">
        <v>91</v>
      </c>
      <c r="Q77" s="40">
        <v>12000</v>
      </c>
      <c r="R77" s="165">
        <f>Q77+O77+M77+J77+F77</f>
        <v>111090</v>
      </c>
      <c r="S77" s="165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63" t="s">
        <v>11</v>
      </c>
      <c r="C78" s="1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5"/>
      <c r="S78" s="165"/>
      <c r="T78" s="22"/>
      <c r="U78" s="22"/>
      <c r="V78" s="2"/>
      <c r="X78" s="63">
        <v>60000</v>
      </c>
      <c r="AD78" s="68"/>
      <c r="AE78" s="69"/>
    </row>
    <row r="79" spans="1:49" ht="10.050000000000001" customHeight="1">
      <c r="A79" s="2"/>
      <c r="B79" s="163" t="s">
        <v>8</v>
      </c>
      <c r="C79" s="163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5"/>
      <c r="S79" s="165"/>
      <c r="T79" s="22"/>
      <c r="U79" s="22"/>
      <c r="V79" s="2"/>
      <c r="X79" s="63">
        <v>55340</v>
      </c>
      <c r="AD79" s="68"/>
      <c r="AE79" s="69"/>
    </row>
    <row r="80" spans="1:49" ht="10.050000000000001" customHeight="1">
      <c r="A80" s="2"/>
      <c r="B80" s="163" t="s">
        <v>9</v>
      </c>
      <c r="C80" s="163"/>
      <c r="D80" s="163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5">
        <f>R76-R77</f>
        <v>368745</v>
      </c>
      <c r="S80" s="165"/>
      <c r="T80" s="22"/>
      <c r="U80" s="22"/>
      <c r="V80" s="2"/>
      <c r="X80" s="63">
        <f>SUM(X77:X79)</f>
        <v>115340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66"/>
      <c r="K81" s="166"/>
      <c r="L81" s="3"/>
      <c r="M81" s="3"/>
      <c r="N81" s="3"/>
      <c r="O81" s="3"/>
      <c r="P81" s="167"/>
      <c r="Q81" s="167"/>
      <c r="R81" s="168"/>
      <c r="S81" s="168"/>
      <c r="T81" s="2"/>
      <c r="U81" s="2"/>
      <c r="V81" s="2"/>
      <c r="AD81" s="68"/>
      <c r="AE81" s="69"/>
    </row>
    <row r="82" spans="1:31" ht="19.2" customHeight="1">
      <c r="A82" s="2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61"/>
      <c r="K83" s="16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62" t="s">
        <v>74</v>
      </c>
      <c r="B84" s="162"/>
      <c r="C84" s="162" t="s">
        <v>136</v>
      </c>
      <c r="D84" s="162"/>
      <c r="E84" s="162"/>
      <c r="F84" s="162"/>
      <c r="G84" s="5"/>
      <c r="H84" s="162" t="s">
        <v>135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 t="s">
        <v>137</v>
      </c>
      <c r="S84" s="162"/>
      <c r="T84" s="162"/>
      <c r="U84" s="162"/>
      <c r="V84" s="162"/>
    </row>
    <row r="86" spans="1:31">
      <c r="O86" s="36" t="s">
        <v>144</v>
      </c>
      <c r="P86" s="36" t="s">
        <v>90</v>
      </c>
      <c r="Q86" s="36" t="s">
        <v>143</v>
      </c>
      <c r="R86" s="1" t="s">
        <v>141</v>
      </c>
      <c r="S86" s="36"/>
      <c r="T86" s="36" t="s">
        <v>7</v>
      </c>
      <c r="U86" s="36"/>
      <c r="V86" s="36" t="s">
        <v>124</v>
      </c>
      <c r="W86" s="123" t="s">
        <v>14</v>
      </c>
      <c r="X86" s="36" t="s">
        <v>0</v>
      </c>
      <c r="Z86" s="36" t="s">
        <v>145</v>
      </c>
      <c r="AA86" s="36" t="s">
        <v>146</v>
      </c>
    </row>
    <row r="87" spans="1:31">
      <c r="C87" s="63"/>
      <c r="O87" s="63"/>
      <c r="Q87" s="63"/>
      <c r="R87" s="36">
        <v>7500</v>
      </c>
      <c r="S87" s="36">
        <v>1</v>
      </c>
      <c r="T87" s="36">
        <v>80750</v>
      </c>
      <c r="U87" s="36">
        <v>1</v>
      </c>
      <c r="V87" s="36"/>
      <c r="W87" s="36">
        <v>124500</v>
      </c>
      <c r="X87" s="36">
        <f>SUM(V87:W87)</f>
        <v>124500</v>
      </c>
      <c r="Z87" s="36"/>
      <c r="AA87" s="36"/>
    </row>
    <row r="88" spans="1:31">
      <c r="B88" s="36"/>
      <c r="C88" s="36"/>
      <c r="O88" s="36">
        <v>12000</v>
      </c>
      <c r="R88" s="36">
        <v>11500</v>
      </c>
      <c r="S88" s="36">
        <v>2</v>
      </c>
      <c r="T88" s="36">
        <v>80950</v>
      </c>
      <c r="U88" s="36">
        <v>2</v>
      </c>
      <c r="V88" s="36">
        <v>12800</v>
      </c>
      <c r="W88" s="36">
        <v>74250</v>
      </c>
      <c r="X88" s="36">
        <f t="shared" ref="X88:X117" si="13">SUM(V88:W88)</f>
        <v>87050</v>
      </c>
      <c r="Z88" s="36"/>
      <c r="AA88" s="36"/>
    </row>
    <row r="89" spans="1:31">
      <c r="B89" s="36"/>
      <c r="Q89" s="63">
        <v>2140</v>
      </c>
      <c r="R89" s="36">
        <v>17500</v>
      </c>
      <c r="S89" s="36">
        <v>3</v>
      </c>
      <c r="T89" s="36">
        <v>66040</v>
      </c>
      <c r="U89" s="36">
        <v>3</v>
      </c>
      <c r="V89" s="36">
        <v>8740</v>
      </c>
      <c r="W89" s="36">
        <v>83725</v>
      </c>
      <c r="X89" s="36">
        <f t="shared" si="13"/>
        <v>92465</v>
      </c>
      <c r="Z89" s="36"/>
      <c r="AA89" s="36"/>
    </row>
    <row r="90" spans="1:31">
      <c r="B90" s="36"/>
      <c r="C90" s="36"/>
      <c r="Q90" s="63">
        <v>9880</v>
      </c>
      <c r="R90" s="36"/>
      <c r="S90" s="36">
        <v>4</v>
      </c>
      <c r="T90" s="36">
        <v>57880</v>
      </c>
      <c r="U90" s="36">
        <v>4</v>
      </c>
      <c r="V90" s="36">
        <v>39315</v>
      </c>
      <c r="W90" s="36">
        <v>71820</v>
      </c>
      <c r="X90" s="36">
        <f t="shared" si="13"/>
        <v>111135</v>
      </c>
      <c r="Z90" s="36"/>
      <c r="AA90" s="36"/>
    </row>
    <row r="91" spans="1:31">
      <c r="B91" s="36"/>
      <c r="C91" s="36"/>
      <c r="Q91" s="63"/>
      <c r="R91" s="36">
        <v>13000</v>
      </c>
      <c r="S91" s="36">
        <v>5</v>
      </c>
      <c r="T91" s="36">
        <v>73470</v>
      </c>
      <c r="U91" s="36">
        <v>5</v>
      </c>
      <c r="V91" s="83">
        <v>37885</v>
      </c>
      <c r="W91" s="83">
        <v>71700</v>
      </c>
      <c r="X91" s="36">
        <f t="shared" si="13"/>
        <v>109585</v>
      </c>
      <c r="Z91" s="36"/>
      <c r="AA91" s="36"/>
    </row>
    <row r="92" spans="1:31">
      <c r="B92" s="36"/>
      <c r="C92" s="36"/>
      <c r="Q92" s="63"/>
      <c r="R92" s="36">
        <v>7000</v>
      </c>
      <c r="S92" s="36">
        <v>6</v>
      </c>
      <c r="T92" s="36">
        <v>44825</v>
      </c>
      <c r="U92" s="36">
        <v>6</v>
      </c>
      <c r="V92" s="36">
        <v>14400</v>
      </c>
      <c r="W92" s="36">
        <v>75700</v>
      </c>
      <c r="X92" s="36">
        <f t="shared" si="13"/>
        <v>90100</v>
      </c>
      <c r="Z92" s="36"/>
      <c r="AA92" s="36"/>
    </row>
    <row r="93" spans="1:31">
      <c r="B93" s="36"/>
      <c r="C93" s="41"/>
      <c r="P93" s="36"/>
      <c r="Q93" s="36"/>
      <c r="R93" s="36">
        <v>12400</v>
      </c>
      <c r="S93" s="36">
        <v>7</v>
      </c>
      <c r="T93" s="36">
        <v>60325</v>
      </c>
      <c r="U93" s="36">
        <v>7</v>
      </c>
      <c r="V93" s="36"/>
      <c r="W93" s="36">
        <v>47700</v>
      </c>
      <c r="X93" s="36">
        <f t="shared" si="13"/>
        <v>47700</v>
      </c>
      <c r="Z93" s="36"/>
      <c r="AA93" s="36"/>
    </row>
    <row r="94" spans="1:31">
      <c r="B94" s="36"/>
      <c r="C94" s="36"/>
      <c r="O94" s="36"/>
      <c r="P94" s="36"/>
      <c r="Q94" s="36"/>
      <c r="R94" s="36">
        <v>7000</v>
      </c>
      <c r="S94" s="36">
        <v>8</v>
      </c>
      <c r="T94" s="36">
        <v>42575</v>
      </c>
      <c r="U94" s="36">
        <v>8</v>
      </c>
      <c r="V94" s="36"/>
      <c r="W94" s="36">
        <v>108850</v>
      </c>
      <c r="X94" s="36">
        <f t="shared" si="13"/>
        <v>108850</v>
      </c>
      <c r="Z94" s="36"/>
      <c r="AA94" s="36"/>
    </row>
    <row r="95" spans="1:31">
      <c r="B95" s="36"/>
      <c r="C95" s="36"/>
      <c r="O95" s="36"/>
      <c r="P95" s="36"/>
      <c r="Q95" s="36"/>
      <c r="R95" s="36">
        <v>5850</v>
      </c>
      <c r="S95" s="36">
        <v>9</v>
      </c>
      <c r="T95" s="36">
        <v>30900</v>
      </c>
      <c r="U95" s="36">
        <v>9</v>
      </c>
      <c r="V95" s="36">
        <v>4240</v>
      </c>
      <c r="W95" s="36">
        <v>111100</v>
      </c>
      <c r="X95" s="36">
        <f t="shared" si="13"/>
        <v>115340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63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  <c r="Y117" s="36"/>
    </row>
    <row r="118" spans="15:27">
      <c r="O118" s="63">
        <f t="shared" ref="O118:R118" si="14">SUM(O87:O117)</f>
        <v>12000</v>
      </c>
      <c r="P118" s="63">
        <f t="shared" si="14"/>
        <v>0</v>
      </c>
      <c r="Q118" s="63">
        <f t="shared" si="14"/>
        <v>12020</v>
      </c>
      <c r="R118" s="63">
        <f t="shared" si="14"/>
        <v>81750</v>
      </c>
      <c r="S118" s="63"/>
      <c r="T118" s="63">
        <f>SUM(T87:T117)</f>
        <v>537715</v>
      </c>
      <c r="U118" s="63"/>
      <c r="V118" s="63">
        <f>SUM(V87:V117)</f>
        <v>117380</v>
      </c>
      <c r="W118" s="63">
        <f>SUM(W87:W117)</f>
        <v>769345</v>
      </c>
      <c r="X118" s="36">
        <f>SUM(V118:W118)</f>
        <v>886725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01.12.19</vt:lpstr>
      <vt:lpstr>02.12.19</vt:lpstr>
      <vt:lpstr>03.12.19</vt:lpstr>
      <vt:lpstr>04.12.19</vt:lpstr>
      <vt:lpstr>05.12.19</vt:lpstr>
      <vt:lpstr>06.12.19</vt:lpstr>
      <vt:lpstr>07.12.19</vt:lpstr>
      <vt:lpstr>08.12.19</vt:lpstr>
      <vt:lpstr>09.12.19</vt:lpstr>
      <vt:lpstr>10.12.19</vt:lpstr>
      <vt:lpstr>11.12.19</vt:lpstr>
      <vt:lpstr>12.12.19</vt:lpstr>
      <vt:lpstr>13.12.19</vt:lpstr>
      <vt:lpstr>14.12.19</vt:lpstr>
      <vt:lpstr>15.12.19</vt:lpstr>
      <vt:lpstr>16.12.19</vt:lpstr>
      <vt:lpstr>17.12.19</vt:lpstr>
      <vt:lpstr>18.12.19</vt:lpstr>
      <vt:lpstr>19.12.19</vt:lpstr>
      <vt:lpstr>20.12.19</vt:lpstr>
      <vt:lpstr>21.12.19</vt:lpstr>
      <vt:lpstr>Statement</vt:lpstr>
      <vt:lpstr>Variance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ASUS-KG</dc:creator>
  <cp:lastModifiedBy>KFINV</cp:lastModifiedBy>
  <cp:lastPrinted>2019-06-01T11:22:45Z</cp:lastPrinted>
  <dcterms:created xsi:type="dcterms:W3CDTF">2017-04-10T17:04:55Z</dcterms:created>
  <dcterms:modified xsi:type="dcterms:W3CDTF">2019-12-22T07:32:19Z</dcterms:modified>
</cp:coreProperties>
</file>