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uwy-my.sharepoint.com/personal/kgiri_uwyo_edu/Documents/Desktop/Fall2023/IntroToAI4550/Project/Project/COSC4550_COSC5550Project/Code/"/>
    </mc:Choice>
  </mc:AlternateContent>
  <xr:revisionPtr revIDLastSave="1" documentId="13_ncr:1_{56CD567D-DC02-824A-939F-F4FF86288163}" xr6:coauthVersionLast="47" xr6:coauthVersionMax="47" xr10:uidLastSave="{F60985F6-778C-4EE4-A6E7-788EAE9F1CC7}"/>
  <bookViews>
    <workbookView xWindow="-98" yWindow="-98" windowWidth="20715" windowHeight="13155" xr2:uid="{00000000-000D-0000-FFFF-FFFF00000000}"/>
  </bookViews>
  <sheets>
    <sheet name="Sheet 1 - WyomingElectricConsum" sheetId="1" r:id="rId1"/>
    <sheet name="Electricity Cost By County" sheetId="2" r:id="rId2"/>
    <sheet name="Generation By Pla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4" i="1" l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J242" i="1"/>
  <c r="I242" i="1"/>
  <c r="G242" i="1"/>
  <c r="F242" i="1"/>
  <c r="E242" i="1"/>
  <c r="J241" i="1"/>
  <c r="I241" i="1"/>
  <c r="G241" i="1"/>
  <c r="F241" i="1"/>
  <c r="E241" i="1"/>
  <c r="J240" i="1"/>
  <c r="I240" i="1"/>
  <c r="G240" i="1"/>
  <c r="F240" i="1"/>
  <c r="E240" i="1"/>
  <c r="J239" i="1"/>
  <c r="I239" i="1"/>
  <c r="G239" i="1"/>
  <c r="F239" i="1"/>
  <c r="E239" i="1"/>
  <c r="J238" i="1"/>
  <c r="I238" i="1"/>
  <c r="G238" i="1"/>
  <c r="F238" i="1"/>
  <c r="E238" i="1"/>
  <c r="J237" i="1"/>
  <c r="I237" i="1"/>
  <c r="G237" i="1"/>
  <c r="F237" i="1"/>
  <c r="E237" i="1"/>
  <c r="J236" i="1"/>
  <c r="I236" i="1"/>
  <c r="G236" i="1"/>
  <c r="F236" i="1"/>
  <c r="E236" i="1"/>
  <c r="J235" i="1"/>
  <c r="I235" i="1"/>
  <c r="G235" i="1"/>
  <c r="F235" i="1"/>
  <c r="E235" i="1"/>
  <c r="J234" i="1"/>
  <c r="I234" i="1"/>
  <c r="G234" i="1"/>
  <c r="F234" i="1"/>
  <c r="E234" i="1"/>
  <c r="J233" i="1"/>
  <c r="I233" i="1"/>
  <c r="G233" i="1"/>
  <c r="F233" i="1"/>
  <c r="E233" i="1"/>
  <c r="J232" i="1"/>
  <c r="I232" i="1"/>
  <c r="G232" i="1"/>
  <c r="F232" i="1"/>
  <c r="E232" i="1"/>
  <c r="J231" i="1"/>
  <c r="I231" i="1"/>
  <c r="G231" i="1"/>
  <c r="F231" i="1"/>
  <c r="E231" i="1"/>
  <c r="K230" i="1"/>
  <c r="G230" i="1"/>
  <c r="F230" i="1"/>
  <c r="E230" i="1"/>
  <c r="K229" i="1"/>
  <c r="G229" i="1"/>
  <c r="F229" i="1"/>
  <c r="E229" i="1"/>
  <c r="K228" i="1"/>
  <c r="G228" i="1"/>
  <c r="F228" i="1"/>
  <c r="E228" i="1"/>
  <c r="K227" i="1"/>
  <c r="G227" i="1"/>
  <c r="F227" i="1"/>
  <c r="E227" i="1"/>
  <c r="K226" i="1"/>
  <c r="G226" i="1"/>
  <c r="F226" i="1"/>
  <c r="E226" i="1"/>
  <c r="K225" i="1"/>
  <c r="G225" i="1"/>
  <c r="F225" i="1"/>
  <c r="E225" i="1"/>
  <c r="K224" i="1"/>
  <c r="G224" i="1"/>
  <c r="F224" i="1"/>
  <c r="E224" i="1"/>
  <c r="K223" i="1"/>
  <c r="G223" i="1"/>
  <c r="F223" i="1"/>
  <c r="E223" i="1"/>
  <c r="K222" i="1"/>
  <c r="G222" i="1"/>
  <c r="F222" i="1"/>
  <c r="E222" i="1"/>
  <c r="K221" i="1"/>
  <c r="G221" i="1"/>
  <c r="F221" i="1"/>
  <c r="E221" i="1"/>
  <c r="K220" i="1"/>
  <c r="G220" i="1"/>
  <c r="F220" i="1"/>
  <c r="E220" i="1"/>
  <c r="K219" i="1"/>
  <c r="G219" i="1"/>
  <c r="F219" i="1"/>
  <c r="E219" i="1"/>
  <c r="K218" i="1"/>
  <c r="I218" i="1"/>
  <c r="H218" i="1"/>
  <c r="G218" i="1"/>
  <c r="F218" i="1"/>
  <c r="E218" i="1"/>
  <c r="K217" i="1"/>
  <c r="I217" i="1"/>
  <c r="H217" i="1"/>
  <c r="G217" i="1"/>
  <c r="F217" i="1"/>
  <c r="E217" i="1"/>
  <c r="K216" i="1"/>
  <c r="I216" i="1"/>
  <c r="H216" i="1"/>
  <c r="G216" i="1"/>
  <c r="F216" i="1"/>
  <c r="E216" i="1"/>
  <c r="K215" i="1"/>
  <c r="I215" i="1"/>
  <c r="H215" i="1"/>
  <c r="G215" i="1"/>
  <c r="F215" i="1"/>
  <c r="E215" i="1"/>
  <c r="K214" i="1"/>
  <c r="I214" i="1"/>
  <c r="H214" i="1"/>
  <c r="G214" i="1"/>
  <c r="F214" i="1"/>
  <c r="E214" i="1"/>
  <c r="K213" i="1"/>
  <c r="I213" i="1"/>
  <c r="H213" i="1"/>
  <c r="G213" i="1"/>
  <c r="F213" i="1"/>
  <c r="E213" i="1"/>
  <c r="K212" i="1"/>
  <c r="I212" i="1"/>
  <c r="H212" i="1"/>
  <c r="G212" i="1"/>
  <c r="F212" i="1"/>
  <c r="E212" i="1"/>
  <c r="K211" i="1"/>
  <c r="I211" i="1"/>
  <c r="H211" i="1"/>
  <c r="G211" i="1"/>
  <c r="F211" i="1"/>
  <c r="E211" i="1"/>
  <c r="K210" i="1"/>
  <c r="I210" i="1"/>
  <c r="H210" i="1"/>
  <c r="G210" i="1"/>
  <c r="F210" i="1"/>
  <c r="E210" i="1"/>
  <c r="K209" i="1"/>
  <c r="I209" i="1"/>
  <c r="H209" i="1"/>
  <c r="G209" i="1"/>
  <c r="F209" i="1"/>
  <c r="E209" i="1"/>
  <c r="K208" i="1"/>
  <c r="I208" i="1"/>
  <c r="H208" i="1"/>
  <c r="G208" i="1"/>
  <c r="F208" i="1"/>
  <c r="E208" i="1"/>
  <c r="K207" i="1"/>
  <c r="I207" i="1"/>
  <c r="H207" i="1"/>
  <c r="G207" i="1"/>
  <c r="F207" i="1"/>
  <c r="E207" i="1"/>
  <c r="K206" i="1"/>
  <c r="I206" i="1"/>
  <c r="H206" i="1"/>
  <c r="G206" i="1"/>
  <c r="F206" i="1"/>
  <c r="E206" i="1"/>
  <c r="K205" i="1"/>
  <c r="I205" i="1"/>
  <c r="H205" i="1"/>
  <c r="G205" i="1"/>
  <c r="F205" i="1"/>
  <c r="E205" i="1"/>
  <c r="K204" i="1"/>
  <c r="I204" i="1"/>
  <c r="H204" i="1"/>
  <c r="G204" i="1"/>
  <c r="F204" i="1"/>
  <c r="E204" i="1"/>
  <c r="K203" i="1"/>
  <c r="I203" i="1"/>
  <c r="H203" i="1"/>
  <c r="G203" i="1"/>
  <c r="F203" i="1"/>
  <c r="E203" i="1"/>
  <c r="K202" i="1"/>
  <c r="I202" i="1"/>
  <c r="H202" i="1"/>
  <c r="G202" i="1"/>
  <c r="F202" i="1"/>
  <c r="E202" i="1"/>
  <c r="K201" i="1"/>
  <c r="I201" i="1"/>
  <c r="H201" i="1"/>
  <c r="G201" i="1"/>
  <c r="F201" i="1"/>
  <c r="E201" i="1"/>
  <c r="K200" i="1"/>
  <c r="I200" i="1"/>
  <c r="H200" i="1"/>
  <c r="G200" i="1"/>
  <c r="F200" i="1"/>
  <c r="E200" i="1"/>
  <c r="K199" i="1"/>
  <c r="I199" i="1"/>
  <c r="H199" i="1"/>
  <c r="G199" i="1"/>
  <c r="F199" i="1"/>
  <c r="E199" i="1"/>
  <c r="K198" i="1"/>
  <c r="I198" i="1"/>
  <c r="H198" i="1"/>
  <c r="G198" i="1"/>
  <c r="F198" i="1"/>
  <c r="E198" i="1"/>
  <c r="K197" i="1"/>
  <c r="I197" i="1"/>
  <c r="H197" i="1"/>
  <c r="G197" i="1"/>
  <c r="F197" i="1"/>
  <c r="E197" i="1"/>
  <c r="K196" i="1"/>
  <c r="I196" i="1"/>
  <c r="H196" i="1"/>
  <c r="G196" i="1"/>
  <c r="F196" i="1"/>
  <c r="E196" i="1"/>
  <c r="K195" i="1"/>
  <c r="I195" i="1"/>
  <c r="H195" i="1"/>
  <c r="G195" i="1"/>
  <c r="F195" i="1"/>
  <c r="E195" i="1"/>
  <c r="K194" i="1"/>
  <c r="I194" i="1"/>
  <c r="H194" i="1"/>
  <c r="G194" i="1"/>
  <c r="F194" i="1"/>
  <c r="E194" i="1"/>
  <c r="K193" i="1"/>
  <c r="I193" i="1"/>
  <c r="H193" i="1"/>
  <c r="G193" i="1"/>
  <c r="F193" i="1"/>
  <c r="E193" i="1"/>
  <c r="K192" i="1"/>
  <c r="I192" i="1"/>
  <c r="H192" i="1"/>
  <c r="G192" i="1"/>
  <c r="F192" i="1"/>
  <c r="E192" i="1"/>
  <c r="K191" i="1"/>
  <c r="I191" i="1"/>
  <c r="H191" i="1"/>
  <c r="G191" i="1"/>
  <c r="F191" i="1"/>
  <c r="E191" i="1"/>
  <c r="K190" i="1"/>
  <c r="I190" i="1"/>
  <c r="H190" i="1"/>
  <c r="G190" i="1"/>
  <c r="F190" i="1"/>
  <c r="E190" i="1"/>
  <c r="K189" i="1"/>
  <c r="I189" i="1"/>
  <c r="H189" i="1"/>
  <c r="G189" i="1"/>
  <c r="F189" i="1"/>
  <c r="E189" i="1"/>
  <c r="K188" i="1"/>
  <c r="I188" i="1"/>
  <c r="H188" i="1"/>
  <c r="G188" i="1"/>
  <c r="F188" i="1"/>
  <c r="E188" i="1"/>
  <c r="K187" i="1"/>
  <c r="I187" i="1"/>
  <c r="H187" i="1"/>
  <c r="G187" i="1"/>
  <c r="F187" i="1"/>
  <c r="E187" i="1"/>
  <c r="K186" i="1"/>
  <c r="I186" i="1"/>
  <c r="H186" i="1"/>
  <c r="G186" i="1"/>
  <c r="F186" i="1"/>
  <c r="E186" i="1"/>
  <c r="K185" i="1"/>
  <c r="I185" i="1"/>
  <c r="H185" i="1"/>
  <c r="G185" i="1"/>
  <c r="F185" i="1"/>
  <c r="E185" i="1"/>
  <c r="K184" i="1"/>
  <c r="I184" i="1"/>
  <c r="H184" i="1"/>
  <c r="G184" i="1"/>
  <c r="F184" i="1"/>
  <c r="E184" i="1"/>
  <c r="K183" i="1"/>
  <c r="I183" i="1"/>
  <c r="H183" i="1"/>
  <c r="G183" i="1"/>
  <c r="F183" i="1"/>
  <c r="E183" i="1"/>
  <c r="K182" i="1"/>
  <c r="I182" i="1"/>
  <c r="H182" i="1"/>
  <c r="G182" i="1"/>
  <c r="F182" i="1"/>
  <c r="E182" i="1"/>
  <c r="K181" i="1"/>
  <c r="I181" i="1"/>
  <c r="H181" i="1"/>
  <c r="G181" i="1"/>
  <c r="F181" i="1"/>
  <c r="E181" i="1"/>
  <c r="K180" i="1"/>
  <c r="I180" i="1"/>
  <c r="H180" i="1"/>
  <c r="G180" i="1"/>
  <c r="F180" i="1"/>
  <c r="E180" i="1"/>
  <c r="K179" i="1"/>
  <c r="I179" i="1"/>
  <c r="H179" i="1"/>
  <c r="G179" i="1"/>
  <c r="F179" i="1"/>
  <c r="E179" i="1"/>
  <c r="K178" i="1"/>
  <c r="I178" i="1"/>
  <c r="H178" i="1"/>
  <c r="G178" i="1"/>
  <c r="F178" i="1"/>
  <c r="E178" i="1"/>
  <c r="K177" i="1"/>
  <c r="I177" i="1"/>
  <c r="H177" i="1"/>
  <c r="G177" i="1"/>
  <c r="F177" i="1"/>
  <c r="E177" i="1"/>
  <c r="K176" i="1"/>
  <c r="I176" i="1"/>
  <c r="H176" i="1"/>
  <c r="G176" i="1"/>
  <c r="F176" i="1"/>
  <c r="E176" i="1"/>
  <c r="K175" i="1"/>
  <c r="I175" i="1"/>
  <c r="H175" i="1"/>
  <c r="G175" i="1"/>
  <c r="F175" i="1"/>
  <c r="E175" i="1"/>
  <c r="K174" i="1"/>
  <c r="I174" i="1"/>
  <c r="H174" i="1"/>
  <c r="G174" i="1"/>
  <c r="F174" i="1"/>
  <c r="E174" i="1"/>
  <c r="K173" i="1"/>
  <c r="I173" i="1"/>
  <c r="H173" i="1"/>
  <c r="G173" i="1"/>
  <c r="F173" i="1"/>
  <c r="E173" i="1"/>
  <c r="K172" i="1"/>
  <c r="I172" i="1"/>
  <c r="H172" i="1"/>
  <c r="G172" i="1"/>
  <c r="F172" i="1"/>
  <c r="E172" i="1"/>
  <c r="K171" i="1"/>
  <c r="I171" i="1"/>
  <c r="H171" i="1"/>
  <c r="G171" i="1"/>
  <c r="F171" i="1"/>
  <c r="E171" i="1"/>
  <c r="K170" i="1"/>
  <c r="I170" i="1"/>
  <c r="H170" i="1"/>
  <c r="G170" i="1"/>
  <c r="E170" i="1"/>
  <c r="K169" i="1"/>
  <c r="I169" i="1"/>
  <c r="H169" i="1"/>
  <c r="G169" i="1"/>
  <c r="E169" i="1"/>
  <c r="K168" i="1"/>
  <c r="I168" i="1"/>
  <c r="H168" i="1"/>
  <c r="G168" i="1"/>
  <c r="E168" i="1"/>
  <c r="K167" i="1"/>
  <c r="I167" i="1"/>
  <c r="H167" i="1"/>
  <c r="G167" i="1"/>
  <c r="E167" i="1"/>
  <c r="K166" i="1"/>
  <c r="I166" i="1"/>
  <c r="H166" i="1"/>
  <c r="G166" i="1"/>
  <c r="E166" i="1"/>
  <c r="K165" i="1"/>
  <c r="I165" i="1"/>
  <c r="H165" i="1"/>
  <c r="G165" i="1"/>
  <c r="E165" i="1"/>
  <c r="K164" i="1"/>
  <c r="I164" i="1"/>
  <c r="H164" i="1"/>
  <c r="G164" i="1"/>
  <c r="E164" i="1"/>
  <c r="K163" i="1"/>
  <c r="I163" i="1"/>
  <c r="H163" i="1"/>
  <c r="G163" i="1"/>
  <c r="E163" i="1"/>
  <c r="K162" i="1"/>
  <c r="I162" i="1"/>
  <c r="H162" i="1"/>
  <c r="G162" i="1"/>
  <c r="E162" i="1"/>
  <c r="K161" i="1"/>
  <c r="I161" i="1"/>
  <c r="H161" i="1"/>
  <c r="G161" i="1"/>
  <c r="E161" i="1"/>
  <c r="K160" i="1"/>
  <c r="I160" i="1"/>
  <c r="H160" i="1"/>
  <c r="G160" i="1"/>
  <c r="E160" i="1"/>
  <c r="K159" i="1"/>
  <c r="I159" i="1"/>
  <c r="H159" i="1"/>
  <c r="G159" i="1"/>
  <c r="E159" i="1"/>
  <c r="K158" i="1"/>
  <c r="H158" i="1"/>
  <c r="G158" i="1"/>
  <c r="F158" i="1"/>
  <c r="E158" i="1"/>
  <c r="K157" i="1"/>
  <c r="H157" i="1"/>
  <c r="G157" i="1"/>
  <c r="F157" i="1"/>
  <c r="E157" i="1"/>
  <c r="K156" i="1"/>
  <c r="H156" i="1"/>
  <c r="G156" i="1"/>
  <c r="F156" i="1"/>
  <c r="E156" i="1"/>
  <c r="K155" i="1"/>
  <c r="H155" i="1"/>
  <c r="G155" i="1"/>
  <c r="F155" i="1"/>
  <c r="E155" i="1"/>
  <c r="K154" i="1"/>
  <c r="H154" i="1"/>
  <c r="G154" i="1"/>
  <c r="F154" i="1"/>
  <c r="E154" i="1"/>
  <c r="K153" i="1"/>
  <c r="H153" i="1"/>
  <c r="G153" i="1"/>
  <c r="F153" i="1"/>
  <c r="E153" i="1"/>
  <c r="K152" i="1"/>
  <c r="H152" i="1"/>
  <c r="G152" i="1"/>
  <c r="F152" i="1"/>
  <c r="E152" i="1"/>
  <c r="K151" i="1"/>
  <c r="H151" i="1"/>
  <c r="G151" i="1"/>
  <c r="F151" i="1"/>
  <c r="E151" i="1"/>
  <c r="K150" i="1"/>
  <c r="H150" i="1"/>
  <c r="G150" i="1"/>
  <c r="F150" i="1"/>
  <c r="E150" i="1"/>
  <c r="K149" i="1"/>
  <c r="H149" i="1"/>
  <c r="G149" i="1"/>
  <c r="F149" i="1"/>
  <c r="E149" i="1"/>
  <c r="K148" i="1"/>
  <c r="H148" i="1"/>
  <c r="G148" i="1"/>
  <c r="F148" i="1"/>
  <c r="E148" i="1"/>
  <c r="K147" i="1"/>
  <c r="H147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I110" i="1"/>
  <c r="G110" i="1"/>
  <c r="F110" i="1"/>
  <c r="E110" i="1"/>
  <c r="I109" i="1"/>
  <c r="G109" i="1"/>
  <c r="F109" i="1"/>
  <c r="E109" i="1"/>
  <c r="I108" i="1"/>
  <c r="G108" i="1"/>
  <c r="F108" i="1"/>
  <c r="E108" i="1"/>
  <c r="I107" i="1"/>
  <c r="G107" i="1"/>
  <c r="F107" i="1"/>
  <c r="E107" i="1"/>
  <c r="I106" i="1"/>
  <c r="G106" i="1"/>
  <c r="F106" i="1"/>
  <c r="E106" i="1"/>
  <c r="I105" i="1"/>
  <c r="G105" i="1"/>
  <c r="F105" i="1"/>
  <c r="E105" i="1"/>
  <c r="I104" i="1"/>
  <c r="G104" i="1"/>
  <c r="F104" i="1"/>
  <c r="E104" i="1"/>
  <c r="I103" i="1"/>
  <c r="G103" i="1"/>
  <c r="F103" i="1"/>
  <c r="E103" i="1"/>
  <c r="I102" i="1"/>
  <c r="G102" i="1"/>
  <c r="F102" i="1"/>
  <c r="E102" i="1"/>
  <c r="I101" i="1"/>
  <c r="G101" i="1"/>
  <c r="F101" i="1"/>
  <c r="E101" i="1"/>
  <c r="I100" i="1"/>
  <c r="G100" i="1"/>
  <c r="F100" i="1"/>
  <c r="E100" i="1"/>
  <c r="I99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E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G75" i="1"/>
  <c r="F75" i="1"/>
  <c r="E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F63" i="1"/>
  <c r="E63" i="1"/>
  <c r="K62" i="1"/>
  <c r="I62" i="1"/>
  <c r="H62" i="1"/>
  <c r="G62" i="1"/>
  <c r="F62" i="1"/>
  <c r="E62" i="1"/>
  <c r="K61" i="1"/>
  <c r="I61" i="1"/>
  <c r="H61" i="1"/>
  <c r="G61" i="1"/>
  <c r="F61" i="1"/>
  <c r="E61" i="1"/>
  <c r="K60" i="1"/>
  <c r="I60" i="1"/>
  <c r="H60" i="1"/>
  <c r="G60" i="1"/>
  <c r="F60" i="1"/>
  <c r="E60" i="1"/>
  <c r="K59" i="1"/>
  <c r="I59" i="1"/>
  <c r="H59" i="1"/>
  <c r="G59" i="1"/>
  <c r="F59" i="1"/>
  <c r="E59" i="1"/>
  <c r="K58" i="1"/>
  <c r="I58" i="1"/>
  <c r="H58" i="1"/>
  <c r="G58" i="1"/>
  <c r="F58" i="1"/>
  <c r="E58" i="1"/>
  <c r="K57" i="1"/>
  <c r="I57" i="1"/>
  <c r="H57" i="1"/>
  <c r="G57" i="1"/>
  <c r="F57" i="1"/>
  <c r="E57" i="1"/>
  <c r="K56" i="1"/>
  <c r="I56" i="1"/>
  <c r="H56" i="1"/>
  <c r="G56" i="1"/>
  <c r="F56" i="1"/>
  <c r="E56" i="1"/>
  <c r="K55" i="1"/>
  <c r="I55" i="1"/>
  <c r="H55" i="1"/>
  <c r="G55" i="1"/>
  <c r="F55" i="1"/>
  <c r="E55" i="1"/>
  <c r="K54" i="1"/>
  <c r="I54" i="1"/>
  <c r="H54" i="1"/>
  <c r="G54" i="1"/>
  <c r="F54" i="1"/>
  <c r="E54" i="1"/>
  <c r="K53" i="1"/>
  <c r="I53" i="1"/>
  <c r="H53" i="1"/>
  <c r="G53" i="1"/>
  <c r="F53" i="1"/>
  <c r="E53" i="1"/>
  <c r="K52" i="1"/>
  <c r="I52" i="1"/>
  <c r="H52" i="1"/>
  <c r="G52" i="1"/>
  <c r="F52" i="1"/>
  <c r="E52" i="1"/>
  <c r="K51" i="1"/>
  <c r="I51" i="1"/>
  <c r="H51" i="1"/>
  <c r="G51" i="1"/>
  <c r="F51" i="1"/>
  <c r="E51" i="1"/>
  <c r="K50" i="1"/>
  <c r="I50" i="1"/>
  <c r="H50" i="1"/>
  <c r="G50" i="1"/>
  <c r="F50" i="1"/>
  <c r="E50" i="1"/>
  <c r="K49" i="1"/>
  <c r="I49" i="1"/>
  <c r="H49" i="1"/>
  <c r="G49" i="1"/>
  <c r="F49" i="1"/>
  <c r="E49" i="1"/>
  <c r="K48" i="1"/>
  <c r="I48" i="1"/>
  <c r="H48" i="1"/>
  <c r="G48" i="1"/>
  <c r="F48" i="1"/>
  <c r="E48" i="1"/>
  <c r="K47" i="1"/>
  <c r="I47" i="1"/>
  <c r="H47" i="1"/>
  <c r="G47" i="1"/>
  <c r="F47" i="1"/>
  <c r="E47" i="1"/>
  <c r="K46" i="1"/>
  <c r="I46" i="1"/>
  <c r="H46" i="1"/>
  <c r="G46" i="1"/>
  <c r="F46" i="1"/>
  <c r="E46" i="1"/>
  <c r="K45" i="1"/>
  <c r="I45" i="1"/>
  <c r="H45" i="1"/>
  <c r="G45" i="1"/>
  <c r="F45" i="1"/>
  <c r="E45" i="1"/>
  <c r="K44" i="1"/>
  <c r="I44" i="1"/>
  <c r="H44" i="1"/>
  <c r="G44" i="1"/>
  <c r="F44" i="1"/>
  <c r="E44" i="1"/>
  <c r="K43" i="1"/>
  <c r="I43" i="1"/>
  <c r="H43" i="1"/>
  <c r="G43" i="1"/>
  <c r="F43" i="1"/>
  <c r="E43" i="1"/>
  <c r="K42" i="1"/>
  <c r="I42" i="1"/>
  <c r="H42" i="1"/>
  <c r="G42" i="1"/>
  <c r="F42" i="1"/>
  <c r="E42" i="1"/>
  <c r="K41" i="1"/>
  <c r="I41" i="1"/>
  <c r="H41" i="1"/>
  <c r="G41" i="1"/>
  <c r="F41" i="1"/>
  <c r="E41" i="1"/>
  <c r="K40" i="1"/>
  <c r="I40" i="1"/>
  <c r="H40" i="1"/>
  <c r="G40" i="1"/>
  <c r="F40" i="1"/>
  <c r="E40" i="1"/>
  <c r="K39" i="1"/>
  <c r="I39" i="1"/>
  <c r="H39" i="1"/>
  <c r="G39" i="1"/>
  <c r="F39" i="1"/>
  <c r="E39" i="1"/>
  <c r="K38" i="1"/>
  <c r="I38" i="1"/>
  <c r="H38" i="1"/>
  <c r="G38" i="1"/>
  <c r="F38" i="1"/>
  <c r="E38" i="1"/>
  <c r="K37" i="1"/>
  <c r="I37" i="1"/>
  <c r="H37" i="1"/>
  <c r="G37" i="1"/>
  <c r="F37" i="1"/>
  <c r="E37" i="1"/>
  <c r="K36" i="1"/>
  <c r="I36" i="1"/>
  <c r="H36" i="1"/>
  <c r="G36" i="1"/>
  <c r="F36" i="1"/>
  <c r="E36" i="1"/>
  <c r="K35" i="1"/>
  <c r="I35" i="1"/>
  <c r="H35" i="1"/>
  <c r="G35" i="1"/>
  <c r="F35" i="1"/>
  <c r="E35" i="1"/>
  <c r="K34" i="1"/>
  <c r="I34" i="1"/>
  <c r="H34" i="1"/>
  <c r="G34" i="1"/>
  <c r="F34" i="1"/>
  <c r="E34" i="1"/>
  <c r="K33" i="1"/>
  <c r="I33" i="1"/>
  <c r="H33" i="1"/>
  <c r="G33" i="1"/>
  <c r="F33" i="1"/>
  <c r="E33" i="1"/>
  <c r="K32" i="1"/>
  <c r="I32" i="1"/>
  <c r="H32" i="1"/>
  <c r="G32" i="1"/>
  <c r="F32" i="1"/>
  <c r="E32" i="1"/>
  <c r="K31" i="1"/>
  <c r="I31" i="1"/>
  <c r="H31" i="1"/>
  <c r="G31" i="1"/>
  <c r="F31" i="1"/>
  <c r="E31" i="1"/>
  <c r="K30" i="1"/>
  <c r="I30" i="1"/>
  <c r="H30" i="1"/>
  <c r="G30" i="1"/>
  <c r="F30" i="1"/>
  <c r="E30" i="1"/>
  <c r="K29" i="1"/>
  <c r="I29" i="1"/>
  <c r="H29" i="1"/>
  <c r="G29" i="1"/>
  <c r="F29" i="1"/>
  <c r="E29" i="1"/>
  <c r="K28" i="1"/>
  <c r="I28" i="1"/>
  <c r="H28" i="1"/>
  <c r="G28" i="1"/>
  <c r="F28" i="1"/>
  <c r="E28" i="1"/>
  <c r="K27" i="1"/>
  <c r="I27" i="1"/>
  <c r="H27" i="1"/>
  <c r="G27" i="1"/>
  <c r="F27" i="1"/>
  <c r="E27" i="1"/>
  <c r="K26" i="1"/>
  <c r="I26" i="1"/>
  <c r="H26" i="1"/>
  <c r="G26" i="1"/>
  <c r="F26" i="1"/>
  <c r="E26" i="1"/>
  <c r="K25" i="1"/>
  <c r="I25" i="1"/>
  <c r="H25" i="1"/>
  <c r="G25" i="1"/>
  <c r="F25" i="1"/>
  <c r="E25" i="1"/>
  <c r="K24" i="1"/>
  <c r="I24" i="1"/>
  <c r="H24" i="1"/>
  <c r="G24" i="1"/>
  <c r="F24" i="1"/>
  <c r="E24" i="1"/>
  <c r="K23" i="1"/>
  <c r="I23" i="1"/>
  <c r="H23" i="1"/>
  <c r="G23" i="1"/>
  <c r="F23" i="1"/>
  <c r="E23" i="1"/>
  <c r="K22" i="1"/>
  <c r="I22" i="1"/>
  <c r="H22" i="1"/>
  <c r="G22" i="1"/>
  <c r="F22" i="1"/>
  <c r="E22" i="1"/>
  <c r="K21" i="1"/>
  <c r="I21" i="1"/>
  <c r="H21" i="1"/>
  <c r="G21" i="1"/>
  <c r="F21" i="1"/>
  <c r="E21" i="1"/>
  <c r="K20" i="1"/>
  <c r="I20" i="1"/>
  <c r="H20" i="1"/>
  <c r="G20" i="1"/>
  <c r="F20" i="1"/>
  <c r="E20" i="1"/>
  <c r="K19" i="1"/>
  <c r="I19" i="1"/>
  <c r="H19" i="1"/>
  <c r="G19" i="1"/>
  <c r="F19" i="1"/>
  <c r="E19" i="1"/>
  <c r="K18" i="1"/>
  <c r="I18" i="1"/>
  <c r="H18" i="1"/>
  <c r="G18" i="1"/>
  <c r="F18" i="1"/>
  <c r="E18" i="1"/>
  <c r="K17" i="1"/>
  <c r="I17" i="1"/>
  <c r="H17" i="1"/>
  <c r="G17" i="1"/>
  <c r="F17" i="1"/>
  <c r="E17" i="1"/>
  <c r="K16" i="1"/>
  <c r="I16" i="1"/>
  <c r="H16" i="1"/>
  <c r="G16" i="1"/>
  <c r="F16" i="1"/>
  <c r="E16" i="1"/>
  <c r="K15" i="1"/>
  <c r="I15" i="1"/>
  <c r="H15" i="1"/>
  <c r="G15" i="1"/>
  <c r="F15" i="1"/>
  <c r="E15" i="1"/>
  <c r="K14" i="1"/>
  <c r="I14" i="1"/>
  <c r="H14" i="1"/>
  <c r="G14" i="1"/>
  <c r="F14" i="1"/>
  <c r="E14" i="1"/>
  <c r="K13" i="1"/>
  <c r="I13" i="1"/>
  <c r="H13" i="1"/>
  <c r="G13" i="1"/>
  <c r="F13" i="1"/>
  <c r="E13" i="1"/>
  <c r="K12" i="1"/>
  <c r="I12" i="1"/>
  <c r="H12" i="1"/>
  <c r="G12" i="1"/>
  <c r="F12" i="1"/>
  <c r="E12" i="1"/>
  <c r="K11" i="1"/>
  <c r="I11" i="1"/>
  <c r="H11" i="1"/>
  <c r="G11" i="1"/>
  <c r="F11" i="1"/>
  <c r="E11" i="1"/>
  <c r="K10" i="1"/>
  <c r="I10" i="1"/>
  <c r="H10" i="1"/>
  <c r="G10" i="1"/>
  <c r="F10" i="1"/>
  <c r="E10" i="1"/>
  <c r="K9" i="1"/>
  <c r="I9" i="1"/>
  <c r="H9" i="1"/>
  <c r="G9" i="1"/>
  <c r="F9" i="1"/>
  <c r="E9" i="1"/>
  <c r="K8" i="1"/>
  <c r="I8" i="1"/>
  <c r="H8" i="1"/>
  <c r="G8" i="1"/>
  <c r="F8" i="1"/>
  <c r="E8" i="1"/>
  <c r="K7" i="1"/>
  <c r="I7" i="1"/>
  <c r="H7" i="1"/>
  <c r="G7" i="1"/>
  <c r="F7" i="1"/>
  <c r="E7" i="1"/>
  <c r="K6" i="1"/>
  <c r="I6" i="1"/>
  <c r="H6" i="1"/>
  <c r="G6" i="1"/>
  <c r="F6" i="1"/>
  <c r="E6" i="1"/>
  <c r="K5" i="1"/>
  <c r="I5" i="1"/>
  <c r="H5" i="1"/>
  <c r="G5" i="1"/>
  <c r="F5" i="1"/>
  <c r="E5" i="1"/>
  <c r="K4" i="1"/>
  <c r="I4" i="1"/>
  <c r="H4" i="1"/>
  <c r="G4" i="1"/>
  <c r="F4" i="1"/>
  <c r="E4" i="1"/>
  <c r="K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<sst xmlns="http://schemas.openxmlformats.org/spreadsheetml/2006/main" count="392" uniqueCount="345">
  <si>
    <t>WyomingElectricConsumptionMonthly</t>
  </si>
  <si>
    <t>date</t>
  </si>
  <si>
    <t>WY Consume mil MMBtu Natural Gas</t>
  </si>
  <si>
    <t>WY Consume mil MMBtu Coal</t>
  </si>
  <si>
    <t>WY Consume mil MMBtu Tot</t>
  </si>
  <si>
    <t>WY Generation Coal Megawatt HRs</t>
  </si>
  <si>
    <t>WY Generation NG Megawatt HRs</t>
  </si>
  <si>
    <t>WY Generation Hydro Megawatt Hrs</t>
  </si>
  <si>
    <t>WY Generation Petroleum MW Hrs</t>
  </si>
  <si>
    <t>WY Generation Wind MW Hrs</t>
  </si>
  <si>
    <t>WY Generation Solar MW Hrs</t>
  </si>
  <si>
    <t>WY Generation Other MW Hrs</t>
  </si>
  <si>
    <t>Albany County Average Mo High F</t>
  </si>
  <si>
    <t>Albany County Average Mo Low F</t>
  </si>
  <si>
    <t>Albany County Average Temp F</t>
  </si>
  <si>
    <t>1/1/2001</t>
  </si>
  <si>
    <t>2/1/2001</t>
  </si>
  <si>
    <t>3/1/2001</t>
  </si>
  <si>
    <t>4/1/2001</t>
  </si>
  <si>
    <t>5/1/2001</t>
  </si>
  <si>
    <t>6/1/2001</t>
  </si>
  <si>
    <t>7/1/2001</t>
  </si>
  <si>
    <t>8/1/2001</t>
  </si>
  <si>
    <t>9/1/2001</t>
  </si>
  <si>
    <t>10/1/2001</t>
  </si>
  <si>
    <t>11/1/2001</t>
  </si>
  <si>
    <t>12/1/2001</t>
  </si>
  <si>
    <t>1/1/2002</t>
  </si>
  <si>
    <t>2/1/2002</t>
  </si>
  <si>
    <t>3/1/2002</t>
  </si>
  <si>
    <t>4/1/2002</t>
  </si>
  <si>
    <t>5/1/2002</t>
  </si>
  <si>
    <t>6/1/2002</t>
  </si>
  <si>
    <t>7/1/2002</t>
  </si>
  <si>
    <t>8/1/2002</t>
  </si>
  <si>
    <t>9/1/2002</t>
  </si>
  <si>
    <t>10/1/2002</t>
  </si>
  <si>
    <t>11/1/2002</t>
  </si>
  <si>
    <t>12/1/2002</t>
  </si>
  <si>
    <t>1/1/2003</t>
  </si>
  <si>
    <t>2/1/2003</t>
  </si>
  <si>
    <t>3/1/2003</t>
  </si>
  <si>
    <t>4/1/2003</t>
  </si>
  <si>
    <t>5/1/2003</t>
  </si>
  <si>
    <t>6/1/2003</t>
  </si>
  <si>
    <t>7/1/2003</t>
  </si>
  <si>
    <t>8/1/2003</t>
  </si>
  <si>
    <t>9/1/2003</t>
  </si>
  <si>
    <t>10/1/2003</t>
  </si>
  <si>
    <t>11/1/2003</t>
  </si>
  <si>
    <t>12/1/2003</t>
  </si>
  <si>
    <t>1/1/2004</t>
  </si>
  <si>
    <t>2/1/2004</t>
  </si>
  <si>
    <t>3/1/2004</t>
  </si>
  <si>
    <t>4/1/2004</t>
  </si>
  <si>
    <t>5/1/2004</t>
  </si>
  <si>
    <t>6/1/2004</t>
  </si>
  <si>
    <t>7/1/2004</t>
  </si>
  <si>
    <t>8/1/2004</t>
  </si>
  <si>
    <t>9/1/2004</t>
  </si>
  <si>
    <t>10/1/2004</t>
  </si>
  <si>
    <t>11/1/2004</t>
  </si>
  <si>
    <t>12/1/2004</t>
  </si>
  <si>
    <t>1/1/2005</t>
  </si>
  <si>
    <t>2/1/2005</t>
  </si>
  <si>
    <t>3/1/2005</t>
  </si>
  <si>
    <t>4/1/2005</t>
  </si>
  <si>
    <t>5/1/2005</t>
  </si>
  <si>
    <t>6/1/2005</t>
  </si>
  <si>
    <t>7/1/2005</t>
  </si>
  <si>
    <t>8/1/2005</t>
  </si>
  <si>
    <t>9/1/2005</t>
  </si>
  <si>
    <t>10/1/2005</t>
  </si>
  <si>
    <t>11/1/2005</t>
  </si>
  <si>
    <t>12/1/2005</t>
  </si>
  <si>
    <t>1/1/2006</t>
  </si>
  <si>
    <t>2/1/2006</t>
  </si>
  <si>
    <t>3/1/2006</t>
  </si>
  <si>
    <t>4/1/2006</t>
  </si>
  <si>
    <t>5/1/2006</t>
  </si>
  <si>
    <t>6/1/2006</t>
  </si>
  <si>
    <t>7/1/2006</t>
  </si>
  <si>
    <t>8/1/2006</t>
  </si>
  <si>
    <t>9/1/2006</t>
  </si>
  <si>
    <t>10/1/2006</t>
  </si>
  <si>
    <t>11/1/2006</t>
  </si>
  <si>
    <t>12/1/2006</t>
  </si>
  <si>
    <t>1/1/2007</t>
  </si>
  <si>
    <t>2/1/2007</t>
  </si>
  <si>
    <t>3/1/2007</t>
  </si>
  <si>
    <t>4/1/2007</t>
  </si>
  <si>
    <t>5/1/2007</t>
  </si>
  <si>
    <t>6/1/2007</t>
  </si>
  <si>
    <t>7/1/2007</t>
  </si>
  <si>
    <t>8/1/2007</t>
  </si>
  <si>
    <t>9/1/2007</t>
  </si>
  <si>
    <t>10/1/2007</t>
  </si>
  <si>
    <t>11/1/2007</t>
  </si>
  <si>
    <t>12/1/2007</t>
  </si>
  <si>
    <t>1/1/2008</t>
  </si>
  <si>
    <t>2/1/2008</t>
  </si>
  <si>
    <t>3/1/2008</t>
  </si>
  <si>
    <t>4/1/2008</t>
  </si>
  <si>
    <t>5/1/2008</t>
  </si>
  <si>
    <t>6/1/2008</t>
  </si>
  <si>
    <t>7/1/2008</t>
  </si>
  <si>
    <t>8/1/2008</t>
  </si>
  <si>
    <t>9/1/2008</t>
  </si>
  <si>
    <t>10/1/2008</t>
  </si>
  <si>
    <t>11/1/2008</t>
  </si>
  <si>
    <t>12/1/2008</t>
  </si>
  <si>
    <t>1/1/2009</t>
  </si>
  <si>
    <t>2/1/2009</t>
  </si>
  <si>
    <t>3/1/2009</t>
  </si>
  <si>
    <t>4/1/2009</t>
  </si>
  <si>
    <t>5/1/2009</t>
  </si>
  <si>
    <t>6/1/2009</t>
  </si>
  <si>
    <t>7/1/2009</t>
  </si>
  <si>
    <t>8/1/2009</t>
  </si>
  <si>
    <t>9/1/2009</t>
  </si>
  <si>
    <t>10/1/2009</t>
  </si>
  <si>
    <t>11/1/2009</t>
  </si>
  <si>
    <t>12/1/2009</t>
  </si>
  <si>
    <t>1/1/2010</t>
  </si>
  <si>
    <t>2/1/2010</t>
  </si>
  <si>
    <t>3/1/2010</t>
  </si>
  <si>
    <t>4/1/2010</t>
  </si>
  <si>
    <t>5/1/2010</t>
  </si>
  <si>
    <t>6/1/2010</t>
  </si>
  <si>
    <t>7/1/2010</t>
  </si>
  <si>
    <t>8/1/2010</t>
  </si>
  <si>
    <t>9/1/2010</t>
  </si>
  <si>
    <t>10/1/2010</t>
  </si>
  <si>
    <t>11/1/2010</t>
  </si>
  <si>
    <t>12/1/2010</t>
  </si>
  <si>
    <t>1/1/2011</t>
  </si>
  <si>
    <t>2/1/2011</t>
  </si>
  <si>
    <t>3/1/2011</t>
  </si>
  <si>
    <t>4/1/2011</t>
  </si>
  <si>
    <t>5/1/2011</t>
  </si>
  <si>
    <t>6/1/2011</t>
  </si>
  <si>
    <t>7/1/2011</t>
  </si>
  <si>
    <t>8/1/2011</t>
  </si>
  <si>
    <t>9/1/2011</t>
  </si>
  <si>
    <t>10/1/2011</t>
  </si>
  <si>
    <t>11/1/2011</t>
  </si>
  <si>
    <t>12/1/2011</t>
  </si>
  <si>
    <t>1/1/2012</t>
  </si>
  <si>
    <t>2/1/2012</t>
  </si>
  <si>
    <t>3/1/2012</t>
  </si>
  <si>
    <t>4/1/2012</t>
  </si>
  <si>
    <t>5/1/2012</t>
  </si>
  <si>
    <t>6/1/2012</t>
  </si>
  <si>
    <t>7/1/2012</t>
  </si>
  <si>
    <t>8/1/2012</t>
  </si>
  <si>
    <t>9/1/2012</t>
  </si>
  <si>
    <t>10/1/2012</t>
  </si>
  <si>
    <t>11/1/2012</t>
  </si>
  <si>
    <t>12/1/2012</t>
  </si>
  <si>
    <t>1/1/2013</t>
  </si>
  <si>
    <t>2/1/2013</t>
  </si>
  <si>
    <t>3/1/2013</t>
  </si>
  <si>
    <t>4/1/2013</t>
  </si>
  <si>
    <t>5/1/2013</t>
  </si>
  <si>
    <t>6/1/2013</t>
  </si>
  <si>
    <t>7/1/2013</t>
  </si>
  <si>
    <t>8/1/2013</t>
  </si>
  <si>
    <t>9/1/2013</t>
  </si>
  <si>
    <t>10/1/2013</t>
  </si>
  <si>
    <t>11/1/2013</t>
  </si>
  <si>
    <t>12/1/2013</t>
  </si>
  <si>
    <t>1/1/2014</t>
  </si>
  <si>
    <t>2/1/2014</t>
  </si>
  <si>
    <t>3/1/2014</t>
  </si>
  <si>
    <t>4/1/2014</t>
  </si>
  <si>
    <t>5/1/2014</t>
  </si>
  <si>
    <t>6/1/2014</t>
  </si>
  <si>
    <t>7/1/2014</t>
  </si>
  <si>
    <t>8/1/2014</t>
  </si>
  <si>
    <t>9/1/2014</t>
  </si>
  <si>
    <t>10/1/2014</t>
  </si>
  <si>
    <t>11/1/2014</t>
  </si>
  <si>
    <t>12/1/2014</t>
  </si>
  <si>
    <t>1/1/2015</t>
  </si>
  <si>
    <t>2/1/2015</t>
  </si>
  <si>
    <t>3/1/2015</t>
  </si>
  <si>
    <t>4/1/2015</t>
  </si>
  <si>
    <t>5/1/2015</t>
  </si>
  <si>
    <t>6/1/2015</t>
  </si>
  <si>
    <t>7/1/2015</t>
  </si>
  <si>
    <t>8/1/2015</t>
  </si>
  <si>
    <t>9/1/2015</t>
  </si>
  <si>
    <t>10/1/2015</t>
  </si>
  <si>
    <t>11/1/2015</t>
  </si>
  <si>
    <t>12/1/2015</t>
  </si>
  <si>
    <t>1/1/2016</t>
  </si>
  <si>
    <t>2/1/2016</t>
  </si>
  <si>
    <t>3/1/2016</t>
  </si>
  <si>
    <t>4/1/2016</t>
  </si>
  <si>
    <t>5/1/2016</t>
  </si>
  <si>
    <t>6/1/2016</t>
  </si>
  <si>
    <t>7/1/2016</t>
  </si>
  <si>
    <t>8/1/2016</t>
  </si>
  <si>
    <t>9/1/2016</t>
  </si>
  <si>
    <t>10/1/2016</t>
  </si>
  <si>
    <t>11/1/2016</t>
  </si>
  <si>
    <t>12/1/2016</t>
  </si>
  <si>
    <t>1/1/2017</t>
  </si>
  <si>
    <t>2/1/2017</t>
  </si>
  <si>
    <t>3/1/2017</t>
  </si>
  <si>
    <t>4/1/2017</t>
  </si>
  <si>
    <t>5/1/2017</t>
  </si>
  <si>
    <t>6/1/2017</t>
  </si>
  <si>
    <t>7/1/2017</t>
  </si>
  <si>
    <t>8/1/2017</t>
  </si>
  <si>
    <t>9/1/2017</t>
  </si>
  <si>
    <t>10/1/2017</t>
  </si>
  <si>
    <t>11/1/2017</t>
  </si>
  <si>
    <t>12/1/2017</t>
  </si>
  <si>
    <t>1/1/2018</t>
  </si>
  <si>
    <t>2/1/2018</t>
  </si>
  <si>
    <t>3/1/2018</t>
  </si>
  <si>
    <t>4/1/2018</t>
  </si>
  <si>
    <t>5/1/2018</t>
  </si>
  <si>
    <t>6/1/2018</t>
  </si>
  <si>
    <t>7/1/2018</t>
  </si>
  <si>
    <t>8/1/2018</t>
  </si>
  <si>
    <t>9/1/2018</t>
  </si>
  <si>
    <t>10/1/2018</t>
  </si>
  <si>
    <t>11/1/2018</t>
  </si>
  <si>
    <t>12/1/2018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</si>
  <si>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</si>
  <si>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</si>
  <si>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</si>
  <si>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</si>
  <si>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</si>
  <si>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</si>
  <si>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</si>
  <si>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</si>
  <si>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</si>
  <si>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</si>
  <si>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</si>
  <si>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</si>
  <si>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</si>
  <si>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</si>
  <si>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</si>
  <si>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</si>
  <si>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</si>
  <si>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</si>
  <si>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</si>
  <si>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</si>
  <si>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</si>
  <si>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</si>
  <si>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</si>
  <si>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</si>
  <si>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</si>
  <si>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</si>
  <si>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</si>
  <si>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</si>
  <si>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</si>
  <si>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</si>
  <si>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</si>
  <si>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</si>
  <si>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</si>
  <si>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</si>
  <si>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</si>
  <si>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>12/1/2021</t>
  </si>
  <si>
    <t>Dollar Per BTU Monthly Albany County</t>
  </si>
  <si>
    <t>Albany</t>
  </si>
  <si>
    <t>Counties</t>
  </si>
  <si>
    <t>Ave. Monthly Bill</t>
  </si>
  <si>
    <t>CO2 Emmissions (kg)</t>
  </si>
  <si>
    <t>CO2 Emissions Per Capita (kg)</t>
  </si>
  <si>
    <t>Average Price Per KW/hr</t>
  </si>
  <si>
    <t>Big Horn</t>
  </si>
  <si>
    <t>Campbell</t>
  </si>
  <si>
    <t>Carbon</t>
  </si>
  <si>
    <t>Converse</t>
  </si>
  <si>
    <t>Crook</t>
  </si>
  <si>
    <t>Fremont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</si>
  <si>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</si>
  <si>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</si>
  <si>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</si>
  <si>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</si>
  <si>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</si>
  <si>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</si>
  <si>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</si>
  <si>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</si>
  <si>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Sheridan</t>
  </si>
  <si>
    <t>Platte</t>
  </si>
  <si>
    <t>Sublette</t>
  </si>
  <si>
    <t>Sweetwater</t>
  </si>
  <si>
    <t>Teton</t>
  </si>
  <si>
    <t>Uinta</t>
  </si>
  <si>
    <t>Washakie</t>
  </si>
  <si>
    <t>Weston</t>
  </si>
  <si>
    <t>Consumption Per Capita (mwh)</t>
  </si>
  <si>
    <t>Plant</t>
  </si>
  <si>
    <t>Laramie River Station</t>
  </si>
  <si>
    <t>County</t>
  </si>
  <si>
    <t>Fuel Type</t>
  </si>
  <si>
    <t>Production (mwh)</t>
  </si>
  <si>
    <t>Emission(kg)</t>
  </si>
  <si>
    <t>Emissions(kg/mwh)</t>
  </si>
  <si>
    <t>Jim Bridger</t>
  </si>
  <si>
    <t>Dave Johnston</t>
  </si>
  <si>
    <t>Dry Fork</t>
  </si>
  <si>
    <t>Naughton</t>
  </si>
  <si>
    <t>Wyodak</t>
  </si>
  <si>
    <t>TB Flats</t>
  </si>
  <si>
    <t>Roundhouse Wind Energy Project</t>
  </si>
  <si>
    <t>Shute Creek</t>
  </si>
  <si>
    <t>Ekola Flats</t>
  </si>
  <si>
    <t>Coal</t>
  </si>
  <si>
    <t>Wind</t>
  </si>
  <si>
    <t>Natural Gas</t>
  </si>
  <si>
    <t>Cedar Springs I</t>
  </si>
  <si>
    <t>Wyogen 1</t>
  </si>
  <si>
    <t xml:space="preserve">765,400,892.25	</t>
  </si>
  <si>
    <t>Cedar Springs II</t>
  </si>
  <si>
    <t>Cedar Springs III</t>
  </si>
  <si>
    <t>Cheyenne Prarie Generating Station</t>
  </si>
  <si>
    <t>Cheyenne</t>
  </si>
  <si>
    <t>Campbell Hill Windpower</t>
  </si>
  <si>
    <t>Top of the World WindPower Project</t>
  </si>
  <si>
    <t>General Chemical</t>
  </si>
  <si>
    <t>Corriedale Wind Energy</t>
  </si>
  <si>
    <t>Sweetwater Solar</t>
  </si>
  <si>
    <t>Solar</t>
  </si>
  <si>
    <t>Mountain Wind Power LLC</t>
  </si>
  <si>
    <t>Mountain Wind Power II LLC</t>
  </si>
  <si>
    <t>Silver Sage Windpoiwer</t>
  </si>
  <si>
    <t>Simplot Phosphates</t>
  </si>
  <si>
    <t>Other</t>
  </si>
  <si>
    <t>Happy Jack Windpower Project</t>
  </si>
  <si>
    <t>Big Saw Draw Plant</t>
  </si>
  <si>
    <t>Garland Canal Power Plant</t>
  </si>
  <si>
    <t>Hydroelectric</t>
  </si>
  <si>
    <t>Sinclair Oil Refinery</t>
  </si>
  <si>
    <t>Sinclair</t>
  </si>
  <si>
    <t>Gas</t>
  </si>
  <si>
    <t>Population</t>
  </si>
  <si>
    <t>Production per Capita</t>
  </si>
  <si>
    <t>Data from findenergy.com/wy</t>
  </si>
  <si>
    <t>Wyoming :Total Consumption monthly million 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</si>
</sst>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/###"/>
  </numFmts>
  <fonts count="8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0" fontId="3" fillId="0" borderId="4" xfId="0" applyNumberFormat="1" applyFont="1" applyBorder="1" applyAlignment="1">
      <alignment vertical="center" wrapText="1" readingOrder="1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3" fillId="0" borderId="7" xfId="0" applyNumberFormat="1" applyFont="1" applyBorder="1" applyAlignment="1">
      <alignment vertical="center" wrapText="1" readingOrder="1"/>
    </xf>
    <xf numFmtId="164" fontId="0" fillId="0" borderId="7" xfId="0" applyNumberFormat="1" applyBorder="1" applyAlignment="1">
      <alignment vertical="top"/>
    </xf>
    <xf numFmtId="0" fontId="4" fillId="0" borderId="7" xfId="0" applyNumberFormat="1" applyFont="1" applyBorder="1" applyAlignment="1">
      <alignment vertical="top"/>
    </xf>
    <xf numFmtId="0" fontId="5" fillId="0" borderId="0" xfId="0" applyFont="1">
      <alignment vertical="top" wrapText="1"/>
    </xf>
    <xf numFmtId="4" fontId="0" fillId="0" borderId="0" xfId="0" applyNumberFormat="1">
      <alignment vertical="top" wrapText="1"/>
    </xf>
    <xf numFmtId="4" fontId="5" fillId="0" borderId="0" xfId="0" applyNumberFormat="1" applyFont="1">
      <alignment vertical="top" wrapText="1"/>
    </xf>
    <xf numFmtId="0" fontId="5" fillId="0" borderId="0" xfId="0" applyFont="1" applyAlignment="1">
      <alignment horizontal="right" vertical="top" wrapText="1"/>
    </xf>
    <xf numFmtId="3" fontId="0" fillId="0" borderId="0" xfId="0" applyNumberFormat="1">
      <alignment vertical="top" wrapText="1"/>
    </xf>
    <xf numFmtId="0" fontId="7" fillId="0" borderId="0" xfId="0" applyFont="1">
      <alignment vertical="top" wrapText="1"/>
    </xf>
    <xf numFmtId="0" fontId="6" fillId="0" borderId="0" xfId="0" applyFo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55"/>
  <sheetViews>
    <sheetView showGridLines="0" tabSelected="1" topLeftCell="A244" workbookViewId="0">
      <selection activeCell="B255" sqref="B255"/>
    </sheetView>
  </sheetViews>
  <sheetFormatPr defaultColWidth="8.33203125" defaultRowHeight="20" customHeight="1"/>
  <cols>
    <col min="1" max="1" width="9.1328125" style="1" customWidth="1"/>
    <col min="2" max="2" width="31.1328125" style="1" customWidth="1"/>
    <col min="3" max="3" width="25.33203125" style="1" customWidth="1"/>
    <col min="4" max="4" width="24.1328125" style="1" customWidth="1"/>
    <col min="5" max="5" width="29.6640625" style="1" customWidth="1"/>
    <col min="6" max="6" width="28.46484375" style="1" customWidth="1"/>
    <col min="7" max="7" width="30.33203125" style="1" customWidth="1"/>
    <col min="8" max="8" width="28.796875" style="1" customWidth="1"/>
    <col min="9" max="9" width="24.6640625" style="1" customWidth="1"/>
    <col min="10" max="10" width="24.796875" style="1" customWidth="1"/>
    <col min="11" max="15" width="30.33203125" style="1" customWidth="1"/>
    <col min="16" max="16" width="33" style="1" bestFit="1" customWidth="1"/>
    <col min="17" max="16384" width="8.33203125" style="1"/>
  </cols>
  <sheetData>
    <row r="1" spans="1:16" ht="27.7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6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267</v>
      </c>
      <c r="P2" s="20" t="s">
        <v>344</v>
      </c>
    </row>
    <row r="3" spans="1:16" ht="20.25" customHeight="1">
      <c r="A3" s="3" t="s">
        <v>15</v>
      </c>
      <c r="B3" s="4">
        <v>1</v>
      </c>
      <c r="C3" s="5">
        <v>42</v>
      </c>
      <c r="D3" s="5">
        <v>43</v>
      </c>
      <c r="E3" s="5">
        <f t="shared" ref="E3:E14" si="0">42789310/12</f>
        <v>3565775.8333333335</v>
      </c>
      <c r="F3" s="5">
        <f t="shared" ref="F3:F14" si="1">879111/12</f>
        <v>73259.25</v>
      </c>
      <c r="G3" s="5">
        <f t="shared" ref="G3:G14" si="2">591842/12</f>
        <v>49320.166666666664</v>
      </c>
      <c r="H3" s="5">
        <f t="shared" ref="H3:H14" si="3">36097/12</f>
        <v>3008.0833333333335</v>
      </c>
      <c r="I3" s="5">
        <f t="shared" ref="I3:I14" si="4">365162/12</f>
        <v>30430.166666666668</v>
      </c>
      <c r="J3" s="6"/>
      <c r="K3" s="5">
        <f t="shared" ref="K3:K14" si="5">7505/12</f>
        <v>625.41666666666663</v>
      </c>
      <c r="L3" s="5">
        <v>79.400000000000006</v>
      </c>
      <c r="M3" s="7">
        <v>49.5</v>
      </c>
      <c r="N3" s="7">
        <v>64.400000000000006</v>
      </c>
      <c r="O3" s="7">
        <v>7.92</v>
      </c>
      <c r="P3" s="21">
        <v>35.865000000000002</v>
      </c>
    </row>
    <row r="4" spans="1:16" ht="20" customHeight="1">
      <c r="A4" s="8" t="s">
        <v>16</v>
      </c>
      <c r="B4" s="9">
        <v>1</v>
      </c>
      <c r="C4" s="10">
        <v>40</v>
      </c>
      <c r="D4" s="10">
        <v>41</v>
      </c>
      <c r="E4" s="10">
        <f t="shared" si="0"/>
        <v>3565775.8333333335</v>
      </c>
      <c r="F4" s="10">
        <f t="shared" si="1"/>
        <v>73259.25</v>
      </c>
      <c r="G4" s="10">
        <f t="shared" si="2"/>
        <v>49320.166666666664</v>
      </c>
      <c r="H4" s="10">
        <f t="shared" si="3"/>
        <v>3008.0833333333335</v>
      </c>
      <c r="I4" s="10">
        <f t="shared" si="4"/>
        <v>30430.166666666668</v>
      </c>
      <c r="J4" s="11"/>
      <c r="K4" s="10">
        <f t="shared" si="5"/>
        <v>625.41666666666663</v>
      </c>
      <c r="L4" s="10">
        <v>79.400000000000006</v>
      </c>
      <c r="M4" s="12">
        <v>49.5</v>
      </c>
      <c r="N4" s="12">
        <v>64.400000000000006</v>
      </c>
      <c r="O4" s="12">
        <v>7.92</v>
      </c>
      <c r="P4" s="21">
        <v>32.801000000000002</v>
      </c>
    </row>
    <row r="5" spans="1:16" ht="20" customHeight="1">
      <c r="A5" s="8" t="s">
        <v>17</v>
      </c>
      <c r="B5" s="9">
        <v>1</v>
      </c>
      <c r="C5" s="10">
        <v>43</v>
      </c>
      <c r="D5" s="10">
        <v>44</v>
      </c>
      <c r="E5" s="10">
        <f t="shared" si="0"/>
        <v>3565775.8333333335</v>
      </c>
      <c r="F5" s="10">
        <f t="shared" si="1"/>
        <v>73259.25</v>
      </c>
      <c r="G5" s="10">
        <f t="shared" si="2"/>
        <v>49320.166666666664</v>
      </c>
      <c r="H5" s="10">
        <f t="shared" si="3"/>
        <v>3008.0833333333335</v>
      </c>
      <c r="I5" s="10">
        <f t="shared" si="4"/>
        <v>30430.166666666668</v>
      </c>
      <c r="J5" s="11"/>
      <c r="K5" s="10">
        <f t="shared" si="5"/>
        <v>625.41666666666663</v>
      </c>
      <c r="L5" s="10">
        <v>79.400000000000006</v>
      </c>
      <c r="M5" s="12">
        <v>49.5</v>
      </c>
      <c r="N5" s="12">
        <v>64.400000000000006</v>
      </c>
      <c r="O5" s="12">
        <v>7.92</v>
      </c>
      <c r="P5" s="21">
        <v>33.765999999999998</v>
      </c>
    </row>
    <row r="6" spans="1:16" ht="20" customHeight="1">
      <c r="A6" s="8" t="s">
        <v>18</v>
      </c>
      <c r="B6" s="9">
        <v>1</v>
      </c>
      <c r="C6" s="10">
        <v>36</v>
      </c>
      <c r="D6" s="10">
        <v>37</v>
      </c>
      <c r="E6" s="10">
        <f t="shared" si="0"/>
        <v>3565775.8333333335</v>
      </c>
      <c r="F6" s="10">
        <f t="shared" si="1"/>
        <v>73259.25</v>
      </c>
      <c r="G6" s="10">
        <f t="shared" si="2"/>
        <v>49320.166666666664</v>
      </c>
      <c r="H6" s="10">
        <f t="shared" si="3"/>
        <v>3008.0833333333335</v>
      </c>
      <c r="I6" s="10">
        <f t="shared" si="4"/>
        <v>30430.166666666668</v>
      </c>
      <c r="J6" s="11"/>
      <c r="K6" s="10">
        <f t="shared" si="5"/>
        <v>625.41666666666663</v>
      </c>
      <c r="L6" s="10">
        <v>79.400000000000006</v>
      </c>
      <c r="M6" s="12">
        <v>49.5</v>
      </c>
      <c r="N6" s="12">
        <v>64.400000000000006</v>
      </c>
      <c r="O6" s="12">
        <v>7.92</v>
      </c>
      <c r="P6" s="21">
        <v>35.608930000000001</v>
      </c>
    </row>
    <row r="7" spans="1:16" ht="20" customHeight="1">
      <c r="A7" s="8" t="s">
        <v>19</v>
      </c>
      <c r="B7" s="9">
        <v>0</v>
      </c>
      <c r="C7" s="10">
        <v>36</v>
      </c>
      <c r="D7" s="10">
        <v>36</v>
      </c>
      <c r="E7" s="10">
        <f t="shared" si="0"/>
        <v>3565775.8333333335</v>
      </c>
      <c r="F7" s="10">
        <f t="shared" si="1"/>
        <v>73259.25</v>
      </c>
      <c r="G7" s="10">
        <f t="shared" si="2"/>
        <v>49320.166666666664</v>
      </c>
      <c r="H7" s="10">
        <f t="shared" si="3"/>
        <v>3008.0833333333335</v>
      </c>
      <c r="I7" s="10">
        <f t="shared" si="4"/>
        <v>30430.166666666668</v>
      </c>
      <c r="J7" s="11"/>
      <c r="K7" s="10">
        <f t="shared" si="5"/>
        <v>625.41666666666663</v>
      </c>
      <c r="L7" s="10">
        <v>79.400000000000006</v>
      </c>
      <c r="M7" s="12">
        <v>49.5</v>
      </c>
      <c r="N7" s="12">
        <v>64.400000000000006</v>
      </c>
      <c r="O7" s="12">
        <v>7.92</v>
      </c>
      <c r="P7" s="21">
        <v>33.211350000000003</v>
      </c>
    </row>
    <row r="8" spans="1:16" ht="20" customHeight="1">
      <c r="A8" s="8" t="s">
        <v>20</v>
      </c>
      <c r="B8" s="9">
        <v>1</v>
      </c>
      <c r="C8" s="10">
        <v>38</v>
      </c>
      <c r="D8" s="10">
        <v>39</v>
      </c>
      <c r="E8" s="10">
        <f t="shared" si="0"/>
        <v>3565775.8333333335</v>
      </c>
      <c r="F8" s="10">
        <f t="shared" si="1"/>
        <v>73259.25</v>
      </c>
      <c r="G8" s="10">
        <f t="shared" si="2"/>
        <v>49320.166666666664</v>
      </c>
      <c r="H8" s="10">
        <f t="shared" si="3"/>
        <v>3008.0833333333335</v>
      </c>
      <c r="I8" s="10">
        <f t="shared" si="4"/>
        <v>30430.166666666668</v>
      </c>
      <c r="J8" s="11"/>
      <c r="K8" s="10">
        <f t="shared" si="5"/>
        <v>625.41666666666663</v>
      </c>
      <c r="L8" s="10">
        <v>79.400000000000006</v>
      </c>
      <c r="M8" s="12">
        <v>49.5</v>
      </c>
      <c r="N8" s="12">
        <v>64.400000000000006</v>
      </c>
      <c r="O8" s="12">
        <v>7.92</v>
      </c>
      <c r="P8" s="21">
        <v>32.450270000000003</v>
      </c>
    </row>
    <row r="9" spans="1:16" ht="20" customHeight="1">
      <c r="A9" s="8" t="s">
        <v>21</v>
      </c>
      <c r="B9" s="9">
        <v>1</v>
      </c>
      <c r="C9" s="10">
        <v>43</v>
      </c>
      <c r="D9" s="10">
        <v>44</v>
      </c>
      <c r="E9" s="10">
        <f t="shared" si="0"/>
        <v>3565775.8333333335</v>
      </c>
      <c r="F9" s="10">
        <f t="shared" si="1"/>
        <v>73259.25</v>
      </c>
      <c r="G9" s="10">
        <f t="shared" si="2"/>
        <v>49320.166666666664</v>
      </c>
      <c r="H9" s="10">
        <f t="shared" si="3"/>
        <v>3008.0833333333335</v>
      </c>
      <c r="I9" s="10">
        <f t="shared" si="4"/>
        <v>30430.166666666668</v>
      </c>
      <c r="J9" s="11"/>
      <c r="K9" s="10">
        <f t="shared" si="5"/>
        <v>625.41666666666663</v>
      </c>
      <c r="L9" s="10">
        <v>79.400000000000006</v>
      </c>
      <c r="M9" s="12">
        <v>49.5</v>
      </c>
      <c r="N9" s="12">
        <v>64.400000000000006</v>
      </c>
      <c r="O9" s="12">
        <v>7.92</v>
      </c>
      <c r="P9" s="21">
        <v>31.47739</v>
      </c>
    </row>
    <row r="10" spans="1:16" ht="20" customHeight="1">
      <c r="A10" s="8" t="s">
        <v>22</v>
      </c>
      <c r="B10" s="9">
        <v>1</v>
      </c>
      <c r="C10" s="10">
        <v>43</v>
      </c>
      <c r="D10" s="10">
        <v>44</v>
      </c>
      <c r="E10" s="10">
        <f t="shared" si="0"/>
        <v>3565775.8333333335</v>
      </c>
      <c r="F10" s="10">
        <f t="shared" si="1"/>
        <v>73259.25</v>
      </c>
      <c r="G10" s="10">
        <f t="shared" si="2"/>
        <v>49320.166666666664</v>
      </c>
      <c r="H10" s="10">
        <f t="shared" si="3"/>
        <v>3008.0833333333335</v>
      </c>
      <c r="I10" s="10">
        <f t="shared" si="4"/>
        <v>30430.166666666668</v>
      </c>
      <c r="J10" s="11"/>
      <c r="K10" s="10">
        <f t="shared" si="5"/>
        <v>625.41666666666663</v>
      </c>
      <c r="L10" s="10">
        <v>79.400000000000006</v>
      </c>
      <c r="M10" s="12">
        <v>49.5</v>
      </c>
      <c r="N10" s="12">
        <v>64.400000000000006</v>
      </c>
      <c r="O10" s="12">
        <v>7.92</v>
      </c>
      <c r="P10" s="21">
        <v>34.201610000000002</v>
      </c>
    </row>
    <row r="11" spans="1:16" ht="20" customHeight="1">
      <c r="A11" s="8" t="s">
        <v>23</v>
      </c>
      <c r="B11" s="9">
        <v>1</v>
      </c>
      <c r="C11" s="10">
        <v>30</v>
      </c>
      <c r="D11" s="10">
        <v>31</v>
      </c>
      <c r="E11" s="10">
        <f t="shared" si="0"/>
        <v>3565775.8333333335</v>
      </c>
      <c r="F11" s="10">
        <f t="shared" si="1"/>
        <v>73259.25</v>
      </c>
      <c r="G11" s="10">
        <f t="shared" si="2"/>
        <v>49320.166666666664</v>
      </c>
      <c r="H11" s="10">
        <f t="shared" si="3"/>
        <v>3008.0833333333335</v>
      </c>
      <c r="I11" s="10">
        <f t="shared" si="4"/>
        <v>30430.166666666668</v>
      </c>
      <c r="J11" s="11"/>
      <c r="K11" s="10">
        <f t="shared" si="5"/>
        <v>625.41666666666663</v>
      </c>
      <c r="L11" s="10">
        <v>79.400000000000006</v>
      </c>
      <c r="M11" s="12">
        <v>49.5</v>
      </c>
      <c r="N11" s="12">
        <v>64.400000000000006</v>
      </c>
      <c r="O11" s="12">
        <v>7.92</v>
      </c>
      <c r="P11" s="21">
        <v>27.4575</v>
      </c>
    </row>
    <row r="12" spans="1:16" ht="20" customHeight="1">
      <c r="A12" s="8" t="s">
        <v>24</v>
      </c>
      <c r="B12" s="9">
        <v>1</v>
      </c>
      <c r="C12" s="10">
        <v>39</v>
      </c>
      <c r="D12" s="10">
        <v>40</v>
      </c>
      <c r="E12" s="10">
        <f t="shared" si="0"/>
        <v>3565775.8333333335</v>
      </c>
      <c r="F12" s="10">
        <f t="shared" si="1"/>
        <v>73259.25</v>
      </c>
      <c r="G12" s="10">
        <f t="shared" si="2"/>
        <v>49320.166666666664</v>
      </c>
      <c r="H12" s="10">
        <f t="shared" si="3"/>
        <v>3008.0833333333335</v>
      </c>
      <c r="I12" s="10">
        <f t="shared" si="4"/>
        <v>30430.166666666668</v>
      </c>
      <c r="J12" s="11"/>
      <c r="K12" s="10">
        <f t="shared" si="5"/>
        <v>625.41666666666663</v>
      </c>
      <c r="L12" s="10">
        <v>79.400000000000006</v>
      </c>
      <c r="M12" s="12">
        <v>49.5</v>
      </c>
      <c r="N12" s="12">
        <v>64.400000000000006</v>
      </c>
      <c r="O12" s="12">
        <v>7.92</v>
      </c>
      <c r="P12" s="21">
        <v>34.459060000000001</v>
      </c>
    </row>
    <row r="13" spans="1:16" ht="20" customHeight="1">
      <c r="A13" s="8" t="s">
        <v>25</v>
      </c>
      <c r="B13" s="9">
        <v>1</v>
      </c>
      <c r="C13" s="10">
        <v>44</v>
      </c>
      <c r="D13" s="10">
        <v>45</v>
      </c>
      <c r="E13" s="10">
        <f t="shared" si="0"/>
        <v>3565775.8333333335</v>
      </c>
      <c r="F13" s="10">
        <f t="shared" si="1"/>
        <v>73259.25</v>
      </c>
      <c r="G13" s="10">
        <f t="shared" si="2"/>
        <v>49320.166666666664</v>
      </c>
      <c r="H13" s="10">
        <f t="shared" si="3"/>
        <v>3008.0833333333335</v>
      </c>
      <c r="I13" s="10">
        <f t="shared" si="4"/>
        <v>30430.166666666668</v>
      </c>
      <c r="J13" s="11"/>
      <c r="K13" s="10">
        <f t="shared" si="5"/>
        <v>625.41666666666663</v>
      </c>
      <c r="L13" s="10">
        <v>79.400000000000006</v>
      </c>
      <c r="M13" s="12">
        <v>49.5</v>
      </c>
      <c r="N13" s="12">
        <v>64.400000000000006</v>
      </c>
      <c r="O13" s="12">
        <v>7.92</v>
      </c>
      <c r="P13" s="21">
        <v>32.488199999999999</v>
      </c>
    </row>
    <row r="14" spans="1:16" ht="20" customHeight="1">
      <c r="A14" s="8" t="s">
        <v>26</v>
      </c>
      <c r="B14" s="9">
        <v>1</v>
      </c>
      <c r="C14" s="10">
        <v>41</v>
      </c>
      <c r="D14" s="10">
        <v>42</v>
      </c>
      <c r="E14" s="10">
        <f t="shared" si="0"/>
        <v>3565775.8333333335</v>
      </c>
      <c r="F14" s="10">
        <f t="shared" si="1"/>
        <v>73259.25</v>
      </c>
      <c r="G14" s="10">
        <f t="shared" si="2"/>
        <v>49320.166666666664</v>
      </c>
      <c r="H14" s="10">
        <f t="shared" si="3"/>
        <v>3008.0833333333335</v>
      </c>
      <c r="I14" s="10">
        <f t="shared" si="4"/>
        <v>30430.166666666668</v>
      </c>
      <c r="J14" s="11"/>
      <c r="K14" s="10">
        <f t="shared" si="5"/>
        <v>625.41666666666663</v>
      </c>
      <c r="L14" s="10">
        <v>79.400000000000006</v>
      </c>
      <c r="M14" s="12">
        <v>49.5</v>
      </c>
      <c r="N14" s="12">
        <v>64.400000000000006</v>
      </c>
      <c r="O14" s="12">
        <v>7.92</v>
      </c>
      <c r="P14" s="21">
        <v>28.276869999999999</v>
      </c>
    </row>
    <row r="15" spans="1:16" ht="20" customHeight="1">
      <c r="A15" s="8" t="s">
        <v>27</v>
      </c>
      <c r="B15" s="9">
        <v>1</v>
      </c>
      <c r="C15" s="10">
        <v>41</v>
      </c>
      <c r="D15" s="10">
        <v>42</v>
      </c>
      <c r="E15" s="10">
        <f t="shared" ref="E15:E26" si="6">41923161/12</f>
        <v>3493596.75</v>
      </c>
      <c r="F15" s="10">
        <f t="shared" ref="F15:F26" si="7">583615/12</f>
        <v>48634.583333333336</v>
      </c>
      <c r="G15" s="10">
        <f t="shared" ref="G15:G26" si="8">713080/12</f>
        <v>59423.333333333336</v>
      </c>
      <c r="H15" s="10">
        <f t="shared" ref="H15:H26" si="9">40104/12</f>
        <v>3342</v>
      </c>
      <c r="I15" s="10">
        <f t="shared" ref="I15:I26" si="10">447330/12</f>
        <v>37277.5</v>
      </c>
      <c r="J15" s="11"/>
      <c r="K15" s="10">
        <f t="shared" ref="K15:K38" si="11">0</f>
        <v>0</v>
      </c>
      <c r="L15" s="10">
        <v>77.099999999999994</v>
      </c>
      <c r="M15" s="12">
        <v>42.3</v>
      </c>
      <c r="N15" s="12">
        <v>61.2</v>
      </c>
      <c r="O15" s="12">
        <v>8.0299999999999994</v>
      </c>
      <c r="P15" s="21">
        <v>35.90625</v>
      </c>
    </row>
    <row r="16" spans="1:16" ht="20" customHeight="1">
      <c r="A16" s="8" t="s">
        <v>28</v>
      </c>
      <c r="B16" s="9">
        <v>1</v>
      </c>
      <c r="C16" s="10">
        <v>37</v>
      </c>
      <c r="D16" s="10">
        <v>38</v>
      </c>
      <c r="E16" s="10">
        <f t="shared" si="6"/>
        <v>3493596.75</v>
      </c>
      <c r="F16" s="10">
        <f t="shared" si="7"/>
        <v>48634.583333333336</v>
      </c>
      <c r="G16" s="10">
        <f t="shared" si="8"/>
        <v>59423.333333333336</v>
      </c>
      <c r="H16" s="10">
        <f t="shared" si="9"/>
        <v>3342</v>
      </c>
      <c r="I16" s="10">
        <f t="shared" si="10"/>
        <v>37277.5</v>
      </c>
      <c r="J16" s="11"/>
      <c r="K16" s="10">
        <f t="shared" si="11"/>
        <v>0</v>
      </c>
      <c r="L16" s="10">
        <v>77.099999999999994</v>
      </c>
      <c r="M16" s="12">
        <v>42.3</v>
      </c>
      <c r="N16" s="12">
        <v>61.2</v>
      </c>
      <c r="O16" s="12">
        <v>8.0299999999999994</v>
      </c>
      <c r="P16" s="21">
        <v>34.796810000000001</v>
      </c>
    </row>
    <row r="17" spans="1:16" ht="20" customHeight="1">
      <c r="A17" s="8" t="s">
        <v>29</v>
      </c>
      <c r="B17" s="9">
        <v>1</v>
      </c>
      <c r="C17" s="10">
        <v>41</v>
      </c>
      <c r="D17" s="10">
        <v>42</v>
      </c>
      <c r="E17" s="10">
        <f t="shared" si="6"/>
        <v>3493596.75</v>
      </c>
      <c r="F17" s="10">
        <f t="shared" si="7"/>
        <v>48634.583333333336</v>
      </c>
      <c r="G17" s="10">
        <f t="shared" si="8"/>
        <v>59423.333333333336</v>
      </c>
      <c r="H17" s="10">
        <f t="shared" si="9"/>
        <v>3342</v>
      </c>
      <c r="I17" s="10">
        <f t="shared" si="10"/>
        <v>37277.5</v>
      </c>
      <c r="J17" s="11"/>
      <c r="K17" s="10">
        <f t="shared" si="11"/>
        <v>0</v>
      </c>
      <c r="L17" s="10">
        <v>77.099999999999994</v>
      </c>
      <c r="M17" s="12">
        <v>42.3</v>
      </c>
      <c r="N17" s="12">
        <v>61.2</v>
      </c>
      <c r="O17" s="12">
        <v>8.0299999999999994</v>
      </c>
      <c r="P17" s="21">
        <v>37.432650000000002</v>
      </c>
    </row>
    <row r="18" spans="1:16" ht="20" customHeight="1">
      <c r="A18" s="8" t="s">
        <v>30</v>
      </c>
      <c r="B18" s="9">
        <v>1</v>
      </c>
      <c r="C18" s="10">
        <v>33</v>
      </c>
      <c r="D18" s="10">
        <v>34</v>
      </c>
      <c r="E18" s="10">
        <f t="shared" si="6"/>
        <v>3493596.75</v>
      </c>
      <c r="F18" s="10">
        <f t="shared" si="7"/>
        <v>48634.583333333336</v>
      </c>
      <c r="G18" s="10">
        <f t="shared" si="8"/>
        <v>59423.333333333336</v>
      </c>
      <c r="H18" s="10">
        <f t="shared" si="9"/>
        <v>3342</v>
      </c>
      <c r="I18" s="10">
        <f t="shared" si="10"/>
        <v>37277.5</v>
      </c>
      <c r="J18" s="11"/>
      <c r="K18" s="10">
        <f t="shared" si="11"/>
        <v>0</v>
      </c>
      <c r="L18" s="10">
        <v>77.099999999999994</v>
      </c>
      <c r="M18" s="12">
        <v>42.3</v>
      </c>
      <c r="N18" s="12">
        <v>61.2</v>
      </c>
      <c r="O18" s="12">
        <v>8.0299999999999994</v>
      </c>
      <c r="P18" s="21">
        <v>26.845089999999999</v>
      </c>
    </row>
    <row r="19" spans="1:16" ht="20" customHeight="1">
      <c r="A19" s="8" t="s">
        <v>31</v>
      </c>
      <c r="B19" s="9">
        <v>1</v>
      </c>
      <c r="C19" s="10">
        <v>35</v>
      </c>
      <c r="D19" s="10">
        <v>36</v>
      </c>
      <c r="E19" s="10">
        <f t="shared" si="6"/>
        <v>3493596.75</v>
      </c>
      <c r="F19" s="10">
        <f t="shared" si="7"/>
        <v>48634.583333333336</v>
      </c>
      <c r="G19" s="10">
        <f t="shared" si="8"/>
        <v>59423.333333333336</v>
      </c>
      <c r="H19" s="10">
        <f t="shared" si="9"/>
        <v>3342</v>
      </c>
      <c r="I19" s="10">
        <f t="shared" si="10"/>
        <v>37277.5</v>
      </c>
      <c r="J19" s="11"/>
      <c r="K19" s="10">
        <f t="shared" si="11"/>
        <v>0</v>
      </c>
      <c r="L19" s="10">
        <v>77.099999999999994</v>
      </c>
      <c r="M19" s="12">
        <v>42.3</v>
      </c>
      <c r="N19" s="12">
        <v>61.2</v>
      </c>
      <c r="O19" s="12">
        <v>8.0299999999999994</v>
      </c>
      <c r="P19" s="21">
        <v>26.35276</v>
      </c>
    </row>
    <row r="20" spans="1:16" ht="20" customHeight="1">
      <c r="A20" s="8" t="s">
        <v>32</v>
      </c>
      <c r="B20" s="9">
        <v>1</v>
      </c>
      <c r="C20" s="10">
        <v>33</v>
      </c>
      <c r="D20" s="10">
        <v>34</v>
      </c>
      <c r="E20" s="10">
        <f t="shared" si="6"/>
        <v>3493596.75</v>
      </c>
      <c r="F20" s="10">
        <f t="shared" si="7"/>
        <v>48634.583333333336</v>
      </c>
      <c r="G20" s="10">
        <f t="shared" si="8"/>
        <v>59423.333333333336</v>
      </c>
      <c r="H20" s="10">
        <f t="shared" si="9"/>
        <v>3342</v>
      </c>
      <c r="I20" s="10">
        <f t="shared" si="10"/>
        <v>37277.5</v>
      </c>
      <c r="J20" s="11"/>
      <c r="K20" s="10">
        <f t="shared" si="11"/>
        <v>0</v>
      </c>
      <c r="L20" s="10">
        <v>77.099999999999994</v>
      </c>
      <c r="M20" s="12">
        <v>42.3</v>
      </c>
      <c r="N20" s="12">
        <v>61.2</v>
      </c>
      <c r="O20" s="12">
        <v>8.0299999999999994</v>
      </c>
      <c r="P20" s="21">
        <v>28.59121</v>
      </c>
    </row>
    <row r="21" spans="1:16" ht="20" customHeight="1">
      <c r="A21" s="8" t="s">
        <v>33</v>
      </c>
      <c r="B21" s="9">
        <v>1</v>
      </c>
      <c r="C21" s="10">
        <v>41</v>
      </c>
      <c r="D21" s="10">
        <v>42</v>
      </c>
      <c r="E21" s="10">
        <f t="shared" si="6"/>
        <v>3493596.75</v>
      </c>
      <c r="F21" s="10">
        <f t="shared" si="7"/>
        <v>48634.583333333336</v>
      </c>
      <c r="G21" s="10">
        <f t="shared" si="8"/>
        <v>59423.333333333336</v>
      </c>
      <c r="H21" s="10">
        <f t="shared" si="9"/>
        <v>3342</v>
      </c>
      <c r="I21" s="10">
        <f t="shared" si="10"/>
        <v>37277.5</v>
      </c>
      <c r="J21" s="11"/>
      <c r="K21" s="10">
        <f t="shared" si="11"/>
        <v>0</v>
      </c>
      <c r="L21" s="10">
        <v>77.099999999999994</v>
      </c>
      <c r="M21" s="12">
        <v>42.3</v>
      </c>
      <c r="N21" s="12">
        <v>61.2</v>
      </c>
      <c r="O21" s="12">
        <v>8.0299999999999994</v>
      </c>
      <c r="P21" s="21">
        <v>26.411059999999999</v>
      </c>
    </row>
    <row r="22" spans="1:16" ht="20" customHeight="1">
      <c r="A22" s="8" t="s">
        <v>34</v>
      </c>
      <c r="B22" s="9">
        <v>1</v>
      </c>
      <c r="C22" s="10">
        <v>40</v>
      </c>
      <c r="D22" s="10">
        <v>41</v>
      </c>
      <c r="E22" s="10">
        <f t="shared" si="6"/>
        <v>3493596.75</v>
      </c>
      <c r="F22" s="10">
        <f t="shared" si="7"/>
        <v>48634.583333333336</v>
      </c>
      <c r="G22" s="10">
        <f t="shared" si="8"/>
        <v>59423.333333333336</v>
      </c>
      <c r="H22" s="10">
        <f t="shared" si="9"/>
        <v>3342</v>
      </c>
      <c r="I22" s="10">
        <f t="shared" si="10"/>
        <v>37277.5</v>
      </c>
      <c r="J22" s="11"/>
      <c r="K22" s="10">
        <f t="shared" si="11"/>
        <v>0</v>
      </c>
      <c r="L22" s="10">
        <v>77.099999999999994</v>
      </c>
      <c r="M22" s="12">
        <v>42.3</v>
      </c>
      <c r="N22" s="12">
        <v>61.2</v>
      </c>
      <c r="O22" s="12">
        <v>8.0299999999999994</v>
      </c>
      <c r="P22" s="21">
        <v>27.857109999999999</v>
      </c>
    </row>
    <row r="23" spans="1:16" ht="20" customHeight="1">
      <c r="A23" s="8" t="s">
        <v>35</v>
      </c>
      <c r="B23" s="9">
        <v>1</v>
      </c>
      <c r="C23" s="10">
        <v>40</v>
      </c>
      <c r="D23" s="10">
        <v>41</v>
      </c>
      <c r="E23" s="10">
        <f t="shared" si="6"/>
        <v>3493596.75</v>
      </c>
      <c r="F23" s="10">
        <f t="shared" si="7"/>
        <v>48634.583333333336</v>
      </c>
      <c r="G23" s="10">
        <f t="shared" si="8"/>
        <v>59423.333333333336</v>
      </c>
      <c r="H23" s="10">
        <f t="shared" si="9"/>
        <v>3342</v>
      </c>
      <c r="I23" s="10">
        <f t="shared" si="10"/>
        <v>37277.5</v>
      </c>
      <c r="J23" s="11"/>
      <c r="K23" s="10">
        <f t="shared" si="11"/>
        <v>0</v>
      </c>
      <c r="L23" s="10">
        <v>77.099999999999994</v>
      </c>
      <c r="M23" s="12">
        <v>42.3</v>
      </c>
      <c r="N23" s="12">
        <v>61.2</v>
      </c>
      <c r="O23" s="12">
        <v>8.0299999999999994</v>
      </c>
      <c r="P23" s="21">
        <v>25.888349999999999</v>
      </c>
    </row>
    <row r="24" spans="1:16" ht="20" customHeight="1">
      <c r="A24" s="8" t="s">
        <v>36</v>
      </c>
      <c r="B24" s="9">
        <v>1</v>
      </c>
      <c r="C24" s="10">
        <v>39</v>
      </c>
      <c r="D24" s="10">
        <v>40</v>
      </c>
      <c r="E24" s="10">
        <f t="shared" si="6"/>
        <v>3493596.75</v>
      </c>
      <c r="F24" s="10">
        <f t="shared" si="7"/>
        <v>48634.583333333336</v>
      </c>
      <c r="G24" s="10">
        <f t="shared" si="8"/>
        <v>59423.333333333336</v>
      </c>
      <c r="H24" s="10">
        <f t="shared" si="9"/>
        <v>3342</v>
      </c>
      <c r="I24" s="10">
        <f t="shared" si="10"/>
        <v>37277.5</v>
      </c>
      <c r="J24" s="11"/>
      <c r="K24" s="10">
        <f t="shared" si="11"/>
        <v>0</v>
      </c>
      <c r="L24" s="10">
        <v>77.099999999999994</v>
      </c>
      <c r="M24" s="12">
        <v>42.3</v>
      </c>
      <c r="N24" s="12">
        <v>61.2</v>
      </c>
      <c r="O24" s="12">
        <v>8.0299999999999994</v>
      </c>
      <c r="P24" s="21">
        <v>25.330580000000001</v>
      </c>
    </row>
    <row r="25" spans="1:16" ht="20" customHeight="1">
      <c r="A25" s="8" t="s">
        <v>37</v>
      </c>
      <c r="B25" s="9">
        <v>1</v>
      </c>
      <c r="C25" s="10">
        <v>39</v>
      </c>
      <c r="D25" s="10">
        <v>40</v>
      </c>
      <c r="E25" s="10">
        <f t="shared" si="6"/>
        <v>3493596.75</v>
      </c>
      <c r="F25" s="10">
        <f t="shared" si="7"/>
        <v>48634.583333333336</v>
      </c>
      <c r="G25" s="10">
        <f t="shared" si="8"/>
        <v>59423.333333333336</v>
      </c>
      <c r="H25" s="10">
        <f t="shared" si="9"/>
        <v>3342</v>
      </c>
      <c r="I25" s="10">
        <f t="shared" si="10"/>
        <v>37277.5</v>
      </c>
      <c r="J25" s="11"/>
      <c r="K25" s="10">
        <f t="shared" si="11"/>
        <v>0</v>
      </c>
      <c r="L25" s="10">
        <v>77.099999999999994</v>
      </c>
      <c r="M25" s="12">
        <v>42.3</v>
      </c>
      <c r="N25" s="12">
        <v>61.2</v>
      </c>
      <c r="O25" s="12">
        <v>8.0299999999999994</v>
      </c>
      <c r="P25" s="21">
        <v>20.117260000000002</v>
      </c>
    </row>
    <row r="26" spans="1:16" ht="20" customHeight="1">
      <c r="A26" s="8" t="s">
        <v>38</v>
      </c>
      <c r="B26" s="9">
        <v>1</v>
      </c>
      <c r="C26" s="10">
        <v>43</v>
      </c>
      <c r="D26" s="10">
        <v>44</v>
      </c>
      <c r="E26" s="10">
        <f t="shared" si="6"/>
        <v>3493596.75</v>
      </c>
      <c r="F26" s="10">
        <f t="shared" si="7"/>
        <v>48634.583333333336</v>
      </c>
      <c r="G26" s="10">
        <f t="shared" si="8"/>
        <v>59423.333333333336</v>
      </c>
      <c r="H26" s="10">
        <f t="shared" si="9"/>
        <v>3342</v>
      </c>
      <c r="I26" s="10">
        <f t="shared" si="10"/>
        <v>37277.5</v>
      </c>
      <c r="J26" s="11"/>
      <c r="K26" s="10">
        <f t="shared" si="11"/>
        <v>0</v>
      </c>
      <c r="L26" s="10">
        <v>77.099999999999994</v>
      </c>
      <c r="M26" s="12">
        <v>42.3</v>
      </c>
      <c r="N26" s="12">
        <v>61.2</v>
      </c>
      <c r="O26" s="12">
        <v>8.0299999999999994</v>
      </c>
      <c r="P26" s="21">
        <v>42.51</v>
      </c>
    </row>
    <row r="27" spans="1:16" ht="20" customHeight="1">
      <c r="A27" s="8" t="s">
        <v>39</v>
      </c>
      <c r="B27" s="9">
        <v>0</v>
      </c>
      <c r="C27" s="10">
        <v>44</v>
      </c>
      <c r="D27" s="10">
        <v>44</v>
      </c>
      <c r="E27" s="10">
        <f t="shared" ref="E27:E38" si="12">42341452/12</f>
        <v>3528454.3333333335</v>
      </c>
      <c r="F27" s="10">
        <f t="shared" ref="F27:F38" si="13">593555/12</f>
        <v>49462.916666666664</v>
      </c>
      <c r="G27" s="10">
        <f t="shared" ref="G27:G38" si="14">280196/12</f>
        <v>23349.666666666668</v>
      </c>
      <c r="H27" s="10">
        <f t="shared" ref="H27:H38" si="15">44921/12</f>
        <v>3743.4166666666665</v>
      </c>
      <c r="I27" s="10">
        <f t="shared" ref="I27:I38" si="16">366478/12</f>
        <v>30539.833333333332</v>
      </c>
      <c r="J27" s="11"/>
      <c r="K27" s="10">
        <f t="shared" si="11"/>
        <v>0</v>
      </c>
      <c r="L27" s="10">
        <v>79.7</v>
      </c>
      <c r="M27" s="12">
        <v>49.4</v>
      </c>
      <c r="N27" s="12">
        <v>64.5</v>
      </c>
      <c r="O27" s="12">
        <v>8.8000000000000007</v>
      </c>
      <c r="P27" s="21">
        <v>40.265000000000001</v>
      </c>
    </row>
    <row r="28" spans="1:16" ht="20" customHeight="1">
      <c r="A28" s="8" t="s">
        <v>40</v>
      </c>
      <c r="B28" s="9">
        <v>0</v>
      </c>
      <c r="C28" s="10">
        <v>39</v>
      </c>
      <c r="D28" s="10">
        <v>39</v>
      </c>
      <c r="E28" s="10">
        <f t="shared" si="12"/>
        <v>3528454.3333333335</v>
      </c>
      <c r="F28" s="10">
        <f t="shared" si="13"/>
        <v>49462.916666666664</v>
      </c>
      <c r="G28" s="10">
        <f t="shared" si="14"/>
        <v>23349.666666666668</v>
      </c>
      <c r="H28" s="10">
        <f t="shared" si="15"/>
        <v>3743.4166666666665</v>
      </c>
      <c r="I28" s="10">
        <f t="shared" si="16"/>
        <v>30539.833333333332</v>
      </c>
      <c r="J28" s="11"/>
      <c r="K28" s="10">
        <f t="shared" si="11"/>
        <v>0</v>
      </c>
      <c r="L28" s="10">
        <v>79.7</v>
      </c>
      <c r="M28" s="12">
        <v>49.4</v>
      </c>
      <c r="N28" s="12">
        <v>64.5</v>
      </c>
      <c r="O28" s="12">
        <v>8.8000000000000007</v>
      </c>
      <c r="P28" s="21">
        <v>40.758000000000003</v>
      </c>
    </row>
    <row r="29" spans="1:16" ht="20" customHeight="1">
      <c r="A29" s="8" t="s">
        <v>41</v>
      </c>
      <c r="B29" s="9">
        <v>0</v>
      </c>
      <c r="C29" s="10">
        <v>40</v>
      </c>
      <c r="D29" s="10">
        <v>40</v>
      </c>
      <c r="E29" s="10">
        <f t="shared" si="12"/>
        <v>3528454.3333333335</v>
      </c>
      <c r="F29" s="10">
        <f t="shared" si="13"/>
        <v>49462.916666666664</v>
      </c>
      <c r="G29" s="10">
        <f t="shared" si="14"/>
        <v>23349.666666666668</v>
      </c>
      <c r="H29" s="10">
        <f t="shared" si="15"/>
        <v>3743.4166666666665</v>
      </c>
      <c r="I29" s="10">
        <f t="shared" si="16"/>
        <v>30539.833333333332</v>
      </c>
      <c r="J29" s="11"/>
      <c r="K29" s="10">
        <f t="shared" si="11"/>
        <v>0</v>
      </c>
      <c r="L29" s="10">
        <v>79.7</v>
      </c>
      <c r="M29" s="12">
        <v>49.4</v>
      </c>
      <c r="N29" s="12">
        <v>64.5</v>
      </c>
      <c r="O29" s="12">
        <v>8.8000000000000007</v>
      </c>
      <c r="P29" s="21">
        <v>45.116880000000002</v>
      </c>
    </row>
    <row r="30" spans="1:16" ht="20" customHeight="1">
      <c r="A30" s="8" t="s">
        <v>42</v>
      </c>
      <c r="B30" s="9">
        <v>0</v>
      </c>
      <c r="C30" s="10">
        <v>34</v>
      </c>
      <c r="D30" s="10">
        <v>34</v>
      </c>
      <c r="E30" s="10">
        <f t="shared" si="12"/>
        <v>3528454.3333333335</v>
      </c>
      <c r="F30" s="10">
        <f t="shared" si="13"/>
        <v>49462.916666666664</v>
      </c>
      <c r="G30" s="10">
        <f t="shared" si="14"/>
        <v>23349.666666666668</v>
      </c>
      <c r="H30" s="10">
        <f t="shared" si="15"/>
        <v>3743.4166666666665</v>
      </c>
      <c r="I30" s="10">
        <f t="shared" si="16"/>
        <v>30539.833333333332</v>
      </c>
      <c r="J30" s="11"/>
      <c r="K30" s="10">
        <f t="shared" si="11"/>
        <v>0</v>
      </c>
      <c r="L30" s="10">
        <v>79.7</v>
      </c>
      <c r="M30" s="12">
        <v>49.4</v>
      </c>
      <c r="N30" s="12">
        <v>64.5</v>
      </c>
      <c r="O30" s="12">
        <v>8.8000000000000007</v>
      </c>
      <c r="P30" s="21">
        <v>42.264409999999998</v>
      </c>
    </row>
    <row r="31" spans="1:16" ht="20" customHeight="1">
      <c r="A31" s="8" t="s">
        <v>43</v>
      </c>
      <c r="B31" s="9">
        <v>0</v>
      </c>
      <c r="C31" s="10">
        <v>34</v>
      </c>
      <c r="D31" s="10">
        <v>34</v>
      </c>
      <c r="E31" s="10">
        <f t="shared" si="12"/>
        <v>3528454.3333333335</v>
      </c>
      <c r="F31" s="10">
        <f t="shared" si="13"/>
        <v>49462.916666666664</v>
      </c>
      <c r="G31" s="10">
        <f t="shared" si="14"/>
        <v>23349.666666666668</v>
      </c>
      <c r="H31" s="10">
        <f t="shared" si="15"/>
        <v>3743.4166666666665</v>
      </c>
      <c r="I31" s="10">
        <f t="shared" si="16"/>
        <v>30539.833333333332</v>
      </c>
      <c r="J31" s="11"/>
      <c r="K31" s="10">
        <f t="shared" si="11"/>
        <v>0</v>
      </c>
      <c r="L31" s="10">
        <v>79.7</v>
      </c>
      <c r="M31" s="12">
        <v>49.4</v>
      </c>
      <c r="N31" s="12">
        <v>64.5</v>
      </c>
      <c r="O31" s="12">
        <v>8.8000000000000007</v>
      </c>
      <c r="P31" s="21">
        <v>43.424259999999997</v>
      </c>
    </row>
    <row r="32" spans="1:16" ht="20" customHeight="1">
      <c r="A32" s="8" t="s">
        <v>44</v>
      </c>
      <c r="B32" s="9">
        <v>0</v>
      </c>
      <c r="C32" s="10">
        <v>38</v>
      </c>
      <c r="D32" s="10">
        <v>38</v>
      </c>
      <c r="E32" s="10">
        <f t="shared" si="12"/>
        <v>3528454.3333333335</v>
      </c>
      <c r="F32" s="10">
        <f t="shared" si="13"/>
        <v>49462.916666666664</v>
      </c>
      <c r="G32" s="10">
        <f t="shared" si="14"/>
        <v>23349.666666666668</v>
      </c>
      <c r="H32" s="10">
        <f t="shared" si="15"/>
        <v>3743.4166666666665</v>
      </c>
      <c r="I32" s="10">
        <f t="shared" si="16"/>
        <v>30539.833333333332</v>
      </c>
      <c r="J32" s="11"/>
      <c r="K32" s="10">
        <f t="shared" si="11"/>
        <v>0</v>
      </c>
      <c r="L32" s="10">
        <v>79.7</v>
      </c>
      <c r="M32" s="12">
        <v>49.4</v>
      </c>
      <c r="N32" s="12">
        <v>64.5</v>
      </c>
      <c r="O32" s="12">
        <v>8.8000000000000007</v>
      </c>
      <c r="P32" s="21">
        <v>43.10033</v>
      </c>
    </row>
    <row r="33" spans="1:16" ht="20" customHeight="1">
      <c r="A33" s="8" t="s">
        <v>45</v>
      </c>
      <c r="B33" s="9">
        <v>0</v>
      </c>
      <c r="C33" s="10">
        <v>42</v>
      </c>
      <c r="D33" s="10">
        <v>42</v>
      </c>
      <c r="E33" s="10">
        <f t="shared" si="12"/>
        <v>3528454.3333333335</v>
      </c>
      <c r="F33" s="10">
        <f t="shared" si="13"/>
        <v>49462.916666666664</v>
      </c>
      <c r="G33" s="10">
        <f t="shared" si="14"/>
        <v>23349.666666666668</v>
      </c>
      <c r="H33" s="10">
        <f t="shared" si="15"/>
        <v>3743.4166666666665</v>
      </c>
      <c r="I33" s="10">
        <f t="shared" si="16"/>
        <v>30539.833333333332</v>
      </c>
      <c r="J33" s="11"/>
      <c r="K33" s="10">
        <f t="shared" si="11"/>
        <v>0</v>
      </c>
      <c r="L33" s="10">
        <v>79.7</v>
      </c>
      <c r="M33" s="12">
        <v>49.4</v>
      </c>
      <c r="N33" s="12">
        <v>64.5</v>
      </c>
      <c r="O33" s="12">
        <v>8.8000000000000007</v>
      </c>
      <c r="P33" s="21">
        <v>42.81371</v>
      </c>
    </row>
    <row r="34" spans="1:16" ht="20" customHeight="1">
      <c r="A34" s="8" t="s">
        <v>46</v>
      </c>
      <c r="B34" s="9">
        <v>0</v>
      </c>
      <c r="C34" s="10">
        <v>41</v>
      </c>
      <c r="D34" s="10">
        <v>41</v>
      </c>
      <c r="E34" s="10">
        <f t="shared" si="12"/>
        <v>3528454.3333333335</v>
      </c>
      <c r="F34" s="10">
        <f t="shared" si="13"/>
        <v>49462.916666666664</v>
      </c>
      <c r="G34" s="10">
        <f t="shared" si="14"/>
        <v>23349.666666666668</v>
      </c>
      <c r="H34" s="10">
        <f t="shared" si="15"/>
        <v>3743.4166666666665</v>
      </c>
      <c r="I34" s="10">
        <f t="shared" si="16"/>
        <v>30539.833333333332</v>
      </c>
      <c r="J34" s="11"/>
      <c r="K34" s="10">
        <f t="shared" si="11"/>
        <v>0</v>
      </c>
      <c r="L34" s="10">
        <v>79.7</v>
      </c>
      <c r="M34" s="12">
        <v>49.4</v>
      </c>
      <c r="N34" s="12">
        <v>64.5</v>
      </c>
      <c r="O34" s="12">
        <v>8.8000000000000007</v>
      </c>
      <c r="P34" s="21">
        <v>40.078850000000003</v>
      </c>
    </row>
    <row r="35" spans="1:16" ht="20" customHeight="1">
      <c r="A35" s="8" t="s">
        <v>47</v>
      </c>
      <c r="B35" s="9">
        <v>0</v>
      </c>
      <c r="C35" s="10">
        <v>39</v>
      </c>
      <c r="D35" s="10">
        <v>39</v>
      </c>
      <c r="E35" s="10">
        <f t="shared" si="12"/>
        <v>3528454.3333333335</v>
      </c>
      <c r="F35" s="10">
        <f t="shared" si="13"/>
        <v>49462.916666666664</v>
      </c>
      <c r="G35" s="10">
        <f t="shared" si="14"/>
        <v>23349.666666666668</v>
      </c>
      <c r="H35" s="10">
        <f t="shared" si="15"/>
        <v>3743.4166666666665</v>
      </c>
      <c r="I35" s="10">
        <f t="shared" si="16"/>
        <v>30539.833333333332</v>
      </c>
      <c r="J35" s="11"/>
      <c r="K35" s="10">
        <f t="shared" si="11"/>
        <v>0</v>
      </c>
      <c r="L35" s="10">
        <v>79.7</v>
      </c>
      <c r="M35" s="12">
        <v>49.4</v>
      </c>
      <c r="N35" s="12">
        <v>64.5</v>
      </c>
      <c r="O35" s="12">
        <v>8.8000000000000007</v>
      </c>
      <c r="P35" s="21">
        <v>41.000830000000001</v>
      </c>
    </row>
    <row r="36" spans="1:16" ht="20" customHeight="1">
      <c r="A36" s="8" t="s">
        <v>48</v>
      </c>
      <c r="B36" s="9">
        <v>0</v>
      </c>
      <c r="C36" s="10">
        <v>40</v>
      </c>
      <c r="D36" s="10">
        <v>40</v>
      </c>
      <c r="E36" s="10">
        <f t="shared" si="12"/>
        <v>3528454.3333333335</v>
      </c>
      <c r="F36" s="10">
        <f t="shared" si="13"/>
        <v>49462.916666666664</v>
      </c>
      <c r="G36" s="10">
        <f t="shared" si="14"/>
        <v>23349.666666666668</v>
      </c>
      <c r="H36" s="10">
        <f t="shared" si="15"/>
        <v>3743.4166666666665</v>
      </c>
      <c r="I36" s="10">
        <f t="shared" si="16"/>
        <v>30539.833333333332</v>
      </c>
      <c r="J36" s="11"/>
      <c r="K36" s="10">
        <f t="shared" si="11"/>
        <v>0</v>
      </c>
      <c r="L36" s="10">
        <v>79.7</v>
      </c>
      <c r="M36" s="12">
        <v>49.4</v>
      </c>
      <c r="N36" s="12">
        <v>64.5</v>
      </c>
      <c r="O36" s="12">
        <v>8.8000000000000007</v>
      </c>
      <c r="P36" s="21">
        <v>42.404859999999999</v>
      </c>
    </row>
    <row r="37" spans="1:16" ht="20" customHeight="1">
      <c r="A37" s="8" t="s">
        <v>49</v>
      </c>
      <c r="B37" s="9">
        <v>0</v>
      </c>
      <c r="C37" s="10">
        <v>41</v>
      </c>
      <c r="D37" s="10">
        <v>41</v>
      </c>
      <c r="E37" s="10">
        <f t="shared" si="12"/>
        <v>3528454.3333333335</v>
      </c>
      <c r="F37" s="10">
        <f t="shared" si="13"/>
        <v>49462.916666666664</v>
      </c>
      <c r="G37" s="10">
        <f t="shared" si="14"/>
        <v>23349.666666666668</v>
      </c>
      <c r="H37" s="10">
        <f t="shared" si="15"/>
        <v>3743.4166666666665</v>
      </c>
      <c r="I37" s="10">
        <f t="shared" si="16"/>
        <v>30539.833333333332</v>
      </c>
      <c r="J37" s="11"/>
      <c r="K37" s="10">
        <f t="shared" si="11"/>
        <v>0</v>
      </c>
      <c r="L37" s="10">
        <v>79.7</v>
      </c>
      <c r="M37" s="12">
        <v>49.4</v>
      </c>
      <c r="N37" s="12">
        <v>64.5</v>
      </c>
      <c r="O37" s="12">
        <v>8.8000000000000007</v>
      </c>
      <c r="P37" s="21">
        <v>45.773409999999998</v>
      </c>
    </row>
    <row r="38" spans="1:16" ht="20" customHeight="1">
      <c r="A38" s="8" t="s">
        <v>50</v>
      </c>
      <c r="B38" s="9">
        <v>0</v>
      </c>
      <c r="C38" s="10">
        <v>42</v>
      </c>
      <c r="D38" s="10">
        <v>42</v>
      </c>
      <c r="E38" s="10">
        <f t="shared" si="12"/>
        <v>3528454.3333333335</v>
      </c>
      <c r="F38" s="10">
        <f t="shared" si="13"/>
        <v>49462.916666666664</v>
      </c>
      <c r="G38" s="10">
        <f t="shared" si="14"/>
        <v>23349.666666666668</v>
      </c>
      <c r="H38" s="10">
        <f t="shared" si="15"/>
        <v>3743.4166666666665</v>
      </c>
      <c r="I38" s="10">
        <f t="shared" si="16"/>
        <v>30539.833333333332</v>
      </c>
      <c r="J38" s="11"/>
      <c r="K38" s="10">
        <f t="shared" si="11"/>
        <v>0</v>
      </c>
      <c r="L38" s="10">
        <v>79.7</v>
      </c>
      <c r="M38" s="12">
        <v>49.4</v>
      </c>
      <c r="N38" s="12">
        <v>64.5</v>
      </c>
      <c r="O38" s="12">
        <v>8.8000000000000007</v>
      </c>
      <c r="P38" s="21">
        <v>47.529449999999997</v>
      </c>
    </row>
    <row r="39" spans="1:16" ht="20" customHeight="1">
      <c r="A39" s="8" t="s">
        <v>51</v>
      </c>
      <c r="B39" s="9">
        <v>0</v>
      </c>
      <c r="C39" s="10">
        <v>42</v>
      </c>
      <c r="D39" s="10">
        <v>42</v>
      </c>
      <c r="E39" s="10">
        <f t="shared" ref="E39:E50" si="17">43345740/12</f>
        <v>3612145</v>
      </c>
      <c r="F39" s="10">
        <f t="shared" ref="F39:F50" si="18">593147/12</f>
        <v>49428.916666666664</v>
      </c>
      <c r="G39" s="10">
        <f t="shared" ref="G39:G50" si="19">86897/12</f>
        <v>7241.416666666667</v>
      </c>
      <c r="H39" s="10">
        <f t="shared" ref="H39:H50" si="20">45859/12</f>
        <v>3821.5833333333335</v>
      </c>
      <c r="I39" s="10">
        <f t="shared" ref="I39:I50" si="21">616515/12</f>
        <v>51376.25</v>
      </c>
      <c r="J39" s="11"/>
      <c r="K39" s="10">
        <f t="shared" ref="K39:K50" si="22">12746/12</f>
        <v>1062.1666666666667</v>
      </c>
      <c r="L39" s="10">
        <v>72.599999999999994</v>
      </c>
      <c r="M39" s="12">
        <v>43.4</v>
      </c>
      <c r="N39" s="12">
        <v>58</v>
      </c>
      <c r="O39" s="12">
        <v>10.31</v>
      </c>
      <c r="P39" s="21">
        <v>44.55688</v>
      </c>
    </row>
    <row r="40" spans="1:16" ht="20" customHeight="1">
      <c r="A40" s="8" t="s">
        <v>52</v>
      </c>
      <c r="B40" s="9">
        <v>0</v>
      </c>
      <c r="C40" s="10">
        <v>39</v>
      </c>
      <c r="D40" s="10">
        <v>39</v>
      </c>
      <c r="E40" s="10">
        <f t="shared" si="17"/>
        <v>3612145</v>
      </c>
      <c r="F40" s="10">
        <f t="shared" si="18"/>
        <v>49428.916666666664</v>
      </c>
      <c r="G40" s="10">
        <f t="shared" si="19"/>
        <v>7241.416666666667</v>
      </c>
      <c r="H40" s="10">
        <f t="shared" si="20"/>
        <v>3821.5833333333335</v>
      </c>
      <c r="I40" s="10">
        <f t="shared" si="21"/>
        <v>51376.25</v>
      </c>
      <c r="J40" s="11"/>
      <c r="K40" s="10">
        <f t="shared" si="22"/>
        <v>1062.1666666666667</v>
      </c>
      <c r="L40" s="10">
        <v>72.599999999999994</v>
      </c>
      <c r="M40" s="12">
        <v>43.4</v>
      </c>
      <c r="N40" s="12">
        <v>58</v>
      </c>
      <c r="O40" s="12">
        <v>10.31</v>
      </c>
      <c r="P40" s="21">
        <v>45.939030000000002</v>
      </c>
    </row>
    <row r="41" spans="1:16" ht="20" customHeight="1">
      <c r="A41" s="8" t="s">
        <v>53</v>
      </c>
      <c r="B41" s="9">
        <v>0</v>
      </c>
      <c r="C41" s="10">
        <v>40</v>
      </c>
      <c r="D41" s="10">
        <v>40</v>
      </c>
      <c r="E41" s="10">
        <f t="shared" si="17"/>
        <v>3612145</v>
      </c>
      <c r="F41" s="10">
        <f t="shared" si="18"/>
        <v>49428.916666666664</v>
      </c>
      <c r="G41" s="10">
        <f t="shared" si="19"/>
        <v>7241.416666666667</v>
      </c>
      <c r="H41" s="10">
        <f t="shared" si="20"/>
        <v>3821.5833333333335</v>
      </c>
      <c r="I41" s="10">
        <f t="shared" si="21"/>
        <v>51376.25</v>
      </c>
      <c r="J41" s="11"/>
      <c r="K41" s="10">
        <f t="shared" si="22"/>
        <v>1062.1666666666667</v>
      </c>
      <c r="L41" s="10">
        <v>72.599999999999994</v>
      </c>
      <c r="M41" s="12">
        <v>43.4</v>
      </c>
      <c r="N41" s="12">
        <v>58</v>
      </c>
      <c r="O41" s="12">
        <v>10.31</v>
      </c>
      <c r="P41" s="21">
        <v>45.429090000000002</v>
      </c>
    </row>
    <row r="42" spans="1:16" ht="20" customHeight="1">
      <c r="A42" s="8" t="s">
        <v>54</v>
      </c>
      <c r="B42" s="9">
        <v>0</v>
      </c>
      <c r="C42" s="10">
        <v>36</v>
      </c>
      <c r="D42" s="10">
        <v>36</v>
      </c>
      <c r="E42" s="10">
        <f t="shared" si="17"/>
        <v>3612145</v>
      </c>
      <c r="F42" s="10">
        <f t="shared" si="18"/>
        <v>49428.916666666664</v>
      </c>
      <c r="G42" s="10">
        <f t="shared" si="19"/>
        <v>7241.416666666667</v>
      </c>
      <c r="H42" s="10">
        <f t="shared" si="20"/>
        <v>3821.5833333333335</v>
      </c>
      <c r="I42" s="10">
        <f t="shared" si="21"/>
        <v>51376.25</v>
      </c>
      <c r="J42" s="11"/>
      <c r="K42" s="10">
        <f t="shared" si="22"/>
        <v>1062.1666666666667</v>
      </c>
      <c r="L42" s="10">
        <v>72.599999999999994</v>
      </c>
      <c r="M42" s="12">
        <v>43.4</v>
      </c>
      <c r="N42" s="12">
        <v>58</v>
      </c>
      <c r="O42" s="12">
        <v>10.31</v>
      </c>
      <c r="P42" s="21">
        <v>45.497320000000002</v>
      </c>
    </row>
    <row r="43" spans="1:16" ht="20" customHeight="1">
      <c r="A43" s="8" t="s">
        <v>55</v>
      </c>
      <c r="B43" s="9">
        <v>0</v>
      </c>
      <c r="C43" s="10">
        <v>31</v>
      </c>
      <c r="D43" s="10">
        <v>31</v>
      </c>
      <c r="E43" s="10">
        <f t="shared" si="17"/>
        <v>3612145</v>
      </c>
      <c r="F43" s="10">
        <f t="shared" si="18"/>
        <v>49428.916666666664</v>
      </c>
      <c r="G43" s="10">
        <f t="shared" si="19"/>
        <v>7241.416666666667</v>
      </c>
      <c r="H43" s="10">
        <f t="shared" si="20"/>
        <v>3821.5833333333335</v>
      </c>
      <c r="I43" s="10">
        <f t="shared" si="21"/>
        <v>51376.25</v>
      </c>
      <c r="J43" s="11"/>
      <c r="K43" s="10">
        <f t="shared" si="22"/>
        <v>1062.1666666666667</v>
      </c>
      <c r="L43" s="10">
        <v>72.599999999999994</v>
      </c>
      <c r="M43" s="12">
        <v>43.4</v>
      </c>
      <c r="N43" s="12">
        <v>58</v>
      </c>
      <c r="O43" s="12">
        <v>10.31</v>
      </c>
      <c r="P43" s="21">
        <v>43.932810000000003</v>
      </c>
    </row>
    <row r="44" spans="1:16" ht="20" customHeight="1">
      <c r="A44" s="8" t="s">
        <v>56</v>
      </c>
      <c r="B44" s="9">
        <v>0</v>
      </c>
      <c r="C44" s="10">
        <v>39</v>
      </c>
      <c r="D44" s="10">
        <v>39</v>
      </c>
      <c r="E44" s="10">
        <f t="shared" si="17"/>
        <v>3612145</v>
      </c>
      <c r="F44" s="10">
        <f t="shared" si="18"/>
        <v>49428.916666666664</v>
      </c>
      <c r="G44" s="10">
        <f t="shared" si="19"/>
        <v>7241.416666666667</v>
      </c>
      <c r="H44" s="10">
        <f t="shared" si="20"/>
        <v>3821.5833333333335</v>
      </c>
      <c r="I44" s="10">
        <f t="shared" si="21"/>
        <v>51376.25</v>
      </c>
      <c r="J44" s="11"/>
      <c r="K44" s="10">
        <f t="shared" si="22"/>
        <v>1062.1666666666667</v>
      </c>
      <c r="L44" s="10">
        <v>72.599999999999994</v>
      </c>
      <c r="M44" s="12">
        <v>43.4</v>
      </c>
      <c r="N44" s="12">
        <v>58</v>
      </c>
      <c r="O44" s="12">
        <v>10.31</v>
      </c>
      <c r="P44" s="21">
        <v>37.554049999999997</v>
      </c>
    </row>
    <row r="45" spans="1:16" ht="20" customHeight="1">
      <c r="A45" s="8" t="s">
        <v>57</v>
      </c>
      <c r="B45" s="9">
        <v>0</v>
      </c>
      <c r="C45" s="10">
        <v>41</v>
      </c>
      <c r="D45" s="10">
        <v>41</v>
      </c>
      <c r="E45" s="10">
        <f t="shared" si="17"/>
        <v>3612145</v>
      </c>
      <c r="F45" s="10">
        <f t="shared" si="18"/>
        <v>49428.916666666664</v>
      </c>
      <c r="G45" s="10">
        <f t="shared" si="19"/>
        <v>7241.416666666667</v>
      </c>
      <c r="H45" s="10">
        <f t="shared" si="20"/>
        <v>3821.5833333333335</v>
      </c>
      <c r="I45" s="10">
        <f t="shared" si="21"/>
        <v>51376.25</v>
      </c>
      <c r="J45" s="11"/>
      <c r="K45" s="10">
        <f t="shared" si="22"/>
        <v>1062.1666666666667</v>
      </c>
      <c r="L45" s="10">
        <v>72.599999999999994</v>
      </c>
      <c r="M45" s="12">
        <v>43.4</v>
      </c>
      <c r="N45" s="12">
        <v>58</v>
      </c>
      <c r="O45" s="12">
        <v>10.31</v>
      </c>
      <c r="P45" s="21">
        <v>35.434019999999997</v>
      </c>
    </row>
    <row r="46" spans="1:16" ht="20" customHeight="1">
      <c r="A46" s="8" t="s">
        <v>58</v>
      </c>
      <c r="B46" s="9">
        <v>0</v>
      </c>
      <c r="C46" s="10">
        <v>45</v>
      </c>
      <c r="D46" s="10">
        <v>45</v>
      </c>
      <c r="E46" s="10">
        <f t="shared" si="17"/>
        <v>3612145</v>
      </c>
      <c r="F46" s="10">
        <f t="shared" si="18"/>
        <v>49428.916666666664</v>
      </c>
      <c r="G46" s="10">
        <f t="shared" si="19"/>
        <v>7241.416666666667</v>
      </c>
      <c r="H46" s="10">
        <f t="shared" si="20"/>
        <v>3821.5833333333335</v>
      </c>
      <c r="I46" s="10">
        <f t="shared" si="21"/>
        <v>51376.25</v>
      </c>
      <c r="J46" s="11"/>
      <c r="K46" s="10">
        <f t="shared" si="22"/>
        <v>1062.1666666666667</v>
      </c>
      <c r="L46" s="10">
        <v>72.599999999999994</v>
      </c>
      <c r="M46" s="12">
        <v>43.4</v>
      </c>
      <c r="N46" s="12">
        <v>58</v>
      </c>
      <c r="O46" s="12">
        <v>10.31</v>
      </c>
      <c r="P46" s="21">
        <v>34.532730000000001</v>
      </c>
    </row>
    <row r="47" spans="1:16" ht="20" customHeight="1">
      <c r="A47" s="8" t="s">
        <v>59</v>
      </c>
      <c r="B47" s="9">
        <v>0</v>
      </c>
      <c r="C47" s="10">
        <v>43</v>
      </c>
      <c r="D47" s="10">
        <v>43</v>
      </c>
      <c r="E47" s="10">
        <f t="shared" si="17"/>
        <v>3612145</v>
      </c>
      <c r="F47" s="10">
        <f t="shared" si="18"/>
        <v>49428.916666666664</v>
      </c>
      <c r="G47" s="10">
        <f t="shared" si="19"/>
        <v>7241.416666666667</v>
      </c>
      <c r="H47" s="10">
        <f t="shared" si="20"/>
        <v>3821.5833333333335</v>
      </c>
      <c r="I47" s="10">
        <f t="shared" si="21"/>
        <v>51376.25</v>
      </c>
      <c r="J47" s="11"/>
      <c r="K47" s="10">
        <f t="shared" si="22"/>
        <v>1062.1666666666667</v>
      </c>
      <c r="L47" s="10">
        <v>72.599999999999994</v>
      </c>
      <c r="M47" s="12">
        <v>43.4</v>
      </c>
      <c r="N47" s="12">
        <v>58</v>
      </c>
      <c r="O47" s="12">
        <v>10.31</v>
      </c>
      <c r="P47" s="21">
        <v>40.058950000000003</v>
      </c>
    </row>
    <row r="48" spans="1:16" ht="20" customHeight="1">
      <c r="A48" s="8" t="s">
        <v>60</v>
      </c>
      <c r="B48" s="9">
        <v>0</v>
      </c>
      <c r="C48" s="10">
        <v>40</v>
      </c>
      <c r="D48" s="10">
        <v>40</v>
      </c>
      <c r="E48" s="10">
        <f t="shared" si="17"/>
        <v>3612145</v>
      </c>
      <c r="F48" s="10">
        <f t="shared" si="18"/>
        <v>49428.916666666664</v>
      </c>
      <c r="G48" s="10">
        <f t="shared" si="19"/>
        <v>7241.416666666667</v>
      </c>
      <c r="H48" s="10">
        <f t="shared" si="20"/>
        <v>3821.5833333333335</v>
      </c>
      <c r="I48" s="10">
        <f t="shared" si="21"/>
        <v>51376.25</v>
      </c>
      <c r="J48" s="11"/>
      <c r="K48" s="10">
        <f t="shared" si="22"/>
        <v>1062.1666666666667</v>
      </c>
      <c r="L48" s="10">
        <v>72.599999999999994</v>
      </c>
      <c r="M48" s="12">
        <v>43.4</v>
      </c>
      <c r="N48" s="12">
        <v>58</v>
      </c>
      <c r="O48" s="12">
        <v>10.31</v>
      </c>
      <c r="P48" s="21">
        <v>40.664999999999999</v>
      </c>
    </row>
    <row r="49" spans="1:16" ht="20" customHeight="1">
      <c r="A49" s="8" t="s">
        <v>61</v>
      </c>
      <c r="B49" s="9">
        <v>0</v>
      </c>
      <c r="C49" s="10">
        <v>42</v>
      </c>
      <c r="D49" s="10">
        <v>42</v>
      </c>
      <c r="E49" s="10">
        <f t="shared" si="17"/>
        <v>3612145</v>
      </c>
      <c r="F49" s="10">
        <f t="shared" si="18"/>
        <v>49428.916666666664</v>
      </c>
      <c r="G49" s="10">
        <f t="shared" si="19"/>
        <v>7241.416666666667</v>
      </c>
      <c r="H49" s="10">
        <f t="shared" si="20"/>
        <v>3821.5833333333335</v>
      </c>
      <c r="I49" s="10">
        <f t="shared" si="21"/>
        <v>51376.25</v>
      </c>
      <c r="J49" s="11"/>
      <c r="K49" s="10">
        <f t="shared" si="22"/>
        <v>1062.1666666666667</v>
      </c>
      <c r="L49" s="10">
        <v>72.599999999999994</v>
      </c>
      <c r="M49" s="12">
        <v>43.4</v>
      </c>
      <c r="N49" s="12">
        <v>58</v>
      </c>
      <c r="O49" s="12">
        <v>10.31</v>
      </c>
      <c r="P49" s="21">
        <v>43.177</v>
      </c>
    </row>
    <row r="50" spans="1:16" ht="20" customHeight="1">
      <c r="A50" s="8" t="s">
        <v>62</v>
      </c>
      <c r="B50" s="9">
        <v>0</v>
      </c>
      <c r="C50" s="10">
        <v>41</v>
      </c>
      <c r="D50" s="10">
        <v>41</v>
      </c>
      <c r="E50" s="10">
        <f t="shared" si="17"/>
        <v>3612145</v>
      </c>
      <c r="F50" s="10">
        <f t="shared" si="18"/>
        <v>49428.916666666664</v>
      </c>
      <c r="G50" s="10">
        <f t="shared" si="19"/>
        <v>7241.416666666667</v>
      </c>
      <c r="H50" s="10">
        <f t="shared" si="20"/>
        <v>3821.5833333333335</v>
      </c>
      <c r="I50" s="10">
        <f t="shared" si="21"/>
        <v>51376.25</v>
      </c>
      <c r="J50" s="11"/>
      <c r="K50" s="10">
        <f t="shared" si="22"/>
        <v>1062.1666666666667</v>
      </c>
      <c r="L50" s="10">
        <v>72.599999999999994</v>
      </c>
      <c r="M50" s="12">
        <v>43.4</v>
      </c>
      <c r="N50" s="12">
        <v>58</v>
      </c>
      <c r="O50" s="12">
        <v>10.31</v>
      </c>
      <c r="P50" s="21">
        <v>42.408999999999999</v>
      </c>
    </row>
    <row r="51" spans="1:16" ht="20" customHeight="1">
      <c r="A51" s="8" t="s">
        <v>63</v>
      </c>
      <c r="B51" s="9">
        <v>0</v>
      </c>
      <c r="C51" s="10">
        <v>41</v>
      </c>
      <c r="D51" s="10">
        <v>41</v>
      </c>
      <c r="E51" s="10">
        <f t="shared" ref="E51:E62" si="23">43345676/12</f>
        <v>3612139.6666666665</v>
      </c>
      <c r="F51" s="10">
        <f t="shared" ref="F51:F62" si="24">808375/12</f>
        <v>67364.583333333328</v>
      </c>
      <c r="G51" s="10">
        <f t="shared" ref="G51:G62" si="25">324981/12</f>
        <v>27081.75</v>
      </c>
      <c r="H51" s="10">
        <f t="shared" ref="H51:H62" si="26">42305/12</f>
        <v>3525.4166666666665</v>
      </c>
      <c r="I51" s="10">
        <f t="shared" ref="I51:I62" si="27">717264/12</f>
        <v>59772</v>
      </c>
      <c r="J51" s="11"/>
      <c r="K51" s="10">
        <f t="shared" ref="K51:K62" si="28">263586/12</f>
        <v>21965.5</v>
      </c>
      <c r="L51" s="10">
        <v>76.099999999999994</v>
      </c>
      <c r="M51" s="12">
        <v>45.2</v>
      </c>
      <c r="N51" s="12">
        <v>60.7</v>
      </c>
      <c r="O51" s="12">
        <v>12.94</v>
      </c>
      <c r="P51" s="21">
        <v>41.281930000000003</v>
      </c>
    </row>
    <row r="52" spans="1:16" ht="20" customHeight="1">
      <c r="A52" s="8" t="s">
        <v>64</v>
      </c>
      <c r="B52" s="9">
        <v>0</v>
      </c>
      <c r="C52" s="10">
        <v>37</v>
      </c>
      <c r="D52" s="10">
        <v>37</v>
      </c>
      <c r="E52" s="10">
        <f t="shared" si="23"/>
        <v>3612139.6666666665</v>
      </c>
      <c r="F52" s="10">
        <f t="shared" si="24"/>
        <v>67364.583333333328</v>
      </c>
      <c r="G52" s="10">
        <f t="shared" si="25"/>
        <v>27081.75</v>
      </c>
      <c r="H52" s="10">
        <f t="shared" si="26"/>
        <v>3525.4166666666665</v>
      </c>
      <c r="I52" s="10">
        <f t="shared" si="27"/>
        <v>59772</v>
      </c>
      <c r="J52" s="11"/>
      <c r="K52" s="10">
        <f t="shared" si="28"/>
        <v>21965.5</v>
      </c>
      <c r="L52" s="10">
        <v>76.099999999999994</v>
      </c>
      <c r="M52" s="12">
        <v>45.2</v>
      </c>
      <c r="N52" s="12">
        <v>60.7</v>
      </c>
      <c r="O52" s="12">
        <v>12.94</v>
      </c>
      <c r="P52" s="21">
        <v>42.073140000000002</v>
      </c>
    </row>
    <row r="53" spans="1:16" ht="20" customHeight="1">
      <c r="A53" s="8" t="s">
        <v>65</v>
      </c>
      <c r="B53" s="9">
        <v>0</v>
      </c>
      <c r="C53" s="10">
        <v>40</v>
      </c>
      <c r="D53" s="10">
        <v>40</v>
      </c>
      <c r="E53" s="10">
        <f t="shared" si="23"/>
        <v>3612139.6666666665</v>
      </c>
      <c r="F53" s="10">
        <f t="shared" si="24"/>
        <v>67364.583333333328</v>
      </c>
      <c r="G53" s="10">
        <f t="shared" si="25"/>
        <v>27081.75</v>
      </c>
      <c r="H53" s="10">
        <f t="shared" si="26"/>
        <v>3525.4166666666665</v>
      </c>
      <c r="I53" s="10">
        <f t="shared" si="27"/>
        <v>59772</v>
      </c>
      <c r="J53" s="11"/>
      <c r="K53" s="10">
        <f t="shared" si="28"/>
        <v>21965.5</v>
      </c>
      <c r="L53" s="10">
        <v>76.099999999999994</v>
      </c>
      <c r="M53" s="12">
        <v>45.2</v>
      </c>
      <c r="N53" s="12">
        <v>60.7</v>
      </c>
      <c r="O53" s="12">
        <v>12.94</v>
      </c>
      <c r="P53" s="21">
        <v>40.825380000000003</v>
      </c>
    </row>
    <row r="54" spans="1:16" ht="20" customHeight="1">
      <c r="A54" s="8" t="s">
        <v>66</v>
      </c>
      <c r="B54" s="9">
        <v>0</v>
      </c>
      <c r="C54" s="10">
        <v>33</v>
      </c>
      <c r="D54" s="10">
        <v>33</v>
      </c>
      <c r="E54" s="10">
        <f t="shared" si="23"/>
        <v>3612139.6666666665</v>
      </c>
      <c r="F54" s="10">
        <f t="shared" si="24"/>
        <v>67364.583333333328</v>
      </c>
      <c r="G54" s="10">
        <f t="shared" si="25"/>
        <v>27081.75</v>
      </c>
      <c r="H54" s="10">
        <f t="shared" si="26"/>
        <v>3525.4166666666665</v>
      </c>
      <c r="I54" s="10">
        <f t="shared" si="27"/>
        <v>59772</v>
      </c>
      <c r="J54" s="11"/>
      <c r="K54" s="10">
        <f t="shared" si="28"/>
        <v>21965.5</v>
      </c>
      <c r="L54" s="10">
        <v>76.099999999999994</v>
      </c>
      <c r="M54" s="12">
        <v>45.2</v>
      </c>
      <c r="N54" s="12">
        <v>60.7</v>
      </c>
      <c r="O54" s="12">
        <v>12.94</v>
      </c>
      <c r="P54" s="21">
        <v>42.773820000000001</v>
      </c>
    </row>
    <row r="55" spans="1:16" ht="20" customHeight="1">
      <c r="A55" s="8" t="s">
        <v>67</v>
      </c>
      <c r="B55" s="9">
        <v>1</v>
      </c>
      <c r="C55" s="10">
        <v>31</v>
      </c>
      <c r="D55" s="10">
        <v>32</v>
      </c>
      <c r="E55" s="10">
        <f t="shared" si="23"/>
        <v>3612139.6666666665</v>
      </c>
      <c r="F55" s="10">
        <f t="shared" si="24"/>
        <v>67364.583333333328</v>
      </c>
      <c r="G55" s="10">
        <f t="shared" si="25"/>
        <v>27081.75</v>
      </c>
      <c r="H55" s="10">
        <f t="shared" si="26"/>
        <v>3525.4166666666665</v>
      </c>
      <c r="I55" s="10">
        <f t="shared" si="27"/>
        <v>59772</v>
      </c>
      <c r="J55" s="11"/>
      <c r="K55" s="10">
        <f t="shared" si="28"/>
        <v>21965.5</v>
      </c>
      <c r="L55" s="10">
        <v>76.099999999999994</v>
      </c>
      <c r="M55" s="12">
        <v>45.2</v>
      </c>
      <c r="N55" s="12">
        <v>60.7</v>
      </c>
      <c r="O55" s="12">
        <v>12.94</v>
      </c>
      <c r="P55" s="21">
        <v>44.49539</v>
      </c>
    </row>
    <row r="56" spans="1:16" ht="20" customHeight="1">
      <c r="A56" s="8" t="s">
        <v>68</v>
      </c>
      <c r="B56" s="9">
        <v>1</v>
      </c>
      <c r="C56" s="10">
        <v>40</v>
      </c>
      <c r="D56" s="10">
        <v>41</v>
      </c>
      <c r="E56" s="10">
        <f t="shared" si="23"/>
        <v>3612139.6666666665</v>
      </c>
      <c r="F56" s="10">
        <f t="shared" si="24"/>
        <v>67364.583333333328</v>
      </c>
      <c r="G56" s="10">
        <f t="shared" si="25"/>
        <v>27081.75</v>
      </c>
      <c r="H56" s="10">
        <f t="shared" si="26"/>
        <v>3525.4166666666665</v>
      </c>
      <c r="I56" s="10">
        <f t="shared" si="27"/>
        <v>59772</v>
      </c>
      <c r="J56" s="11"/>
      <c r="K56" s="10">
        <f t="shared" si="28"/>
        <v>21965.5</v>
      </c>
      <c r="L56" s="10">
        <v>76.099999999999994</v>
      </c>
      <c r="M56" s="12">
        <v>45.2</v>
      </c>
      <c r="N56" s="12">
        <v>60.7</v>
      </c>
      <c r="O56" s="12">
        <v>12.94</v>
      </c>
      <c r="P56" s="21">
        <v>41.255220000000001</v>
      </c>
    </row>
    <row r="57" spans="1:16" ht="20" customHeight="1">
      <c r="A57" s="8" t="s">
        <v>69</v>
      </c>
      <c r="B57" s="9">
        <v>1</v>
      </c>
      <c r="C57" s="10">
        <v>42</v>
      </c>
      <c r="D57" s="10">
        <v>43</v>
      </c>
      <c r="E57" s="10">
        <f t="shared" si="23"/>
        <v>3612139.6666666665</v>
      </c>
      <c r="F57" s="10">
        <f t="shared" si="24"/>
        <v>67364.583333333328</v>
      </c>
      <c r="G57" s="10">
        <f t="shared" si="25"/>
        <v>27081.75</v>
      </c>
      <c r="H57" s="10">
        <f t="shared" si="26"/>
        <v>3525.4166666666665</v>
      </c>
      <c r="I57" s="10">
        <f t="shared" si="27"/>
        <v>59772</v>
      </c>
      <c r="J57" s="11"/>
      <c r="K57" s="10">
        <f t="shared" si="28"/>
        <v>21965.5</v>
      </c>
      <c r="L57" s="10">
        <v>76.099999999999994</v>
      </c>
      <c r="M57" s="12">
        <v>45.2</v>
      </c>
      <c r="N57" s="12">
        <v>60.7</v>
      </c>
      <c r="O57" s="12">
        <v>12.94</v>
      </c>
      <c r="P57" s="21">
        <v>43.416249999999998</v>
      </c>
    </row>
    <row r="58" spans="1:16" ht="20" customHeight="1">
      <c r="A58" s="8" t="s">
        <v>70</v>
      </c>
      <c r="B58" s="9">
        <v>1</v>
      </c>
      <c r="C58" s="10">
        <v>42</v>
      </c>
      <c r="D58" s="10">
        <v>43</v>
      </c>
      <c r="E58" s="10">
        <f t="shared" si="23"/>
        <v>3612139.6666666665</v>
      </c>
      <c r="F58" s="10">
        <f t="shared" si="24"/>
        <v>67364.583333333328</v>
      </c>
      <c r="G58" s="10">
        <f t="shared" si="25"/>
        <v>27081.75</v>
      </c>
      <c r="H58" s="10">
        <f t="shared" si="26"/>
        <v>3525.4166666666665</v>
      </c>
      <c r="I58" s="10">
        <f t="shared" si="27"/>
        <v>59772</v>
      </c>
      <c r="J58" s="11"/>
      <c r="K58" s="10">
        <f t="shared" si="28"/>
        <v>21965.5</v>
      </c>
      <c r="L58" s="10">
        <v>76.099999999999994</v>
      </c>
      <c r="M58" s="12">
        <v>45.2</v>
      </c>
      <c r="N58" s="12">
        <v>60.7</v>
      </c>
      <c r="O58" s="12">
        <v>12.94</v>
      </c>
      <c r="P58" s="21">
        <v>47.05697</v>
      </c>
    </row>
    <row r="59" spans="1:16" ht="20" customHeight="1">
      <c r="A59" s="8" t="s">
        <v>71</v>
      </c>
      <c r="B59" s="9">
        <v>1</v>
      </c>
      <c r="C59" s="10">
        <v>39</v>
      </c>
      <c r="D59" s="10">
        <v>40</v>
      </c>
      <c r="E59" s="10">
        <f t="shared" si="23"/>
        <v>3612139.6666666665</v>
      </c>
      <c r="F59" s="10">
        <f t="shared" si="24"/>
        <v>67364.583333333328</v>
      </c>
      <c r="G59" s="10">
        <f t="shared" si="25"/>
        <v>27081.75</v>
      </c>
      <c r="H59" s="10">
        <f t="shared" si="26"/>
        <v>3525.4166666666665</v>
      </c>
      <c r="I59" s="10">
        <f t="shared" si="27"/>
        <v>59772</v>
      </c>
      <c r="J59" s="11"/>
      <c r="K59" s="10">
        <f t="shared" si="28"/>
        <v>21965.5</v>
      </c>
      <c r="L59" s="10">
        <v>76.099999999999994</v>
      </c>
      <c r="M59" s="12">
        <v>45.2</v>
      </c>
      <c r="N59" s="12">
        <v>60.7</v>
      </c>
      <c r="O59" s="12">
        <v>12.94</v>
      </c>
      <c r="P59" s="21">
        <v>44.767440000000001</v>
      </c>
    </row>
    <row r="60" spans="1:16" ht="20" customHeight="1">
      <c r="A60" s="8" t="s">
        <v>72</v>
      </c>
      <c r="B60" s="9">
        <v>1</v>
      </c>
      <c r="C60" s="10">
        <v>42</v>
      </c>
      <c r="D60" s="10">
        <v>43</v>
      </c>
      <c r="E60" s="10">
        <f t="shared" si="23"/>
        <v>3612139.6666666665</v>
      </c>
      <c r="F60" s="10">
        <f t="shared" si="24"/>
        <v>67364.583333333328</v>
      </c>
      <c r="G60" s="10">
        <f t="shared" si="25"/>
        <v>27081.75</v>
      </c>
      <c r="H60" s="10">
        <f t="shared" si="26"/>
        <v>3525.4166666666665</v>
      </c>
      <c r="I60" s="10">
        <f t="shared" si="27"/>
        <v>59772</v>
      </c>
      <c r="J60" s="11"/>
      <c r="K60" s="10">
        <f t="shared" si="28"/>
        <v>21965.5</v>
      </c>
      <c r="L60" s="10">
        <v>76.099999999999994</v>
      </c>
      <c r="M60" s="12">
        <v>45.2</v>
      </c>
      <c r="N60" s="12">
        <v>60.7</v>
      </c>
      <c r="O60" s="12">
        <v>12.94</v>
      </c>
      <c r="P60" s="21">
        <v>45.122579999999999</v>
      </c>
    </row>
    <row r="61" spans="1:16" ht="20" customHeight="1">
      <c r="A61" s="8" t="s">
        <v>73</v>
      </c>
      <c r="B61" s="9">
        <v>1</v>
      </c>
      <c r="C61" s="10">
        <v>42</v>
      </c>
      <c r="D61" s="10">
        <v>43</v>
      </c>
      <c r="E61" s="10">
        <f t="shared" si="23"/>
        <v>3612139.6666666665</v>
      </c>
      <c r="F61" s="10">
        <f t="shared" si="24"/>
        <v>67364.583333333328</v>
      </c>
      <c r="G61" s="10">
        <f t="shared" si="25"/>
        <v>27081.75</v>
      </c>
      <c r="H61" s="10">
        <f t="shared" si="26"/>
        <v>3525.4166666666665</v>
      </c>
      <c r="I61" s="10">
        <f t="shared" si="27"/>
        <v>59772</v>
      </c>
      <c r="J61" s="11"/>
      <c r="K61" s="10">
        <f t="shared" si="28"/>
        <v>21965.5</v>
      </c>
      <c r="L61" s="10">
        <v>76.099999999999994</v>
      </c>
      <c r="M61" s="12">
        <v>45.2</v>
      </c>
      <c r="N61" s="12">
        <v>60.7</v>
      </c>
      <c r="O61" s="12">
        <v>12.94</v>
      </c>
      <c r="P61" s="21">
        <v>42.740929999999999</v>
      </c>
    </row>
    <row r="62" spans="1:16" ht="20" customHeight="1">
      <c r="A62" s="8" t="s">
        <v>74</v>
      </c>
      <c r="B62" s="9">
        <v>1</v>
      </c>
      <c r="C62" s="10">
        <v>42</v>
      </c>
      <c r="D62" s="10">
        <v>43</v>
      </c>
      <c r="E62" s="10">
        <f t="shared" si="23"/>
        <v>3612139.6666666665</v>
      </c>
      <c r="F62" s="10">
        <f t="shared" si="24"/>
        <v>67364.583333333328</v>
      </c>
      <c r="G62" s="10">
        <f t="shared" si="25"/>
        <v>27081.75</v>
      </c>
      <c r="H62" s="10">
        <f t="shared" si="26"/>
        <v>3525.4166666666665</v>
      </c>
      <c r="I62" s="10">
        <f t="shared" si="27"/>
        <v>59772</v>
      </c>
      <c r="J62" s="11"/>
      <c r="K62" s="10">
        <f t="shared" si="28"/>
        <v>21965.5</v>
      </c>
      <c r="L62" s="10">
        <v>76.099999999999994</v>
      </c>
      <c r="M62" s="12">
        <v>45.2</v>
      </c>
      <c r="N62" s="12">
        <v>60.7</v>
      </c>
      <c r="O62" s="12">
        <v>12.94</v>
      </c>
      <c r="P62" s="21">
        <v>39.930709999999998</v>
      </c>
    </row>
    <row r="63" spans="1:16" ht="20" customHeight="1">
      <c r="A63" s="8" t="s">
        <v>75</v>
      </c>
      <c r="B63" s="9">
        <v>1</v>
      </c>
      <c r="C63" s="10">
        <v>43</v>
      </c>
      <c r="D63" s="10">
        <v>44</v>
      </c>
      <c r="E63" s="10">
        <f t="shared" ref="E63:E74" si="29">42891827/12</f>
        <v>3574318.9166666665</v>
      </c>
      <c r="F63" s="10">
        <f t="shared" ref="F63:F74" si="30">843316/12</f>
        <v>70276.333333333328</v>
      </c>
      <c r="G63" s="10">
        <f t="shared" ref="G63:G74" si="31">510270/12</f>
        <v>42522.5</v>
      </c>
      <c r="H63" s="10">
        <f t="shared" ref="H63:H74" si="32">45937/12</f>
        <v>3828.0833333333335</v>
      </c>
      <c r="I63" s="10">
        <f t="shared" ref="I63:I74" si="33">759061/12</f>
        <v>63255.083333333336</v>
      </c>
      <c r="J63" s="11"/>
      <c r="K63" s="13">
        <v>25827.25</v>
      </c>
      <c r="L63" s="10">
        <v>76.8</v>
      </c>
      <c r="M63" s="12">
        <v>62.4</v>
      </c>
      <c r="N63" s="12">
        <v>47.9</v>
      </c>
      <c r="O63" s="12">
        <v>14.55</v>
      </c>
      <c r="P63" s="21">
        <v>43.82226</v>
      </c>
    </row>
    <row r="64" spans="1:16" ht="20" customHeight="1">
      <c r="A64" s="8" t="s">
        <v>76</v>
      </c>
      <c r="B64" s="9">
        <v>1</v>
      </c>
      <c r="C64" s="10">
        <v>38</v>
      </c>
      <c r="D64" s="10">
        <v>39</v>
      </c>
      <c r="E64" s="10">
        <f t="shared" si="29"/>
        <v>3574318.9166666665</v>
      </c>
      <c r="F64" s="10">
        <f t="shared" si="30"/>
        <v>70276.333333333328</v>
      </c>
      <c r="G64" s="10">
        <f t="shared" si="31"/>
        <v>42522.5</v>
      </c>
      <c r="H64" s="10">
        <f t="shared" si="32"/>
        <v>3828.0833333333335</v>
      </c>
      <c r="I64" s="10">
        <f t="shared" si="33"/>
        <v>63255.083333333336</v>
      </c>
      <c r="J64" s="11"/>
      <c r="K64" s="13">
        <v>25827.25</v>
      </c>
      <c r="L64" s="10">
        <v>76.8</v>
      </c>
      <c r="M64" s="12">
        <v>62.4</v>
      </c>
      <c r="N64" s="12">
        <v>47.9</v>
      </c>
      <c r="O64" s="12">
        <v>14.55</v>
      </c>
      <c r="P64" s="21">
        <v>39.386249999999997</v>
      </c>
    </row>
    <row r="65" spans="1:16" ht="20" customHeight="1">
      <c r="A65" s="8" t="s">
        <v>77</v>
      </c>
      <c r="B65" s="9">
        <v>1</v>
      </c>
      <c r="C65" s="10">
        <v>43</v>
      </c>
      <c r="D65" s="10">
        <v>44</v>
      </c>
      <c r="E65" s="10">
        <f t="shared" si="29"/>
        <v>3574318.9166666665</v>
      </c>
      <c r="F65" s="10">
        <f t="shared" si="30"/>
        <v>70276.333333333328</v>
      </c>
      <c r="G65" s="10">
        <f t="shared" si="31"/>
        <v>42522.5</v>
      </c>
      <c r="H65" s="10">
        <f t="shared" si="32"/>
        <v>3828.0833333333335</v>
      </c>
      <c r="I65" s="10">
        <f t="shared" si="33"/>
        <v>63255.083333333336</v>
      </c>
      <c r="J65" s="11"/>
      <c r="K65" s="13">
        <v>25827.25</v>
      </c>
      <c r="L65" s="10">
        <v>76.8</v>
      </c>
      <c r="M65" s="12">
        <v>62.4</v>
      </c>
      <c r="N65" s="12">
        <v>47.9</v>
      </c>
      <c r="O65" s="12">
        <v>14.55</v>
      </c>
      <c r="P65" s="21">
        <v>42.561810000000001</v>
      </c>
    </row>
    <row r="66" spans="1:16" ht="20" customHeight="1">
      <c r="A66" s="8" t="s">
        <v>78</v>
      </c>
      <c r="B66" s="9">
        <v>1</v>
      </c>
      <c r="C66" s="10">
        <v>32</v>
      </c>
      <c r="D66" s="10">
        <v>33</v>
      </c>
      <c r="E66" s="10">
        <f t="shared" si="29"/>
        <v>3574318.9166666665</v>
      </c>
      <c r="F66" s="10">
        <f t="shared" si="30"/>
        <v>70276.333333333328</v>
      </c>
      <c r="G66" s="10">
        <f t="shared" si="31"/>
        <v>42522.5</v>
      </c>
      <c r="H66" s="10">
        <f t="shared" si="32"/>
        <v>3828.0833333333335</v>
      </c>
      <c r="I66" s="10">
        <f t="shared" si="33"/>
        <v>63255.083333333336</v>
      </c>
      <c r="J66" s="11"/>
      <c r="K66" s="13">
        <v>25827.25</v>
      </c>
      <c r="L66" s="10">
        <v>76.8</v>
      </c>
      <c r="M66" s="12">
        <v>62.4</v>
      </c>
      <c r="N66" s="12">
        <v>47.9</v>
      </c>
      <c r="O66" s="12">
        <v>14.55</v>
      </c>
      <c r="P66" s="21">
        <v>36.820740000000001</v>
      </c>
    </row>
    <row r="67" spans="1:16" ht="20" customHeight="1">
      <c r="A67" s="8" t="s">
        <v>79</v>
      </c>
      <c r="B67" s="9">
        <v>1</v>
      </c>
      <c r="C67" s="10">
        <v>29</v>
      </c>
      <c r="D67" s="10">
        <v>30</v>
      </c>
      <c r="E67" s="10">
        <f t="shared" si="29"/>
        <v>3574318.9166666665</v>
      </c>
      <c r="F67" s="10">
        <f t="shared" si="30"/>
        <v>70276.333333333328</v>
      </c>
      <c r="G67" s="10">
        <f t="shared" si="31"/>
        <v>42522.5</v>
      </c>
      <c r="H67" s="10">
        <f t="shared" si="32"/>
        <v>3828.0833333333335</v>
      </c>
      <c r="I67" s="10">
        <f t="shared" si="33"/>
        <v>63255.083333333336</v>
      </c>
      <c r="J67" s="11"/>
      <c r="K67" s="13">
        <v>25827.25</v>
      </c>
      <c r="L67" s="10">
        <v>76.8</v>
      </c>
      <c r="M67" s="12">
        <v>62.4</v>
      </c>
      <c r="N67" s="12">
        <v>47.9</v>
      </c>
      <c r="O67" s="12">
        <v>14.55</v>
      </c>
      <c r="P67" s="21">
        <v>34.04007</v>
      </c>
    </row>
    <row r="68" spans="1:16" ht="20" customHeight="1">
      <c r="A68" s="8" t="s">
        <v>80</v>
      </c>
      <c r="B68" s="9">
        <v>1</v>
      </c>
      <c r="C68" s="10">
        <v>35</v>
      </c>
      <c r="D68" s="10">
        <v>36</v>
      </c>
      <c r="E68" s="10">
        <f t="shared" si="29"/>
        <v>3574318.9166666665</v>
      </c>
      <c r="F68" s="10">
        <f t="shared" si="30"/>
        <v>70276.333333333328</v>
      </c>
      <c r="G68" s="10">
        <f t="shared" si="31"/>
        <v>42522.5</v>
      </c>
      <c r="H68" s="10">
        <f t="shared" si="32"/>
        <v>3828.0833333333335</v>
      </c>
      <c r="I68" s="10">
        <f t="shared" si="33"/>
        <v>63255.083333333336</v>
      </c>
      <c r="J68" s="11"/>
      <c r="K68" s="13">
        <v>25827.25</v>
      </c>
      <c r="L68" s="10">
        <v>76.8</v>
      </c>
      <c r="M68" s="12">
        <v>62.4</v>
      </c>
      <c r="N68" s="12">
        <v>47.9</v>
      </c>
      <c r="O68" s="12">
        <v>14.55</v>
      </c>
      <c r="P68" s="21">
        <v>29.770820000000001</v>
      </c>
    </row>
    <row r="69" spans="1:16" ht="20" customHeight="1">
      <c r="A69" s="8" t="s">
        <v>81</v>
      </c>
      <c r="B69" s="9">
        <v>1</v>
      </c>
      <c r="C69" s="10">
        <v>41</v>
      </c>
      <c r="D69" s="10">
        <v>42</v>
      </c>
      <c r="E69" s="10">
        <f t="shared" si="29"/>
        <v>3574318.9166666665</v>
      </c>
      <c r="F69" s="10">
        <f t="shared" si="30"/>
        <v>70276.333333333328</v>
      </c>
      <c r="G69" s="10">
        <f t="shared" si="31"/>
        <v>42522.5</v>
      </c>
      <c r="H69" s="10">
        <f t="shared" si="32"/>
        <v>3828.0833333333335</v>
      </c>
      <c r="I69" s="10">
        <f t="shared" si="33"/>
        <v>63255.083333333336</v>
      </c>
      <c r="J69" s="11"/>
      <c r="K69" s="13">
        <v>25827.25</v>
      </c>
      <c r="L69" s="10">
        <v>76.8</v>
      </c>
      <c r="M69" s="12">
        <v>62.4</v>
      </c>
      <c r="N69" s="12">
        <v>47.9</v>
      </c>
      <c r="O69" s="12">
        <v>14.55</v>
      </c>
      <c r="P69" s="21">
        <v>30.54318</v>
      </c>
    </row>
    <row r="70" spans="1:16" ht="20" customHeight="1">
      <c r="A70" s="8" t="s">
        <v>82</v>
      </c>
      <c r="B70" s="9">
        <v>1</v>
      </c>
      <c r="C70" s="10">
        <v>43</v>
      </c>
      <c r="D70" s="10">
        <v>44</v>
      </c>
      <c r="E70" s="10">
        <f t="shared" si="29"/>
        <v>3574318.9166666665</v>
      </c>
      <c r="F70" s="10">
        <f t="shared" si="30"/>
        <v>70276.333333333328</v>
      </c>
      <c r="G70" s="10">
        <f t="shared" si="31"/>
        <v>42522.5</v>
      </c>
      <c r="H70" s="10">
        <f t="shared" si="32"/>
        <v>3828.0833333333335</v>
      </c>
      <c r="I70" s="10">
        <f t="shared" si="33"/>
        <v>63255.083333333336</v>
      </c>
      <c r="J70" s="11"/>
      <c r="K70" s="13">
        <v>25827.25</v>
      </c>
      <c r="L70" s="10">
        <v>76.8</v>
      </c>
      <c r="M70" s="12">
        <v>62.4</v>
      </c>
      <c r="N70" s="12">
        <v>47.9</v>
      </c>
      <c r="O70" s="12">
        <v>14.55</v>
      </c>
      <c r="P70" s="21">
        <v>39.548000000000002</v>
      </c>
    </row>
    <row r="71" spans="1:16" ht="20" customHeight="1">
      <c r="A71" s="8" t="s">
        <v>83</v>
      </c>
      <c r="B71" s="9">
        <v>1</v>
      </c>
      <c r="C71" s="10">
        <v>41</v>
      </c>
      <c r="D71" s="10">
        <v>42</v>
      </c>
      <c r="E71" s="10">
        <f t="shared" si="29"/>
        <v>3574318.9166666665</v>
      </c>
      <c r="F71" s="10">
        <f t="shared" si="30"/>
        <v>70276.333333333328</v>
      </c>
      <c r="G71" s="10">
        <f t="shared" si="31"/>
        <v>42522.5</v>
      </c>
      <c r="H71" s="10">
        <f t="shared" si="32"/>
        <v>3828.0833333333335</v>
      </c>
      <c r="I71" s="10">
        <f t="shared" si="33"/>
        <v>63255.083333333336</v>
      </c>
      <c r="J71" s="11"/>
      <c r="K71" s="13">
        <v>25827.25</v>
      </c>
      <c r="L71" s="10">
        <v>76.8</v>
      </c>
      <c r="M71" s="12">
        <v>62.4</v>
      </c>
      <c r="N71" s="12">
        <v>47.9</v>
      </c>
      <c r="O71" s="12">
        <v>14.55</v>
      </c>
      <c r="P71" s="21">
        <v>36.526000000000003</v>
      </c>
    </row>
    <row r="72" spans="1:16" ht="20" customHeight="1">
      <c r="A72" s="8" t="s">
        <v>84</v>
      </c>
      <c r="B72" s="9">
        <v>1</v>
      </c>
      <c r="C72" s="10">
        <v>40</v>
      </c>
      <c r="D72" s="10">
        <v>41</v>
      </c>
      <c r="E72" s="10">
        <f t="shared" si="29"/>
        <v>3574318.9166666665</v>
      </c>
      <c r="F72" s="10">
        <f t="shared" si="30"/>
        <v>70276.333333333328</v>
      </c>
      <c r="G72" s="10">
        <f t="shared" si="31"/>
        <v>42522.5</v>
      </c>
      <c r="H72" s="10">
        <f t="shared" si="32"/>
        <v>3828.0833333333335</v>
      </c>
      <c r="I72" s="10">
        <f t="shared" si="33"/>
        <v>63255.083333333336</v>
      </c>
      <c r="J72" s="11"/>
      <c r="K72" s="13">
        <v>25827.25</v>
      </c>
      <c r="L72" s="10">
        <v>76.8</v>
      </c>
      <c r="M72" s="12">
        <v>62.4</v>
      </c>
      <c r="N72" s="12">
        <v>47.9</v>
      </c>
      <c r="O72" s="12">
        <v>14.55</v>
      </c>
      <c r="P72" s="21">
        <v>38.859000000000002</v>
      </c>
    </row>
    <row r="73" spans="1:16" ht="20" customHeight="1">
      <c r="A73" s="8" t="s">
        <v>85</v>
      </c>
      <c r="B73" s="9">
        <v>1</v>
      </c>
      <c r="C73" s="10">
        <v>42</v>
      </c>
      <c r="D73" s="10">
        <v>43</v>
      </c>
      <c r="E73" s="10">
        <f t="shared" si="29"/>
        <v>3574318.9166666665</v>
      </c>
      <c r="F73" s="10">
        <f t="shared" si="30"/>
        <v>70276.333333333328</v>
      </c>
      <c r="G73" s="10">
        <f t="shared" si="31"/>
        <v>42522.5</v>
      </c>
      <c r="H73" s="10">
        <f t="shared" si="32"/>
        <v>3828.0833333333335</v>
      </c>
      <c r="I73" s="10">
        <f t="shared" si="33"/>
        <v>63255.083333333336</v>
      </c>
      <c r="J73" s="11"/>
      <c r="K73" s="13">
        <v>25827.25</v>
      </c>
      <c r="L73" s="10">
        <v>76.8</v>
      </c>
      <c r="M73" s="12">
        <v>62.4</v>
      </c>
      <c r="N73" s="12">
        <v>47.9</v>
      </c>
      <c r="O73" s="12">
        <v>14.55</v>
      </c>
      <c r="P73" s="21">
        <v>39.405320000000003</v>
      </c>
    </row>
    <row r="74" spans="1:16" ht="20" customHeight="1">
      <c r="A74" s="8" t="s">
        <v>86</v>
      </c>
      <c r="B74" s="9">
        <v>1</v>
      </c>
      <c r="C74" s="10">
        <v>41</v>
      </c>
      <c r="D74" s="10">
        <v>42</v>
      </c>
      <c r="E74" s="10">
        <f t="shared" si="29"/>
        <v>3574318.9166666665</v>
      </c>
      <c r="F74" s="10">
        <f t="shared" si="30"/>
        <v>70276.333333333328</v>
      </c>
      <c r="G74" s="10">
        <f t="shared" si="31"/>
        <v>42522.5</v>
      </c>
      <c r="H74" s="10">
        <f t="shared" si="32"/>
        <v>3828.0833333333335</v>
      </c>
      <c r="I74" s="10">
        <f t="shared" si="33"/>
        <v>63255.083333333336</v>
      </c>
      <c r="J74" s="11"/>
      <c r="K74" s="13">
        <v>25827.25</v>
      </c>
      <c r="L74" s="10">
        <v>76.8</v>
      </c>
      <c r="M74" s="12">
        <v>62.4</v>
      </c>
      <c r="N74" s="12">
        <v>47.9</v>
      </c>
      <c r="O74" s="12">
        <v>14.55</v>
      </c>
      <c r="P74" s="21">
        <v>37.218159999999997</v>
      </c>
    </row>
    <row r="75" spans="1:16" ht="20" customHeight="1">
      <c r="A75" s="8" t="s">
        <v>87</v>
      </c>
      <c r="B75" s="9">
        <v>1</v>
      </c>
      <c r="C75" s="10">
        <v>41</v>
      </c>
      <c r="D75" s="10">
        <v>42</v>
      </c>
      <c r="E75" s="10">
        <f t="shared" ref="E75:E86" si="34">43126809/12</f>
        <v>3593900.75</v>
      </c>
      <c r="F75" s="10">
        <f t="shared" ref="F75:F86" si="35">729424/12</f>
        <v>60785.333333333336</v>
      </c>
      <c r="G75" s="10">
        <f t="shared" ref="G75:G86" si="36">594026/12</f>
        <v>49502.166666666664</v>
      </c>
      <c r="H75" s="10">
        <f t="shared" ref="H75:H86" si="37">47222/12</f>
        <v>3935.1666666666665</v>
      </c>
      <c r="I75" s="10">
        <f t="shared" ref="I75:I86" si="38">754881/12</f>
        <v>62906.75</v>
      </c>
      <c r="J75" s="11"/>
      <c r="K75" s="13">
        <v>3935.1666666666702</v>
      </c>
      <c r="L75" s="10">
        <v>78.8</v>
      </c>
      <c r="M75" s="12">
        <v>64.3</v>
      </c>
      <c r="N75" s="12">
        <v>49.8</v>
      </c>
      <c r="O75" s="12">
        <v>14.95</v>
      </c>
      <c r="P75" s="21">
        <v>37.632989999999999</v>
      </c>
    </row>
    <row r="76" spans="1:16" ht="20" customHeight="1">
      <c r="A76" s="8" t="s">
        <v>88</v>
      </c>
      <c r="B76" s="9">
        <v>1</v>
      </c>
      <c r="C76" s="10">
        <v>36</v>
      </c>
      <c r="D76" s="10">
        <v>37</v>
      </c>
      <c r="E76" s="10">
        <f t="shared" si="34"/>
        <v>3593900.75</v>
      </c>
      <c r="F76" s="10">
        <f t="shared" si="35"/>
        <v>60785.333333333336</v>
      </c>
      <c r="G76" s="10">
        <f t="shared" si="36"/>
        <v>49502.166666666664</v>
      </c>
      <c r="H76" s="10">
        <f t="shared" si="37"/>
        <v>3935.1666666666665</v>
      </c>
      <c r="I76" s="10">
        <f t="shared" si="38"/>
        <v>62906.75</v>
      </c>
      <c r="J76" s="11"/>
      <c r="K76" s="13">
        <v>3935.1666666666702</v>
      </c>
      <c r="L76" s="10">
        <v>78.8</v>
      </c>
      <c r="M76" s="12">
        <v>64.3</v>
      </c>
      <c r="N76" s="12">
        <v>49.8</v>
      </c>
      <c r="O76" s="12">
        <v>14.95</v>
      </c>
      <c r="P76" s="21">
        <v>36.410629999999998</v>
      </c>
    </row>
    <row r="77" spans="1:16" ht="20" customHeight="1">
      <c r="A77" s="8" t="s">
        <v>89</v>
      </c>
      <c r="B77" s="9">
        <v>1</v>
      </c>
      <c r="C77" s="10">
        <v>37</v>
      </c>
      <c r="D77" s="10">
        <v>38</v>
      </c>
      <c r="E77" s="10">
        <f t="shared" si="34"/>
        <v>3593900.75</v>
      </c>
      <c r="F77" s="10">
        <f t="shared" si="35"/>
        <v>60785.333333333336</v>
      </c>
      <c r="G77" s="10">
        <f t="shared" si="36"/>
        <v>49502.166666666664</v>
      </c>
      <c r="H77" s="10">
        <f t="shared" si="37"/>
        <v>3935.1666666666665</v>
      </c>
      <c r="I77" s="10">
        <f t="shared" si="38"/>
        <v>62906.75</v>
      </c>
      <c r="J77" s="11"/>
      <c r="K77" s="13">
        <v>3935.1666666666702</v>
      </c>
      <c r="L77" s="10">
        <v>78.8</v>
      </c>
      <c r="M77" s="12">
        <v>64.3</v>
      </c>
      <c r="N77" s="12">
        <v>49.8</v>
      </c>
      <c r="O77" s="12">
        <v>14.95</v>
      </c>
      <c r="P77" s="21">
        <v>40.11656</v>
      </c>
    </row>
    <row r="78" spans="1:16" ht="20" customHeight="1">
      <c r="A78" s="8" t="s">
        <v>90</v>
      </c>
      <c r="B78" s="9">
        <v>1</v>
      </c>
      <c r="C78" s="10">
        <v>31</v>
      </c>
      <c r="D78" s="10">
        <v>32</v>
      </c>
      <c r="E78" s="10">
        <f t="shared" si="34"/>
        <v>3593900.75</v>
      </c>
      <c r="F78" s="10">
        <f t="shared" si="35"/>
        <v>60785.333333333336</v>
      </c>
      <c r="G78" s="10">
        <f t="shared" si="36"/>
        <v>49502.166666666664</v>
      </c>
      <c r="H78" s="10">
        <f t="shared" si="37"/>
        <v>3935.1666666666665</v>
      </c>
      <c r="I78" s="10">
        <f t="shared" si="38"/>
        <v>62906.75</v>
      </c>
      <c r="J78" s="11"/>
      <c r="K78" s="13">
        <v>3935.1666666666702</v>
      </c>
      <c r="L78" s="10">
        <v>78.8</v>
      </c>
      <c r="M78" s="12">
        <v>64.3</v>
      </c>
      <c r="N78" s="12">
        <v>49.8</v>
      </c>
      <c r="O78" s="12">
        <v>14.95</v>
      </c>
      <c r="P78" s="21">
        <v>38.693219999999997</v>
      </c>
    </row>
    <row r="79" spans="1:16" ht="20" customHeight="1">
      <c r="A79" s="8" t="s">
        <v>91</v>
      </c>
      <c r="B79" s="9">
        <v>1</v>
      </c>
      <c r="C79" s="10">
        <v>36</v>
      </c>
      <c r="D79" s="10">
        <v>37</v>
      </c>
      <c r="E79" s="10">
        <f t="shared" si="34"/>
        <v>3593900.75</v>
      </c>
      <c r="F79" s="10">
        <f t="shared" si="35"/>
        <v>60785.333333333336</v>
      </c>
      <c r="G79" s="10">
        <f t="shared" si="36"/>
        <v>49502.166666666664</v>
      </c>
      <c r="H79" s="10">
        <f t="shared" si="37"/>
        <v>3935.1666666666665</v>
      </c>
      <c r="I79" s="10">
        <f t="shared" si="38"/>
        <v>62906.75</v>
      </c>
      <c r="J79" s="11"/>
      <c r="K79" s="13">
        <v>3935.1666666666702</v>
      </c>
      <c r="L79" s="10">
        <v>78.8</v>
      </c>
      <c r="M79" s="12">
        <v>64.3</v>
      </c>
      <c r="N79" s="12">
        <v>49.8</v>
      </c>
      <c r="O79" s="12">
        <v>14.95</v>
      </c>
      <c r="P79" s="21">
        <v>39.786900000000003</v>
      </c>
    </row>
    <row r="80" spans="1:16" ht="20" customHeight="1">
      <c r="A80" s="8" t="s">
        <v>92</v>
      </c>
      <c r="B80" s="9">
        <v>1</v>
      </c>
      <c r="C80" s="10">
        <v>41</v>
      </c>
      <c r="D80" s="10">
        <v>42</v>
      </c>
      <c r="E80" s="10">
        <f t="shared" si="34"/>
        <v>3593900.75</v>
      </c>
      <c r="F80" s="10">
        <f t="shared" si="35"/>
        <v>60785.333333333336</v>
      </c>
      <c r="G80" s="10">
        <f t="shared" si="36"/>
        <v>49502.166666666664</v>
      </c>
      <c r="H80" s="10">
        <f t="shared" si="37"/>
        <v>3935.1666666666665</v>
      </c>
      <c r="I80" s="10">
        <f t="shared" si="38"/>
        <v>62906.75</v>
      </c>
      <c r="J80" s="11"/>
      <c r="K80" s="13">
        <v>3935.1666666666702</v>
      </c>
      <c r="L80" s="10">
        <v>78.8</v>
      </c>
      <c r="M80" s="12">
        <v>64.3</v>
      </c>
      <c r="N80" s="12">
        <v>49.8</v>
      </c>
      <c r="O80" s="12">
        <v>14.95</v>
      </c>
      <c r="P80" s="21">
        <v>36.257910000000003</v>
      </c>
    </row>
    <row r="81" spans="1:16" ht="20" customHeight="1">
      <c r="A81" s="8" t="s">
        <v>93</v>
      </c>
      <c r="B81" s="9">
        <v>1</v>
      </c>
      <c r="C81" s="10">
        <v>42</v>
      </c>
      <c r="D81" s="10">
        <v>43</v>
      </c>
      <c r="E81" s="10">
        <f t="shared" si="34"/>
        <v>3593900.75</v>
      </c>
      <c r="F81" s="10">
        <f t="shared" si="35"/>
        <v>60785.333333333336</v>
      </c>
      <c r="G81" s="10">
        <f t="shared" si="36"/>
        <v>49502.166666666664</v>
      </c>
      <c r="H81" s="10">
        <f t="shared" si="37"/>
        <v>3935.1666666666665</v>
      </c>
      <c r="I81" s="10">
        <f t="shared" si="38"/>
        <v>62906.75</v>
      </c>
      <c r="J81" s="11"/>
      <c r="K81" s="13">
        <v>3935.1666666666702</v>
      </c>
      <c r="L81" s="10">
        <v>78.8</v>
      </c>
      <c r="M81" s="12">
        <v>64.3</v>
      </c>
      <c r="N81" s="12">
        <v>49.8</v>
      </c>
      <c r="O81" s="12">
        <v>14.95</v>
      </c>
      <c r="P81" s="21">
        <v>42.504019999999997</v>
      </c>
    </row>
    <row r="82" spans="1:16" ht="20" customHeight="1">
      <c r="A82" s="8" t="s">
        <v>94</v>
      </c>
      <c r="B82" s="9">
        <v>1</v>
      </c>
      <c r="C82" s="10">
        <v>43</v>
      </c>
      <c r="D82" s="10">
        <v>44</v>
      </c>
      <c r="E82" s="10">
        <f t="shared" si="34"/>
        <v>3593900.75</v>
      </c>
      <c r="F82" s="10">
        <f t="shared" si="35"/>
        <v>60785.333333333336</v>
      </c>
      <c r="G82" s="10">
        <f t="shared" si="36"/>
        <v>49502.166666666664</v>
      </c>
      <c r="H82" s="10">
        <f t="shared" si="37"/>
        <v>3935.1666666666665</v>
      </c>
      <c r="I82" s="10">
        <f t="shared" si="38"/>
        <v>62906.75</v>
      </c>
      <c r="J82" s="11"/>
      <c r="K82" s="13">
        <v>3935.1666666666702</v>
      </c>
      <c r="L82" s="10">
        <v>78.8</v>
      </c>
      <c r="M82" s="12">
        <v>64.3</v>
      </c>
      <c r="N82" s="12">
        <v>49.8</v>
      </c>
      <c r="O82" s="12">
        <v>14.95</v>
      </c>
      <c r="P82" s="21">
        <v>42.995449999999998</v>
      </c>
    </row>
    <row r="83" spans="1:16" ht="20" customHeight="1">
      <c r="A83" s="8" t="s">
        <v>95</v>
      </c>
      <c r="B83" s="9">
        <v>1</v>
      </c>
      <c r="C83" s="10">
        <v>41</v>
      </c>
      <c r="D83" s="10">
        <v>42</v>
      </c>
      <c r="E83" s="10">
        <f t="shared" si="34"/>
        <v>3593900.75</v>
      </c>
      <c r="F83" s="10">
        <f t="shared" si="35"/>
        <v>60785.333333333336</v>
      </c>
      <c r="G83" s="10">
        <f t="shared" si="36"/>
        <v>49502.166666666664</v>
      </c>
      <c r="H83" s="10">
        <f t="shared" si="37"/>
        <v>3935.1666666666665</v>
      </c>
      <c r="I83" s="10">
        <f t="shared" si="38"/>
        <v>62906.75</v>
      </c>
      <c r="J83" s="11"/>
      <c r="K83" s="13">
        <v>3935.1666666666702</v>
      </c>
      <c r="L83" s="10">
        <v>78.8</v>
      </c>
      <c r="M83" s="12">
        <v>64.3</v>
      </c>
      <c r="N83" s="12">
        <v>49.8</v>
      </c>
      <c r="O83" s="12">
        <v>14.95</v>
      </c>
      <c r="P83" s="21">
        <v>40.89123</v>
      </c>
    </row>
    <row r="84" spans="1:16" ht="20" customHeight="1">
      <c r="A84" s="8" t="s">
        <v>96</v>
      </c>
      <c r="B84" s="9">
        <v>1</v>
      </c>
      <c r="C84" s="10">
        <v>41</v>
      </c>
      <c r="D84" s="10">
        <v>42</v>
      </c>
      <c r="E84" s="10">
        <f t="shared" si="34"/>
        <v>3593900.75</v>
      </c>
      <c r="F84" s="10">
        <f t="shared" si="35"/>
        <v>60785.333333333336</v>
      </c>
      <c r="G84" s="10">
        <f t="shared" si="36"/>
        <v>49502.166666666664</v>
      </c>
      <c r="H84" s="10">
        <f t="shared" si="37"/>
        <v>3935.1666666666665</v>
      </c>
      <c r="I84" s="10">
        <f t="shared" si="38"/>
        <v>62906.75</v>
      </c>
      <c r="J84" s="11"/>
      <c r="K84" s="13">
        <v>3935.1666666666702</v>
      </c>
      <c r="L84" s="10">
        <v>78.8</v>
      </c>
      <c r="M84" s="12">
        <v>64.3</v>
      </c>
      <c r="N84" s="12">
        <v>49.8</v>
      </c>
      <c r="O84" s="12">
        <v>14.95</v>
      </c>
      <c r="P84" s="21">
        <v>36.760550000000002</v>
      </c>
    </row>
    <row r="85" spans="1:16" ht="20" customHeight="1">
      <c r="A85" s="8" t="s">
        <v>97</v>
      </c>
      <c r="B85" s="9">
        <v>1</v>
      </c>
      <c r="C85" s="10">
        <v>41</v>
      </c>
      <c r="D85" s="10">
        <v>42</v>
      </c>
      <c r="E85" s="10">
        <f t="shared" si="34"/>
        <v>3593900.75</v>
      </c>
      <c r="F85" s="10">
        <f t="shared" si="35"/>
        <v>60785.333333333336</v>
      </c>
      <c r="G85" s="10">
        <f t="shared" si="36"/>
        <v>49502.166666666664</v>
      </c>
      <c r="H85" s="10">
        <f t="shared" si="37"/>
        <v>3935.1666666666665</v>
      </c>
      <c r="I85" s="10">
        <f t="shared" si="38"/>
        <v>62906.75</v>
      </c>
      <c r="J85" s="11"/>
      <c r="K85" s="13">
        <v>3935.1666666666702</v>
      </c>
      <c r="L85" s="10">
        <v>78.8</v>
      </c>
      <c r="M85" s="12">
        <v>64.3</v>
      </c>
      <c r="N85" s="12">
        <v>49.8</v>
      </c>
      <c r="O85" s="12">
        <v>14.95</v>
      </c>
      <c r="P85" s="21">
        <v>36.837820000000001</v>
      </c>
    </row>
    <row r="86" spans="1:16" ht="20" customHeight="1">
      <c r="A86" s="8" t="s">
        <v>98</v>
      </c>
      <c r="B86" s="9">
        <v>1</v>
      </c>
      <c r="C86" s="10">
        <v>43</v>
      </c>
      <c r="D86" s="10">
        <v>44</v>
      </c>
      <c r="E86" s="10">
        <f t="shared" si="34"/>
        <v>3593900.75</v>
      </c>
      <c r="F86" s="10">
        <f t="shared" si="35"/>
        <v>60785.333333333336</v>
      </c>
      <c r="G86" s="10">
        <f t="shared" si="36"/>
        <v>49502.166666666664</v>
      </c>
      <c r="H86" s="10">
        <f t="shared" si="37"/>
        <v>3935.1666666666665</v>
      </c>
      <c r="I86" s="10">
        <f t="shared" si="38"/>
        <v>62906.75</v>
      </c>
      <c r="J86" s="11"/>
      <c r="K86" s="13">
        <v>3935.1666666666702</v>
      </c>
      <c r="L86" s="10">
        <v>78.8</v>
      </c>
      <c r="M86" s="12">
        <v>64.3</v>
      </c>
      <c r="N86" s="12">
        <v>49.8</v>
      </c>
      <c r="O86" s="12">
        <v>14.95</v>
      </c>
      <c r="P86" s="21">
        <v>35.074350000000003</v>
      </c>
    </row>
    <row r="87" spans="1:16" ht="20" customHeight="1">
      <c r="A87" s="8" t="s">
        <v>99</v>
      </c>
      <c r="B87" s="9">
        <v>1</v>
      </c>
      <c r="C87" s="10">
        <v>43</v>
      </c>
      <c r="D87" s="10">
        <v>44</v>
      </c>
      <c r="E87" s="10">
        <f t="shared" ref="E87:E98" si="39">43809903/12</f>
        <v>3650825.25</v>
      </c>
      <c r="F87" s="10">
        <f t="shared" ref="F87:F98" si="40">835275/12</f>
        <v>69606.25</v>
      </c>
      <c r="G87" s="10">
        <f t="shared" ref="G87:G98" si="41">494679/12</f>
        <v>41223.25</v>
      </c>
      <c r="H87" s="13">
        <v>3668.9166666666702</v>
      </c>
      <c r="I87" s="13">
        <v>80211.833333333299</v>
      </c>
      <c r="J87" s="11"/>
      <c r="K87" s="13">
        <v>24053.75</v>
      </c>
      <c r="L87" s="10">
        <v>76.2</v>
      </c>
      <c r="M87" s="12">
        <v>61.5</v>
      </c>
      <c r="N87" s="12">
        <v>46.7</v>
      </c>
      <c r="O87" s="12">
        <v>17.86</v>
      </c>
      <c r="P87" s="21">
        <v>34.634590000000003</v>
      </c>
    </row>
    <row r="88" spans="1:16" ht="20" customHeight="1">
      <c r="A88" s="8" t="s">
        <v>100</v>
      </c>
      <c r="B88" s="9">
        <v>1</v>
      </c>
      <c r="C88" s="10">
        <v>40</v>
      </c>
      <c r="D88" s="10">
        <v>41</v>
      </c>
      <c r="E88" s="10">
        <f t="shared" si="39"/>
        <v>3650825.25</v>
      </c>
      <c r="F88" s="10">
        <f t="shared" si="40"/>
        <v>69606.25</v>
      </c>
      <c r="G88" s="10">
        <f t="shared" si="41"/>
        <v>41223.25</v>
      </c>
      <c r="H88" s="13">
        <v>3668.9166666666702</v>
      </c>
      <c r="I88" s="13">
        <v>80211.833333333299</v>
      </c>
      <c r="J88" s="11"/>
      <c r="K88" s="13">
        <v>24053.75</v>
      </c>
      <c r="L88" s="10">
        <v>76.2</v>
      </c>
      <c r="M88" s="12">
        <v>61.5</v>
      </c>
      <c r="N88" s="12">
        <v>46.7</v>
      </c>
      <c r="O88" s="12">
        <v>17.86</v>
      </c>
      <c r="P88" s="21">
        <v>37.221469999999997</v>
      </c>
    </row>
    <row r="89" spans="1:16" ht="20" customHeight="1">
      <c r="A89" s="8" t="s">
        <v>101</v>
      </c>
      <c r="B89" s="9">
        <v>1</v>
      </c>
      <c r="C89" s="10">
        <v>41</v>
      </c>
      <c r="D89" s="10">
        <v>42</v>
      </c>
      <c r="E89" s="10">
        <f t="shared" si="39"/>
        <v>3650825.25</v>
      </c>
      <c r="F89" s="10">
        <f t="shared" si="40"/>
        <v>69606.25</v>
      </c>
      <c r="G89" s="10">
        <f t="shared" si="41"/>
        <v>41223.25</v>
      </c>
      <c r="H89" s="13">
        <v>3668.9166666666702</v>
      </c>
      <c r="I89" s="13">
        <v>80211.833333333299</v>
      </c>
      <c r="J89" s="11"/>
      <c r="K89" s="13">
        <v>24053.75</v>
      </c>
      <c r="L89" s="10">
        <v>76.2</v>
      </c>
      <c r="M89" s="12">
        <v>61.5</v>
      </c>
      <c r="N89" s="12">
        <v>46.7</v>
      </c>
      <c r="O89" s="12">
        <v>17.86</v>
      </c>
      <c r="P89" s="21">
        <v>29.341280000000001</v>
      </c>
    </row>
    <row r="90" spans="1:16" ht="20" customHeight="1">
      <c r="A90" s="8" t="s">
        <v>102</v>
      </c>
      <c r="B90" s="9">
        <v>1</v>
      </c>
      <c r="C90" s="10">
        <v>34</v>
      </c>
      <c r="D90" s="10">
        <v>35</v>
      </c>
      <c r="E90" s="10">
        <f t="shared" si="39"/>
        <v>3650825.25</v>
      </c>
      <c r="F90" s="10">
        <f t="shared" si="40"/>
        <v>69606.25</v>
      </c>
      <c r="G90" s="10">
        <f t="shared" si="41"/>
        <v>41223.25</v>
      </c>
      <c r="H90" s="13">
        <v>3668.9166666666702</v>
      </c>
      <c r="I90" s="13">
        <v>80211.833333333299</v>
      </c>
      <c r="J90" s="11"/>
      <c r="K90" s="13">
        <v>24053.75</v>
      </c>
      <c r="L90" s="10">
        <v>76.2</v>
      </c>
      <c r="M90" s="12">
        <v>61.5</v>
      </c>
      <c r="N90" s="12">
        <v>46.7</v>
      </c>
      <c r="O90" s="12">
        <v>17.86</v>
      </c>
      <c r="P90" s="21">
        <v>29.15823</v>
      </c>
    </row>
    <row r="91" spans="1:16" ht="20" customHeight="1">
      <c r="A91" s="8" t="s">
        <v>103</v>
      </c>
      <c r="B91" s="9">
        <v>1</v>
      </c>
      <c r="C91" s="10">
        <v>34</v>
      </c>
      <c r="D91" s="10">
        <v>35</v>
      </c>
      <c r="E91" s="10">
        <f t="shared" si="39"/>
        <v>3650825.25</v>
      </c>
      <c r="F91" s="10">
        <f t="shared" si="40"/>
        <v>69606.25</v>
      </c>
      <c r="G91" s="10">
        <f t="shared" si="41"/>
        <v>41223.25</v>
      </c>
      <c r="H91" s="13">
        <v>3668.9166666666702</v>
      </c>
      <c r="I91" s="13">
        <v>80211.833333333299</v>
      </c>
      <c r="J91" s="11"/>
      <c r="K91" s="13">
        <v>24053.75</v>
      </c>
      <c r="L91" s="10">
        <v>76.2</v>
      </c>
      <c r="M91" s="12">
        <v>61.5</v>
      </c>
      <c r="N91" s="12">
        <v>46.7</v>
      </c>
      <c r="O91" s="12">
        <v>17.86</v>
      </c>
      <c r="P91" s="21">
        <v>27.892209999999999</v>
      </c>
    </row>
    <row r="92" spans="1:16" ht="20" customHeight="1">
      <c r="A92" s="8" t="s">
        <v>104</v>
      </c>
      <c r="B92" s="9">
        <v>0</v>
      </c>
      <c r="C92" s="10">
        <v>37</v>
      </c>
      <c r="D92" s="10">
        <v>37</v>
      </c>
      <c r="E92" s="10">
        <f t="shared" si="39"/>
        <v>3650825.25</v>
      </c>
      <c r="F92" s="10">
        <f t="shared" si="40"/>
        <v>69606.25</v>
      </c>
      <c r="G92" s="10">
        <f t="shared" si="41"/>
        <v>41223.25</v>
      </c>
      <c r="H92" s="13">
        <v>3668.9166666666702</v>
      </c>
      <c r="I92" s="13">
        <v>80211.833333333299</v>
      </c>
      <c r="J92" s="11"/>
      <c r="K92" s="13">
        <v>24053.75</v>
      </c>
      <c r="L92" s="10">
        <v>76.2</v>
      </c>
      <c r="M92" s="12">
        <v>61.5</v>
      </c>
      <c r="N92" s="12">
        <v>46.7</v>
      </c>
      <c r="O92" s="12">
        <v>17.86</v>
      </c>
      <c r="P92" s="21">
        <v>24.49888</v>
      </c>
    </row>
    <row r="93" spans="1:16" ht="20" customHeight="1">
      <c r="A93" s="8" t="s">
        <v>105</v>
      </c>
      <c r="B93" s="9">
        <v>1</v>
      </c>
      <c r="C93" s="10">
        <v>43</v>
      </c>
      <c r="D93" s="10">
        <v>44</v>
      </c>
      <c r="E93" s="10">
        <f t="shared" si="39"/>
        <v>3650825.25</v>
      </c>
      <c r="F93" s="10">
        <f t="shared" si="40"/>
        <v>69606.25</v>
      </c>
      <c r="G93" s="10">
        <f t="shared" si="41"/>
        <v>41223.25</v>
      </c>
      <c r="H93" s="13">
        <v>3668.9166666666702</v>
      </c>
      <c r="I93" s="13">
        <v>80211.833333333299</v>
      </c>
      <c r="J93" s="11"/>
      <c r="K93" s="13">
        <v>24053.75</v>
      </c>
      <c r="L93" s="10">
        <v>76.2</v>
      </c>
      <c r="M93" s="12">
        <v>61.5</v>
      </c>
      <c r="N93" s="12">
        <v>46.7</v>
      </c>
      <c r="O93" s="12">
        <v>17.86</v>
      </c>
      <c r="P93" s="21">
        <v>42.006999999999998</v>
      </c>
    </row>
    <row r="94" spans="1:16" ht="20" customHeight="1">
      <c r="A94" s="8" t="s">
        <v>106</v>
      </c>
      <c r="B94" s="9">
        <v>0</v>
      </c>
      <c r="C94" s="10">
        <v>43</v>
      </c>
      <c r="D94" s="10">
        <v>43</v>
      </c>
      <c r="E94" s="10">
        <f t="shared" si="39"/>
        <v>3650825.25</v>
      </c>
      <c r="F94" s="10">
        <f t="shared" si="40"/>
        <v>69606.25</v>
      </c>
      <c r="G94" s="10">
        <f t="shared" si="41"/>
        <v>41223.25</v>
      </c>
      <c r="H94" s="13">
        <v>3668.9166666666702</v>
      </c>
      <c r="I94" s="13">
        <v>80211.833333333299</v>
      </c>
      <c r="J94" s="11"/>
      <c r="K94" s="13">
        <v>24053.75</v>
      </c>
      <c r="L94" s="10">
        <v>76.2</v>
      </c>
      <c r="M94" s="12">
        <v>61.5</v>
      </c>
      <c r="N94" s="12">
        <v>46.7</v>
      </c>
      <c r="O94" s="12">
        <v>17.86</v>
      </c>
      <c r="P94" s="21">
        <v>40.787999999999997</v>
      </c>
    </row>
    <row r="95" spans="1:16" ht="20" customHeight="1">
      <c r="A95" s="8" t="s">
        <v>107</v>
      </c>
      <c r="B95" s="9">
        <v>0</v>
      </c>
      <c r="C95" s="10">
        <v>41</v>
      </c>
      <c r="D95" s="10">
        <v>41</v>
      </c>
      <c r="E95" s="10">
        <f t="shared" si="39"/>
        <v>3650825.25</v>
      </c>
      <c r="F95" s="10">
        <f t="shared" si="40"/>
        <v>69606.25</v>
      </c>
      <c r="G95" s="10">
        <f t="shared" si="41"/>
        <v>41223.25</v>
      </c>
      <c r="H95" s="13">
        <v>3668.9166666666702</v>
      </c>
      <c r="I95" s="13">
        <v>80211.833333333299</v>
      </c>
      <c r="J95" s="11"/>
      <c r="K95" s="13">
        <v>24053.75</v>
      </c>
      <c r="L95" s="10">
        <v>76.2</v>
      </c>
      <c r="M95" s="12">
        <v>61.5</v>
      </c>
      <c r="N95" s="12">
        <v>46.7</v>
      </c>
      <c r="O95" s="12">
        <v>17.86</v>
      </c>
      <c r="P95" s="21">
        <v>44.045000000000002</v>
      </c>
    </row>
    <row r="96" spans="1:16" ht="20" customHeight="1">
      <c r="A96" s="8" t="s">
        <v>108</v>
      </c>
      <c r="B96" s="9">
        <v>1</v>
      </c>
      <c r="C96" s="10">
        <v>39</v>
      </c>
      <c r="D96" s="10">
        <v>40</v>
      </c>
      <c r="E96" s="10">
        <f t="shared" si="39"/>
        <v>3650825.25</v>
      </c>
      <c r="F96" s="10">
        <f t="shared" si="40"/>
        <v>69606.25</v>
      </c>
      <c r="G96" s="10">
        <f t="shared" si="41"/>
        <v>41223.25</v>
      </c>
      <c r="H96" s="13">
        <v>3668.9166666666702</v>
      </c>
      <c r="I96" s="13">
        <v>80211.833333333299</v>
      </c>
      <c r="J96" s="11"/>
      <c r="K96" s="13">
        <v>24053.75</v>
      </c>
      <c r="L96" s="10">
        <v>76.2</v>
      </c>
      <c r="M96" s="12">
        <v>61.5</v>
      </c>
      <c r="N96" s="12">
        <v>46.7</v>
      </c>
      <c r="O96" s="12">
        <v>17.86</v>
      </c>
      <c r="P96" s="21">
        <v>42.18533</v>
      </c>
    </row>
    <row r="97" spans="1:16" ht="20" customHeight="1">
      <c r="A97" s="8" t="s">
        <v>109</v>
      </c>
      <c r="B97" s="9">
        <v>1</v>
      </c>
      <c r="C97" s="10">
        <v>38</v>
      </c>
      <c r="D97" s="10">
        <v>39</v>
      </c>
      <c r="E97" s="10">
        <f t="shared" si="39"/>
        <v>3650825.25</v>
      </c>
      <c r="F97" s="10">
        <f t="shared" si="40"/>
        <v>69606.25</v>
      </c>
      <c r="G97" s="10">
        <f t="shared" si="41"/>
        <v>41223.25</v>
      </c>
      <c r="H97" s="13">
        <v>3668.9166666666702</v>
      </c>
      <c r="I97" s="13">
        <v>80211.833333333299</v>
      </c>
      <c r="J97" s="11"/>
      <c r="K97" s="13">
        <v>24053.75</v>
      </c>
      <c r="L97" s="10">
        <v>76.2</v>
      </c>
      <c r="M97" s="12">
        <v>61.5</v>
      </c>
      <c r="N97" s="12">
        <v>46.7</v>
      </c>
      <c r="O97" s="12">
        <v>17.86</v>
      </c>
      <c r="P97" s="21">
        <v>41.30594</v>
      </c>
    </row>
    <row r="98" spans="1:16" ht="20" customHeight="1">
      <c r="A98" s="8" t="s">
        <v>110</v>
      </c>
      <c r="B98" s="9">
        <v>1</v>
      </c>
      <c r="C98" s="10">
        <v>44</v>
      </c>
      <c r="D98" s="10">
        <v>45</v>
      </c>
      <c r="E98" s="10">
        <f t="shared" si="39"/>
        <v>3650825.25</v>
      </c>
      <c r="F98" s="10">
        <f t="shared" si="40"/>
        <v>69606.25</v>
      </c>
      <c r="G98" s="10">
        <f t="shared" si="41"/>
        <v>41223.25</v>
      </c>
      <c r="H98" s="13">
        <v>3668.9166666666702</v>
      </c>
      <c r="I98" s="13">
        <v>80211.833333333299</v>
      </c>
      <c r="J98" s="11"/>
      <c r="K98" s="13">
        <v>24053.75</v>
      </c>
      <c r="L98" s="10">
        <v>76.2</v>
      </c>
      <c r="M98" s="12">
        <v>61.5</v>
      </c>
      <c r="N98" s="12">
        <v>46.7</v>
      </c>
      <c r="O98" s="12">
        <v>17.86</v>
      </c>
      <c r="P98" s="21">
        <v>43.230780000000003</v>
      </c>
    </row>
    <row r="99" spans="1:16" ht="20" customHeight="1">
      <c r="A99" s="8" t="s">
        <v>111</v>
      </c>
      <c r="B99" s="9">
        <v>1</v>
      </c>
      <c r="C99" s="10">
        <v>44</v>
      </c>
      <c r="D99" s="10">
        <v>45</v>
      </c>
      <c r="E99" s="10">
        <f t="shared" ref="E99:E110" si="42">41954266/12</f>
        <v>3496188.8333333335</v>
      </c>
      <c r="F99" s="10">
        <f t="shared" ref="F99:F110" si="43">966572/12</f>
        <v>80547.666666666672</v>
      </c>
      <c r="G99" s="10">
        <f t="shared" ref="G99:G110" si="44">488014/12</f>
        <v>40667.833333333336</v>
      </c>
      <c r="H99" s="13">
        <v>4181.75</v>
      </c>
      <c r="I99" s="10">
        <f t="shared" ref="I99:I110" si="45">3336205/12</f>
        <v>278017.08333333331</v>
      </c>
      <c r="J99" s="11"/>
      <c r="K99" s="13">
        <v>23788.416666666701</v>
      </c>
      <c r="L99" s="10">
        <v>75.3</v>
      </c>
      <c r="M99" s="12">
        <v>59.4</v>
      </c>
      <c r="N99" s="12">
        <v>43.6</v>
      </c>
      <c r="O99" s="12">
        <v>13.64</v>
      </c>
      <c r="P99" s="21">
        <v>41.441319999999997</v>
      </c>
    </row>
    <row r="100" spans="1:16" ht="20" customHeight="1">
      <c r="A100" s="8" t="s">
        <v>112</v>
      </c>
      <c r="B100" s="9">
        <v>1</v>
      </c>
      <c r="C100" s="10">
        <v>39</v>
      </c>
      <c r="D100" s="10">
        <v>40</v>
      </c>
      <c r="E100" s="10">
        <f t="shared" si="42"/>
        <v>3496188.8333333335</v>
      </c>
      <c r="F100" s="10">
        <f t="shared" si="43"/>
        <v>80547.666666666672</v>
      </c>
      <c r="G100" s="10">
        <f t="shared" si="44"/>
        <v>40667.833333333336</v>
      </c>
      <c r="H100" s="13">
        <v>4181.75</v>
      </c>
      <c r="I100" s="10">
        <f t="shared" si="45"/>
        <v>278017.08333333331</v>
      </c>
      <c r="J100" s="11"/>
      <c r="K100" s="13">
        <v>23788.416666666701</v>
      </c>
      <c r="L100" s="10">
        <v>75.3</v>
      </c>
      <c r="M100" s="12">
        <v>59.4</v>
      </c>
      <c r="N100" s="12">
        <v>43.6</v>
      </c>
      <c r="O100" s="12">
        <v>13.64</v>
      </c>
      <c r="P100" s="21">
        <v>43.270659999999999</v>
      </c>
    </row>
    <row r="101" spans="1:16" ht="20" customHeight="1">
      <c r="A101" s="8" t="s">
        <v>113</v>
      </c>
      <c r="B101" s="9">
        <v>1</v>
      </c>
      <c r="C101" s="10">
        <v>39</v>
      </c>
      <c r="D101" s="10">
        <v>40</v>
      </c>
      <c r="E101" s="10">
        <f t="shared" si="42"/>
        <v>3496188.8333333335</v>
      </c>
      <c r="F101" s="10">
        <f t="shared" si="43"/>
        <v>80547.666666666672</v>
      </c>
      <c r="G101" s="10">
        <f t="shared" si="44"/>
        <v>40667.833333333336</v>
      </c>
      <c r="H101" s="13">
        <v>4181.75</v>
      </c>
      <c r="I101" s="10">
        <f t="shared" si="45"/>
        <v>278017.08333333331</v>
      </c>
      <c r="J101" s="11"/>
      <c r="K101" s="13">
        <v>23788.416666666701</v>
      </c>
      <c r="L101" s="10">
        <v>75.3</v>
      </c>
      <c r="M101" s="12">
        <v>59.4</v>
      </c>
      <c r="N101" s="12">
        <v>43.6</v>
      </c>
      <c r="O101" s="12">
        <v>13.64</v>
      </c>
      <c r="P101" s="21">
        <v>43.625709999999998</v>
      </c>
    </row>
    <row r="102" spans="1:16" ht="20" customHeight="1">
      <c r="A102" s="8" t="s">
        <v>114</v>
      </c>
      <c r="B102" s="9">
        <v>1</v>
      </c>
      <c r="C102" s="10">
        <v>27</v>
      </c>
      <c r="D102" s="10">
        <v>28</v>
      </c>
      <c r="E102" s="10">
        <f t="shared" si="42"/>
        <v>3496188.8333333335</v>
      </c>
      <c r="F102" s="10">
        <f t="shared" si="43"/>
        <v>80547.666666666672</v>
      </c>
      <c r="G102" s="10">
        <f t="shared" si="44"/>
        <v>40667.833333333336</v>
      </c>
      <c r="H102" s="13">
        <v>4181.75</v>
      </c>
      <c r="I102" s="10">
        <f t="shared" si="45"/>
        <v>278017.08333333331</v>
      </c>
      <c r="J102" s="11"/>
      <c r="K102" s="13">
        <v>23788.416666666701</v>
      </c>
      <c r="L102" s="10">
        <v>75.3</v>
      </c>
      <c r="M102" s="12">
        <v>59.4</v>
      </c>
      <c r="N102" s="12">
        <v>43.6</v>
      </c>
      <c r="O102" s="12">
        <v>13.64</v>
      </c>
      <c r="P102" s="21">
        <v>43.011890000000001</v>
      </c>
    </row>
    <row r="103" spans="1:16" ht="20" customHeight="1">
      <c r="A103" s="8" t="s">
        <v>115</v>
      </c>
      <c r="B103" s="9">
        <v>1</v>
      </c>
      <c r="C103" s="10">
        <v>29</v>
      </c>
      <c r="D103" s="10">
        <v>30</v>
      </c>
      <c r="E103" s="10">
        <f t="shared" si="42"/>
        <v>3496188.8333333335</v>
      </c>
      <c r="F103" s="10">
        <f t="shared" si="43"/>
        <v>80547.666666666672</v>
      </c>
      <c r="G103" s="10">
        <f t="shared" si="44"/>
        <v>40667.833333333336</v>
      </c>
      <c r="H103" s="13">
        <v>4181.75</v>
      </c>
      <c r="I103" s="10">
        <f t="shared" si="45"/>
        <v>278017.08333333331</v>
      </c>
      <c r="J103" s="11"/>
      <c r="K103" s="13">
        <v>23788.416666666701</v>
      </c>
      <c r="L103" s="10">
        <v>75.3</v>
      </c>
      <c r="M103" s="12">
        <v>59.4</v>
      </c>
      <c r="N103" s="12">
        <v>43.6</v>
      </c>
      <c r="O103" s="12">
        <v>13.64</v>
      </c>
      <c r="P103" s="21">
        <v>40.897539999999999</v>
      </c>
    </row>
    <row r="104" spans="1:16" ht="20" customHeight="1">
      <c r="A104" s="8" t="s">
        <v>116</v>
      </c>
      <c r="B104" s="9">
        <v>1</v>
      </c>
      <c r="C104" s="10">
        <v>31</v>
      </c>
      <c r="D104" s="10">
        <v>32</v>
      </c>
      <c r="E104" s="10">
        <f t="shared" si="42"/>
        <v>3496188.8333333335</v>
      </c>
      <c r="F104" s="10">
        <f t="shared" si="43"/>
        <v>80547.666666666672</v>
      </c>
      <c r="G104" s="10">
        <f t="shared" si="44"/>
        <v>40667.833333333336</v>
      </c>
      <c r="H104" s="13">
        <v>4181.75</v>
      </c>
      <c r="I104" s="10">
        <f t="shared" si="45"/>
        <v>278017.08333333331</v>
      </c>
      <c r="J104" s="11"/>
      <c r="K104" s="13">
        <v>23788.416666666701</v>
      </c>
      <c r="L104" s="10">
        <v>75.3</v>
      </c>
      <c r="M104" s="12">
        <v>59.4</v>
      </c>
      <c r="N104" s="12">
        <v>43.6</v>
      </c>
      <c r="O104" s="12">
        <v>13.64</v>
      </c>
      <c r="P104" s="21">
        <v>45.553170000000001</v>
      </c>
    </row>
    <row r="105" spans="1:16" ht="20" customHeight="1">
      <c r="A105" s="8" t="s">
        <v>117</v>
      </c>
      <c r="B105" s="9">
        <v>0</v>
      </c>
      <c r="C105" s="10">
        <v>42</v>
      </c>
      <c r="D105" s="10">
        <v>42</v>
      </c>
      <c r="E105" s="10">
        <f t="shared" si="42"/>
        <v>3496188.8333333335</v>
      </c>
      <c r="F105" s="10">
        <f t="shared" si="43"/>
        <v>80547.666666666672</v>
      </c>
      <c r="G105" s="10">
        <f t="shared" si="44"/>
        <v>40667.833333333336</v>
      </c>
      <c r="H105" s="13">
        <v>4181.75</v>
      </c>
      <c r="I105" s="10">
        <f t="shared" si="45"/>
        <v>278017.08333333331</v>
      </c>
      <c r="J105" s="11"/>
      <c r="K105" s="13">
        <v>23788.416666666701</v>
      </c>
      <c r="L105" s="10">
        <v>75.3</v>
      </c>
      <c r="M105" s="12">
        <v>59.4</v>
      </c>
      <c r="N105" s="12">
        <v>43.6</v>
      </c>
      <c r="O105" s="12">
        <v>13.64</v>
      </c>
      <c r="P105" s="21">
        <v>45.975070000000002</v>
      </c>
    </row>
    <row r="106" spans="1:16" ht="20" customHeight="1">
      <c r="A106" s="8" t="s">
        <v>118</v>
      </c>
      <c r="B106" s="9">
        <v>1</v>
      </c>
      <c r="C106" s="10">
        <v>40</v>
      </c>
      <c r="D106" s="10">
        <v>41</v>
      </c>
      <c r="E106" s="10">
        <f t="shared" si="42"/>
        <v>3496188.8333333335</v>
      </c>
      <c r="F106" s="10">
        <f t="shared" si="43"/>
        <v>80547.666666666672</v>
      </c>
      <c r="G106" s="10">
        <f t="shared" si="44"/>
        <v>40667.833333333336</v>
      </c>
      <c r="H106" s="13">
        <v>4181.75</v>
      </c>
      <c r="I106" s="10">
        <f t="shared" si="45"/>
        <v>278017.08333333331</v>
      </c>
      <c r="J106" s="11"/>
      <c r="K106" s="13">
        <v>23788.416666666701</v>
      </c>
      <c r="L106" s="10">
        <v>75.3</v>
      </c>
      <c r="M106" s="12">
        <v>59.4</v>
      </c>
      <c r="N106" s="12">
        <v>43.6</v>
      </c>
      <c r="O106" s="12">
        <v>13.64</v>
      </c>
      <c r="P106" s="21">
        <v>45.037880000000001</v>
      </c>
    </row>
    <row r="107" spans="1:16" ht="20" customHeight="1">
      <c r="A107" s="8" t="s">
        <v>119</v>
      </c>
      <c r="B107" s="9">
        <v>1</v>
      </c>
      <c r="C107" s="10">
        <v>39</v>
      </c>
      <c r="D107" s="10">
        <v>40</v>
      </c>
      <c r="E107" s="10">
        <f t="shared" si="42"/>
        <v>3496188.8333333335</v>
      </c>
      <c r="F107" s="10">
        <f t="shared" si="43"/>
        <v>80547.666666666672</v>
      </c>
      <c r="G107" s="10">
        <f t="shared" si="44"/>
        <v>40667.833333333336</v>
      </c>
      <c r="H107" s="13">
        <v>4181.75</v>
      </c>
      <c r="I107" s="10">
        <f t="shared" si="45"/>
        <v>278017.08333333331</v>
      </c>
      <c r="J107" s="11"/>
      <c r="K107" s="13">
        <v>23788.416666666701</v>
      </c>
      <c r="L107" s="10">
        <v>75.3</v>
      </c>
      <c r="M107" s="12">
        <v>59.4</v>
      </c>
      <c r="N107" s="12">
        <v>43.6</v>
      </c>
      <c r="O107" s="12">
        <v>13.64</v>
      </c>
      <c r="P107" s="21">
        <v>43.026380000000003</v>
      </c>
    </row>
    <row r="108" spans="1:16" ht="20" customHeight="1">
      <c r="A108" s="8" t="s">
        <v>120</v>
      </c>
      <c r="B108" s="9">
        <v>1</v>
      </c>
      <c r="C108" s="10">
        <v>43</v>
      </c>
      <c r="D108" s="10">
        <v>44</v>
      </c>
      <c r="E108" s="10">
        <f t="shared" si="42"/>
        <v>3496188.8333333335</v>
      </c>
      <c r="F108" s="10">
        <f t="shared" si="43"/>
        <v>80547.666666666672</v>
      </c>
      <c r="G108" s="10">
        <f t="shared" si="44"/>
        <v>40667.833333333336</v>
      </c>
      <c r="H108" s="13">
        <v>4181.75</v>
      </c>
      <c r="I108" s="10">
        <f t="shared" si="45"/>
        <v>278017.08333333331</v>
      </c>
      <c r="J108" s="11"/>
      <c r="K108" s="13">
        <v>23788.416666666701</v>
      </c>
      <c r="L108" s="10">
        <v>75.3</v>
      </c>
      <c r="M108" s="12">
        <v>59.4</v>
      </c>
      <c r="N108" s="12">
        <v>43.6</v>
      </c>
      <c r="O108" s="12">
        <v>13.64</v>
      </c>
      <c r="P108" s="21">
        <v>42.799199999999999</v>
      </c>
    </row>
    <row r="109" spans="1:16" ht="20" customHeight="1">
      <c r="A109" s="8" t="s">
        <v>121</v>
      </c>
      <c r="B109" s="9">
        <v>1</v>
      </c>
      <c r="C109" s="10">
        <v>42</v>
      </c>
      <c r="D109" s="10">
        <v>43</v>
      </c>
      <c r="E109" s="10">
        <f t="shared" si="42"/>
        <v>3496188.8333333335</v>
      </c>
      <c r="F109" s="10">
        <f t="shared" si="43"/>
        <v>80547.666666666672</v>
      </c>
      <c r="G109" s="10">
        <f t="shared" si="44"/>
        <v>40667.833333333336</v>
      </c>
      <c r="H109" s="13">
        <v>4181.75</v>
      </c>
      <c r="I109" s="10">
        <f t="shared" si="45"/>
        <v>278017.08333333331</v>
      </c>
      <c r="J109" s="11"/>
      <c r="K109" s="13">
        <v>23788.416666666701</v>
      </c>
      <c r="L109" s="10">
        <v>75.3</v>
      </c>
      <c r="M109" s="12">
        <v>59.4</v>
      </c>
      <c r="N109" s="12">
        <v>43.6</v>
      </c>
      <c r="O109" s="12">
        <v>13.64</v>
      </c>
      <c r="P109" s="21">
        <v>43.140050000000002</v>
      </c>
    </row>
    <row r="110" spans="1:16" ht="20" customHeight="1">
      <c r="A110" s="8" t="s">
        <v>122</v>
      </c>
      <c r="B110" s="9">
        <v>1</v>
      </c>
      <c r="C110" s="10">
        <v>41</v>
      </c>
      <c r="D110" s="10">
        <v>42</v>
      </c>
      <c r="E110" s="10">
        <f t="shared" si="42"/>
        <v>3496188.8333333335</v>
      </c>
      <c r="F110" s="10">
        <f t="shared" si="43"/>
        <v>80547.666666666672</v>
      </c>
      <c r="G110" s="10">
        <f t="shared" si="44"/>
        <v>40667.833333333336</v>
      </c>
      <c r="H110" s="13">
        <v>4181.75</v>
      </c>
      <c r="I110" s="10">
        <f t="shared" si="45"/>
        <v>278017.08333333331</v>
      </c>
      <c r="J110" s="11"/>
      <c r="K110" s="13">
        <v>23788.416666666701</v>
      </c>
      <c r="L110" s="10">
        <v>75.3</v>
      </c>
      <c r="M110" s="12">
        <v>59.4</v>
      </c>
      <c r="N110" s="12">
        <v>43.6</v>
      </c>
      <c r="O110" s="12">
        <v>13.64</v>
      </c>
      <c r="P110" s="21">
        <v>41.150230000000001</v>
      </c>
    </row>
    <row r="111" spans="1:16" ht="20" customHeight="1">
      <c r="A111" s="8" t="s">
        <v>123</v>
      </c>
      <c r="B111" s="9">
        <v>1</v>
      </c>
      <c r="C111" s="10">
        <v>43</v>
      </c>
      <c r="D111" s="10">
        <v>44</v>
      </c>
      <c r="E111" s="10">
        <f t="shared" ref="E111:E122" si="46">42986523/12</f>
        <v>3582210.25</v>
      </c>
      <c r="F111" s="10">
        <f t="shared" ref="F111:F122" si="47">1023877/12</f>
        <v>85323.083333333328</v>
      </c>
      <c r="G111" s="10">
        <f t="shared" ref="G111:G122" si="48">458983/12</f>
        <v>38248.583333333336</v>
      </c>
      <c r="H111" s="13">
        <v>4678.8333333333303</v>
      </c>
      <c r="I111" s="13">
        <v>270566.08333333302</v>
      </c>
      <c r="J111" s="11"/>
      <c r="K111" s="13">
        <v>23255.416666666701</v>
      </c>
      <c r="L111" s="10">
        <v>81.2</v>
      </c>
      <c r="M111" s="12">
        <v>62</v>
      </c>
      <c r="N111" s="12">
        <v>46.7</v>
      </c>
      <c r="O111" s="12">
        <v>15.37</v>
      </c>
      <c r="P111" s="21">
        <v>40.185720000000003</v>
      </c>
    </row>
    <row r="112" spans="1:16" ht="20" customHeight="1">
      <c r="A112" s="8" t="s">
        <v>124</v>
      </c>
      <c r="B112" s="9">
        <v>1</v>
      </c>
      <c r="C112" s="10">
        <v>40</v>
      </c>
      <c r="D112" s="10">
        <v>41</v>
      </c>
      <c r="E112" s="10">
        <f t="shared" si="46"/>
        <v>3582210.25</v>
      </c>
      <c r="F112" s="10">
        <f t="shared" si="47"/>
        <v>85323.083333333328</v>
      </c>
      <c r="G112" s="10">
        <f t="shared" si="48"/>
        <v>38248.583333333336</v>
      </c>
      <c r="H112" s="13">
        <v>4678.8333333333303</v>
      </c>
      <c r="I112" s="13">
        <v>270566.08333333302</v>
      </c>
      <c r="J112" s="11"/>
      <c r="K112" s="13">
        <v>23255.416666666701</v>
      </c>
      <c r="L112" s="10">
        <v>81.2</v>
      </c>
      <c r="M112" s="12">
        <v>62</v>
      </c>
      <c r="N112" s="12">
        <v>46.7</v>
      </c>
      <c r="O112" s="12">
        <v>15.37</v>
      </c>
      <c r="P112" s="21">
        <v>31.485009999999999</v>
      </c>
    </row>
    <row r="113" spans="1:16" ht="20" customHeight="1">
      <c r="A113" s="8" t="s">
        <v>125</v>
      </c>
      <c r="B113" s="9">
        <v>1</v>
      </c>
      <c r="C113" s="10">
        <v>39</v>
      </c>
      <c r="D113" s="10">
        <v>40</v>
      </c>
      <c r="E113" s="10">
        <f t="shared" si="46"/>
        <v>3582210.25</v>
      </c>
      <c r="F113" s="10">
        <f t="shared" si="47"/>
        <v>85323.083333333328</v>
      </c>
      <c r="G113" s="10">
        <f t="shared" si="48"/>
        <v>38248.583333333336</v>
      </c>
      <c r="H113" s="13">
        <v>4678.8333333333303</v>
      </c>
      <c r="I113" s="13">
        <v>270566.08333333302</v>
      </c>
      <c r="J113" s="11"/>
      <c r="K113" s="13">
        <v>23255.416666666701</v>
      </c>
      <c r="L113" s="10">
        <v>81.2</v>
      </c>
      <c r="M113" s="12">
        <v>62</v>
      </c>
      <c r="N113" s="12">
        <v>46.7</v>
      </c>
      <c r="O113" s="12">
        <v>15.37</v>
      </c>
      <c r="P113" s="21">
        <v>32.07443</v>
      </c>
    </row>
    <row r="114" spans="1:16" ht="20" customHeight="1">
      <c r="A114" s="8" t="s">
        <v>126</v>
      </c>
      <c r="B114" s="9">
        <v>1</v>
      </c>
      <c r="C114" s="10">
        <v>34</v>
      </c>
      <c r="D114" s="10">
        <v>35</v>
      </c>
      <c r="E114" s="10">
        <f t="shared" si="46"/>
        <v>3582210.25</v>
      </c>
      <c r="F114" s="10">
        <f t="shared" si="47"/>
        <v>85323.083333333328</v>
      </c>
      <c r="G114" s="10">
        <f t="shared" si="48"/>
        <v>38248.583333333336</v>
      </c>
      <c r="H114" s="13">
        <v>4678.8333333333303</v>
      </c>
      <c r="I114" s="13">
        <v>270566.08333333302</v>
      </c>
      <c r="J114" s="11"/>
      <c r="K114" s="13">
        <v>23255.416666666701</v>
      </c>
      <c r="L114" s="10">
        <v>81.2</v>
      </c>
      <c r="M114" s="12">
        <v>62</v>
      </c>
      <c r="N114" s="12">
        <v>46.7</v>
      </c>
      <c r="O114" s="12">
        <v>15.37</v>
      </c>
      <c r="P114" s="21">
        <v>30.747630000000001</v>
      </c>
    </row>
    <row r="115" spans="1:16" ht="20" customHeight="1">
      <c r="A115" s="8" t="s">
        <v>127</v>
      </c>
      <c r="B115" s="9">
        <v>1</v>
      </c>
      <c r="C115" s="10">
        <v>34</v>
      </c>
      <c r="D115" s="10">
        <v>35</v>
      </c>
      <c r="E115" s="10">
        <f t="shared" si="46"/>
        <v>3582210.25</v>
      </c>
      <c r="F115" s="10">
        <f t="shared" si="47"/>
        <v>85323.083333333328</v>
      </c>
      <c r="G115" s="10">
        <f t="shared" si="48"/>
        <v>38248.583333333336</v>
      </c>
      <c r="H115" s="13">
        <v>4678.8333333333303</v>
      </c>
      <c r="I115" s="13">
        <v>270566.08333333302</v>
      </c>
      <c r="J115" s="11"/>
      <c r="K115" s="13">
        <v>23255.416666666701</v>
      </c>
      <c r="L115" s="10">
        <v>81.2</v>
      </c>
      <c r="M115" s="12">
        <v>62</v>
      </c>
      <c r="N115" s="12">
        <v>46.7</v>
      </c>
      <c r="O115" s="12">
        <v>15.37</v>
      </c>
      <c r="P115" s="21">
        <v>33.810250000000003</v>
      </c>
    </row>
    <row r="116" spans="1:16" ht="20" customHeight="1">
      <c r="A116" s="8" t="s">
        <v>128</v>
      </c>
      <c r="B116" s="9">
        <v>0</v>
      </c>
      <c r="C116" s="10">
        <v>32</v>
      </c>
      <c r="D116" s="10">
        <v>32</v>
      </c>
      <c r="E116" s="10">
        <f t="shared" si="46"/>
        <v>3582210.25</v>
      </c>
      <c r="F116" s="10">
        <f t="shared" si="47"/>
        <v>85323.083333333328</v>
      </c>
      <c r="G116" s="10">
        <f t="shared" si="48"/>
        <v>38248.583333333336</v>
      </c>
      <c r="H116" s="13">
        <v>4678.8333333333303</v>
      </c>
      <c r="I116" s="13">
        <v>270566.08333333302</v>
      </c>
      <c r="J116" s="11"/>
      <c r="K116" s="13">
        <v>23255.416666666701</v>
      </c>
      <c r="L116" s="10">
        <v>81.2</v>
      </c>
      <c r="M116" s="12">
        <v>62</v>
      </c>
      <c r="N116" s="12">
        <v>46.7</v>
      </c>
      <c r="O116" s="12">
        <v>15.37</v>
      </c>
      <c r="P116" s="21">
        <v>43.371000000000002</v>
      </c>
    </row>
    <row r="117" spans="1:16" ht="20" customHeight="1">
      <c r="A117" s="8" t="s">
        <v>129</v>
      </c>
      <c r="B117" s="9">
        <v>1</v>
      </c>
      <c r="C117" s="10">
        <v>42</v>
      </c>
      <c r="D117" s="10">
        <v>43</v>
      </c>
      <c r="E117" s="10">
        <f t="shared" si="46"/>
        <v>3582210.25</v>
      </c>
      <c r="F117" s="10">
        <f t="shared" si="47"/>
        <v>85323.083333333328</v>
      </c>
      <c r="G117" s="10">
        <f t="shared" si="48"/>
        <v>38248.583333333336</v>
      </c>
      <c r="H117" s="13">
        <v>4678.8333333333303</v>
      </c>
      <c r="I117" s="13">
        <v>270566.08333333302</v>
      </c>
      <c r="J117" s="11"/>
      <c r="K117" s="13">
        <v>23255.416666666701</v>
      </c>
      <c r="L117" s="10">
        <v>81.2</v>
      </c>
      <c r="M117" s="12">
        <v>62</v>
      </c>
      <c r="N117" s="12">
        <v>46.7</v>
      </c>
      <c r="O117" s="12">
        <v>15.37</v>
      </c>
      <c r="P117" s="21">
        <v>40.866</v>
      </c>
    </row>
    <row r="118" spans="1:16" ht="20" customHeight="1">
      <c r="A118" s="8" t="s">
        <v>130</v>
      </c>
      <c r="B118" s="9">
        <v>1</v>
      </c>
      <c r="C118" s="10">
        <v>41</v>
      </c>
      <c r="D118" s="10">
        <v>42</v>
      </c>
      <c r="E118" s="10">
        <f t="shared" si="46"/>
        <v>3582210.25</v>
      </c>
      <c r="F118" s="10">
        <f t="shared" si="47"/>
        <v>85323.083333333328</v>
      </c>
      <c r="G118" s="10">
        <f t="shared" si="48"/>
        <v>38248.583333333336</v>
      </c>
      <c r="H118" s="13">
        <v>4678.8333333333303</v>
      </c>
      <c r="I118" s="13">
        <v>270566.08333333302</v>
      </c>
      <c r="J118" s="11"/>
      <c r="K118" s="13">
        <v>23255.416666666701</v>
      </c>
      <c r="L118" s="10">
        <v>81.2</v>
      </c>
      <c r="M118" s="12">
        <v>62</v>
      </c>
      <c r="N118" s="12">
        <v>46.7</v>
      </c>
      <c r="O118" s="12">
        <v>15.37</v>
      </c>
      <c r="P118" s="21">
        <v>42.152999999999999</v>
      </c>
    </row>
    <row r="119" spans="1:16" ht="20" customHeight="1">
      <c r="A119" s="8" t="s">
        <v>131</v>
      </c>
      <c r="B119" s="9">
        <v>1</v>
      </c>
      <c r="C119" s="10">
        <v>38</v>
      </c>
      <c r="D119" s="10">
        <v>39</v>
      </c>
      <c r="E119" s="10">
        <f t="shared" si="46"/>
        <v>3582210.25</v>
      </c>
      <c r="F119" s="10">
        <f t="shared" si="47"/>
        <v>85323.083333333328</v>
      </c>
      <c r="G119" s="10">
        <f t="shared" si="48"/>
        <v>38248.583333333336</v>
      </c>
      <c r="H119" s="13">
        <v>4678.8333333333303</v>
      </c>
      <c r="I119" s="13">
        <v>270566.08333333302</v>
      </c>
      <c r="J119" s="11"/>
      <c r="K119" s="13">
        <v>23255.416666666701</v>
      </c>
      <c r="L119" s="10">
        <v>81.2</v>
      </c>
      <c r="M119" s="12">
        <v>62</v>
      </c>
      <c r="N119" s="12">
        <v>46.7</v>
      </c>
      <c r="O119" s="12">
        <v>15.37</v>
      </c>
      <c r="P119" s="21">
        <v>40.876690000000004</v>
      </c>
    </row>
    <row r="120" spans="1:16" ht="20" customHeight="1">
      <c r="A120" s="8" t="s">
        <v>132</v>
      </c>
      <c r="B120" s="9">
        <v>1</v>
      </c>
      <c r="C120" s="10">
        <v>39</v>
      </c>
      <c r="D120" s="10">
        <v>40</v>
      </c>
      <c r="E120" s="10">
        <f t="shared" si="46"/>
        <v>3582210.25</v>
      </c>
      <c r="F120" s="10">
        <f t="shared" si="47"/>
        <v>85323.083333333328</v>
      </c>
      <c r="G120" s="10">
        <f t="shared" si="48"/>
        <v>38248.583333333336</v>
      </c>
      <c r="H120" s="13">
        <v>4678.8333333333303</v>
      </c>
      <c r="I120" s="13">
        <v>270566.08333333302</v>
      </c>
      <c r="J120" s="11"/>
      <c r="K120" s="13">
        <v>23255.416666666701</v>
      </c>
      <c r="L120" s="10">
        <v>81.2</v>
      </c>
      <c r="M120" s="12">
        <v>62</v>
      </c>
      <c r="N120" s="12">
        <v>46.7</v>
      </c>
      <c r="O120" s="12">
        <v>15.37</v>
      </c>
      <c r="P120" s="21">
        <v>41.603389999999997</v>
      </c>
    </row>
    <row r="121" spans="1:16" ht="20" customHeight="1">
      <c r="A121" s="8" t="s">
        <v>133</v>
      </c>
      <c r="B121" s="9">
        <v>1</v>
      </c>
      <c r="C121" s="10">
        <v>41</v>
      </c>
      <c r="D121" s="10">
        <v>42</v>
      </c>
      <c r="E121" s="10">
        <f t="shared" si="46"/>
        <v>3582210.25</v>
      </c>
      <c r="F121" s="10">
        <f t="shared" si="47"/>
        <v>85323.083333333328</v>
      </c>
      <c r="G121" s="10">
        <f t="shared" si="48"/>
        <v>38248.583333333336</v>
      </c>
      <c r="H121" s="13">
        <v>4678.8333333333303</v>
      </c>
      <c r="I121" s="13">
        <v>270566.08333333302</v>
      </c>
      <c r="J121" s="11"/>
      <c r="K121" s="13">
        <v>23255.416666666701</v>
      </c>
      <c r="L121" s="10">
        <v>81.2</v>
      </c>
      <c r="M121" s="12">
        <v>62</v>
      </c>
      <c r="N121" s="12">
        <v>46.7</v>
      </c>
      <c r="O121" s="12">
        <v>15.37</v>
      </c>
      <c r="P121" s="21">
        <v>41.306849999999997</v>
      </c>
    </row>
    <row r="122" spans="1:16" ht="20" customHeight="1">
      <c r="A122" s="8" t="s">
        <v>134</v>
      </c>
      <c r="B122" s="9">
        <v>1</v>
      </c>
      <c r="C122" s="10">
        <v>43</v>
      </c>
      <c r="D122" s="10">
        <v>44</v>
      </c>
      <c r="E122" s="10">
        <f t="shared" si="46"/>
        <v>3582210.25</v>
      </c>
      <c r="F122" s="10">
        <f t="shared" si="47"/>
        <v>85323.083333333328</v>
      </c>
      <c r="G122" s="10">
        <f t="shared" si="48"/>
        <v>38248.583333333336</v>
      </c>
      <c r="H122" s="13">
        <v>4678.8333333333303</v>
      </c>
      <c r="I122" s="13">
        <v>270566.08333333302</v>
      </c>
      <c r="J122" s="11"/>
      <c r="K122" s="13">
        <v>23255.416666666701</v>
      </c>
      <c r="L122" s="10">
        <v>81.2</v>
      </c>
      <c r="M122" s="12">
        <v>62</v>
      </c>
      <c r="N122" s="12">
        <v>46.7</v>
      </c>
      <c r="O122" s="12">
        <v>15.37</v>
      </c>
      <c r="P122" s="21">
        <v>42.026420000000002</v>
      </c>
    </row>
    <row r="123" spans="1:16" ht="20" customHeight="1">
      <c r="A123" s="8" t="s">
        <v>135</v>
      </c>
      <c r="B123" s="9">
        <v>1</v>
      </c>
      <c r="C123" s="10">
        <v>41</v>
      </c>
      <c r="D123" s="10">
        <v>42</v>
      </c>
      <c r="E123" s="10">
        <f t="shared" ref="E123:E134" si="49">40961499/12</f>
        <v>3413458.25</v>
      </c>
      <c r="F123" s="10">
        <f t="shared" ref="F123:F134" si="50">1223730/12</f>
        <v>101977.5</v>
      </c>
      <c r="G123" s="10">
        <f t="shared" ref="G123:G134" si="51">458930/12</f>
        <v>38244.166666666664</v>
      </c>
      <c r="H123" s="13">
        <v>4620.8333333333303</v>
      </c>
      <c r="I123" s="13">
        <v>384322.33333333302</v>
      </c>
      <c r="J123" s="11"/>
      <c r="K123" s="13">
        <v>22078.083333333299</v>
      </c>
      <c r="L123" s="10">
        <v>81.3</v>
      </c>
      <c r="M123" s="12">
        <v>65</v>
      </c>
      <c r="N123" s="12">
        <v>48.7</v>
      </c>
      <c r="O123" s="12">
        <v>18.2</v>
      </c>
      <c r="P123" s="21">
        <v>42.925150000000002</v>
      </c>
    </row>
    <row r="124" spans="1:16" ht="20" customHeight="1">
      <c r="A124" s="8" t="s">
        <v>136</v>
      </c>
      <c r="B124" s="9">
        <v>1</v>
      </c>
      <c r="C124" s="10">
        <v>36</v>
      </c>
      <c r="D124" s="10">
        <v>37</v>
      </c>
      <c r="E124" s="10">
        <f t="shared" si="49"/>
        <v>3413458.25</v>
      </c>
      <c r="F124" s="10">
        <f t="shared" si="50"/>
        <v>101977.5</v>
      </c>
      <c r="G124" s="10">
        <f t="shared" si="51"/>
        <v>38244.166666666664</v>
      </c>
      <c r="H124" s="13">
        <v>4620.8333333333303</v>
      </c>
      <c r="I124" s="13">
        <v>384322.33333333302</v>
      </c>
      <c r="J124" s="11"/>
      <c r="K124" s="13">
        <v>22078.083333333299</v>
      </c>
      <c r="L124" s="10">
        <v>81.3</v>
      </c>
      <c r="M124" s="12">
        <v>65</v>
      </c>
      <c r="N124" s="12">
        <v>48.7</v>
      </c>
      <c r="O124" s="12">
        <v>18.2</v>
      </c>
      <c r="P124" s="21">
        <v>42.094700000000003</v>
      </c>
    </row>
    <row r="125" spans="1:16" ht="20" customHeight="1">
      <c r="A125" s="8" t="s">
        <v>137</v>
      </c>
      <c r="B125" s="9">
        <v>1</v>
      </c>
      <c r="C125" s="10">
        <v>38</v>
      </c>
      <c r="D125" s="10">
        <v>39</v>
      </c>
      <c r="E125" s="10">
        <f t="shared" si="49"/>
        <v>3413458.25</v>
      </c>
      <c r="F125" s="10">
        <f t="shared" si="50"/>
        <v>101977.5</v>
      </c>
      <c r="G125" s="10">
        <f t="shared" si="51"/>
        <v>38244.166666666664</v>
      </c>
      <c r="H125" s="13">
        <v>4620.8333333333303</v>
      </c>
      <c r="I125" s="13">
        <v>384322.33333333302</v>
      </c>
      <c r="J125" s="11"/>
      <c r="K125" s="13">
        <v>22078.083333333299</v>
      </c>
      <c r="L125" s="10">
        <v>81.3</v>
      </c>
      <c r="M125" s="12">
        <v>65</v>
      </c>
      <c r="N125" s="12">
        <v>48.7</v>
      </c>
      <c r="O125" s="12">
        <v>18.2</v>
      </c>
      <c r="P125" s="21">
        <v>41.675449999999998</v>
      </c>
    </row>
    <row r="126" spans="1:16" ht="20" customHeight="1">
      <c r="A126" s="8" t="s">
        <v>138</v>
      </c>
      <c r="B126" s="9">
        <v>1</v>
      </c>
      <c r="C126" s="10">
        <v>32</v>
      </c>
      <c r="D126" s="10">
        <v>33</v>
      </c>
      <c r="E126" s="10">
        <f t="shared" si="49"/>
        <v>3413458.25</v>
      </c>
      <c r="F126" s="10">
        <f t="shared" si="50"/>
        <v>101977.5</v>
      </c>
      <c r="G126" s="10">
        <f t="shared" si="51"/>
        <v>38244.166666666664</v>
      </c>
      <c r="H126" s="13">
        <v>4620.8333333333303</v>
      </c>
      <c r="I126" s="13">
        <v>384322.33333333302</v>
      </c>
      <c r="J126" s="11"/>
      <c r="K126" s="13">
        <v>22078.083333333299</v>
      </c>
      <c r="L126" s="10">
        <v>81.3</v>
      </c>
      <c r="M126" s="12">
        <v>65</v>
      </c>
      <c r="N126" s="12">
        <v>48.7</v>
      </c>
      <c r="O126" s="12">
        <v>18.2</v>
      </c>
      <c r="P126" s="21">
        <v>38.417870000000001</v>
      </c>
    </row>
    <row r="127" spans="1:16" ht="20" customHeight="1">
      <c r="A127" s="8" t="s">
        <v>139</v>
      </c>
      <c r="B127" s="9">
        <v>1</v>
      </c>
      <c r="C127" s="10">
        <v>31</v>
      </c>
      <c r="D127" s="10">
        <v>32</v>
      </c>
      <c r="E127" s="10">
        <f t="shared" si="49"/>
        <v>3413458.25</v>
      </c>
      <c r="F127" s="10">
        <f t="shared" si="50"/>
        <v>101977.5</v>
      </c>
      <c r="G127" s="10">
        <f t="shared" si="51"/>
        <v>38244.166666666664</v>
      </c>
      <c r="H127" s="13">
        <v>4620.8333333333303</v>
      </c>
      <c r="I127" s="13">
        <v>384322.33333333302</v>
      </c>
      <c r="J127" s="11"/>
      <c r="K127" s="13">
        <v>22078.083333333299</v>
      </c>
      <c r="L127" s="10">
        <v>81.3</v>
      </c>
      <c r="M127" s="12">
        <v>65</v>
      </c>
      <c r="N127" s="12">
        <v>48.7</v>
      </c>
      <c r="O127" s="12">
        <v>18.2</v>
      </c>
      <c r="P127" s="21">
        <v>40.812489999999997</v>
      </c>
    </row>
    <row r="128" spans="1:16" ht="20" customHeight="1">
      <c r="A128" s="8" t="s">
        <v>140</v>
      </c>
      <c r="B128" s="9">
        <v>1</v>
      </c>
      <c r="C128" s="10">
        <v>35</v>
      </c>
      <c r="D128" s="10">
        <v>36</v>
      </c>
      <c r="E128" s="10">
        <f t="shared" si="49"/>
        <v>3413458.25</v>
      </c>
      <c r="F128" s="10">
        <f t="shared" si="50"/>
        <v>101977.5</v>
      </c>
      <c r="G128" s="10">
        <f t="shared" si="51"/>
        <v>38244.166666666664</v>
      </c>
      <c r="H128" s="13">
        <v>4620.8333333333303</v>
      </c>
      <c r="I128" s="13">
        <v>384322.33333333302</v>
      </c>
      <c r="J128" s="11"/>
      <c r="K128" s="13">
        <v>22078.083333333299</v>
      </c>
      <c r="L128" s="10">
        <v>81.3</v>
      </c>
      <c r="M128" s="12">
        <v>65</v>
      </c>
      <c r="N128" s="12">
        <v>48.7</v>
      </c>
      <c r="O128" s="12">
        <v>18.2</v>
      </c>
      <c r="P128" s="21">
        <v>46.708089999999999</v>
      </c>
    </row>
    <row r="129" spans="1:16" ht="20" customHeight="1">
      <c r="A129" s="8" t="s">
        <v>141</v>
      </c>
      <c r="B129" s="9">
        <v>1</v>
      </c>
      <c r="C129" s="10">
        <v>38</v>
      </c>
      <c r="D129" s="10">
        <v>39</v>
      </c>
      <c r="E129" s="10">
        <f t="shared" si="49"/>
        <v>3413458.25</v>
      </c>
      <c r="F129" s="10">
        <f t="shared" si="50"/>
        <v>101977.5</v>
      </c>
      <c r="G129" s="10">
        <f t="shared" si="51"/>
        <v>38244.166666666664</v>
      </c>
      <c r="H129" s="13">
        <v>4620.8333333333303</v>
      </c>
      <c r="I129" s="13">
        <v>384322.33333333302</v>
      </c>
      <c r="J129" s="11"/>
      <c r="K129" s="13">
        <v>22078.083333333299</v>
      </c>
      <c r="L129" s="10">
        <v>81.3</v>
      </c>
      <c r="M129" s="12">
        <v>65</v>
      </c>
      <c r="N129" s="12">
        <v>48.7</v>
      </c>
      <c r="O129" s="12">
        <v>18.2</v>
      </c>
      <c r="P129" s="21">
        <v>42.691099999999999</v>
      </c>
    </row>
    <row r="130" spans="1:16" ht="20" customHeight="1">
      <c r="A130" s="8" t="s">
        <v>142</v>
      </c>
      <c r="B130" s="9">
        <v>0</v>
      </c>
      <c r="C130" s="10">
        <v>42</v>
      </c>
      <c r="D130" s="10">
        <v>42</v>
      </c>
      <c r="E130" s="10">
        <f t="shared" si="49"/>
        <v>3413458.25</v>
      </c>
      <c r="F130" s="10">
        <f t="shared" si="50"/>
        <v>101977.5</v>
      </c>
      <c r="G130" s="10">
        <f t="shared" si="51"/>
        <v>38244.166666666664</v>
      </c>
      <c r="H130" s="13">
        <v>4620.8333333333303</v>
      </c>
      <c r="I130" s="13">
        <v>384322.33333333302</v>
      </c>
      <c r="J130" s="11"/>
      <c r="K130" s="13">
        <v>22078.083333333299</v>
      </c>
      <c r="L130" s="10">
        <v>81.3</v>
      </c>
      <c r="M130" s="12">
        <v>65</v>
      </c>
      <c r="N130" s="12">
        <v>48.7</v>
      </c>
      <c r="O130" s="12">
        <v>18.2</v>
      </c>
      <c r="P130" s="21">
        <v>44.346400000000003</v>
      </c>
    </row>
    <row r="131" spans="1:16" ht="20" customHeight="1">
      <c r="A131" s="8" t="s">
        <v>143</v>
      </c>
      <c r="B131" s="9">
        <v>1</v>
      </c>
      <c r="C131" s="10">
        <v>41</v>
      </c>
      <c r="D131" s="10">
        <v>42</v>
      </c>
      <c r="E131" s="10">
        <f t="shared" si="49"/>
        <v>3413458.25</v>
      </c>
      <c r="F131" s="10">
        <f t="shared" si="50"/>
        <v>101977.5</v>
      </c>
      <c r="G131" s="10">
        <f t="shared" si="51"/>
        <v>38244.166666666664</v>
      </c>
      <c r="H131" s="13">
        <v>4620.8333333333303</v>
      </c>
      <c r="I131" s="13">
        <v>384322.33333333302</v>
      </c>
      <c r="J131" s="11"/>
      <c r="K131" s="13">
        <v>22078.083333333299</v>
      </c>
      <c r="L131" s="10">
        <v>81.3</v>
      </c>
      <c r="M131" s="12">
        <v>65</v>
      </c>
      <c r="N131" s="12">
        <v>48.7</v>
      </c>
      <c r="O131" s="12">
        <v>18.2</v>
      </c>
      <c r="P131" s="21">
        <v>44.975729999999999</v>
      </c>
    </row>
    <row r="132" spans="1:16" ht="20" customHeight="1">
      <c r="A132" s="8" t="s">
        <v>144</v>
      </c>
      <c r="B132" s="9">
        <v>1</v>
      </c>
      <c r="C132" s="10">
        <v>38</v>
      </c>
      <c r="D132" s="10">
        <v>39</v>
      </c>
      <c r="E132" s="10">
        <f t="shared" si="49"/>
        <v>3413458.25</v>
      </c>
      <c r="F132" s="10">
        <f t="shared" si="50"/>
        <v>101977.5</v>
      </c>
      <c r="G132" s="10">
        <f t="shared" si="51"/>
        <v>38244.166666666664</v>
      </c>
      <c r="H132" s="13">
        <v>4620.8333333333303</v>
      </c>
      <c r="I132" s="13">
        <v>384322.33333333302</v>
      </c>
      <c r="J132" s="11"/>
      <c r="K132" s="13">
        <v>22078.083333333299</v>
      </c>
      <c r="L132" s="10">
        <v>81.3</v>
      </c>
      <c r="M132" s="12">
        <v>65</v>
      </c>
      <c r="N132" s="12">
        <v>48.7</v>
      </c>
      <c r="O132" s="12">
        <v>18.2</v>
      </c>
      <c r="P132" s="21">
        <v>44.993360000000003</v>
      </c>
    </row>
    <row r="133" spans="1:16" ht="20" customHeight="1">
      <c r="A133" s="8" t="s">
        <v>145</v>
      </c>
      <c r="B133" s="9">
        <v>1</v>
      </c>
      <c r="C133" s="10">
        <v>40</v>
      </c>
      <c r="D133" s="10">
        <v>41</v>
      </c>
      <c r="E133" s="10">
        <f t="shared" si="49"/>
        <v>3413458.25</v>
      </c>
      <c r="F133" s="10">
        <f t="shared" si="50"/>
        <v>101977.5</v>
      </c>
      <c r="G133" s="10">
        <f t="shared" si="51"/>
        <v>38244.166666666664</v>
      </c>
      <c r="H133" s="13">
        <v>4620.8333333333303</v>
      </c>
      <c r="I133" s="13">
        <v>384322.33333333302</v>
      </c>
      <c r="J133" s="11"/>
      <c r="K133" s="13">
        <v>22078.083333333299</v>
      </c>
      <c r="L133" s="10">
        <v>81.3</v>
      </c>
      <c r="M133" s="12">
        <v>65</v>
      </c>
      <c r="N133" s="12">
        <v>48.7</v>
      </c>
      <c r="O133" s="12">
        <v>18.2</v>
      </c>
      <c r="P133" s="21">
        <v>42.286430000000003</v>
      </c>
    </row>
    <row r="134" spans="1:16" ht="20" customHeight="1">
      <c r="A134" s="8" t="s">
        <v>146</v>
      </c>
      <c r="B134" s="9">
        <v>1</v>
      </c>
      <c r="C134" s="10">
        <v>47</v>
      </c>
      <c r="D134" s="10">
        <v>48</v>
      </c>
      <c r="E134" s="10">
        <f t="shared" si="49"/>
        <v>3413458.25</v>
      </c>
      <c r="F134" s="10">
        <f t="shared" si="50"/>
        <v>101977.5</v>
      </c>
      <c r="G134" s="10">
        <f t="shared" si="51"/>
        <v>38244.166666666664</v>
      </c>
      <c r="H134" s="13">
        <v>4620.8333333333303</v>
      </c>
      <c r="I134" s="13">
        <v>384322.33333333302</v>
      </c>
      <c r="J134" s="11"/>
      <c r="K134" s="13">
        <v>22078.083333333299</v>
      </c>
      <c r="L134" s="10">
        <v>81.3</v>
      </c>
      <c r="M134" s="12">
        <v>65</v>
      </c>
      <c r="N134" s="12">
        <v>48.7</v>
      </c>
      <c r="O134" s="12">
        <v>18.2</v>
      </c>
      <c r="P134" s="21">
        <v>36.45805</v>
      </c>
    </row>
    <row r="135" spans="1:16" ht="20" customHeight="1">
      <c r="A135" s="8" t="s">
        <v>147</v>
      </c>
      <c r="B135" s="9">
        <v>1</v>
      </c>
      <c r="C135" s="10">
        <v>46</v>
      </c>
      <c r="D135" s="10">
        <v>47</v>
      </c>
      <c r="E135" s="10">
        <f t="shared" ref="E135:E146" si="52">43411766/12</f>
        <v>3617647.1666666665</v>
      </c>
      <c r="F135" s="10">
        <f t="shared" ref="F135:F146" si="53">893470/12</f>
        <v>74455.833333333328</v>
      </c>
      <c r="G135" s="10">
        <f t="shared" ref="G135:G146" si="54">512915/12</f>
        <v>42742.916666666664</v>
      </c>
      <c r="H135" s="13">
        <v>4321.1666666666697</v>
      </c>
      <c r="I135" s="13">
        <v>364092.25</v>
      </c>
      <c r="J135" s="11"/>
      <c r="K135" s="13">
        <v>23541.583333333299</v>
      </c>
      <c r="L135" s="10">
        <v>81.3</v>
      </c>
      <c r="M135" s="12">
        <v>65</v>
      </c>
      <c r="N135" s="12">
        <v>48.7</v>
      </c>
      <c r="O135" s="12">
        <v>18.68</v>
      </c>
      <c r="P135" s="21">
        <v>36.998359999999998</v>
      </c>
    </row>
    <row r="136" spans="1:16" ht="20" customHeight="1">
      <c r="A136" s="8" t="s">
        <v>148</v>
      </c>
      <c r="B136" s="9">
        <v>1</v>
      </c>
      <c r="C136" s="10">
        <v>43</v>
      </c>
      <c r="D136" s="10">
        <v>44</v>
      </c>
      <c r="E136" s="10">
        <f t="shared" si="52"/>
        <v>3617647.1666666665</v>
      </c>
      <c r="F136" s="10">
        <f t="shared" si="53"/>
        <v>74455.833333333328</v>
      </c>
      <c r="G136" s="10">
        <f t="shared" si="54"/>
        <v>42742.916666666664</v>
      </c>
      <c r="H136" s="13">
        <v>4321.1666666666697</v>
      </c>
      <c r="I136" s="13">
        <v>364092.25</v>
      </c>
      <c r="J136" s="11"/>
      <c r="K136" s="13">
        <v>23541.583333333299</v>
      </c>
      <c r="L136" s="10">
        <v>77.3</v>
      </c>
      <c r="M136" s="12">
        <v>63.9</v>
      </c>
      <c r="N136" s="12">
        <v>47.6</v>
      </c>
      <c r="O136" s="12">
        <v>18.68</v>
      </c>
      <c r="P136" s="21">
        <v>39.006619999999998</v>
      </c>
    </row>
    <row r="137" spans="1:16" ht="20" customHeight="1">
      <c r="A137" s="8" t="s">
        <v>149</v>
      </c>
      <c r="B137" s="9">
        <v>1</v>
      </c>
      <c r="C137" s="10">
        <v>37</v>
      </c>
      <c r="D137" s="10">
        <v>38</v>
      </c>
      <c r="E137" s="10">
        <f t="shared" si="52"/>
        <v>3617647.1666666665</v>
      </c>
      <c r="F137" s="10">
        <f t="shared" si="53"/>
        <v>74455.833333333328</v>
      </c>
      <c r="G137" s="10">
        <f t="shared" si="54"/>
        <v>42742.916666666664</v>
      </c>
      <c r="H137" s="13">
        <v>4321.1666666666697</v>
      </c>
      <c r="I137" s="13">
        <v>364092.25</v>
      </c>
      <c r="J137" s="11"/>
      <c r="K137" s="13">
        <v>23541.583333333299</v>
      </c>
      <c r="L137" s="10">
        <v>77.3</v>
      </c>
      <c r="M137" s="12">
        <v>63.9</v>
      </c>
      <c r="N137" s="12">
        <v>47.6</v>
      </c>
      <c r="O137" s="12">
        <v>18.68</v>
      </c>
      <c r="P137" s="21">
        <v>36.58896</v>
      </c>
    </row>
    <row r="138" spans="1:16" ht="20" customHeight="1">
      <c r="A138" s="8" t="s">
        <v>150</v>
      </c>
      <c r="B138" s="9">
        <v>1</v>
      </c>
      <c r="C138" s="10">
        <v>28</v>
      </c>
      <c r="D138" s="10">
        <v>29</v>
      </c>
      <c r="E138" s="10">
        <f t="shared" si="52"/>
        <v>3617647.1666666665</v>
      </c>
      <c r="F138" s="10">
        <f t="shared" si="53"/>
        <v>74455.833333333328</v>
      </c>
      <c r="G138" s="10">
        <f t="shared" si="54"/>
        <v>42742.916666666664</v>
      </c>
      <c r="H138" s="13">
        <v>4321.1666666666697</v>
      </c>
      <c r="I138" s="13">
        <v>364092.25</v>
      </c>
      <c r="J138" s="11"/>
      <c r="K138" s="13">
        <v>23541.583333333299</v>
      </c>
      <c r="L138" s="10">
        <v>77.3</v>
      </c>
      <c r="M138" s="12">
        <v>63.9</v>
      </c>
      <c r="N138" s="12">
        <v>47.6</v>
      </c>
      <c r="O138" s="12">
        <v>18.68</v>
      </c>
      <c r="P138" s="21">
        <v>37.466340000000002</v>
      </c>
    </row>
    <row r="139" spans="1:16" ht="20" customHeight="1">
      <c r="A139" s="8" t="s">
        <v>151</v>
      </c>
      <c r="B139" s="9">
        <v>1</v>
      </c>
      <c r="C139" s="10">
        <v>31</v>
      </c>
      <c r="D139" s="10">
        <v>32</v>
      </c>
      <c r="E139" s="10">
        <f t="shared" si="52"/>
        <v>3617647.1666666665</v>
      </c>
      <c r="F139" s="10">
        <f t="shared" si="53"/>
        <v>74455.833333333328</v>
      </c>
      <c r="G139" s="10">
        <f t="shared" si="54"/>
        <v>42742.916666666664</v>
      </c>
      <c r="H139" s="13">
        <v>4321.1666666666697</v>
      </c>
      <c r="I139" s="13">
        <v>364092.25</v>
      </c>
      <c r="J139" s="11"/>
      <c r="K139" s="13">
        <v>23541.583333333299</v>
      </c>
      <c r="L139" s="10">
        <v>77.3</v>
      </c>
      <c r="M139" s="12">
        <v>63.9</v>
      </c>
      <c r="N139" s="12">
        <v>47.6</v>
      </c>
      <c r="O139" s="12">
        <v>18.68</v>
      </c>
      <c r="P139" s="21">
        <v>38.234999999999999</v>
      </c>
    </row>
    <row r="140" spans="1:16" ht="20" customHeight="1">
      <c r="A140" s="8" t="s">
        <v>152</v>
      </c>
      <c r="B140" s="9">
        <v>1</v>
      </c>
      <c r="C140" s="10">
        <v>37</v>
      </c>
      <c r="D140" s="10">
        <v>38</v>
      </c>
      <c r="E140" s="10">
        <f t="shared" si="52"/>
        <v>3617647.1666666665</v>
      </c>
      <c r="F140" s="10">
        <f t="shared" si="53"/>
        <v>74455.833333333328</v>
      </c>
      <c r="G140" s="10">
        <f t="shared" si="54"/>
        <v>42742.916666666664</v>
      </c>
      <c r="H140" s="13">
        <v>4321.1666666666697</v>
      </c>
      <c r="I140" s="13">
        <v>364092.25</v>
      </c>
      <c r="J140" s="11"/>
      <c r="K140" s="13">
        <v>23541.583333333299</v>
      </c>
      <c r="L140" s="10">
        <v>77.3</v>
      </c>
      <c r="M140" s="12">
        <v>63.9</v>
      </c>
      <c r="N140" s="12">
        <v>47.6</v>
      </c>
      <c r="O140" s="12">
        <v>18.68</v>
      </c>
      <c r="P140" s="21">
        <v>32.880000000000003</v>
      </c>
    </row>
    <row r="141" spans="1:16" ht="20" customHeight="1">
      <c r="A141" s="8" t="s">
        <v>153</v>
      </c>
      <c r="B141" s="9">
        <v>1</v>
      </c>
      <c r="C141" s="10">
        <v>41</v>
      </c>
      <c r="D141" s="10">
        <v>42</v>
      </c>
      <c r="E141" s="10">
        <f t="shared" si="52"/>
        <v>3617647.1666666665</v>
      </c>
      <c r="F141" s="10">
        <f t="shared" si="53"/>
        <v>74455.833333333328</v>
      </c>
      <c r="G141" s="10">
        <f t="shared" si="54"/>
        <v>42742.916666666664</v>
      </c>
      <c r="H141" s="13">
        <v>4321.1666666666697</v>
      </c>
      <c r="I141" s="13">
        <v>364092.25</v>
      </c>
      <c r="J141" s="11"/>
      <c r="K141" s="13">
        <v>23541.583333333299</v>
      </c>
      <c r="L141" s="10">
        <v>77.3</v>
      </c>
      <c r="M141" s="12">
        <v>63.9</v>
      </c>
      <c r="N141" s="12">
        <v>47.6</v>
      </c>
      <c r="O141" s="12">
        <v>18.68</v>
      </c>
      <c r="P141" s="21">
        <v>37.771999999999998</v>
      </c>
    </row>
    <row r="142" spans="1:16" ht="20" customHeight="1">
      <c r="A142" s="8" t="s">
        <v>154</v>
      </c>
      <c r="B142" s="9">
        <v>1</v>
      </c>
      <c r="C142" s="10">
        <v>46</v>
      </c>
      <c r="D142" s="10">
        <v>47</v>
      </c>
      <c r="E142" s="10">
        <f t="shared" si="52"/>
        <v>3617647.1666666665</v>
      </c>
      <c r="F142" s="10">
        <f t="shared" si="53"/>
        <v>74455.833333333328</v>
      </c>
      <c r="G142" s="10">
        <f t="shared" si="54"/>
        <v>42742.916666666664</v>
      </c>
      <c r="H142" s="13">
        <v>4321.1666666666697</v>
      </c>
      <c r="I142" s="13">
        <v>364092.25</v>
      </c>
      <c r="J142" s="11"/>
      <c r="K142" s="13">
        <v>23541.583333333299</v>
      </c>
      <c r="L142" s="10">
        <v>77.3</v>
      </c>
      <c r="M142" s="12">
        <v>63.9</v>
      </c>
      <c r="N142" s="12">
        <v>47.6</v>
      </c>
      <c r="O142" s="12">
        <v>18.68</v>
      </c>
      <c r="P142" s="21">
        <v>39.182920000000003</v>
      </c>
    </row>
    <row r="143" spans="1:16" ht="20" customHeight="1">
      <c r="A143" s="8" t="s">
        <v>155</v>
      </c>
      <c r="B143" s="9">
        <v>1</v>
      </c>
      <c r="C143" s="10">
        <v>42</v>
      </c>
      <c r="D143" s="10">
        <v>43</v>
      </c>
      <c r="E143" s="10">
        <f t="shared" si="52"/>
        <v>3617647.1666666665</v>
      </c>
      <c r="F143" s="10">
        <f t="shared" si="53"/>
        <v>74455.833333333328</v>
      </c>
      <c r="G143" s="10">
        <f t="shared" si="54"/>
        <v>42742.916666666664</v>
      </c>
      <c r="H143" s="13">
        <v>4321.1666666666697</v>
      </c>
      <c r="I143" s="13">
        <v>364092.25</v>
      </c>
      <c r="J143" s="11"/>
      <c r="K143" s="13">
        <v>23541.583333333299</v>
      </c>
      <c r="L143" s="10">
        <v>77.3</v>
      </c>
      <c r="M143" s="12">
        <v>63.9</v>
      </c>
      <c r="N143" s="12">
        <v>47.6</v>
      </c>
      <c r="O143" s="12">
        <v>18.68</v>
      </c>
      <c r="P143" s="21">
        <v>39.90437</v>
      </c>
    </row>
    <row r="144" spans="1:16" ht="20" customHeight="1">
      <c r="A144" s="8" t="s">
        <v>156</v>
      </c>
      <c r="B144" s="9">
        <v>1</v>
      </c>
      <c r="C144" s="10">
        <v>43</v>
      </c>
      <c r="D144" s="10">
        <v>44</v>
      </c>
      <c r="E144" s="10">
        <f t="shared" si="52"/>
        <v>3617647.1666666665</v>
      </c>
      <c r="F144" s="10">
        <f t="shared" si="53"/>
        <v>74455.833333333328</v>
      </c>
      <c r="G144" s="10">
        <f t="shared" si="54"/>
        <v>42742.916666666664</v>
      </c>
      <c r="H144" s="13">
        <v>4321.1666666666697</v>
      </c>
      <c r="I144" s="13">
        <v>364092.25</v>
      </c>
      <c r="J144" s="11"/>
      <c r="K144" s="13">
        <v>23541.583333333299</v>
      </c>
      <c r="L144" s="10">
        <v>77.3</v>
      </c>
      <c r="M144" s="12">
        <v>63.9</v>
      </c>
      <c r="N144" s="12">
        <v>47.6</v>
      </c>
      <c r="O144" s="12">
        <v>18.68</v>
      </c>
      <c r="P144" s="21">
        <v>34.677660000000003</v>
      </c>
    </row>
    <row r="145" spans="1:16" ht="20" customHeight="1">
      <c r="A145" s="8" t="s">
        <v>157</v>
      </c>
      <c r="B145" s="9">
        <v>1</v>
      </c>
      <c r="C145" s="10">
        <v>45</v>
      </c>
      <c r="D145" s="10">
        <v>46</v>
      </c>
      <c r="E145" s="10">
        <f t="shared" si="52"/>
        <v>3617647.1666666665</v>
      </c>
      <c r="F145" s="10">
        <f t="shared" si="53"/>
        <v>74455.833333333328</v>
      </c>
      <c r="G145" s="10">
        <f t="shared" si="54"/>
        <v>42742.916666666664</v>
      </c>
      <c r="H145" s="13">
        <v>4321.1666666666697</v>
      </c>
      <c r="I145" s="13">
        <v>364092.25</v>
      </c>
      <c r="J145" s="11"/>
      <c r="K145" s="13">
        <v>23541.583333333299</v>
      </c>
      <c r="L145" s="10">
        <v>77.3</v>
      </c>
      <c r="M145" s="12">
        <v>63.9</v>
      </c>
      <c r="N145" s="12">
        <v>47.6</v>
      </c>
      <c r="O145" s="12">
        <v>18.68</v>
      </c>
      <c r="P145" s="21">
        <v>40.566719999999997</v>
      </c>
    </row>
    <row r="146" spans="1:16" ht="20" customHeight="1">
      <c r="A146" s="8" t="s">
        <v>158</v>
      </c>
      <c r="B146" s="9">
        <v>1</v>
      </c>
      <c r="C146" s="10">
        <v>45</v>
      </c>
      <c r="D146" s="10">
        <v>46</v>
      </c>
      <c r="E146" s="10">
        <f t="shared" si="52"/>
        <v>3617647.1666666665</v>
      </c>
      <c r="F146" s="10">
        <f t="shared" si="53"/>
        <v>74455.833333333328</v>
      </c>
      <c r="G146" s="10">
        <f t="shared" si="54"/>
        <v>42742.916666666664</v>
      </c>
      <c r="H146" s="13">
        <v>4321.1666666666697</v>
      </c>
      <c r="I146" s="13">
        <v>364092.25</v>
      </c>
      <c r="J146" s="11"/>
      <c r="K146" s="13">
        <v>23541.583333333299</v>
      </c>
      <c r="L146" s="10">
        <v>77.3</v>
      </c>
      <c r="M146" s="12">
        <v>63.9</v>
      </c>
      <c r="N146" s="12">
        <v>47.6</v>
      </c>
      <c r="O146" s="12">
        <v>18.68</v>
      </c>
      <c r="P146" s="21">
        <v>36.813830000000003</v>
      </c>
    </row>
    <row r="147" spans="1:16" ht="20" customHeight="1">
      <c r="A147" s="8" t="s">
        <v>159</v>
      </c>
      <c r="B147" s="9">
        <v>1</v>
      </c>
      <c r="C147" s="10">
        <v>46</v>
      </c>
      <c r="D147" s="10">
        <v>47</v>
      </c>
      <c r="E147" s="10">
        <f t="shared" ref="E147:E158" si="55">46436679/12</f>
        <v>3869723.25</v>
      </c>
      <c r="F147" s="10">
        <f t="shared" ref="F147:F158" si="56">710878/12</f>
        <v>59239.833333333336</v>
      </c>
      <c r="G147" s="10">
        <f t="shared" ref="G147:G158" si="57">512439/12</f>
        <v>42703.25</v>
      </c>
      <c r="H147" s="10">
        <f t="shared" ref="H147:H158" si="58">39306/12</f>
        <v>3275.5</v>
      </c>
      <c r="I147" s="13">
        <v>369440.33333333302</v>
      </c>
      <c r="J147" s="11"/>
      <c r="K147" s="10">
        <f t="shared" ref="K147:K158" si="59">281200/12</f>
        <v>23433.333333333332</v>
      </c>
      <c r="L147" s="10">
        <v>79.099999999999994</v>
      </c>
      <c r="M147" s="10">
        <v>63.9</v>
      </c>
      <c r="N147" s="12">
        <v>48.8</v>
      </c>
      <c r="O147" s="12">
        <v>18.420000000000002</v>
      </c>
      <c r="P147" s="21">
        <v>31.207709999999999</v>
      </c>
    </row>
    <row r="148" spans="1:16" ht="20" customHeight="1">
      <c r="A148" s="8" t="s">
        <v>160</v>
      </c>
      <c r="B148" s="9">
        <v>1</v>
      </c>
      <c r="C148" s="10">
        <v>43</v>
      </c>
      <c r="D148" s="10">
        <v>44</v>
      </c>
      <c r="E148" s="10">
        <f t="shared" si="55"/>
        <v>3869723.25</v>
      </c>
      <c r="F148" s="10">
        <f t="shared" si="56"/>
        <v>59239.833333333336</v>
      </c>
      <c r="G148" s="10">
        <f t="shared" si="57"/>
        <v>42703.25</v>
      </c>
      <c r="H148" s="10">
        <f t="shared" si="58"/>
        <v>3275.5</v>
      </c>
      <c r="I148" s="13">
        <v>369440.33333333302</v>
      </c>
      <c r="J148" s="11"/>
      <c r="K148" s="10">
        <f t="shared" si="59"/>
        <v>23433.333333333332</v>
      </c>
      <c r="L148" s="10">
        <v>79.099999999999994</v>
      </c>
      <c r="M148" s="10">
        <v>63.9</v>
      </c>
      <c r="N148" s="12">
        <v>48.8</v>
      </c>
      <c r="O148" s="12">
        <v>18.420000000000002</v>
      </c>
      <c r="P148" s="21">
        <v>32.390079999999998</v>
      </c>
    </row>
    <row r="149" spans="1:16" ht="20" customHeight="1">
      <c r="A149" s="8" t="s">
        <v>161</v>
      </c>
      <c r="B149" s="9">
        <v>1</v>
      </c>
      <c r="C149" s="10">
        <v>41</v>
      </c>
      <c r="D149" s="10">
        <v>42</v>
      </c>
      <c r="E149" s="10">
        <f t="shared" si="55"/>
        <v>3869723.25</v>
      </c>
      <c r="F149" s="10">
        <f t="shared" si="56"/>
        <v>59239.833333333336</v>
      </c>
      <c r="G149" s="10">
        <f t="shared" si="57"/>
        <v>42703.25</v>
      </c>
      <c r="H149" s="10">
        <f t="shared" si="58"/>
        <v>3275.5</v>
      </c>
      <c r="I149" s="13">
        <v>369440.33333333302</v>
      </c>
      <c r="J149" s="11"/>
      <c r="K149" s="10">
        <f t="shared" si="59"/>
        <v>23433.333333333332</v>
      </c>
      <c r="L149" s="10">
        <v>79.099999999999994</v>
      </c>
      <c r="M149" s="10">
        <v>63.9</v>
      </c>
      <c r="N149" s="12">
        <v>48.8</v>
      </c>
      <c r="O149" s="12">
        <v>18.420000000000002</v>
      </c>
      <c r="P149" s="21">
        <v>35.322670000000002</v>
      </c>
    </row>
    <row r="150" spans="1:16" ht="20" customHeight="1">
      <c r="A150" s="8" t="s">
        <v>162</v>
      </c>
      <c r="B150" s="9">
        <v>1</v>
      </c>
      <c r="C150" s="10">
        <v>36</v>
      </c>
      <c r="D150" s="10">
        <v>37</v>
      </c>
      <c r="E150" s="10">
        <f t="shared" si="55"/>
        <v>3869723.25</v>
      </c>
      <c r="F150" s="10">
        <f t="shared" si="56"/>
        <v>59239.833333333336</v>
      </c>
      <c r="G150" s="10">
        <f t="shared" si="57"/>
        <v>42703.25</v>
      </c>
      <c r="H150" s="10">
        <f t="shared" si="58"/>
        <v>3275.5</v>
      </c>
      <c r="I150" s="13">
        <v>369440.33333333302</v>
      </c>
      <c r="J150" s="11"/>
      <c r="K150" s="10">
        <f t="shared" si="59"/>
        <v>23433.333333333332</v>
      </c>
      <c r="L150" s="10">
        <v>79.099999999999994</v>
      </c>
      <c r="M150" s="10">
        <v>63.9</v>
      </c>
      <c r="N150" s="12">
        <v>48.8</v>
      </c>
      <c r="O150" s="12">
        <v>18.420000000000002</v>
      </c>
      <c r="P150" s="21">
        <v>37.10727</v>
      </c>
    </row>
    <row r="151" spans="1:16" ht="20" customHeight="1">
      <c r="A151" s="8" t="s">
        <v>163</v>
      </c>
      <c r="B151" s="9">
        <v>1</v>
      </c>
      <c r="C151" s="10">
        <v>37</v>
      </c>
      <c r="D151" s="10">
        <v>38</v>
      </c>
      <c r="E151" s="10">
        <f t="shared" si="55"/>
        <v>3869723.25</v>
      </c>
      <c r="F151" s="10">
        <f t="shared" si="56"/>
        <v>59239.833333333336</v>
      </c>
      <c r="G151" s="10">
        <f t="shared" si="57"/>
        <v>42703.25</v>
      </c>
      <c r="H151" s="10">
        <f t="shared" si="58"/>
        <v>3275.5</v>
      </c>
      <c r="I151" s="13">
        <v>369440.33333333302</v>
      </c>
      <c r="J151" s="11"/>
      <c r="K151" s="10">
        <f t="shared" si="59"/>
        <v>23433.333333333332</v>
      </c>
      <c r="L151" s="10">
        <v>79.099999999999994</v>
      </c>
      <c r="M151" s="10">
        <v>63.9</v>
      </c>
      <c r="N151" s="12">
        <v>48.8</v>
      </c>
      <c r="O151" s="12">
        <v>18.420000000000002</v>
      </c>
      <c r="P151" s="21">
        <v>43.375979999999998</v>
      </c>
    </row>
    <row r="152" spans="1:16" ht="20" customHeight="1">
      <c r="A152" s="8" t="s">
        <v>164</v>
      </c>
      <c r="B152" s="9">
        <v>1</v>
      </c>
      <c r="C152" s="10">
        <v>43</v>
      </c>
      <c r="D152" s="10">
        <v>44</v>
      </c>
      <c r="E152" s="10">
        <f t="shared" si="55"/>
        <v>3869723.25</v>
      </c>
      <c r="F152" s="10">
        <f t="shared" si="56"/>
        <v>59239.833333333336</v>
      </c>
      <c r="G152" s="10">
        <f t="shared" si="57"/>
        <v>42703.25</v>
      </c>
      <c r="H152" s="10">
        <f t="shared" si="58"/>
        <v>3275.5</v>
      </c>
      <c r="I152" s="13">
        <v>369440.33333333302</v>
      </c>
      <c r="J152" s="11"/>
      <c r="K152" s="10">
        <f t="shared" si="59"/>
        <v>23433.333333333332</v>
      </c>
      <c r="L152" s="10">
        <v>79.099999999999994</v>
      </c>
      <c r="M152" s="10">
        <v>63.9</v>
      </c>
      <c r="N152" s="12">
        <v>48.8</v>
      </c>
      <c r="O152" s="12">
        <v>18.420000000000002</v>
      </c>
      <c r="P152" s="21">
        <v>36.09196</v>
      </c>
    </row>
    <row r="153" spans="1:16" ht="20" customHeight="1">
      <c r="A153" s="8" t="s">
        <v>165</v>
      </c>
      <c r="B153" s="9">
        <v>1</v>
      </c>
      <c r="C153" s="10">
        <v>47</v>
      </c>
      <c r="D153" s="10">
        <v>48</v>
      </c>
      <c r="E153" s="10">
        <f t="shared" si="55"/>
        <v>3869723.25</v>
      </c>
      <c r="F153" s="10">
        <f t="shared" si="56"/>
        <v>59239.833333333336</v>
      </c>
      <c r="G153" s="10">
        <f t="shared" si="57"/>
        <v>42703.25</v>
      </c>
      <c r="H153" s="10">
        <f t="shared" si="58"/>
        <v>3275.5</v>
      </c>
      <c r="I153" s="13">
        <v>369440.33333333302</v>
      </c>
      <c r="J153" s="11"/>
      <c r="K153" s="10">
        <f t="shared" si="59"/>
        <v>23433.333333333332</v>
      </c>
      <c r="L153" s="10">
        <v>79.099999999999994</v>
      </c>
      <c r="M153" s="10">
        <v>63.9</v>
      </c>
      <c r="N153" s="12">
        <v>48.8</v>
      </c>
      <c r="O153" s="12">
        <v>18.420000000000002</v>
      </c>
      <c r="P153" s="21">
        <v>40.719700000000003</v>
      </c>
    </row>
    <row r="154" spans="1:16" ht="20" customHeight="1">
      <c r="A154" s="8" t="s">
        <v>166</v>
      </c>
      <c r="B154" s="9">
        <v>1</v>
      </c>
      <c r="C154" s="10">
        <v>48</v>
      </c>
      <c r="D154" s="10">
        <v>49</v>
      </c>
      <c r="E154" s="10">
        <f t="shared" si="55"/>
        <v>3869723.25</v>
      </c>
      <c r="F154" s="10">
        <f t="shared" si="56"/>
        <v>59239.833333333336</v>
      </c>
      <c r="G154" s="10">
        <f t="shared" si="57"/>
        <v>42703.25</v>
      </c>
      <c r="H154" s="10">
        <f t="shared" si="58"/>
        <v>3275.5</v>
      </c>
      <c r="I154" s="13">
        <v>369440.33333333302</v>
      </c>
      <c r="J154" s="11"/>
      <c r="K154" s="10">
        <f t="shared" si="59"/>
        <v>23433.333333333332</v>
      </c>
      <c r="L154" s="10">
        <v>79.099999999999994</v>
      </c>
      <c r="M154" s="10">
        <v>63.9</v>
      </c>
      <c r="N154" s="12">
        <v>48.8</v>
      </c>
      <c r="O154" s="12">
        <v>18.420000000000002</v>
      </c>
      <c r="P154" s="21">
        <v>36.272759999999998</v>
      </c>
    </row>
    <row r="155" spans="1:16" ht="20" customHeight="1">
      <c r="A155" s="8" t="s">
        <v>167</v>
      </c>
      <c r="B155" s="9">
        <v>1</v>
      </c>
      <c r="C155" s="10">
        <v>42</v>
      </c>
      <c r="D155" s="10">
        <v>43</v>
      </c>
      <c r="E155" s="10">
        <f t="shared" si="55"/>
        <v>3869723.25</v>
      </c>
      <c r="F155" s="10">
        <f t="shared" si="56"/>
        <v>59239.833333333336</v>
      </c>
      <c r="G155" s="10">
        <f t="shared" si="57"/>
        <v>42703.25</v>
      </c>
      <c r="H155" s="10">
        <f t="shared" si="58"/>
        <v>3275.5</v>
      </c>
      <c r="I155" s="13">
        <v>369440.33333333302</v>
      </c>
      <c r="J155" s="11"/>
      <c r="K155" s="10">
        <f t="shared" si="59"/>
        <v>23433.333333333332</v>
      </c>
      <c r="L155" s="10">
        <v>79.099999999999994</v>
      </c>
      <c r="M155" s="10">
        <v>63.9</v>
      </c>
      <c r="N155" s="12">
        <v>48.8</v>
      </c>
      <c r="O155" s="12">
        <v>18.420000000000002</v>
      </c>
      <c r="P155" s="21">
        <v>36.48659</v>
      </c>
    </row>
    <row r="156" spans="1:16" ht="20" customHeight="1">
      <c r="A156" s="8" t="s">
        <v>168</v>
      </c>
      <c r="B156" s="9">
        <v>1</v>
      </c>
      <c r="C156" s="10">
        <v>44</v>
      </c>
      <c r="D156" s="10">
        <v>45</v>
      </c>
      <c r="E156" s="10">
        <f t="shared" si="55"/>
        <v>3869723.25</v>
      </c>
      <c r="F156" s="10">
        <f t="shared" si="56"/>
        <v>59239.833333333336</v>
      </c>
      <c r="G156" s="10">
        <f t="shared" si="57"/>
        <v>42703.25</v>
      </c>
      <c r="H156" s="10">
        <f t="shared" si="58"/>
        <v>3275.5</v>
      </c>
      <c r="I156" s="13">
        <v>369440.33333333302</v>
      </c>
      <c r="J156" s="11"/>
      <c r="K156" s="10">
        <f t="shared" si="59"/>
        <v>23433.333333333332</v>
      </c>
      <c r="L156" s="10">
        <v>79.099999999999994</v>
      </c>
      <c r="M156" s="10">
        <v>63.9</v>
      </c>
      <c r="N156" s="12">
        <v>48.8</v>
      </c>
      <c r="O156" s="12">
        <v>18.420000000000002</v>
      </c>
      <c r="P156" s="21">
        <v>33.702910000000003</v>
      </c>
    </row>
    <row r="157" spans="1:16" ht="20" customHeight="1">
      <c r="A157" s="8" t="s">
        <v>169</v>
      </c>
      <c r="B157" s="9">
        <v>1</v>
      </c>
      <c r="C157" s="10">
        <v>44</v>
      </c>
      <c r="D157" s="10">
        <v>45</v>
      </c>
      <c r="E157" s="10">
        <f t="shared" si="55"/>
        <v>3869723.25</v>
      </c>
      <c r="F157" s="10">
        <f t="shared" si="56"/>
        <v>59239.833333333336</v>
      </c>
      <c r="G157" s="10">
        <f t="shared" si="57"/>
        <v>42703.25</v>
      </c>
      <c r="H157" s="10">
        <f t="shared" si="58"/>
        <v>3275.5</v>
      </c>
      <c r="I157" s="13">
        <v>369440.33333333302</v>
      </c>
      <c r="J157" s="11"/>
      <c r="K157" s="10">
        <f t="shared" si="59"/>
        <v>23433.333333333332</v>
      </c>
      <c r="L157" s="10">
        <v>79.099999999999994</v>
      </c>
      <c r="M157" s="10">
        <v>63.9</v>
      </c>
      <c r="N157" s="12">
        <v>48.8</v>
      </c>
      <c r="O157" s="12">
        <v>18.420000000000002</v>
      </c>
      <c r="P157" s="21">
        <v>28.567440000000001</v>
      </c>
    </row>
    <row r="158" spans="1:16" ht="20" customHeight="1">
      <c r="A158" s="8" t="s">
        <v>170</v>
      </c>
      <c r="B158" s="9">
        <v>1</v>
      </c>
      <c r="C158" s="10">
        <v>45</v>
      </c>
      <c r="D158" s="10">
        <v>46</v>
      </c>
      <c r="E158" s="10">
        <f t="shared" si="55"/>
        <v>3869723.25</v>
      </c>
      <c r="F158" s="10">
        <f t="shared" si="56"/>
        <v>59239.833333333336</v>
      </c>
      <c r="G158" s="10">
        <f t="shared" si="57"/>
        <v>42703.25</v>
      </c>
      <c r="H158" s="10">
        <f t="shared" si="58"/>
        <v>3275.5</v>
      </c>
      <c r="I158" s="13">
        <v>369440.33333333302</v>
      </c>
      <c r="J158" s="11"/>
      <c r="K158" s="10">
        <f t="shared" si="59"/>
        <v>23433.333333333332</v>
      </c>
      <c r="L158" s="10">
        <v>79.099999999999994</v>
      </c>
      <c r="M158" s="10">
        <v>63.9</v>
      </c>
      <c r="N158" s="12">
        <v>48.8</v>
      </c>
      <c r="O158" s="12">
        <v>18.420000000000002</v>
      </c>
      <c r="P158" s="21">
        <v>28.019449999999999</v>
      </c>
    </row>
    <row r="159" spans="1:16" ht="20" customHeight="1">
      <c r="A159" s="8" t="s">
        <v>171</v>
      </c>
      <c r="B159" s="9">
        <v>2</v>
      </c>
      <c r="C159" s="10">
        <v>45</v>
      </c>
      <c r="D159" s="10">
        <v>47</v>
      </c>
      <c r="E159" s="10">
        <f t="shared" ref="E159:E170" si="60">43408651/12</f>
        <v>3617387.5833333335</v>
      </c>
      <c r="F159" s="13">
        <v>72392.5</v>
      </c>
      <c r="G159" s="10">
        <f t="shared" ref="G159:G170" si="61">557121/12</f>
        <v>46426.75</v>
      </c>
      <c r="H159" s="10">
        <f t="shared" ref="H159:H170" si="62">45123/12</f>
        <v>3760.25</v>
      </c>
      <c r="I159" s="10">
        <f t="shared" ref="I159:I170" si="63">4405757/12</f>
        <v>367146.41666666669</v>
      </c>
      <c r="J159" s="11"/>
      <c r="K159" s="10">
        <f t="shared" ref="K159:K170" si="64">336768/12</f>
        <v>28064</v>
      </c>
      <c r="L159" s="10">
        <v>73.8</v>
      </c>
      <c r="M159" s="10">
        <v>60.1</v>
      </c>
      <c r="N159" s="12">
        <v>46.4</v>
      </c>
      <c r="O159" s="12">
        <v>18.79</v>
      </c>
      <c r="P159" s="21">
        <v>32.864150000000002</v>
      </c>
    </row>
    <row r="160" spans="1:16" ht="20" customHeight="1">
      <c r="A160" s="8" t="s">
        <v>172</v>
      </c>
      <c r="B160" s="9">
        <v>1</v>
      </c>
      <c r="C160" s="10">
        <v>41</v>
      </c>
      <c r="D160" s="10">
        <v>42</v>
      </c>
      <c r="E160" s="10">
        <f t="shared" si="60"/>
        <v>3617387.5833333335</v>
      </c>
      <c r="F160" s="13">
        <v>72392.5</v>
      </c>
      <c r="G160" s="10">
        <f t="shared" si="61"/>
        <v>46426.75</v>
      </c>
      <c r="H160" s="10">
        <f t="shared" si="62"/>
        <v>3760.25</v>
      </c>
      <c r="I160" s="10">
        <f t="shared" si="63"/>
        <v>367146.41666666669</v>
      </c>
      <c r="J160" s="11"/>
      <c r="K160" s="10">
        <f t="shared" si="64"/>
        <v>28064</v>
      </c>
      <c r="L160" s="10">
        <v>73.8</v>
      </c>
      <c r="M160" s="10">
        <v>60.1</v>
      </c>
      <c r="N160" s="12">
        <v>46.4</v>
      </c>
      <c r="O160" s="12">
        <v>18.79</v>
      </c>
      <c r="P160" s="21">
        <v>25.342230000000001</v>
      </c>
    </row>
    <row r="161" spans="1:16" ht="20" customHeight="1">
      <c r="A161" s="8" t="s">
        <v>173</v>
      </c>
      <c r="B161" s="9">
        <v>1</v>
      </c>
      <c r="C161" s="10">
        <v>40</v>
      </c>
      <c r="D161" s="10">
        <v>41</v>
      </c>
      <c r="E161" s="10">
        <f t="shared" si="60"/>
        <v>3617387.5833333335</v>
      </c>
      <c r="F161" s="13">
        <v>72392.5</v>
      </c>
      <c r="G161" s="10">
        <f t="shared" si="61"/>
        <v>46426.75</v>
      </c>
      <c r="H161" s="10">
        <f t="shared" si="62"/>
        <v>3760.25</v>
      </c>
      <c r="I161" s="10">
        <f t="shared" si="63"/>
        <v>367146.41666666669</v>
      </c>
      <c r="J161" s="11"/>
      <c r="K161" s="10">
        <f t="shared" si="64"/>
        <v>28064</v>
      </c>
      <c r="L161" s="10">
        <v>73.8</v>
      </c>
      <c r="M161" s="10">
        <v>60.1</v>
      </c>
      <c r="N161" s="12">
        <v>46.4</v>
      </c>
      <c r="O161" s="12">
        <v>18.79</v>
      </c>
      <c r="P161" s="21">
        <v>28.369119999999999</v>
      </c>
    </row>
    <row r="162" spans="1:16" ht="20" customHeight="1">
      <c r="A162" s="8" t="s">
        <v>174</v>
      </c>
      <c r="B162" s="9">
        <v>1</v>
      </c>
      <c r="C162" s="10">
        <v>35</v>
      </c>
      <c r="D162" s="10">
        <v>36</v>
      </c>
      <c r="E162" s="10">
        <f t="shared" si="60"/>
        <v>3617387.5833333335</v>
      </c>
      <c r="F162" s="13">
        <v>72392.5</v>
      </c>
      <c r="G162" s="10">
        <f t="shared" si="61"/>
        <v>46426.75</v>
      </c>
      <c r="H162" s="10">
        <f t="shared" si="62"/>
        <v>3760.25</v>
      </c>
      <c r="I162" s="10">
        <f t="shared" si="63"/>
        <v>367146.41666666669</v>
      </c>
      <c r="J162" s="11"/>
      <c r="K162" s="10">
        <f t="shared" si="64"/>
        <v>28064</v>
      </c>
      <c r="L162" s="10">
        <v>73.8</v>
      </c>
      <c r="M162" s="10">
        <v>60.1</v>
      </c>
      <c r="N162" s="12">
        <v>46.4</v>
      </c>
      <c r="O162" s="12">
        <v>18.79</v>
      </c>
      <c r="P162" s="21">
        <v>42.997999999999998</v>
      </c>
    </row>
    <row r="163" spans="1:16" ht="20" customHeight="1">
      <c r="A163" s="8" t="s">
        <v>175</v>
      </c>
      <c r="B163" s="9">
        <v>1</v>
      </c>
      <c r="C163" s="10">
        <v>36</v>
      </c>
      <c r="D163" s="10">
        <v>37</v>
      </c>
      <c r="E163" s="10">
        <f t="shared" si="60"/>
        <v>3617387.5833333335</v>
      </c>
      <c r="F163" s="13">
        <v>72392.5</v>
      </c>
      <c r="G163" s="10">
        <f t="shared" si="61"/>
        <v>46426.75</v>
      </c>
      <c r="H163" s="10">
        <f t="shared" si="62"/>
        <v>3760.25</v>
      </c>
      <c r="I163" s="10">
        <f t="shared" si="63"/>
        <v>367146.41666666669</v>
      </c>
      <c r="J163" s="11"/>
      <c r="K163" s="10">
        <f t="shared" si="64"/>
        <v>28064</v>
      </c>
      <c r="L163" s="10">
        <v>73.8</v>
      </c>
      <c r="M163" s="10">
        <v>60.1</v>
      </c>
      <c r="N163" s="12">
        <v>46.4</v>
      </c>
      <c r="O163" s="12">
        <v>18.79</v>
      </c>
      <c r="P163" s="21">
        <v>41.44</v>
      </c>
    </row>
    <row r="164" spans="1:16" ht="20" customHeight="1">
      <c r="A164" s="8" t="s">
        <v>176</v>
      </c>
      <c r="B164" s="9">
        <v>1</v>
      </c>
      <c r="C164" s="10">
        <v>36</v>
      </c>
      <c r="D164" s="10">
        <v>37</v>
      </c>
      <c r="E164" s="10">
        <f t="shared" si="60"/>
        <v>3617387.5833333335</v>
      </c>
      <c r="F164" s="13">
        <v>72392.5</v>
      </c>
      <c r="G164" s="10">
        <f t="shared" si="61"/>
        <v>46426.75</v>
      </c>
      <c r="H164" s="10">
        <f t="shared" si="62"/>
        <v>3760.25</v>
      </c>
      <c r="I164" s="10">
        <f t="shared" si="63"/>
        <v>367146.41666666669</v>
      </c>
      <c r="J164" s="11"/>
      <c r="K164" s="10">
        <f t="shared" si="64"/>
        <v>28064</v>
      </c>
      <c r="L164" s="10">
        <v>73.8</v>
      </c>
      <c r="M164" s="10">
        <v>60.1</v>
      </c>
      <c r="N164" s="12">
        <v>46.4</v>
      </c>
      <c r="O164" s="12">
        <v>18.79</v>
      </c>
      <c r="P164" s="21">
        <v>40.104999999999997</v>
      </c>
    </row>
    <row r="165" spans="1:16" ht="20" customHeight="1">
      <c r="A165" s="8" t="s">
        <v>177</v>
      </c>
      <c r="B165" s="9">
        <v>1</v>
      </c>
      <c r="C165" s="10">
        <v>43</v>
      </c>
      <c r="D165" s="10">
        <v>44</v>
      </c>
      <c r="E165" s="10">
        <f t="shared" si="60"/>
        <v>3617387.5833333335</v>
      </c>
      <c r="F165" s="13">
        <v>72392.5</v>
      </c>
      <c r="G165" s="10">
        <f t="shared" si="61"/>
        <v>46426.75</v>
      </c>
      <c r="H165" s="10">
        <f t="shared" si="62"/>
        <v>3760.25</v>
      </c>
      <c r="I165" s="10">
        <f t="shared" si="63"/>
        <v>367146.41666666669</v>
      </c>
      <c r="J165" s="11"/>
      <c r="K165" s="10">
        <f t="shared" si="64"/>
        <v>28064</v>
      </c>
      <c r="L165" s="10">
        <v>73.8</v>
      </c>
      <c r="M165" s="10">
        <v>60.1</v>
      </c>
      <c r="N165" s="12">
        <v>46.4</v>
      </c>
      <c r="O165" s="12">
        <v>18.79</v>
      </c>
      <c r="P165" s="21">
        <v>39.895809999999997</v>
      </c>
    </row>
    <row r="166" spans="1:16" ht="20" customHeight="1">
      <c r="A166" s="8" t="s">
        <v>178</v>
      </c>
      <c r="B166" s="9">
        <v>1</v>
      </c>
      <c r="C166" s="10">
        <v>45</v>
      </c>
      <c r="D166" s="10">
        <v>46</v>
      </c>
      <c r="E166" s="10">
        <f t="shared" si="60"/>
        <v>3617387.5833333335</v>
      </c>
      <c r="F166" s="13">
        <v>72392.5</v>
      </c>
      <c r="G166" s="10">
        <f t="shared" si="61"/>
        <v>46426.75</v>
      </c>
      <c r="H166" s="10">
        <f t="shared" si="62"/>
        <v>3760.25</v>
      </c>
      <c r="I166" s="10">
        <f t="shared" si="63"/>
        <v>367146.41666666669</v>
      </c>
      <c r="J166" s="11"/>
      <c r="K166" s="10">
        <f t="shared" si="64"/>
        <v>28064</v>
      </c>
      <c r="L166" s="10">
        <v>73.8</v>
      </c>
      <c r="M166" s="10">
        <v>60.1</v>
      </c>
      <c r="N166" s="12">
        <v>46.4</v>
      </c>
      <c r="O166" s="12">
        <v>18.79</v>
      </c>
      <c r="P166" s="21">
        <v>39.966940000000001</v>
      </c>
    </row>
    <row r="167" spans="1:16" ht="20" customHeight="1">
      <c r="A167" s="8" t="s">
        <v>179</v>
      </c>
      <c r="B167" s="9">
        <v>1</v>
      </c>
      <c r="C167" s="10">
        <v>39</v>
      </c>
      <c r="D167" s="10">
        <v>40</v>
      </c>
      <c r="E167" s="10">
        <f t="shared" si="60"/>
        <v>3617387.5833333335</v>
      </c>
      <c r="F167" s="13">
        <v>72392.5</v>
      </c>
      <c r="G167" s="10">
        <f t="shared" si="61"/>
        <v>46426.75</v>
      </c>
      <c r="H167" s="10">
        <f t="shared" si="62"/>
        <v>3760.25</v>
      </c>
      <c r="I167" s="10">
        <f t="shared" si="63"/>
        <v>367146.41666666669</v>
      </c>
      <c r="J167" s="11"/>
      <c r="K167" s="10">
        <f t="shared" si="64"/>
        <v>28064</v>
      </c>
      <c r="L167" s="10">
        <v>73.8</v>
      </c>
      <c r="M167" s="10">
        <v>60.1</v>
      </c>
      <c r="N167" s="12">
        <v>46.4</v>
      </c>
      <c r="O167" s="12">
        <v>18.79</v>
      </c>
      <c r="P167" s="21">
        <v>42.543709999999997</v>
      </c>
    </row>
    <row r="168" spans="1:16" ht="20" customHeight="1">
      <c r="A168" s="8" t="s">
        <v>180</v>
      </c>
      <c r="B168" s="9">
        <v>1</v>
      </c>
      <c r="C168" s="10">
        <v>40</v>
      </c>
      <c r="D168" s="10">
        <v>41</v>
      </c>
      <c r="E168" s="10">
        <f t="shared" si="60"/>
        <v>3617387.5833333335</v>
      </c>
      <c r="F168" s="13">
        <v>72392.5</v>
      </c>
      <c r="G168" s="10">
        <f t="shared" si="61"/>
        <v>46426.75</v>
      </c>
      <c r="H168" s="10">
        <f t="shared" si="62"/>
        <v>3760.25</v>
      </c>
      <c r="I168" s="10">
        <f t="shared" si="63"/>
        <v>367146.41666666669</v>
      </c>
      <c r="J168" s="11"/>
      <c r="K168" s="10">
        <f t="shared" si="64"/>
        <v>28064</v>
      </c>
      <c r="L168" s="10">
        <v>73.8</v>
      </c>
      <c r="M168" s="10">
        <v>60.1</v>
      </c>
      <c r="N168" s="12">
        <v>46.4</v>
      </c>
      <c r="O168" s="12">
        <v>18.79</v>
      </c>
      <c r="P168" s="21">
        <v>37.263550000000002</v>
      </c>
    </row>
    <row r="169" spans="1:16" ht="20" customHeight="1">
      <c r="A169" s="8" t="s">
        <v>181</v>
      </c>
      <c r="B169" s="9">
        <v>1</v>
      </c>
      <c r="C169" s="10">
        <v>39</v>
      </c>
      <c r="D169" s="10">
        <v>40</v>
      </c>
      <c r="E169" s="10">
        <f t="shared" si="60"/>
        <v>3617387.5833333335</v>
      </c>
      <c r="F169" s="13">
        <v>72392.5</v>
      </c>
      <c r="G169" s="10">
        <f t="shared" si="61"/>
        <v>46426.75</v>
      </c>
      <c r="H169" s="10">
        <f t="shared" si="62"/>
        <v>3760.25</v>
      </c>
      <c r="I169" s="10">
        <f t="shared" si="63"/>
        <v>367146.41666666669</v>
      </c>
      <c r="J169" s="11"/>
      <c r="K169" s="10">
        <f t="shared" si="64"/>
        <v>28064</v>
      </c>
      <c r="L169" s="10">
        <v>73.8</v>
      </c>
      <c r="M169" s="10">
        <v>60.1</v>
      </c>
      <c r="N169" s="12">
        <v>46.4</v>
      </c>
      <c r="O169" s="12">
        <v>18.79</v>
      </c>
      <c r="P169" s="21">
        <v>41.065069999999999</v>
      </c>
    </row>
    <row r="170" spans="1:16" ht="20" customHeight="1">
      <c r="A170" s="8" t="s">
        <v>182</v>
      </c>
      <c r="B170" s="9">
        <v>1</v>
      </c>
      <c r="C170" s="10">
        <v>43</v>
      </c>
      <c r="D170" s="10">
        <v>44</v>
      </c>
      <c r="E170" s="10">
        <f t="shared" si="60"/>
        <v>3617387.5833333335</v>
      </c>
      <c r="F170" s="13">
        <v>72392.5</v>
      </c>
      <c r="G170" s="10">
        <f t="shared" si="61"/>
        <v>46426.75</v>
      </c>
      <c r="H170" s="10">
        <f t="shared" si="62"/>
        <v>3760.25</v>
      </c>
      <c r="I170" s="10">
        <f t="shared" si="63"/>
        <v>367146.41666666669</v>
      </c>
      <c r="J170" s="11"/>
      <c r="K170" s="10">
        <f t="shared" si="64"/>
        <v>28064</v>
      </c>
      <c r="L170" s="10">
        <v>73.8</v>
      </c>
      <c r="M170" s="10">
        <v>60.1</v>
      </c>
      <c r="N170" s="12">
        <v>46.4</v>
      </c>
      <c r="O170" s="12">
        <v>18.79</v>
      </c>
      <c r="P170" s="21">
        <v>38.697000000000003</v>
      </c>
    </row>
    <row r="171" spans="1:16" ht="20" customHeight="1">
      <c r="A171" s="8" t="s">
        <v>183</v>
      </c>
      <c r="B171" s="9">
        <v>1</v>
      </c>
      <c r="C171" s="10">
        <v>43</v>
      </c>
      <c r="D171" s="10">
        <v>44</v>
      </c>
      <c r="E171" s="10">
        <f t="shared" ref="E171:E182" si="65">41937449/12</f>
        <v>3494787.4166666665</v>
      </c>
      <c r="F171" s="10">
        <f t="shared" ref="F171:F182" si="66">139473/12</f>
        <v>11622.75</v>
      </c>
      <c r="G171" s="10">
        <f t="shared" ref="G171:G182" si="67">858353/12</f>
        <v>71529.416666666672</v>
      </c>
      <c r="H171" s="10">
        <f t="shared" ref="H171:H182" si="68">44898/12</f>
        <v>3741.5</v>
      </c>
      <c r="I171" s="10">
        <f t="shared" ref="I171:I182" si="69">3756708/12</f>
        <v>313059</v>
      </c>
      <c r="J171" s="11"/>
      <c r="K171" s="10">
        <f t="shared" ref="K171:K182" si="70">405386/12</f>
        <v>33782.166666666664</v>
      </c>
      <c r="L171" s="10">
        <v>77.7</v>
      </c>
      <c r="M171" s="10">
        <v>62.2</v>
      </c>
      <c r="N171" s="12">
        <v>46.8</v>
      </c>
      <c r="O171" s="12">
        <v>14.88</v>
      </c>
      <c r="P171" s="21">
        <v>38.708039999999997</v>
      </c>
    </row>
    <row r="172" spans="1:16" ht="20" customHeight="1">
      <c r="A172" s="8" t="s">
        <v>184</v>
      </c>
      <c r="B172" s="9">
        <v>1</v>
      </c>
      <c r="C172" s="10">
        <v>37</v>
      </c>
      <c r="D172" s="10">
        <v>38</v>
      </c>
      <c r="E172" s="10">
        <f t="shared" si="65"/>
        <v>3494787.4166666665</v>
      </c>
      <c r="F172" s="10">
        <f t="shared" si="66"/>
        <v>11622.75</v>
      </c>
      <c r="G172" s="10">
        <f t="shared" si="67"/>
        <v>71529.416666666672</v>
      </c>
      <c r="H172" s="10">
        <f t="shared" si="68"/>
        <v>3741.5</v>
      </c>
      <c r="I172" s="10">
        <f t="shared" si="69"/>
        <v>313059</v>
      </c>
      <c r="J172" s="11"/>
      <c r="K172" s="10">
        <f t="shared" si="70"/>
        <v>33782.166666666664</v>
      </c>
      <c r="L172" s="10">
        <v>77.7</v>
      </c>
      <c r="M172" s="10">
        <v>62.2</v>
      </c>
      <c r="N172" s="12">
        <v>46.8</v>
      </c>
      <c r="O172" s="12">
        <v>14.88</v>
      </c>
      <c r="P172" s="21">
        <v>37.50665</v>
      </c>
    </row>
    <row r="173" spans="1:16" ht="20" customHeight="1">
      <c r="A173" s="8" t="s">
        <v>185</v>
      </c>
      <c r="B173" s="9">
        <v>1</v>
      </c>
      <c r="C173" s="10">
        <v>41</v>
      </c>
      <c r="D173" s="10">
        <v>42</v>
      </c>
      <c r="E173" s="10">
        <f t="shared" si="65"/>
        <v>3494787.4166666665</v>
      </c>
      <c r="F173" s="10">
        <f t="shared" si="66"/>
        <v>11622.75</v>
      </c>
      <c r="G173" s="10">
        <f t="shared" si="67"/>
        <v>71529.416666666672</v>
      </c>
      <c r="H173" s="10">
        <f t="shared" si="68"/>
        <v>3741.5</v>
      </c>
      <c r="I173" s="10">
        <f t="shared" si="69"/>
        <v>313059</v>
      </c>
      <c r="J173" s="11"/>
      <c r="K173" s="10">
        <f t="shared" si="70"/>
        <v>33782.166666666664</v>
      </c>
      <c r="L173" s="10">
        <v>77.7</v>
      </c>
      <c r="M173" s="10">
        <v>62.2</v>
      </c>
      <c r="N173" s="12">
        <v>46.8</v>
      </c>
      <c r="O173" s="12">
        <v>14.88</v>
      </c>
      <c r="P173" s="21">
        <v>36.812609999999999</v>
      </c>
    </row>
    <row r="174" spans="1:16" ht="20" customHeight="1">
      <c r="A174" s="8" t="s">
        <v>186</v>
      </c>
      <c r="B174" s="9">
        <v>1</v>
      </c>
      <c r="C174" s="10">
        <v>37</v>
      </c>
      <c r="D174" s="10">
        <v>38</v>
      </c>
      <c r="E174" s="10">
        <f t="shared" si="65"/>
        <v>3494787.4166666665</v>
      </c>
      <c r="F174" s="10">
        <f t="shared" si="66"/>
        <v>11622.75</v>
      </c>
      <c r="G174" s="10">
        <f t="shared" si="67"/>
        <v>71529.416666666672</v>
      </c>
      <c r="H174" s="10">
        <f t="shared" si="68"/>
        <v>3741.5</v>
      </c>
      <c r="I174" s="10">
        <f t="shared" si="69"/>
        <v>313059</v>
      </c>
      <c r="J174" s="11"/>
      <c r="K174" s="10">
        <f t="shared" si="70"/>
        <v>33782.166666666664</v>
      </c>
      <c r="L174" s="10">
        <v>77.7</v>
      </c>
      <c r="M174" s="10">
        <v>62.2</v>
      </c>
      <c r="N174" s="12">
        <v>46.8</v>
      </c>
      <c r="O174" s="12">
        <v>14.88</v>
      </c>
      <c r="P174" s="21">
        <v>41.219520000000003</v>
      </c>
    </row>
    <row r="175" spans="1:16" ht="20" customHeight="1">
      <c r="A175" s="8" t="s">
        <v>187</v>
      </c>
      <c r="B175" s="9">
        <v>1</v>
      </c>
      <c r="C175" s="10">
        <v>36</v>
      </c>
      <c r="D175" s="10">
        <v>37</v>
      </c>
      <c r="E175" s="10">
        <f t="shared" si="65"/>
        <v>3494787.4166666665</v>
      </c>
      <c r="F175" s="10">
        <f t="shared" si="66"/>
        <v>11622.75</v>
      </c>
      <c r="G175" s="10">
        <f t="shared" si="67"/>
        <v>71529.416666666672</v>
      </c>
      <c r="H175" s="10">
        <f t="shared" si="68"/>
        <v>3741.5</v>
      </c>
      <c r="I175" s="10">
        <f t="shared" si="69"/>
        <v>313059</v>
      </c>
      <c r="J175" s="11"/>
      <c r="K175" s="10">
        <f t="shared" si="70"/>
        <v>33782.166666666664</v>
      </c>
      <c r="L175" s="10">
        <v>77.7</v>
      </c>
      <c r="M175" s="10">
        <v>62.2</v>
      </c>
      <c r="N175" s="12">
        <v>46.8</v>
      </c>
      <c r="O175" s="12">
        <v>14.88</v>
      </c>
      <c r="P175" s="21">
        <v>40.262720000000002</v>
      </c>
    </row>
    <row r="176" spans="1:16" ht="20" customHeight="1">
      <c r="A176" s="8" t="s">
        <v>188</v>
      </c>
      <c r="B176" s="9">
        <v>1</v>
      </c>
      <c r="C176" s="10">
        <v>41</v>
      </c>
      <c r="D176" s="10">
        <v>42</v>
      </c>
      <c r="E176" s="10">
        <f t="shared" si="65"/>
        <v>3494787.4166666665</v>
      </c>
      <c r="F176" s="10">
        <f t="shared" si="66"/>
        <v>11622.75</v>
      </c>
      <c r="G176" s="10">
        <f t="shared" si="67"/>
        <v>71529.416666666672</v>
      </c>
      <c r="H176" s="10">
        <f t="shared" si="68"/>
        <v>3741.5</v>
      </c>
      <c r="I176" s="10">
        <f t="shared" si="69"/>
        <v>313059</v>
      </c>
      <c r="J176" s="11"/>
      <c r="K176" s="10">
        <f t="shared" si="70"/>
        <v>33782.166666666664</v>
      </c>
      <c r="L176" s="10">
        <v>77.7</v>
      </c>
      <c r="M176" s="10">
        <v>62.2</v>
      </c>
      <c r="N176" s="12">
        <v>46.8</v>
      </c>
      <c r="O176" s="12">
        <v>14.88</v>
      </c>
      <c r="P176" s="21">
        <v>41.308280000000003</v>
      </c>
    </row>
    <row r="177" spans="1:16" ht="20" customHeight="1">
      <c r="A177" s="8" t="s">
        <v>189</v>
      </c>
      <c r="B177" s="9">
        <v>1</v>
      </c>
      <c r="C177" s="10">
        <v>44</v>
      </c>
      <c r="D177" s="10">
        <v>45</v>
      </c>
      <c r="E177" s="10">
        <f t="shared" si="65"/>
        <v>3494787.4166666665</v>
      </c>
      <c r="F177" s="10">
        <f t="shared" si="66"/>
        <v>11622.75</v>
      </c>
      <c r="G177" s="10">
        <f t="shared" si="67"/>
        <v>71529.416666666672</v>
      </c>
      <c r="H177" s="10">
        <f t="shared" si="68"/>
        <v>3741.5</v>
      </c>
      <c r="I177" s="10">
        <f t="shared" si="69"/>
        <v>313059</v>
      </c>
      <c r="J177" s="11"/>
      <c r="K177" s="10">
        <f t="shared" si="70"/>
        <v>33782.166666666664</v>
      </c>
      <c r="L177" s="10">
        <v>77.7</v>
      </c>
      <c r="M177" s="10">
        <v>62.2</v>
      </c>
      <c r="N177" s="12">
        <v>46.8</v>
      </c>
      <c r="O177" s="12">
        <v>14.88</v>
      </c>
      <c r="P177" s="21">
        <v>32.208019999999998</v>
      </c>
    </row>
    <row r="178" spans="1:16" ht="20" customHeight="1">
      <c r="A178" s="8" t="s">
        <v>190</v>
      </c>
      <c r="B178" s="9">
        <v>1</v>
      </c>
      <c r="C178" s="10">
        <v>46</v>
      </c>
      <c r="D178" s="10">
        <v>47</v>
      </c>
      <c r="E178" s="10">
        <f t="shared" si="65"/>
        <v>3494787.4166666665</v>
      </c>
      <c r="F178" s="10">
        <f t="shared" si="66"/>
        <v>11622.75</v>
      </c>
      <c r="G178" s="10">
        <f t="shared" si="67"/>
        <v>71529.416666666672</v>
      </c>
      <c r="H178" s="10">
        <f t="shared" si="68"/>
        <v>3741.5</v>
      </c>
      <c r="I178" s="10">
        <f t="shared" si="69"/>
        <v>313059</v>
      </c>
      <c r="J178" s="11"/>
      <c r="K178" s="10">
        <f t="shared" si="70"/>
        <v>33782.166666666664</v>
      </c>
      <c r="L178" s="10">
        <v>77.7</v>
      </c>
      <c r="M178" s="10">
        <v>62.2</v>
      </c>
      <c r="N178" s="12">
        <v>46.8</v>
      </c>
      <c r="O178" s="12">
        <v>14.88</v>
      </c>
      <c r="P178" s="21">
        <v>34.183610000000002</v>
      </c>
    </row>
    <row r="179" spans="1:16" ht="20" customHeight="1">
      <c r="A179" s="8" t="s">
        <v>191</v>
      </c>
      <c r="B179" s="9">
        <v>1</v>
      </c>
      <c r="C179" s="10">
        <v>38</v>
      </c>
      <c r="D179" s="10">
        <v>39</v>
      </c>
      <c r="E179" s="10">
        <f t="shared" si="65"/>
        <v>3494787.4166666665</v>
      </c>
      <c r="F179" s="10">
        <f t="shared" si="66"/>
        <v>11622.75</v>
      </c>
      <c r="G179" s="10">
        <f t="shared" si="67"/>
        <v>71529.416666666672</v>
      </c>
      <c r="H179" s="10">
        <f t="shared" si="68"/>
        <v>3741.5</v>
      </c>
      <c r="I179" s="10">
        <f t="shared" si="69"/>
        <v>313059</v>
      </c>
      <c r="J179" s="11"/>
      <c r="K179" s="10">
        <f t="shared" si="70"/>
        <v>33782.166666666664</v>
      </c>
      <c r="L179" s="10">
        <v>77.7</v>
      </c>
      <c r="M179" s="10">
        <v>62.2</v>
      </c>
      <c r="N179" s="12">
        <v>46.8</v>
      </c>
      <c r="O179" s="12">
        <v>14.88</v>
      </c>
      <c r="P179" s="21">
        <v>36.543559999999999</v>
      </c>
    </row>
    <row r="180" spans="1:16" ht="20" customHeight="1">
      <c r="A180" s="8" t="s">
        <v>192</v>
      </c>
      <c r="B180" s="9">
        <v>1</v>
      </c>
      <c r="C180" s="10">
        <v>39</v>
      </c>
      <c r="D180" s="10">
        <v>40</v>
      </c>
      <c r="E180" s="10">
        <f t="shared" si="65"/>
        <v>3494787.4166666665</v>
      </c>
      <c r="F180" s="10">
        <f t="shared" si="66"/>
        <v>11622.75</v>
      </c>
      <c r="G180" s="10">
        <f t="shared" si="67"/>
        <v>71529.416666666672</v>
      </c>
      <c r="H180" s="10">
        <f t="shared" si="68"/>
        <v>3741.5</v>
      </c>
      <c r="I180" s="10">
        <f t="shared" si="69"/>
        <v>313059</v>
      </c>
      <c r="J180" s="11"/>
      <c r="K180" s="10">
        <f t="shared" si="70"/>
        <v>33782.166666666664</v>
      </c>
      <c r="L180" s="10">
        <v>77.7</v>
      </c>
      <c r="M180" s="10">
        <v>62.2</v>
      </c>
      <c r="N180" s="12">
        <v>46.8</v>
      </c>
      <c r="O180" s="12">
        <v>14.88</v>
      </c>
      <c r="P180" s="21">
        <v>33.445120000000003</v>
      </c>
    </row>
    <row r="181" spans="1:16" ht="20" customHeight="1">
      <c r="A181" s="8" t="s">
        <v>193</v>
      </c>
      <c r="B181" s="9">
        <v>1</v>
      </c>
      <c r="C181" s="10">
        <v>39</v>
      </c>
      <c r="D181" s="10">
        <v>40</v>
      </c>
      <c r="E181" s="10">
        <f t="shared" si="65"/>
        <v>3494787.4166666665</v>
      </c>
      <c r="F181" s="10">
        <f t="shared" si="66"/>
        <v>11622.75</v>
      </c>
      <c r="G181" s="10">
        <f t="shared" si="67"/>
        <v>71529.416666666672</v>
      </c>
      <c r="H181" s="10">
        <f t="shared" si="68"/>
        <v>3741.5</v>
      </c>
      <c r="I181" s="10">
        <f t="shared" si="69"/>
        <v>313059</v>
      </c>
      <c r="J181" s="11"/>
      <c r="K181" s="10">
        <f t="shared" si="70"/>
        <v>33782.166666666664</v>
      </c>
      <c r="L181" s="10">
        <v>77.7</v>
      </c>
      <c r="M181" s="10">
        <v>62.2</v>
      </c>
      <c r="N181" s="12">
        <v>46.8</v>
      </c>
      <c r="O181" s="12">
        <v>14.88</v>
      </c>
      <c r="P181" s="21">
        <v>31.73659</v>
      </c>
    </row>
    <row r="182" spans="1:16" ht="20" customHeight="1">
      <c r="A182" s="8" t="s">
        <v>194</v>
      </c>
      <c r="B182" s="9">
        <v>1</v>
      </c>
      <c r="C182" s="10">
        <v>40</v>
      </c>
      <c r="D182" s="10">
        <v>41</v>
      </c>
      <c r="E182" s="10">
        <f t="shared" si="65"/>
        <v>3494787.4166666665</v>
      </c>
      <c r="F182" s="10">
        <f t="shared" si="66"/>
        <v>11622.75</v>
      </c>
      <c r="G182" s="10">
        <f t="shared" si="67"/>
        <v>71529.416666666672</v>
      </c>
      <c r="H182" s="10">
        <f t="shared" si="68"/>
        <v>3741.5</v>
      </c>
      <c r="I182" s="10">
        <f t="shared" si="69"/>
        <v>313059</v>
      </c>
      <c r="J182" s="11"/>
      <c r="K182" s="10">
        <f t="shared" si="70"/>
        <v>33782.166666666664</v>
      </c>
      <c r="L182" s="10">
        <v>77.7</v>
      </c>
      <c r="M182" s="10">
        <v>62.2</v>
      </c>
      <c r="N182" s="12">
        <v>46.8</v>
      </c>
      <c r="O182" s="12">
        <v>14.88</v>
      </c>
      <c r="P182" s="21">
        <v>30.58671</v>
      </c>
    </row>
    <row r="183" spans="1:16" ht="20" customHeight="1">
      <c r="A183" s="8" t="s">
        <v>195</v>
      </c>
      <c r="B183" s="9">
        <v>1</v>
      </c>
      <c r="C183" s="10">
        <v>43</v>
      </c>
      <c r="D183" s="10">
        <v>44</v>
      </c>
      <c r="E183" s="10">
        <f t="shared" ref="E183:E194" si="71">40026874/12</f>
        <v>3335572.8333333335</v>
      </c>
      <c r="F183" s="10">
        <f t="shared" ref="F183:F194" si="72">184613/12</f>
        <v>15384.416666666666</v>
      </c>
      <c r="G183" s="10">
        <f t="shared" ref="G183:G194" si="73">963904/12</f>
        <v>80325.333333333328</v>
      </c>
      <c r="H183" s="10">
        <f t="shared" ref="H183:H194" si="74">55636/12</f>
        <v>4636.333333333333</v>
      </c>
      <c r="I183" s="10">
        <f t="shared" ref="I183:I194" si="75">4389338/12</f>
        <v>365778.16666666669</v>
      </c>
      <c r="J183" s="11"/>
      <c r="K183" s="10">
        <f t="shared" ref="K183:K194" si="76">358138/12</f>
        <v>29844.833333333332</v>
      </c>
      <c r="L183" s="10">
        <v>76.099999999999994</v>
      </c>
      <c r="M183" s="12">
        <v>60.6</v>
      </c>
      <c r="N183" s="12">
        <v>45.2</v>
      </c>
      <c r="O183" s="12">
        <v>13.28</v>
      </c>
      <c r="P183" s="21">
        <v>29.30246</v>
      </c>
    </row>
    <row r="184" spans="1:16" ht="20" customHeight="1">
      <c r="A184" s="8" t="s">
        <v>196</v>
      </c>
      <c r="B184" s="9">
        <v>1</v>
      </c>
      <c r="C184" s="10">
        <v>37</v>
      </c>
      <c r="D184" s="10">
        <v>38</v>
      </c>
      <c r="E184" s="10">
        <f t="shared" si="71"/>
        <v>3335572.8333333335</v>
      </c>
      <c r="F184" s="10">
        <f t="shared" si="72"/>
        <v>15384.416666666666</v>
      </c>
      <c r="G184" s="10">
        <f t="shared" si="73"/>
        <v>80325.333333333328</v>
      </c>
      <c r="H184" s="10">
        <f t="shared" si="74"/>
        <v>4636.333333333333</v>
      </c>
      <c r="I184" s="10">
        <f t="shared" si="75"/>
        <v>365778.16666666669</v>
      </c>
      <c r="J184" s="11"/>
      <c r="K184" s="10">
        <f t="shared" si="76"/>
        <v>29844.833333333332</v>
      </c>
      <c r="L184" s="10">
        <v>76.099999999999994</v>
      </c>
      <c r="M184" s="12">
        <v>60.6</v>
      </c>
      <c r="N184" s="12">
        <v>45.2</v>
      </c>
      <c r="O184" s="12">
        <v>13.28</v>
      </c>
      <c r="P184" s="21">
        <v>25.37086</v>
      </c>
    </row>
    <row r="185" spans="1:16" ht="20" customHeight="1">
      <c r="A185" s="8" t="s">
        <v>197</v>
      </c>
      <c r="B185" s="9">
        <v>1</v>
      </c>
      <c r="C185" s="10">
        <v>32</v>
      </c>
      <c r="D185" s="10">
        <v>33</v>
      </c>
      <c r="E185" s="10">
        <f t="shared" si="71"/>
        <v>3335572.8333333335</v>
      </c>
      <c r="F185" s="10">
        <f t="shared" si="72"/>
        <v>15384.416666666666</v>
      </c>
      <c r="G185" s="10">
        <f t="shared" si="73"/>
        <v>80325.333333333328</v>
      </c>
      <c r="H185" s="10">
        <f t="shared" si="74"/>
        <v>4636.333333333333</v>
      </c>
      <c r="I185" s="10">
        <f t="shared" si="75"/>
        <v>365778.16666666669</v>
      </c>
      <c r="J185" s="11"/>
      <c r="K185" s="10">
        <f t="shared" si="76"/>
        <v>29844.833333333332</v>
      </c>
      <c r="L185" s="10">
        <v>76.099999999999994</v>
      </c>
      <c r="M185" s="12">
        <v>60.6</v>
      </c>
      <c r="N185" s="12">
        <v>45.2</v>
      </c>
      <c r="O185" s="12">
        <v>13.28</v>
      </c>
      <c r="P185" s="21">
        <v>36.009</v>
      </c>
    </row>
    <row r="186" spans="1:16" ht="20" customHeight="1">
      <c r="A186" s="8" t="s">
        <v>198</v>
      </c>
      <c r="B186" s="9">
        <v>1</v>
      </c>
      <c r="C186" s="10">
        <v>27</v>
      </c>
      <c r="D186" s="10">
        <v>28</v>
      </c>
      <c r="E186" s="10">
        <f t="shared" si="71"/>
        <v>3335572.8333333335</v>
      </c>
      <c r="F186" s="10">
        <f t="shared" si="72"/>
        <v>15384.416666666666</v>
      </c>
      <c r="G186" s="10">
        <f t="shared" si="73"/>
        <v>80325.333333333328</v>
      </c>
      <c r="H186" s="10">
        <f t="shared" si="74"/>
        <v>4636.333333333333</v>
      </c>
      <c r="I186" s="10">
        <f t="shared" si="75"/>
        <v>365778.16666666669</v>
      </c>
      <c r="J186" s="11"/>
      <c r="K186" s="10">
        <f t="shared" si="76"/>
        <v>29844.833333333332</v>
      </c>
      <c r="L186" s="10">
        <v>76.099999999999994</v>
      </c>
      <c r="M186" s="12">
        <v>60.6</v>
      </c>
      <c r="N186" s="12">
        <v>45.2</v>
      </c>
      <c r="O186" s="12">
        <v>13.28</v>
      </c>
      <c r="P186" s="21">
        <v>34.871000000000002</v>
      </c>
    </row>
    <row r="187" spans="1:16" ht="20" customHeight="1">
      <c r="A187" s="8" t="s">
        <v>199</v>
      </c>
      <c r="B187" s="9">
        <v>2</v>
      </c>
      <c r="C187" s="10">
        <v>28</v>
      </c>
      <c r="D187" s="10">
        <v>30</v>
      </c>
      <c r="E187" s="10">
        <f t="shared" si="71"/>
        <v>3335572.8333333335</v>
      </c>
      <c r="F187" s="10">
        <f t="shared" si="72"/>
        <v>15384.416666666666</v>
      </c>
      <c r="G187" s="10">
        <f t="shared" si="73"/>
        <v>80325.333333333328</v>
      </c>
      <c r="H187" s="10">
        <f t="shared" si="74"/>
        <v>4636.333333333333</v>
      </c>
      <c r="I187" s="10">
        <f t="shared" si="75"/>
        <v>365778.16666666669</v>
      </c>
      <c r="J187" s="11"/>
      <c r="K187" s="10">
        <f t="shared" si="76"/>
        <v>29844.833333333332</v>
      </c>
      <c r="L187" s="10">
        <v>76.099999999999994</v>
      </c>
      <c r="M187" s="12">
        <v>60.6</v>
      </c>
      <c r="N187" s="12">
        <v>45.2</v>
      </c>
      <c r="O187" s="12">
        <v>13.28</v>
      </c>
      <c r="P187" s="21">
        <v>33.899000000000001</v>
      </c>
    </row>
    <row r="188" spans="1:16" ht="20" customHeight="1">
      <c r="A188" s="8" t="s">
        <v>200</v>
      </c>
      <c r="B188" s="9">
        <v>1</v>
      </c>
      <c r="C188" s="10">
        <v>36</v>
      </c>
      <c r="D188" s="10">
        <v>37</v>
      </c>
      <c r="E188" s="10">
        <f t="shared" si="71"/>
        <v>3335572.8333333335</v>
      </c>
      <c r="F188" s="10">
        <f t="shared" si="72"/>
        <v>15384.416666666666</v>
      </c>
      <c r="G188" s="10">
        <f t="shared" si="73"/>
        <v>80325.333333333328</v>
      </c>
      <c r="H188" s="10">
        <f t="shared" si="74"/>
        <v>4636.333333333333</v>
      </c>
      <c r="I188" s="10">
        <f t="shared" si="75"/>
        <v>365778.16666666669</v>
      </c>
      <c r="J188" s="11"/>
      <c r="K188" s="10">
        <f t="shared" si="76"/>
        <v>29844.833333333332</v>
      </c>
      <c r="L188" s="10">
        <v>76.099999999999994</v>
      </c>
      <c r="M188" s="12">
        <v>60.6</v>
      </c>
      <c r="N188" s="12">
        <v>45.2</v>
      </c>
      <c r="O188" s="12">
        <v>13.28</v>
      </c>
      <c r="P188" s="21">
        <v>30.669250000000002</v>
      </c>
    </row>
    <row r="189" spans="1:16" ht="20" customHeight="1">
      <c r="A189" s="8" t="s">
        <v>201</v>
      </c>
      <c r="B189" s="9">
        <v>1</v>
      </c>
      <c r="C189" s="10">
        <v>45</v>
      </c>
      <c r="D189" s="10">
        <v>46</v>
      </c>
      <c r="E189" s="10">
        <f t="shared" si="71"/>
        <v>3335572.8333333335</v>
      </c>
      <c r="F189" s="10">
        <f t="shared" si="72"/>
        <v>15384.416666666666</v>
      </c>
      <c r="G189" s="10">
        <f t="shared" si="73"/>
        <v>80325.333333333328</v>
      </c>
      <c r="H189" s="10">
        <f t="shared" si="74"/>
        <v>4636.333333333333</v>
      </c>
      <c r="I189" s="10">
        <f t="shared" si="75"/>
        <v>365778.16666666669</v>
      </c>
      <c r="J189" s="11"/>
      <c r="K189" s="10">
        <f t="shared" si="76"/>
        <v>29844.833333333332</v>
      </c>
      <c r="L189" s="10">
        <v>76.099999999999994</v>
      </c>
      <c r="M189" s="12">
        <v>60.6</v>
      </c>
      <c r="N189" s="12">
        <v>45.2</v>
      </c>
      <c r="O189" s="12">
        <v>13.28</v>
      </c>
      <c r="P189" s="21">
        <v>31.13805</v>
      </c>
    </row>
    <row r="190" spans="1:16" ht="20" customHeight="1">
      <c r="A190" s="8" t="s">
        <v>202</v>
      </c>
      <c r="B190" s="9">
        <v>1</v>
      </c>
      <c r="C190" s="10">
        <v>45</v>
      </c>
      <c r="D190" s="10">
        <v>46</v>
      </c>
      <c r="E190" s="10">
        <f t="shared" si="71"/>
        <v>3335572.8333333335</v>
      </c>
      <c r="F190" s="10">
        <f t="shared" si="72"/>
        <v>15384.416666666666</v>
      </c>
      <c r="G190" s="10">
        <f t="shared" si="73"/>
        <v>80325.333333333328</v>
      </c>
      <c r="H190" s="10">
        <f t="shared" si="74"/>
        <v>4636.333333333333</v>
      </c>
      <c r="I190" s="10">
        <f t="shared" si="75"/>
        <v>365778.16666666669</v>
      </c>
      <c r="J190" s="11"/>
      <c r="K190" s="10">
        <f t="shared" si="76"/>
        <v>29844.833333333332</v>
      </c>
      <c r="L190" s="10">
        <v>76.099999999999994</v>
      </c>
      <c r="M190" s="12">
        <v>60.6</v>
      </c>
      <c r="N190" s="12">
        <v>45.2</v>
      </c>
      <c r="O190" s="12">
        <v>13.28</v>
      </c>
      <c r="P190" s="21">
        <v>29.04327</v>
      </c>
    </row>
    <row r="191" spans="1:16" ht="20" customHeight="1">
      <c r="A191" s="8" t="s">
        <v>203</v>
      </c>
      <c r="B191" s="9">
        <v>1</v>
      </c>
      <c r="C191" s="10">
        <v>37</v>
      </c>
      <c r="D191" s="10">
        <v>38</v>
      </c>
      <c r="E191" s="10">
        <f t="shared" si="71"/>
        <v>3335572.8333333335</v>
      </c>
      <c r="F191" s="10">
        <f t="shared" si="72"/>
        <v>15384.416666666666</v>
      </c>
      <c r="G191" s="10">
        <f t="shared" si="73"/>
        <v>80325.333333333328</v>
      </c>
      <c r="H191" s="10">
        <f t="shared" si="74"/>
        <v>4636.333333333333</v>
      </c>
      <c r="I191" s="10">
        <f t="shared" si="75"/>
        <v>365778.16666666669</v>
      </c>
      <c r="J191" s="11"/>
      <c r="K191" s="10">
        <f t="shared" si="76"/>
        <v>29844.833333333332</v>
      </c>
      <c r="L191" s="10">
        <v>76.099999999999994</v>
      </c>
      <c r="M191" s="12">
        <v>60.6</v>
      </c>
      <c r="N191" s="12">
        <v>45.2</v>
      </c>
      <c r="O191" s="12">
        <v>13.28</v>
      </c>
      <c r="P191" s="21">
        <v>35.688180000000003</v>
      </c>
    </row>
    <row r="192" spans="1:16" ht="20" customHeight="1">
      <c r="A192" s="8" t="s">
        <v>204</v>
      </c>
      <c r="B192" s="9">
        <v>1</v>
      </c>
      <c r="C192" s="10">
        <v>36</v>
      </c>
      <c r="D192" s="10">
        <v>37</v>
      </c>
      <c r="E192" s="10">
        <f t="shared" si="71"/>
        <v>3335572.8333333335</v>
      </c>
      <c r="F192" s="10">
        <f t="shared" si="72"/>
        <v>15384.416666666666</v>
      </c>
      <c r="G192" s="10">
        <f t="shared" si="73"/>
        <v>80325.333333333328</v>
      </c>
      <c r="H192" s="10">
        <f t="shared" si="74"/>
        <v>4636.333333333333</v>
      </c>
      <c r="I192" s="10">
        <f t="shared" si="75"/>
        <v>365778.16666666669</v>
      </c>
      <c r="J192" s="11"/>
      <c r="K192" s="10">
        <f t="shared" si="76"/>
        <v>29844.833333333332</v>
      </c>
      <c r="L192" s="10">
        <v>76.099999999999994</v>
      </c>
      <c r="M192" s="12">
        <v>60.6</v>
      </c>
      <c r="N192" s="12">
        <v>45.2</v>
      </c>
      <c r="O192" s="12">
        <v>13.28</v>
      </c>
      <c r="P192" s="21">
        <v>34.372689999999999</v>
      </c>
    </row>
    <row r="193" spans="1:16" ht="20" customHeight="1">
      <c r="A193" s="8" t="s">
        <v>205</v>
      </c>
      <c r="B193" s="9">
        <v>1</v>
      </c>
      <c r="C193" s="10">
        <v>36</v>
      </c>
      <c r="D193" s="10">
        <v>37</v>
      </c>
      <c r="E193" s="10">
        <f t="shared" si="71"/>
        <v>3335572.8333333335</v>
      </c>
      <c r="F193" s="10">
        <f t="shared" si="72"/>
        <v>15384.416666666666</v>
      </c>
      <c r="G193" s="10">
        <f t="shared" si="73"/>
        <v>80325.333333333328</v>
      </c>
      <c r="H193" s="10">
        <f t="shared" si="74"/>
        <v>4636.333333333333</v>
      </c>
      <c r="I193" s="10">
        <f t="shared" si="75"/>
        <v>365778.16666666669</v>
      </c>
      <c r="J193" s="11"/>
      <c r="K193" s="10">
        <f t="shared" si="76"/>
        <v>29844.833333333332</v>
      </c>
      <c r="L193" s="10">
        <v>76.099999999999994</v>
      </c>
      <c r="M193" s="12">
        <v>60.6</v>
      </c>
      <c r="N193" s="12">
        <v>45.2</v>
      </c>
      <c r="O193" s="12">
        <v>13.28</v>
      </c>
      <c r="P193" s="21">
        <v>28.754159999999999</v>
      </c>
    </row>
    <row r="194" spans="1:16" ht="20" customHeight="1">
      <c r="A194" s="8" t="s">
        <v>206</v>
      </c>
      <c r="B194" s="9">
        <v>1</v>
      </c>
      <c r="C194" s="10">
        <v>44</v>
      </c>
      <c r="D194" s="10">
        <v>45</v>
      </c>
      <c r="E194" s="10">
        <f t="shared" si="71"/>
        <v>3335572.8333333335</v>
      </c>
      <c r="F194" s="10">
        <f t="shared" si="72"/>
        <v>15384.416666666666</v>
      </c>
      <c r="G194" s="10">
        <f t="shared" si="73"/>
        <v>80325.333333333328</v>
      </c>
      <c r="H194" s="10">
        <f t="shared" si="74"/>
        <v>4636.333333333333</v>
      </c>
      <c r="I194" s="10">
        <f t="shared" si="75"/>
        <v>365778.16666666669</v>
      </c>
      <c r="J194" s="11"/>
      <c r="K194" s="10">
        <f t="shared" si="76"/>
        <v>29844.833333333332</v>
      </c>
      <c r="L194" s="10">
        <v>76.099999999999994</v>
      </c>
      <c r="M194" s="12">
        <v>60.6</v>
      </c>
      <c r="N194" s="12">
        <v>45.2</v>
      </c>
      <c r="O194" s="12">
        <v>13.28</v>
      </c>
      <c r="P194" s="21">
        <v>34.047359999999998</v>
      </c>
    </row>
    <row r="195" spans="1:16" ht="20" customHeight="1">
      <c r="A195" s="8" t="s">
        <v>207</v>
      </c>
      <c r="B195" s="9">
        <v>1</v>
      </c>
      <c r="C195" s="10">
        <v>43</v>
      </c>
      <c r="D195" s="10">
        <v>44</v>
      </c>
      <c r="E195" s="10">
        <f t="shared" ref="E195:E206" si="77">40068566/12</f>
        <v>3339047.1666666665</v>
      </c>
      <c r="F195" s="10">
        <f t="shared" ref="F195:F206" si="78">157871/12</f>
        <v>13155.916666666666</v>
      </c>
      <c r="G195" s="10">
        <f t="shared" ref="G195:G206" si="79">1115990/12</f>
        <v>92999.166666666672</v>
      </c>
      <c r="H195" s="10">
        <f t="shared" ref="H195:H206" si="80">43846/12</f>
        <v>3653.8333333333335</v>
      </c>
      <c r="I195" s="10">
        <f t="shared" ref="I195:I206" si="81">4320655/12</f>
        <v>360054.58333333331</v>
      </c>
      <c r="J195" s="11"/>
      <c r="K195" s="10">
        <f t="shared" ref="K195:K206" si="82">360236/12</f>
        <v>30019.666666666668</v>
      </c>
      <c r="L195" s="10">
        <v>74.7</v>
      </c>
      <c r="M195" s="12">
        <v>60.2</v>
      </c>
      <c r="N195" s="12">
        <v>45.8</v>
      </c>
      <c r="O195" s="12">
        <v>14.51</v>
      </c>
      <c r="P195" s="21">
        <v>31.410019999999999</v>
      </c>
    </row>
    <row r="196" spans="1:16" ht="20" customHeight="1">
      <c r="A196" s="8" t="s">
        <v>208</v>
      </c>
      <c r="B196" s="9">
        <v>1</v>
      </c>
      <c r="C196" s="10">
        <v>35</v>
      </c>
      <c r="D196" s="10">
        <v>36</v>
      </c>
      <c r="E196" s="10">
        <f t="shared" si="77"/>
        <v>3339047.1666666665</v>
      </c>
      <c r="F196" s="10">
        <f t="shared" si="78"/>
        <v>13155.916666666666</v>
      </c>
      <c r="G196" s="10">
        <f t="shared" si="79"/>
        <v>92999.166666666672</v>
      </c>
      <c r="H196" s="10">
        <f t="shared" si="80"/>
        <v>3653.8333333333335</v>
      </c>
      <c r="I196" s="10">
        <f t="shared" si="81"/>
        <v>360054.58333333331</v>
      </c>
      <c r="J196" s="11"/>
      <c r="K196" s="10">
        <f t="shared" si="82"/>
        <v>30019.666666666668</v>
      </c>
      <c r="L196" s="10">
        <v>74.7</v>
      </c>
      <c r="M196" s="12">
        <v>60.2</v>
      </c>
      <c r="N196" s="12">
        <v>45.8</v>
      </c>
      <c r="O196" s="12">
        <v>14.51</v>
      </c>
      <c r="P196" s="21">
        <v>31.226099999999999</v>
      </c>
    </row>
    <row r="197" spans="1:16" ht="20" customHeight="1">
      <c r="A197" s="8" t="s">
        <v>209</v>
      </c>
      <c r="B197" s="9">
        <v>1</v>
      </c>
      <c r="C197" s="10">
        <v>34</v>
      </c>
      <c r="D197" s="10">
        <v>35</v>
      </c>
      <c r="E197" s="10">
        <f t="shared" si="77"/>
        <v>3339047.1666666665</v>
      </c>
      <c r="F197" s="10">
        <f t="shared" si="78"/>
        <v>13155.916666666666</v>
      </c>
      <c r="G197" s="10">
        <f t="shared" si="79"/>
        <v>92999.166666666672</v>
      </c>
      <c r="H197" s="10">
        <f t="shared" si="80"/>
        <v>3653.8333333333335</v>
      </c>
      <c r="I197" s="10">
        <f t="shared" si="81"/>
        <v>360054.58333333331</v>
      </c>
      <c r="J197" s="11"/>
      <c r="K197" s="10">
        <f t="shared" si="82"/>
        <v>30019.666666666668</v>
      </c>
      <c r="L197" s="10">
        <v>74.7</v>
      </c>
      <c r="M197" s="12">
        <v>60.2</v>
      </c>
      <c r="N197" s="12">
        <v>45.8</v>
      </c>
      <c r="O197" s="12">
        <v>14.51</v>
      </c>
      <c r="P197" s="21">
        <v>37.383319999999998</v>
      </c>
    </row>
    <row r="198" spans="1:16" ht="20" customHeight="1">
      <c r="A198" s="8" t="s">
        <v>210</v>
      </c>
      <c r="B198" s="9">
        <v>1</v>
      </c>
      <c r="C198" s="10">
        <v>26</v>
      </c>
      <c r="D198" s="10">
        <v>27</v>
      </c>
      <c r="E198" s="10">
        <f t="shared" si="77"/>
        <v>3339047.1666666665</v>
      </c>
      <c r="F198" s="10">
        <f t="shared" si="78"/>
        <v>13155.916666666666</v>
      </c>
      <c r="G198" s="10">
        <f t="shared" si="79"/>
        <v>92999.166666666672</v>
      </c>
      <c r="H198" s="10">
        <f t="shared" si="80"/>
        <v>3653.8333333333335</v>
      </c>
      <c r="I198" s="10">
        <f t="shared" si="81"/>
        <v>360054.58333333331</v>
      </c>
      <c r="J198" s="11"/>
      <c r="K198" s="10">
        <f t="shared" si="82"/>
        <v>30019.666666666668</v>
      </c>
      <c r="L198" s="10">
        <v>74.7</v>
      </c>
      <c r="M198" s="12">
        <v>60.2</v>
      </c>
      <c r="N198" s="12">
        <v>45.8</v>
      </c>
      <c r="O198" s="12">
        <v>14.51</v>
      </c>
      <c r="P198" s="21">
        <v>35.555590000000002</v>
      </c>
    </row>
    <row r="199" spans="1:16" ht="20" customHeight="1">
      <c r="A199" s="8" t="s">
        <v>211</v>
      </c>
      <c r="B199" s="9">
        <v>1</v>
      </c>
      <c r="C199" s="10">
        <v>31</v>
      </c>
      <c r="D199" s="10">
        <v>32</v>
      </c>
      <c r="E199" s="10">
        <f t="shared" si="77"/>
        <v>3339047.1666666665</v>
      </c>
      <c r="F199" s="10">
        <f t="shared" si="78"/>
        <v>13155.916666666666</v>
      </c>
      <c r="G199" s="10">
        <f t="shared" si="79"/>
        <v>92999.166666666672</v>
      </c>
      <c r="H199" s="10">
        <f t="shared" si="80"/>
        <v>3653.8333333333335</v>
      </c>
      <c r="I199" s="10">
        <f t="shared" si="81"/>
        <v>360054.58333333331</v>
      </c>
      <c r="J199" s="11"/>
      <c r="K199" s="10">
        <f t="shared" si="82"/>
        <v>30019.666666666668</v>
      </c>
      <c r="L199" s="10">
        <v>74.7</v>
      </c>
      <c r="M199" s="12">
        <v>60.2</v>
      </c>
      <c r="N199" s="12">
        <v>45.8</v>
      </c>
      <c r="O199" s="12">
        <v>14.51</v>
      </c>
      <c r="P199" s="21">
        <v>36.123170000000002</v>
      </c>
    </row>
    <row r="200" spans="1:16" ht="20" customHeight="1">
      <c r="A200" s="8" t="s">
        <v>212</v>
      </c>
      <c r="B200" s="9">
        <v>1</v>
      </c>
      <c r="C200" s="10">
        <v>36</v>
      </c>
      <c r="D200" s="10">
        <v>37</v>
      </c>
      <c r="E200" s="10">
        <f t="shared" si="77"/>
        <v>3339047.1666666665</v>
      </c>
      <c r="F200" s="10">
        <f t="shared" si="78"/>
        <v>13155.916666666666</v>
      </c>
      <c r="G200" s="10">
        <f t="shared" si="79"/>
        <v>92999.166666666672</v>
      </c>
      <c r="H200" s="10">
        <f t="shared" si="80"/>
        <v>3653.8333333333335</v>
      </c>
      <c r="I200" s="10">
        <f t="shared" si="81"/>
        <v>360054.58333333331</v>
      </c>
      <c r="J200" s="11"/>
      <c r="K200" s="10">
        <f t="shared" si="82"/>
        <v>30019.666666666668</v>
      </c>
      <c r="L200" s="10">
        <v>74.7</v>
      </c>
      <c r="M200" s="12">
        <v>60.2</v>
      </c>
      <c r="N200" s="12">
        <v>45.8</v>
      </c>
      <c r="O200" s="12">
        <v>14.51</v>
      </c>
      <c r="P200" s="21">
        <v>27.95936</v>
      </c>
    </row>
    <row r="201" spans="1:16" ht="20" customHeight="1">
      <c r="A201" s="8" t="s">
        <v>213</v>
      </c>
      <c r="B201" s="9">
        <v>1</v>
      </c>
      <c r="C201" s="10">
        <v>45</v>
      </c>
      <c r="D201" s="10">
        <v>46</v>
      </c>
      <c r="E201" s="10">
        <f t="shared" si="77"/>
        <v>3339047.1666666665</v>
      </c>
      <c r="F201" s="10">
        <f t="shared" si="78"/>
        <v>13155.916666666666</v>
      </c>
      <c r="G201" s="10">
        <f t="shared" si="79"/>
        <v>92999.166666666672</v>
      </c>
      <c r="H201" s="10">
        <f t="shared" si="80"/>
        <v>3653.8333333333335</v>
      </c>
      <c r="I201" s="10">
        <f t="shared" si="81"/>
        <v>360054.58333333331</v>
      </c>
      <c r="J201" s="11"/>
      <c r="K201" s="10">
        <f t="shared" si="82"/>
        <v>30019.666666666668</v>
      </c>
      <c r="L201" s="10">
        <v>74.7</v>
      </c>
      <c r="M201" s="12">
        <v>60.2</v>
      </c>
      <c r="N201" s="12">
        <v>45.8</v>
      </c>
      <c r="O201" s="12">
        <v>14.51</v>
      </c>
      <c r="P201" s="21">
        <v>30.568919999999999</v>
      </c>
    </row>
    <row r="202" spans="1:16" ht="20" customHeight="1">
      <c r="A202" s="8" t="s">
        <v>214</v>
      </c>
      <c r="B202" s="9">
        <v>1</v>
      </c>
      <c r="C202" s="10">
        <v>45</v>
      </c>
      <c r="D202" s="10">
        <v>46</v>
      </c>
      <c r="E202" s="10">
        <f t="shared" si="77"/>
        <v>3339047.1666666665</v>
      </c>
      <c r="F202" s="10">
        <f t="shared" si="78"/>
        <v>13155.916666666666</v>
      </c>
      <c r="G202" s="10">
        <f t="shared" si="79"/>
        <v>92999.166666666672</v>
      </c>
      <c r="H202" s="10">
        <f t="shared" si="80"/>
        <v>3653.8333333333335</v>
      </c>
      <c r="I202" s="10">
        <f t="shared" si="81"/>
        <v>360054.58333333331</v>
      </c>
      <c r="J202" s="11"/>
      <c r="K202" s="10">
        <f t="shared" si="82"/>
        <v>30019.666666666668</v>
      </c>
      <c r="L202" s="10">
        <v>74.7</v>
      </c>
      <c r="M202" s="12">
        <v>60.2</v>
      </c>
      <c r="N202" s="12">
        <v>45.8</v>
      </c>
      <c r="O202" s="12">
        <v>14.51</v>
      </c>
      <c r="P202" s="21">
        <v>28.162469999999999</v>
      </c>
    </row>
    <row r="203" spans="1:16" ht="20" customHeight="1">
      <c r="A203" s="8" t="s">
        <v>215</v>
      </c>
      <c r="B203" s="9">
        <v>1</v>
      </c>
      <c r="C203" s="10">
        <v>40</v>
      </c>
      <c r="D203" s="10">
        <v>41</v>
      </c>
      <c r="E203" s="10">
        <f t="shared" si="77"/>
        <v>3339047.1666666665</v>
      </c>
      <c r="F203" s="10">
        <f t="shared" si="78"/>
        <v>13155.916666666666</v>
      </c>
      <c r="G203" s="10">
        <f t="shared" si="79"/>
        <v>92999.166666666672</v>
      </c>
      <c r="H203" s="10">
        <f t="shared" si="80"/>
        <v>3653.8333333333335</v>
      </c>
      <c r="I203" s="10">
        <f t="shared" si="81"/>
        <v>360054.58333333331</v>
      </c>
      <c r="J203" s="11"/>
      <c r="K203" s="10">
        <f t="shared" si="82"/>
        <v>30019.666666666668</v>
      </c>
      <c r="L203" s="10">
        <v>74.7</v>
      </c>
      <c r="M203" s="12">
        <v>60.2</v>
      </c>
      <c r="N203" s="12">
        <v>45.8</v>
      </c>
      <c r="O203" s="12">
        <v>14.51</v>
      </c>
      <c r="P203" s="21">
        <v>21.891369999999998</v>
      </c>
    </row>
    <row r="204" spans="1:16" ht="20" customHeight="1">
      <c r="A204" s="8" t="s">
        <v>216</v>
      </c>
      <c r="B204" s="9">
        <v>1</v>
      </c>
      <c r="C204" s="10">
        <v>37</v>
      </c>
      <c r="D204" s="10">
        <v>38</v>
      </c>
      <c r="E204" s="10">
        <f t="shared" si="77"/>
        <v>3339047.1666666665</v>
      </c>
      <c r="F204" s="10">
        <f t="shared" si="78"/>
        <v>13155.916666666666</v>
      </c>
      <c r="G204" s="10">
        <f t="shared" si="79"/>
        <v>92999.166666666672</v>
      </c>
      <c r="H204" s="10">
        <f t="shared" si="80"/>
        <v>3653.8333333333335</v>
      </c>
      <c r="I204" s="10">
        <f t="shared" si="81"/>
        <v>360054.58333333331</v>
      </c>
      <c r="J204" s="11"/>
      <c r="K204" s="10">
        <f t="shared" si="82"/>
        <v>30019.666666666668</v>
      </c>
      <c r="L204" s="10">
        <v>74.7</v>
      </c>
      <c r="M204" s="12">
        <v>60.2</v>
      </c>
      <c r="N204" s="12">
        <v>45.8</v>
      </c>
      <c r="O204" s="12">
        <v>14.51</v>
      </c>
      <c r="P204" s="21">
        <v>27.97419</v>
      </c>
    </row>
    <row r="205" spans="1:16" ht="20" customHeight="1">
      <c r="A205" s="8" t="s">
        <v>217</v>
      </c>
      <c r="B205" s="9">
        <v>1</v>
      </c>
      <c r="C205" s="10">
        <v>35</v>
      </c>
      <c r="D205" s="10">
        <v>36</v>
      </c>
      <c r="E205" s="10">
        <f t="shared" si="77"/>
        <v>3339047.1666666665</v>
      </c>
      <c r="F205" s="10">
        <f t="shared" si="78"/>
        <v>13155.916666666666</v>
      </c>
      <c r="G205" s="10">
        <f t="shared" si="79"/>
        <v>92999.166666666672</v>
      </c>
      <c r="H205" s="10">
        <f t="shared" si="80"/>
        <v>3653.8333333333335</v>
      </c>
      <c r="I205" s="10">
        <f t="shared" si="81"/>
        <v>360054.58333333331</v>
      </c>
      <c r="J205" s="11"/>
      <c r="K205" s="10">
        <f t="shared" si="82"/>
        <v>30019.666666666668</v>
      </c>
      <c r="L205" s="10">
        <v>74.7</v>
      </c>
      <c r="M205" s="12">
        <v>60.2</v>
      </c>
      <c r="N205" s="12">
        <v>45.8</v>
      </c>
      <c r="O205" s="12">
        <v>14.51</v>
      </c>
      <c r="P205" s="21">
        <v>27.796399999999998</v>
      </c>
    </row>
    <row r="206" spans="1:16" ht="20" customHeight="1">
      <c r="A206" s="8" t="s">
        <v>218</v>
      </c>
      <c r="B206" s="9">
        <v>1</v>
      </c>
      <c r="C206" s="10">
        <v>39</v>
      </c>
      <c r="D206" s="10">
        <v>40</v>
      </c>
      <c r="E206" s="10">
        <f t="shared" si="77"/>
        <v>3339047.1666666665</v>
      </c>
      <c r="F206" s="10">
        <f t="shared" si="78"/>
        <v>13155.916666666666</v>
      </c>
      <c r="G206" s="10">
        <f t="shared" si="79"/>
        <v>92999.166666666672</v>
      </c>
      <c r="H206" s="10">
        <f t="shared" si="80"/>
        <v>3653.8333333333335</v>
      </c>
      <c r="I206" s="10">
        <f t="shared" si="81"/>
        <v>360054.58333333331</v>
      </c>
      <c r="J206" s="11"/>
      <c r="K206" s="10">
        <f t="shared" si="82"/>
        <v>30019.666666666668</v>
      </c>
      <c r="L206" s="10">
        <v>74.7</v>
      </c>
      <c r="M206" s="12">
        <v>60.2</v>
      </c>
      <c r="N206" s="12">
        <v>45.8</v>
      </c>
      <c r="O206" s="12">
        <v>14.51</v>
      </c>
      <c r="P206" s="21">
        <v>25.06888</v>
      </c>
    </row>
    <row r="207" spans="1:16" ht="20" customHeight="1">
      <c r="A207" s="8" t="s">
        <v>219</v>
      </c>
      <c r="B207" s="9">
        <v>1</v>
      </c>
      <c r="C207" s="10">
        <v>41</v>
      </c>
      <c r="D207" s="10">
        <v>42</v>
      </c>
      <c r="E207" s="10">
        <f t="shared" ref="E207:E218" si="83">39375828/12</f>
        <v>3281319</v>
      </c>
      <c r="F207" s="10">
        <f t="shared" ref="F207:F218" si="84">232851/12</f>
        <v>19404.25</v>
      </c>
      <c r="G207" s="10">
        <f t="shared" ref="G207:G218" si="85">966509/12</f>
        <v>80542.416666666672</v>
      </c>
      <c r="H207" s="10">
        <f t="shared" ref="H207:H218" si="86">40136/12</f>
        <v>3344.6666666666665</v>
      </c>
      <c r="I207" s="10">
        <f t="shared" ref="I207:I218" si="87">4057158/12</f>
        <v>338096.5</v>
      </c>
      <c r="J207" s="13">
        <v>68.6666666666667</v>
      </c>
      <c r="K207" s="10">
        <f t="shared" ref="K207:K218" si="88">377641/12</f>
        <v>31470.083333333332</v>
      </c>
      <c r="L207" s="10">
        <v>76.2</v>
      </c>
      <c r="M207" s="12">
        <v>61.1</v>
      </c>
      <c r="N207" s="12">
        <v>46</v>
      </c>
      <c r="O207" s="12">
        <v>15.41</v>
      </c>
      <c r="P207" s="21">
        <v>21.80846</v>
      </c>
    </row>
    <row r="208" spans="1:16" ht="20" customHeight="1">
      <c r="A208" s="8" t="s">
        <v>220</v>
      </c>
      <c r="B208" s="9">
        <v>1</v>
      </c>
      <c r="C208" s="10">
        <v>35</v>
      </c>
      <c r="D208" s="10">
        <v>36</v>
      </c>
      <c r="E208" s="10">
        <f t="shared" si="83"/>
        <v>3281319</v>
      </c>
      <c r="F208" s="10">
        <f t="shared" si="84"/>
        <v>19404.25</v>
      </c>
      <c r="G208" s="10">
        <f t="shared" si="85"/>
        <v>80542.416666666672</v>
      </c>
      <c r="H208" s="10">
        <f t="shared" si="86"/>
        <v>3344.6666666666665</v>
      </c>
      <c r="I208" s="10">
        <f t="shared" si="87"/>
        <v>338096.5</v>
      </c>
      <c r="J208" s="13">
        <v>68.6666666666667</v>
      </c>
      <c r="K208" s="10">
        <f t="shared" si="88"/>
        <v>31470.083333333332</v>
      </c>
      <c r="L208" s="10">
        <v>76.2</v>
      </c>
      <c r="M208" s="12">
        <v>61.1</v>
      </c>
      <c r="N208" s="12">
        <v>46</v>
      </c>
      <c r="O208" s="12">
        <v>15.41</v>
      </c>
      <c r="P208" s="21">
        <v>43.582000000000001</v>
      </c>
    </row>
    <row r="209" spans="1:16" ht="20" customHeight="1">
      <c r="A209" s="8" t="s">
        <v>221</v>
      </c>
      <c r="B209" s="9">
        <v>1</v>
      </c>
      <c r="C209" s="10">
        <v>37</v>
      </c>
      <c r="D209" s="10">
        <v>38</v>
      </c>
      <c r="E209" s="10">
        <f t="shared" si="83"/>
        <v>3281319</v>
      </c>
      <c r="F209" s="10">
        <f t="shared" si="84"/>
        <v>19404.25</v>
      </c>
      <c r="G209" s="10">
        <f t="shared" si="85"/>
        <v>80542.416666666672</v>
      </c>
      <c r="H209" s="10">
        <f t="shared" si="86"/>
        <v>3344.6666666666665</v>
      </c>
      <c r="I209" s="10">
        <f t="shared" si="87"/>
        <v>338096.5</v>
      </c>
      <c r="J209" s="13">
        <v>68.6666666666667</v>
      </c>
      <c r="K209" s="10">
        <f t="shared" si="88"/>
        <v>31470.083333333332</v>
      </c>
      <c r="L209" s="10">
        <v>76.2</v>
      </c>
      <c r="M209" s="12">
        <v>61.1</v>
      </c>
      <c r="N209" s="12">
        <v>46</v>
      </c>
      <c r="O209" s="12">
        <v>15.41</v>
      </c>
      <c r="P209" s="21">
        <v>38.936999999999998</v>
      </c>
    </row>
    <row r="210" spans="1:16" ht="20" customHeight="1">
      <c r="A210" s="8" t="s">
        <v>222</v>
      </c>
      <c r="B210" s="9">
        <v>1</v>
      </c>
      <c r="C210" s="10">
        <v>29</v>
      </c>
      <c r="D210" s="10">
        <v>30</v>
      </c>
      <c r="E210" s="10">
        <f t="shared" si="83"/>
        <v>3281319</v>
      </c>
      <c r="F210" s="10">
        <f t="shared" si="84"/>
        <v>19404.25</v>
      </c>
      <c r="G210" s="10">
        <f t="shared" si="85"/>
        <v>80542.416666666672</v>
      </c>
      <c r="H210" s="10">
        <f t="shared" si="86"/>
        <v>3344.6666666666665</v>
      </c>
      <c r="I210" s="10">
        <f t="shared" si="87"/>
        <v>338096.5</v>
      </c>
      <c r="J210" s="13">
        <v>68.6666666666667</v>
      </c>
      <c r="K210" s="10">
        <f t="shared" si="88"/>
        <v>31470.083333333332</v>
      </c>
      <c r="L210" s="10">
        <v>76.2</v>
      </c>
      <c r="M210" s="12">
        <v>61.1</v>
      </c>
      <c r="N210" s="12">
        <v>46</v>
      </c>
      <c r="O210" s="12">
        <v>15.41</v>
      </c>
      <c r="P210" s="21">
        <v>41.335999999999999</v>
      </c>
    </row>
    <row r="211" spans="1:16" ht="20" customHeight="1">
      <c r="A211" s="8" t="s">
        <v>223</v>
      </c>
      <c r="B211" s="9">
        <v>1</v>
      </c>
      <c r="C211" s="10">
        <v>28</v>
      </c>
      <c r="D211" s="10">
        <v>29</v>
      </c>
      <c r="E211" s="10">
        <f t="shared" si="83"/>
        <v>3281319</v>
      </c>
      <c r="F211" s="10">
        <f t="shared" si="84"/>
        <v>19404.25</v>
      </c>
      <c r="G211" s="10">
        <f t="shared" si="85"/>
        <v>80542.416666666672</v>
      </c>
      <c r="H211" s="10">
        <f t="shared" si="86"/>
        <v>3344.6666666666665</v>
      </c>
      <c r="I211" s="10">
        <f t="shared" si="87"/>
        <v>338096.5</v>
      </c>
      <c r="J211" s="13">
        <v>68.6666666666667</v>
      </c>
      <c r="K211" s="10">
        <f t="shared" si="88"/>
        <v>31470.083333333332</v>
      </c>
      <c r="L211" s="10">
        <v>76.2</v>
      </c>
      <c r="M211" s="12">
        <v>61.1</v>
      </c>
      <c r="N211" s="12">
        <v>46</v>
      </c>
      <c r="O211" s="12">
        <v>15.41</v>
      </c>
      <c r="P211" s="21">
        <v>42.068930000000002</v>
      </c>
    </row>
    <row r="212" spans="1:16" ht="20" customHeight="1">
      <c r="A212" s="8" t="s">
        <v>224</v>
      </c>
      <c r="B212" s="9">
        <v>1</v>
      </c>
      <c r="C212" s="10">
        <v>34</v>
      </c>
      <c r="D212" s="10">
        <v>35</v>
      </c>
      <c r="E212" s="10">
        <f t="shared" si="83"/>
        <v>3281319</v>
      </c>
      <c r="F212" s="10">
        <f t="shared" si="84"/>
        <v>19404.25</v>
      </c>
      <c r="G212" s="10">
        <f t="shared" si="85"/>
        <v>80542.416666666672</v>
      </c>
      <c r="H212" s="10">
        <f t="shared" si="86"/>
        <v>3344.6666666666665</v>
      </c>
      <c r="I212" s="10">
        <f t="shared" si="87"/>
        <v>338096.5</v>
      </c>
      <c r="J212" s="13">
        <v>68.6666666666667</v>
      </c>
      <c r="K212" s="10">
        <f t="shared" si="88"/>
        <v>31470.083333333332</v>
      </c>
      <c r="L212" s="10">
        <v>76.2</v>
      </c>
      <c r="M212" s="12">
        <v>61.1</v>
      </c>
      <c r="N212" s="12">
        <v>46</v>
      </c>
      <c r="O212" s="12">
        <v>15.41</v>
      </c>
      <c r="P212" s="21">
        <v>41.624209999999998</v>
      </c>
    </row>
    <row r="213" spans="1:16" ht="20" customHeight="1">
      <c r="A213" s="8" t="s">
        <v>225</v>
      </c>
      <c r="B213" s="9">
        <v>1</v>
      </c>
      <c r="C213" s="10">
        <v>42</v>
      </c>
      <c r="D213" s="10">
        <v>43</v>
      </c>
      <c r="E213" s="10">
        <f t="shared" si="83"/>
        <v>3281319</v>
      </c>
      <c r="F213" s="10">
        <f t="shared" si="84"/>
        <v>19404.25</v>
      </c>
      <c r="G213" s="10">
        <f t="shared" si="85"/>
        <v>80542.416666666672</v>
      </c>
      <c r="H213" s="10">
        <f t="shared" si="86"/>
        <v>3344.6666666666665</v>
      </c>
      <c r="I213" s="10">
        <f t="shared" si="87"/>
        <v>338096.5</v>
      </c>
      <c r="J213" s="13">
        <v>68.6666666666667</v>
      </c>
      <c r="K213" s="10">
        <f t="shared" si="88"/>
        <v>31470.083333333332</v>
      </c>
      <c r="L213" s="10">
        <v>76.2</v>
      </c>
      <c r="M213" s="12">
        <v>61.1</v>
      </c>
      <c r="N213" s="12">
        <v>46</v>
      </c>
      <c r="O213" s="12">
        <v>15.41</v>
      </c>
      <c r="P213" s="21">
        <v>41.843089999999997</v>
      </c>
    </row>
    <row r="214" spans="1:16" ht="20" customHeight="1">
      <c r="A214" s="8" t="s">
        <v>226</v>
      </c>
      <c r="B214" s="9">
        <v>1</v>
      </c>
      <c r="C214" s="10">
        <v>44</v>
      </c>
      <c r="D214" s="10">
        <v>45</v>
      </c>
      <c r="E214" s="10">
        <f t="shared" si="83"/>
        <v>3281319</v>
      </c>
      <c r="F214" s="10">
        <f t="shared" si="84"/>
        <v>19404.25</v>
      </c>
      <c r="G214" s="10">
        <f t="shared" si="85"/>
        <v>80542.416666666672</v>
      </c>
      <c r="H214" s="10">
        <f t="shared" si="86"/>
        <v>3344.6666666666665</v>
      </c>
      <c r="I214" s="10">
        <f t="shared" si="87"/>
        <v>338096.5</v>
      </c>
      <c r="J214" s="13">
        <v>68.6666666666667</v>
      </c>
      <c r="K214" s="10">
        <f t="shared" si="88"/>
        <v>31470.083333333332</v>
      </c>
      <c r="L214" s="10">
        <v>76.2</v>
      </c>
      <c r="M214" s="12">
        <v>61.1</v>
      </c>
      <c r="N214" s="12">
        <v>46</v>
      </c>
      <c r="O214" s="12">
        <v>15.41</v>
      </c>
      <c r="P214" s="21">
        <v>40.869399999999999</v>
      </c>
    </row>
    <row r="215" spans="1:16" ht="20" customHeight="1">
      <c r="A215" s="8" t="s">
        <v>227</v>
      </c>
      <c r="B215" s="9">
        <v>2</v>
      </c>
      <c r="C215" s="10">
        <v>37</v>
      </c>
      <c r="D215" s="10">
        <v>39</v>
      </c>
      <c r="E215" s="10">
        <f t="shared" si="83"/>
        <v>3281319</v>
      </c>
      <c r="F215" s="10">
        <f t="shared" si="84"/>
        <v>19404.25</v>
      </c>
      <c r="G215" s="10">
        <f t="shared" si="85"/>
        <v>80542.416666666672</v>
      </c>
      <c r="H215" s="10">
        <f t="shared" si="86"/>
        <v>3344.6666666666665</v>
      </c>
      <c r="I215" s="10">
        <f t="shared" si="87"/>
        <v>338096.5</v>
      </c>
      <c r="J215" s="13">
        <v>68.6666666666667</v>
      </c>
      <c r="K215" s="10">
        <f t="shared" si="88"/>
        <v>31470.083333333332</v>
      </c>
      <c r="L215" s="10">
        <v>76.2</v>
      </c>
      <c r="M215" s="12">
        <v>61.1</v>
      </c>
      <c r="N215" s="12">
        <v>46</v>
      </c>
      <c r="O215" s="12">
        <v>15.41</v>
      </c>
      <c r="P215" s="21">
        <v>37.955840000000002</v>
      </c>
    </row>
    <row r="216" spans="1:16" ht="20" customHeight="1">
      <c r="A216" s="8" t="s">
        <v>228</v>
      </c>
      <c r="B216" s="9">
        <v>2</v>
      </c>
      <c r="C216" s="10">
        <v>37</v>
      </c>
      <c r="D216" s="10">
        <v>39</v>
      </c>
      <c r="E216" s="10">
        <f t="shared" si="83"/>
        <v>3281319</v>
      </c>
      <c r="F216" s="10">
        <f t="shared" si="84"/>
        <v>19404.25</v>
      </c>
      <c r="G216" s="10">
        <f t="shared" si="85"/>
        <v>80542.416666666672</v>
      </c>
      <c r="H216" s="10">
        <f t="shared" si="86"/>
        <v>3344.6666666666665</v>
      </c>
      <c r="I216" s="10">
        <f t="shared" si="87"/>
        <v>338096.5</v>
      </c>
      <c r="J216" s="13">
        <v>68.6666666666667</v>
      </c>
      <c r="K216" s="10">
        <f t="shared" si="88"/>
        <v>31470.083333333332</v>
      </c>
      <c r="L216" s="10">
        <v>76.2</v>
      </c>
      <c r="M216" s="12">
        <v>61.1</v>
      </c>
      <c r="N216" s="12">
        <v>46</v>
      </c>
      <c r="O216" s="12">
        <v>15.41</v>
      </c>
      <c r="P216" s="21">
        <v>42.157739999999997</v>
      </c>
    </row>
    <row r="217" spans="1:16" ht="20" customHeight="1">
      <c r="A217" s="8" t="s">
        <v>229</v>
      </c>
      <c r="B217" s="9">
        <v>2</v>
      </c>
      <c r="C217" s="10">
        <v>38</v>
      </c>
      <c r="D217" s="10">
        <v>40</v>
      </c>
      <c r="E217" s="10">
        <f t="shared" si="83"/>
        <v>3281319</v>
      </c>
      <c r="F217" s="10">
        <f t="shared" si="84"/>
        <v>19404.25</v>
      </c>
      <c r="G217" s="10">
        <f t="shared" si="85"/>
        <v>80542.416666666672</v>
      </c>
      <c r="H217" s="10">
        <f t="shared" si="86"/>
        <v>3344.6666666666665</v>
      </c>
      <c r="I217" s="10">
        <f t="shared" si="87"/>
        <v>338096.5</v>
      </c>
      <c r="J217" s="13">
        <v>68.6666666666667</v>
      </c>
      <c r="K217" s="10">
        <f t="shared" si="88"/>
        <v>31470.083333333332</v>
      </c>
      <c r="L217" s="10">
        <v>76.2</v>
      </c>
      <c r="M217" s="12">
        <v>61.1</v>
      </c>
      <c r="N217" s="12">
        <v>46</v>
      </c>
      <c r="O217" s="12">
        <v>15.41</v>
      </c>
      <c r="P217" s="21">
        <v>41.110819999999997</v>
      </c>
    </row>
    <row r="218" spans="1:16" ht="20" customHeight="1">
      <c r="A218" s="8" t="s">
        <v>230</v>
      </c>
      <c r="B218" s="9">
        <v>1</v>
      </c>
      <c r="C218" s="10">
        <v>43</v>
      </c>
      <c r="D218" s="10">
        <v>44</v>
      </c>
      <c r="E218" s="10">
        <f t="shared" si="83"/>
        <v>3281319</v>
      </c>
      <c r="F218" s="10">
        <f t="shared" si="84"/>
        <v>19404.25</v>
      </c>
      <c r="G218" s="10">
        <f t="shared" si="85"/>
        <v>80542.416666666672</v>
      </c>
      <c r="H218" s="10">
        <f t="shared" si="86"/>
        <v>3344.6666666666665</v>
      </c>
      <c r="I218" s="10">
        <f t="shared" si="87"/>
        <v>338096.5</v>
      </c>
      <c r="J218" s="13">
        <v>68.6666666666667</v>
      </c>
      <c r="K218" s="10">
        <f t="shared" si="88"/>
        <v>31470.083333333332</v>
      </c>
      <c r="L218" s="10">
        <v>76.2</v>
      </c>
      <c r="M218" s="12">
        <v>61.1</v>
      </c>
      <c r="N218" s="12">
        <v>46</v>
      </c>
      <c r="O218" s="12">
        <v>15.41</v>
      </c>
      <c r="P218" s="21">
        <v>40.057029999999997</v>
      </c>
    </row>
    <row r="219" spans="1:16" ht="20" customHeight="1">
      <c r="A219" s="8" t="s">
        <v>231</v>
      </c>
      <c r="B219" s="9">
        <v>1</v>
      </c>
      <c r="C219" s="10">
        <v>40</v>
      </c>
      <c r="D219" s="10">
        <v>41</v>
      </c>
      <c r="E219" s="10">
        <f t="shared" ref="E219:E230" si="89">35375828/12</f>
        <v>2947985.6666666665</v>
      </c>
      <c r="F219" s="10">
        <f t="shared" ref="F219:F231" si="90">411640/12</f>
        <v>34303.333333333336</v>
      </c>
      <c r="G219" s="10">
        <f t="shared" ref="G219:G231" si="91">984521/12</f>
        <v>82043.416666666672</v>
      </c>
      <c r="H219" s="13">
        <v>3644.1666666666702</v>
      </c>
      <c r="I219" s="13">
        <v>346901.5</v>
      </c>
      <c r="J219" s="13">
        <v>15011.5</v>
      </c>
      <c r="K219" s="10">
        <f t="shared" ref="K219:K230" si="92">285974/12</f>
        <v>23831.166666666668</v>
      </c>
      <c r="L219" s="10">
        <v>78.599999999999994</v>
      </c>
      <c r="M219" s="12">
        <v>63.2</v>
      </c>
      <c r="N219" s="12">
        <v>47.8</v>
      </c>
      <c r="O219" s="12">
        <v>14.93</v>
      </c>
      <c r="P219" s="21">
        <v>44.80124</v>
      </c>
    </row>
    <row r="220" spans="1:16" ht="20" customHeight="1">
      <c r="A220" s="8" t="s">
        <v>232</v>
      </c>
      <c r="B220" s="9">
        <v>1</v>
      </c>
      <c r="C220" s="10">
        <v>37</v>
      </c>
      <c r="D220" s="10">
        <v>38</v>
      </c>
      <c r="E220" s="10">
        <f t="shared" si="89"/>
        <v>2947985.6666666665</v>
      </c>
      <c r="F220" s="10">
        <f t="shared" si="90"/>
        <v>34303.333333333336</v>
      </c>
      <c r="G220" s="10">
        <f t="shared" si="91"/>
        <v>82043.416666666672</v>
      </c>
      <c r="H220" s="13">
        <v>3644.1666666666702</v>
      </c>
      <c r="I220" s="13">
        <v>346901.5</v>
      </c>
      <c r="J220" s="13">
        <v>15011.5</v>
      </c>
      <c r="K220" s="10">
        <f t="shared" si="92"/>
        <v>23831.166666666668</v>
      </c>
      <c r="L220" s="10">
        <v>78.599999999999994</v>
      </c>
      <c r="M220" s="12">
        <v>63.2</v>
      </c>
      <c r="N220" s="12">
        <v>47.8</v>
      </c>
      <c r="O220" s="12">
        <v>14.93</v>
      </c>
      <c r="P220" s="21">
        <v>44.406660000000002</v>
      </c>
    </row>
    <row r="221" spans="1:16" ht="20" customHeight="1">
      <c r="A221" s="8" t="s">
        <v>233</v>
      </c>
      <c r="B221" s="9">
        <v>1</v>
      </c>
      <c r="C221" s="10">
        <v>33</v>
      </c>
      <c r="D221" s="10">
        <v>34</v>
      </c>
      <c r="E221" s="10">
        <f t="shared" si="89"/>
        <v>2947985.6666666665</v>
      </c>
      <c r="F221" s="10">
        <f t="shared" si="90"/>
        <v>34303.333333333336</v>
      </c>
      <c r="G221" s="10">
        <f t="shared" si="91"/>
        <v>82043.416666666672</v>
      </c>
      <c r="H221" s="13">
        <v>3644.1666666666702</v>
      </c>
      <c r="I221" s="13">
        <v>346901.5</v>
      </c>
      <c r="J221" s="13">
        <v>15011.5</v>
      </c>
      <c r="K221" s="10">
        <f t="shared" si="92"/>
        <v>23831.166666666668</v>
      </c>
      <c r="L221" s="10">
        <v>78.599999999999994</v>
      </c>
      <c r="M221" s="12">
        <v>63.2</v>
      </c>
      <c r="N221" s="12">
        <v>47.8</v>
      </c>
      <c r="O221" s="12">
        <v>14.93</v>
      </c>
      <c r="P221" s="21">
        <v>39.190440000000002</v>
      </c>
    </row>
    <row r="222" spans="1:16" ht="20" customHeight="1">
      <c r="A222" s="8" t="s">
        <v>234</v>
      </c>
      <c r="B222" s="9">
        <v>1</v>
      </c>
      <c r="C222" s="10">
        <v>26</v>
      </c>
      <c r="D222" s="10">
        <v>27</v>
      </c>
      <c r="E222" s="10">
        <f t="shared" si="89"/>
        <v>2947985.6666666665</v>
      </c>
      <c r="F222" s="10">
        <f t="shared" si="90"/>
        <v>34303.333333333336</v>
      </c>
      <c r="G222" s="10">
        <f t="shared" si="91"/>
        <v>82043.416666666672</v>
      </c>
      <c r="H222" s="13">
        <v>3644.1666666666702</v>
      </c>
      <c r="I222" s="13">
        <v>346901.5</v>
      </c>
      <c r="J222" s="13">
        <v>15011.5</v>
      </c>
      <c r="K222" s="10">
        <f t="shared" si="92"/>
        <v>23831.166666666668</v>
      </c>
      <c r="L222" s="10">
        <v>78.599999999999994</v>
      </c>
      <c r="M222" s="12">
        <v>63.2</v>
      </c>
      <c r="N222" s="12">
        <v>47.8</v>
      </c>
      <c r="O222" s="12">
        <v>14.93</v>
      </c>
      <c r="P222" s="21">
        <v>38.832970000000003</v>
      </c>
    </row>
    <row r="223" spans="1:16" ht="20" customHeight="1">
      <c r="A223" s="8" t="s">
        <v>235</v>
      </c>
      <c r="B223" s="9">
        <v>2</v>
      </c>
      <c r="C223" s="10">
        <v>22</v>
      </c>
      <c r="D223" s="10">
        <v>24</v>
      </c>
      <c r="E223" s="10">
        <f t="shared" si="89"/>
        <v>2947985.6666666665</v>
      </c>
      <c r="F223" s="10">
        <f t="shared" si="90"/>
        <v>34303.333333333336</v>
      </c>
      <c r="G223" s="10">
        <f t="shared" si="91"/>
        <v>82043.416666666672</v>
      </c>
      <c r="H223" s="13">
        <v>3644.1666666666702</v>
      </c>
      <c r="I223" s="13">
        <v>346901.5</v>
      </c>
      <c r="J223" s="13">
        <v>15011.5</v>
      </c>
      <c r="K223" s="10">
        <f t="shared" si="92"/>
        <v>23831.166666666668</v>
      </c>
      <c r="L223" s="10">
        <v>78.599999999999994</v>
      </c>
      <c r="M223" s="12">
        <v>63.2</v>
      </c>
      <c r="N223" s="12">
        <v>47.8</v>
      </c>
      <c r="O223" s="12">
        <v>14.93</v>
      </c>
      <c r="P223" s="21">
        <v>35.876899999999999</v>
      </c>
    </row>
    <row r="224" spans="1:16" ht="20" customHeight="1">
      <c r="A224" s="8" t="s">
        <v>236</v>
      </c>
      <c r="B224" s="9">
        <v>1</v>
      </c>
      <c r="C224" s="10">
        <v>29</v>
      </c>
      <c r="D224" s="10">
        <v>30</v>
      </c>
      <c r="E224" s="10">
        <f t="shared" si="89"/>
        <v>2947985.6666666665</v>
      </c>
      <c r="F224" s="10">
        <f t="shared" si="90"/>
        <v>34303.333333333336</v>
      </c>
      <c r="G224" s="10">
        <f t="shared" si="91"/>
        <v>82043.416666666672</v>
      </c>
      <c r="H224" s="13">
        <v>3644.1666666666702</v>
      </c>
      <c r="I224" s="13">
        <v>346901.5</v>
      </c>
      <c r="J224" s="13">
        <v>15011.5</v>
      </c>
      <c r="K224" s="10">
        <f t="shared" si="92"/>
        <v>23831.166666666668</v>
      </c>
      <c r="L224" s="10">
        <v>78.599999999999994</v>
      </c>
      <c r="M224" s="12">
        <v>63.2</v>
      </c>
      <c r="N224" s="12">
        <v>47.8</v>
      </c>
      <c r="O224" s="12">
        <v>14.93</v>
      </c>
      <c r="P224" s="21">
        <v>35.173090000000002</v>
      </c>
    </row>
    <row r="225" spans="1:16" ht="20" customHeight="1">
      <c r="A225" s="8" t="s">
        <v>237</v>
      </c>
      <c r="B225" s="9">
        <v>1</v>
      </c>
      <c r="C225" s="10">
        <v>36</v>
      </c>
      <c r="D225" s="10">
        <v>37</v>
      </c>
      <c r="E225" s="10">
        <f t="shared" si="89"/>
        <v>2947985.6666666665</v>
      </c>
      <c r="F225" s="10">
        <f t="shared" si="90"/>
        <v>34303.333333333336</v>
      </c>
      <c r="G225" s="10">
        <f t="shared" si="91"/>
        <v>82043.416666666672</v>
      </c>
      <c r="H225" s="13">
        <v>3644.1666666666702</v>
      </c>
      <c r="I225" s="13">
        <v>346901.5</v>
      </c>
      <c r="J225" s="13">
        <v>15011.5</v>
      </c>
      <c r="K225" s="10">
        <f t="shared" si="92"/>
        <v>23831.166666666668</v>
      </c>
      <c r="L225" s="10">
        <v>78.599999999999994</v>
      </c>
      <c r="M225" s="12">
        <v>63.2</v>
      </c>
      <c r="N225" s="12">
        <v>47.8</v>
      </c>
      <c r="O225" s="12">
        <v>14.93</v>
      </c>
      <c r="P225" s="21">
        <v>38.016379999999998</v>
      </c>
    </row>
    <row r="226" spans="1:16" ht="20" customHeight="1">
      <c r="A226" s="8" t="s">
        <v>238</v>
      </c>
      <c r="B226" s="9">
        <v>1</v>
      </c>
      <c r="C226" s="10">
        <v>38</v>
      </c>
      <c r="D226" s="10">
        <v>39</v>
      </c>
      <c r="E226" s="10">
        <f t="shared" si="89"/>
        <v>2947985.6666666665</v>
      </c>
      <c r="F226" s="10">
        <f t="shared" si="90"/>
        <v>34303.333333333336</v>
      </c>
      <c r="G226" s="10">
        <f t="shared" si="91"/>
        <v>82043.416666666672</v>
      </c>
      <c r="H226" s="13">
        <v>3644.1666666666702</v>
      </c>
      <c r="I226" s="13">
        <v>346901.5</v>
      </c>
      <c r="J226" s="13">
        <v>15011.5</v>
      </c>
      <c r="K226" s="10">
        <f t="shared" si="92"/>
        <v>23831.166666666668</v>
      </c>
      <c r="L226" s="10">
        <v>78.599999999999994</v>
      </c>
      <c r="M226" s="12">
        <v>63.2</v>
      </c>
      <c r="N226" s="12">
        <v>47.8</v>
      </c>
      <c r="O226" s="12">
        <v>14.93</v>
      </c>
      <c r="P226" s="21">
        <v>32.032400000000003</v>
      </c>
    </row>
    <row r="227" spans="1:16" ht="20" customHeight="1">
      <c r="A227" s="8" t="s">
        <v>239</v>
      </c>
      <c r="B227" s="9">
        <v>1</v>
      </c>
      <c r="C227" s="10">
        <v>35</v>
      </c>
      <c r="D227" s="10">
        <v>36</v>
      </c>
      <c r="E227" s="10">
        <f t="shared" si="89"/>
        <v>2947985.6666666665</v>
      </c>
      <c r="F227" s="10">
        <f t="shared" si="90"/>
        <v>34303.333333333336</v>
      </c>
      <c r="G227" s="10">
        <f t="shared" si="91"/>
        <v>82043.416666666672</v>
      </c>
      <c r="H227" s="13">
        <v>3644.1666666666702</v>
      </c>
      <c r="I227" s="13">
        <v>346901.5</v>
      </c>
      <c r="J227" s="13">
        <v>15011.5</v>
      </c>
      <c r="K227" s="10">
        <f t="shared" si="92"/>
        <v>23831.166666666668</v>
      </c>
      <c r="L227" s="10">
        <v>78.599999999999994</v>
      </c>
      <c r="M227" s="12">
        <v>63.2</v>
      </c>
      <c r="N227" s="12">
        <v>47.8</v>
      </c>
      <c r="O227" s="12">
        <v>14.93</v>
      </c>
      <c r="P227" s="21">
        <v>34.460090000000001</v>
      </c>
    </row>
    <row r="228" spans="1:16" ht="20" customHeight="1">
      <c r="A228" s="8" t="s">
        <v>240</v>
      </c>
      <c r="B228" s="9">
        <v>2</v>
      </c>
      <c r="C228" s="10">
        <v>32</v>
      </c>
      <c r="D228" s="10">
        <v>34</v>
      </c>
      <c r="E228" s="10">
        <f t="shared" si="89"/>
        <v>2947985.6666666665</v>
      </c>
      <c r="F228" s="10">
        <f t="shared" si="90"/>
        <v>34303.333333333336</v>
      </c>
      <c r="G228" s="10">
        <f t="shared" si="91"/>
        <v>82043.416666666672</v>
      </c>
      <c r="H228" s="13">
        <v>3644.1666666666702</v>
      </c>
      <c r="I228" s="13">
        <v>346901.5</v>
      </c>
      <c r="J228" s="13">
        <v>15011.5</v>
      </c>
      <c r="K228" s="10">
        <f t="shared" si="92"/>
        <v>23831.166666666668</v>
      </c>
      <c r="L228" s="10">
        <v>78.599999999999994</v>
      </c>
      <c r="M228" s="12">
        <v>63.2</v>
      </c>
      <c r="N228" s="12">
        <v>47.8</v>
      </c>
      <c r="O228" s="12">
        <v>14.93</v>
      </c>
      <c r="P228" s="21">
        <v>24.942699999999999</v>
      </c>
    </row>
    <row r="229" spans="1:16" ht="20" customHeight="1">
      <c r="A229" s="8" t="s">
        <v>241</v>
      </c>
      <c r="B229" s="9">
        <v>2</v>
      </c>
      <c r="C229" s="10">
        <v>32</v>
      </c>
      <c r="D229" s="10">
        <v>34</v>
      </c>
      <c r="E229" s="10">
        <f t="shared" si="89"/>
        <v>2947985.6666666665</v>
      </c>
      <c r="F229" s="10">
        <f t="shared" si="90"/>
        <v>34303.333333333336</v>
      </c>
      <c r="G229" s="10">
        <f t="shared" si="91"/>
        <v>82043.416666666672</v>
      </c>
      <c r="H229" s="13">
        <v>3644.1666666666702</v>
      </c>
      <c r="I229" s="13">
        <v>346901.5</v>
      </c>
      <c r="J229" s="13">
        <v>15011.5</v>
      </c>
      <c r="K229" s="10">
        <f t="shared" si="92"/>
        <v>23831.166666666668</v>
      </c>
      <c r="L229" s="10">
        <v>78.599999999999994</v>
      </c>
      <c r="M229" s="12">
        <v>63.2</v>
      </c>
      <c r="N229" s="12">
        <v>47.8</v>
      </c>
      <c r="O229" s="12">
        <v>14.93</v>
      </c>
      <c r="P229" s="21">
        <v>32.258099999999999</v>
      </c>
    </row>
    <row r="230" spans="1:16" ht="20" customHeight="1">
      <c r="A230" s="8" t="s">
        <v>242</v>
      </c>
      <c r="B230" s="9">
        <v>2</v>
      </c>
      <c r="C230" s="10">
        <v>37</v>
      </c>
      <c r="D230" s="10">
        <v>39</v>
      </c>
      <c r="E230" s="10">
        <f t="shared" si="89"/>
        <v>2947985.6666666665</v>
      </c>
      <c r="F230" s="10">
        <f t="shared" si="90"/>
        <v>34303.333333333336</v>
      </c>
      <c r="G230" s="10">
        <f t="shared" si="91"/>
        <v>82043.416666666672</v>
      </c>
      <c r="H230" s="13">
        <v>3644.1666666666702</v>
      </c>
      <c r="I230" s="13">
        <v>346901.5</v>
      </c>
      <c r="J230" s="13">
        <v>15011.5</v>
      </c>
      <c r="K230" s="10">
        <f t="shared" si="92"/>
        <v>23831.166666666668</v>
      </c>
      <c r="L230" s="10">
        <v>78.599999999999994</v>
      </c>
      <c r="M230" s="12">
        <v>63.2</v>
      </c>
      <c r="N230" s="12">
        <v>47.8</v>
      </c>
      <c r="O230" s="12">
        <v>14.93</v>
      </c>
      <c r="P230" s="21">
        <v>39.344000000000001</v>
      </c>
    </row>
    <row r="231" spans="1:16" ht="20" customHeight="1">
      <c r="A231" s="8" t="s">
        <v>243</v>
      </c>
      <c r="B231" s="9">
        <v>2</v>
      </c>
      <c r="C231" s="10">
        <v>31</v>
      </c>
      <c r="D231" s="10">
        <v>33</v>
      </c>
      <c r="E231" s="10">
        <f t="shared" ref="E231:E242" si="93">33359104/12</f>
        <v>2779925.3333333335</v>
      </c>
      <c r="F231" s="10">
        <f t="shared" si="90"/>
        <v>34303.333333333336</v>
      </c>
      <c r="G231" s="10">
        <f t="shared" si="91"/>
        <v>82043.416666666672</v>
      </c>
      <c r="H231" s="13">
        <v>3727.8333333333298</v>
      </c>
      <c r="I231" s="10">
        <f t="shared" ref="I231:I242" si="94">5512635/12</f>
        <v>459386.25</v>
      </c>
      <c r="J231" s="10">
        <f t="shared" ref="J231:J242" si="95">165364/12</f>
        <v>13780.333333333334</v>
      </c>
      <c r="K231" s="10">
        <v>390687</v>
      </c>
      <c r="L231" s="10">
        <v>82.6</v>
      </c>
      <c r="M231" s="12">
        <v>65.8</v>
      </c>
      <c r="N231" s="12">
        <v>49</v>
      </c>
      <c r="O231" s="12">
        <v>13.58</v>
      </c>
      <c r="P231" s="21">
        <v>38.991</v>
      </c>
    </row>
    <row r="232" spans="1:16" ht="20" customHeight="1">
      <c r="A232" s="8" t="s">
        <v>244</v>
      </c>
      <c r="B232" s="9">
        <v>2</v>
      </c>
      <c r="C232" s="10">
        <v>29</v>
      </c>
      <c r="D232" s="10">
        <v>31</v>
      </c>
      <c r="E232" s="10">
        <f t="shared" si="93"/>
        <v>2779925.3333333335</v>
      </c>
      <c r="F232" s="14">
        <f t="shared" ref="F232:F242" si="96">647464/12</f>
        <v>53955.333333333336</v>
      </c>
      <c r="G232" s="10">
        <f t="shared" ref="G232:G242" si="97">1075863/12</f>
        <v>89655.25</v>
      </c>
      <c r="H232" s="13">
        <v>3727.8333333333298</v>
      </c>
      <c r="I232" s="10">
        <f t="shared" si="94"/>
        <v>459386.25</v>
      </c>
      <c r="J232" s="10">
        <f t="shared" si="95"/>
        <v>13780.333333333334</v>
      </c>
      <c r="K232" s="10">
        <v>390687</v>
      </c>
      <c r="L232" s="10">
        <v>82.6</v>
      </c>
      <c r="M232" s="12">
        <v>65.8</v>
      </c>
      <c r="N232" s="12">
        <v>49</v>
      </c>
      <c r="O232" s="12">
        <v>13.58</v>
      </c>
      <c r="P232" s="21">
        <v>39.53</v>
      </c>
    </row>
    <row r="233" spans="1:16" ht="20" customHeight="1">
      <c r="A233" s="8" t="s">
        <v>245</v>
      </c>
      <c r="B233" s="9">
        <v>2</v>
      </c>
      <c r="C233" s="10">
        <v>32</v>
      </c>
      <c r="D233" s="10">
        <v>34</v>
      </c>
      <c r="E233" s="10">
        <f t="shared" si="93"/>
        <v>2779925.3333333335</v>
      </c>
      <c r="F233" s="14">
        <f t="shared" si="96"/>
        <v>53955.333333333336</v>
      </c>
      <c r="G233" s="10">
        <f t="shared" si="97"/>
        <v>89655.25</v>
      </c>
      <c r="H233" s="13">
        <v>3727.8333333333298</v>
      </c>
      <c r="I233" s="10">
        <f t="shared" si="94"/>
        <v>459386.25</v>
      </c>
      <c r="J233" s="10">
        <f t="shared" si="95"/>
        <v>13780.333333333334</v>
      </c>
      <c r="K233" s="10">
        <v>390687</v>
      </c>
      <c r="L233" s="10">
        <v>82.6</v>
      </c>
      <c r="M233" s="12">
        <v>65.8</v>
      </c>
      <c r="N233" s="12">
        <v>49</v>
      </c>
      <c r="O233" s="12">
        <v>13.58</v>
      </c>
      <c r="P233" s="21">
        <v>40.318959999999997</v>
      </c>
    </row>
    <row r="234" spans="1:16" ht="20" customHeight="1">
      <c r="A234" s="8" t="s">
        <v>246</v>
      </c>
      <c r="B234" s="9">
        <v>1</v>
      </c>
      <c r="C234" s="10">
        <v>28</v>
      </c>
      <c r="D234" s="10">
        <v>29</v>
      </c>
      <c r="E234" s="10">
        <f t="shared" si="93"/>
        <v>2779925.3333333335</v>
      </c>
      <c r="F234" s="14">
        <f t="shared" si="96"/>
        <v>53955.333333333336</v>
      </c>
      <c r="G234" s="10">
        <f t="shared" si="97"/>
        <v>89655.25</v>
      </c>
      <c r="H234" s="13">
        <v>3727.8333333333298</v>
      </c>
      <c r="I234" s="10">
        <f t="shared" si="94"/>
        <v>459386.25</v>
      </c>
      <c r="J234" s="10">
        <f t="shared" si="95"/>
        <v>13780.333333333334</v>
      </c>
      <c r="K234" s="10">
        <v>390687</v>
      </c>
      <c r="L234" s="10">
        <v>82.6</v>
      </c>
      <c r="M234" s="12">
        <v>65.8</v>
      </c>
      <c r="N234" s="12">
        <v>49</v>
      </c>
      <c r="O234" s="12">
        <v>13.58</v>
      </c>
      <c r="P234" s="21">
        <v>41.80142</v>
      </c>
    </row>
    <row r="235" spans="1:16" ht="20" customHeight="1">
      <c r="A235" s="8" t="s">
        <v>247</v>
      </c>
      <c r="B235" s="9">
        <v>1</v>
      </c>
      <c r="C235" s="10">
        <v>28</v>
      </c>
      <c r="D235" s="10">
        <v>29</v>
      </c>
      <c r="E235" s="10">
        <f t="shared" si="93"/>
        <v>2779925.3333333335</v>
      </c>
      <c r="F235" s="14">
        <f t="shared" si="96"/>
        <v>53955.333333333336</v>
      </c>
      <c r="G235" s="10">
        <f t="shared" si="97"/>
        <v>89655.25</v>
      </c>
      <c r="H235" s="13">
        <v>3727.8333333333298</v>
      </c>
      <c r="I235" s="10">
        <f t="shared" si="94"/>
        <v>459386.25</v>
      </c>
      <c r="J235" s="10">
        <f t="shared" si="95"/>
        <v>13780.333333333334</v>
      </c>
      <c r="K235" s="10">
        <v>390687</v>
      </c>
      <c r="L235" s="10">
        <v>82.6</v>
      </c>
      <c r="M235" s="12">
        <v>65.8</v>
      </c>
      <c r="N235" s="12">
        <v>49</v>
      </c>
      <c r="O235" s="12">
        <v>13.58</v>
      </c>
      <c r="P235" s="21">
        <v>40.360999999999997</v>
      </c>
    </row>
    <row r="236" spans="1:16" ht="20" customHeight="1">
      <c r="A236" s="8" t="s">
        <v>248</v>
      </c>
      <c r="B236" s="9">
        <v>1</v>
      </c>
      <c r="C236" s="10">
        <v>28</v>
      </c>
      <c r="D236" s="10">
        <v>29</v>
      </c>
      <c r="E236" s="10">
        <f t="shared" si="93"/>
        <v>2779925.3333333335</v>
      </c>
      <c r="F236" s="14">
        <f t="shared" si="96"/>
        <v>53955.333333333336</v>
      </c>
      <c r="G236" s="10">
        <f t="shared" si="97"/>
        <v>89655.25</v>
      </c>
      <c r="H236" s="13">
        <v>3727.8333333333298</v>
      </c>
      <c r="I236" s="10">
        <f t="shared" si="94"/>
        <v>459386.25</v>
      </c>
      <c r="J236" s="10">
        <f t="shared" si="95"/>
        <v>13780.333333333334</v>
      </c>
      <c r="K236" s="10">
        <v>390687</v>
      </c>
      <c r="L236" s="10">
        <v>82.6</v>
      </c>
      <c r="M236" s="12">
        <v>65.8</v>
      </c>
      <c r="N236" s="12">
        <v>49</v>
      </c>
      <c r="O236" s="12">
        <v>13.58</v>
      </c>
      <c r="P236" s="21">
        <v>40.637839999999997</v>
      </c>
    </row>
    <row r="237" spans="1:16" ht="20" customHeight="1">
      <c r="A237" s="8" t="s">
        <v>249</v>
      </c>
      <c r="B237" s="9">
        <v>2</v>
      </c>
      <c r="C237" s="10">
        <v>37</v>
      </c>
      <c r="D237" s="10">
        <v>39</v>
      </c>
      <c r="E237" s="10">
        <f t="shared" si="93"/>
        <v>2779925.3333333335</v>
      </c>
      <c r="F237" s="14">
        <f t="shared" si="96"/>
        <v>53955.333333333336</v>
      </c>
      <c r="G237" s="10">
        <f t="shared" si="97"/>
        <v>89655.25</v>
      </c>
      <c r="H237" s="13">
        <v>3727.8333333333298</v>
      </c>
      <c r="I237" s="10">
        <f t="shared" si="94"/>
        <v>459386.25</v>
      </c>
      <c r="J237" s="10">
        <f t="shared" si="95"/>
        <v>13780.333333333334</v>
      </c>
      <c r="K237" s="10">
        <v>390687</v>
      </c>
      <c r="L237" s="10">
        <v>82.6</v>
      </c>
      <c r="M237" s="12">
        <v>65.8</v>
      </c>
      <c r="N237" s="12">
        <v>49</v>
      </c>
      <c r="O237" s="12">
        <v>13.58</v>
      </c>
      <c r="P237" s="21">
        <v>39.158799999999999</v>
      </c>
    </row>
    <row r="238" spans="1:16" ht="20" customHeight="1">
      <c r="A238" s="8" t="s">
        <v>250</v>
      </c>
      <c r="B238" s="9">
        <v>3</v>
      </c>
      <c r="C238" s="10">
        <v>35</v>
      </c>
      <c r="D238" s="10">
        <v>38</v>
      </c>
      <c r="E238" s="10">
        <f t="shared" si="93"/>
        <v>2779925.3333333335</v>
      </c>
      <c r="F238" s="14">
        <f t="shared" si="96"/>
        <v>53955.333333333336</v>
      </c>
      <c r="G238" s="10">
        <f t="shared" si="97"/>
        <v>89655.25</v>
      </c>
      <c r="H238" s="13">
        <v>3727.8333333333298</v>
      </c>
      <c r="I238" s="10">
        <f t="shared" si="94"/>
        <v>459386.25</v>
      </c>
      <c r="J238" s="10">
        <f t="shared" si="95"/>
        <v>13780.333333333334</v>
      </c>
      <c r="K238" s="10">
        <v>390687</v>
      </c>
      <c r="L238" s="10">
        <v>82.6</v>
      </c>
      <c r="M238" s="12">
        <v>65.8</v>
      </c>
      <c r="N238" s="12">
        <v>49</v>
      </c>
      <c r="O238" s="12">
        <v>13.58</v>
      </c>
      <c r="P238" s="21">
        <v>42.55209</v>
      </c>
    </row>
    <row r="239" spans="1:16" ht="20" customHeight="1">
      <c r="A239" s="8" t="s">
        <v>251</v>
      </c>
      <c r="B239" s="9">
        <v>2</v>
      </c>
      <c r="C239" s="10">
        <v>30</v>
      </c>
      <c r="D239" s="10">
        <v>32</v>
      </c>
      <c r="E239" s="10">
        <f t="shared" si="93"/>
        <v>2779925.3333333335</v>
      </c>
      <c r="F239" s="14">
        <f t="shared" si="96"/>
        <v>53955.333333333336</v>
      </c>
      <c r="G239" s="10">
        <f t="shared" si="97"/>
        <v>89655.25</v>
      </c>
      <c r="H239" s="13">
        <v>3727.8333333333298</v>
      </c>
      <c r="I239" s="10">
        <f t="shared" si="94"/>
        <v>459386.25</v>
      </c>
      <c r="J239" s="10">
        <f t="shared" si="95"/>
        <v>13780.333333333334</v>
      </c>
      <c r="K239" s="10">
        <v>390687</v>
      </c>
      <c r="L239" s="10">
        <v>82.6</v>
      </c>
      <c r="M239" s="12">
        <v>65.8</v>
      </c>
      <c r="N239" s="12">
        <v>49</v>
      </c>
      <c r="O239" s="12">
        <v>13.58</v>
      </c>
      <c r="P239" s="21">
        <v>38.57837</v>
      </c>
    </row>
    <row r="240" spans="1:16" ht="20" customHeight="1">
      <c r="A240" s="8" t="s">
        <v>252</v>
      </c>
      <c r="B240" s="9">
        <v>2</v>
      </c>
      <c r="C240" s="10">
        <v>33</v>
      </c>
      <c r="D240" s="10">
        <v>35</v>
      </c>
      <c r="E240" s="10">
        <f t="shared" si="93"/>
        <v>2779925.3333333335</v>
      </c>
      <c r="F240" s="14">
        <f t="shared" si="96"/>
        <v>53955.333333333336</v>
      </c>
      <c r="G240" s="10">
        <f t="shared" si="97"/>
        <v>89655.25</v>
      </c>
      <c r="H240" s="13">
        <v>3727.8333333333298</v>
      </c>
      <c r="I240" s="10">
        <f t="shared" si="94"/>
        <v>459386.25</v>
      </c>
      <c r="J240" s="10">
        <f t="shared" si="95"/>
        <v>13780.333333333334</v>
      </c>
      <c r="K240" s="10">
        <v>390687</v>
      </c>
      <c r="L240" s="10">
        <v>82.6</v>
      </c>
      <c r="M240" s="12">
        <v>65.8</v>
      </c>
      <c r="N240" s="12">
        <v>49</v>
      </c>
      <c r="O240" s="12">
        <v>13.58</v>
      </c>
      <c r="P240" s="21">
        <v>37.510449999999999</v>
      </c>
    </row>
    <row r="241" spans="1:16" ht="20" customHeight="1">
      <c r="A241" s="8" t="s">
        <v>253</v>
      </c>
      <c r="B241" s="9">
        <v>1</v>
      </c>
      <c r="C241" s="10">
        <v>34</v>
      </c>
      <c r="D241" s="10">
        <v>35</v>
      </c>
      <c r="E241" s="10">
        <f t="shared" si="93"/>
        <v>2779925.3333333335</v>
      </c>
      <c r="F241" s="14">
        <f t="shared" si="96"/>
        <v>53955.333333333336</v>
      </c>
      <c r="G241" s="10">
        <f t="shared" si="97"/>
        <v>89655.25</v>
      </c>
      <c r="H241" s="13">
        <v>3727.8333333333298</v>
      </c>
      <c r="I241" s="10">
        <f t="shared" si="94"/>
        <v>459386.25</v>
      </c>
      <c r="J241" s="10">
        <f t="shared" si="95"/>
        <v>13780.333333333334</v>
      </c>
      <c r="K241" s="10">
        <v>390687</v>
      </c>
      <c r="L241" s="10">
        <v>82.6</v>
      </c>
      <c r="M241" s="12">
        <v>65.8</v>
      </c>
      <c r="N241" s="12">
        <v>49</v>
      </c>
      <c r="O241" s="12">
        <v>13.58</v>
      </c>
      <c r="P241" s="21">
        <v>43.103279999999998</v>
      </c>
    </row>
    <row r="242" spans="1:16" ht="20" customHeight="1">
      <c r="A242" s="8" t="s">
        <v>254</v>
      </c>
      <c r="B242" s="9">
        <v>1</v>
      </c>
      <c r="C242" s="10">
        <v>34</v>
      </c>
      <c r="D242" s="10">
        <v>35</v>
      </c>
      <c r="E242" s="10">
        <f t="shared" si="93"/>
        <v>2779925.3333333335</v>
      </c>
      <c r="F242" s="14">
        <f t="shared" si="96"/>
        <v>53955.333333333336</v>
      </c>
      <c r="G242" s="10">
        <f t="shared" si="97"/>
        <v>89655.25</v>
      </c>
      <c r="H242" s="13">
        <v>3727.8333333333298</v>
      </c>
      <c r="I242" s="10">
        <f t="shared" si="94"/>
        <v>459386.25</v>
      </c>
      <c r="J242" s="10">
        <f t="shared" si="95"/>
        <v>13780.333333333334</v>
      </c>
      <c r="K242" s="10">
        <v>390687</v>
      </c>
      <c r="L242" s="10">
        <v>82.6</v>
      </c>
      <c r="M242" s="12">
        <v>65.8</v>
      </c>
      <c r="N242" s="12">
        <v>49</v>
      </c>
      <c r="O242" s="12">
        <v>13.58</v>
      </c>
      <c r="P242" s="21">
        <v>44.146680000000003</v>
      </c>
    </row>
    <row r="243" spans="1:16" ht="20" customHeight="1">
      <c r="A243" s="8" t="s">
        <v>255</v>
      </c>
      <c r="B243" s="9">
        <v>1</v>
      </c>
      <c r="C243" s="10">
        <v>32</v>
      </c>
      <c r="D243" s="10">
        <v>33</v>
      </c>
      <c r="E243" s="10">
        <f t="shared" ref="E243:E254" si="98">32038128/12</f>
        <v>2669844</v>
      </c>
      <c r="F243" s="14">
        <f t="shared" ref="F243:F254" si="99">864612/12</f>
        <v>72051</v>
      </c>
      <c r="G243" s="10">
        <f t="shared" ref="G243:G254" si="100">781365/12</f>
        <v>65113.75</v>
      </c>
      <c r="H243" s="13">
        <v>5027.6666666666697</v>
      </c>
      <c r="I243" s="13">
        <v>703988.33333333302</v>
      </c>
      <c r="J243" s="13">
        <v>14922.666666666701</v>
      </c>
      <c r="K243" s="13">
        <v>30014.083333333299</v>
      </c>
      <c r="L243" s="10">
        <v>77.7</v>
      </c>
      <c r="M243" s="12">
        <v>62.2</v>
      </c>
      <c r="N243" s="12">
        <v>46.7</v>
      </c>
      <c r="O243" s="12">
        <v>17.32</v>
      </c>
      <c r="P243" s="21">
        <v>39.747920000000001</v>
      </c>
    </row>
    <row r="244" spans="1:16" ht="20" customHeight="1">
      <c r="A244" s="8" t="s">
        <v>256</v>
      </c>
      <c r="B244" s="9">
        <v>1</v>
      </c>
      <c r="C244" s="10">
        <v>29</v>
      </c>
      <c r="D244" s="10">
        <v>30</v>
      </c>
      <c r="E244" s="10">
        <f t="shared" si="98"/>
        <v>2669844</v>
      </c>
      <c r="F244" s="14">
        <f t="shared" si="99"/>
        <v>72051</v>
      </c>
      <c r="G244" s="10">
        <f t="shared" si="100"/>
        <v>65113.75</v>
      </c>
      <c r="H244" s="13">
        <v>5027.6666666666697</v>
      </c>
      <c r="I244" s="13">
        <v>703988.33333333302</v>
      </c>
      <c r="J244" s="13">
        <v>14922.666666666701</v>
      </c>
      <c r="K244" s="13">
        <v>30014.083333333299</v>
      </c>
      <c r="L244" s="10">
        <v>77.7</v>
      </c>
      <c r="M244" s="12">
        <v>62.2</v>
      </c>
      <c r="N244" s="12">
        <v>46.7</v>
      </c>
      <c r="O244" s="12">
        <v>17.32</v>
      </c>
      <c r="P244" s="21">
        <v>39.15401</v>
      </c>
    </row>
    <row r="245" spans="1:16" ht="20" customHeight="1">
      <c r="A245" s="8" t="s">
        <v>257</v>
      </c>
      <c r="B245" s="9">
        <v>1</v>
      </c>
      <c r="C245" s="10">
        <v>31</v>
      </c>
      <c r="D245" s="10">
        <v>32</v>
      </c>
      <c r="E245" s="10">
        <f t="shared" si="98"/>
        <v>2669844</v>
      </c>
      <c r="F245" s="14">
        <f t="shared" si="99"/>
        <v>72051</v>
      </c>
      <c r="G245" s="10">
        <f t="shared" si="100"/>
        <v>65113.75</v>
      </c>
      <c r="H245" s="13">
        <v>5027.6666666666697</v>
      </c>
      <c r="I245" s="13">
        <v>703988.33333333302</v>
      </c>
      <c r="J245" s="13">
        <v>14922.666666666701</v>
      </c>
      <c r="K245" s="13">
        <v>30014.083333333299</v>
      </c>
      <c r="L245" s="10">
        <v>77.7</v>
      </c>
      <c r="M245" s="12">
        <v>62.2</v>
      </c>
      <c r="N245" s="12">
        <v>46.7</v>
      </c>
      <c r="O245" s="12">
        <v>17.32</v>
      </c>
      <c r="P245" s="21">
        <v>35.901290000000003</v>
      </c>
    </row>
    <row r="246" spans="1:16" ht="20" customHeight="1">
      <c r="A246" s="8" t="s">
        <v>258</v>
      </c>
      <c r="B246" s="9">
        <v>2</v>
      </c>
      <c r="C246" s="10">
        <v>26</v>
      </c>
      <c r="D246" s="10">
        <v>28</v>
      </c>
      <c r="E246" s="10">
        <f t="shared" si="98"/>
        <v>2669844</v>
      </c>
      <c r="F246" s="14">
        <f t="shared" si="99"/>
        <v>72051</v>
      </c>
      <c r="G246" s="10">
        <f t="shared" si="100"/>
        <v>65113.75</v>
      </c>
      <c r="H246" s="13">
        <v>5027.6666666666697</v>
      </c>
      <c r="I246" s="13">
        <v>703988.33333333302</v>
      </c>
      <c r="J246" s="13">
        <v>14922.666666666701</v>
      </c>
      <c r="K246" s="13">
        <v>30014.083333333299</v>
      </c>
      <c r="L246" s="10">
        <v>77.7</v>
      </c>
      <c r="M246" s="12">
        <v>62.2</v>
      </c>
      <c r="N246" s="12">
        <v>46.7</v>
      </c>
      <c r="O246" s="12">
        <v>17.32</v>
      </c>
      <c r="P246" s="21">
        <v>37.01493</v>
      </c>
    </row>
    <row r="247" spans="1:16" ht="20" customHeight="1">
      <c r="A247" s="8" t="s">
        <v>259</v>
      </c>
      <c r="B247" s="9">
        <v>2</v>
      </c>
      <c r="C247" s="10">
        <v>28</v>
      </c>
      <c r="D247" s="10">
        <v>30</v>
      </c>
      <c r="E247" s="10">
        <f t="shared" si="98"/>
        <v>2669844</v>
      </c>
      <c r="F247" s="14">
        <f t="shared" si="99"/>
        <v>72051</v>
      </c>
      <c r="G247" s="10">
        <f t="shared" si="100"/>
        <v>65113.75</v>
      </c>
      <c r="H247" s="13">
        <v>5027.6666666666697</v>
      </c>
      <c r="I247" s="13">
        <v>703988.33333333302</v>
      </c>
      <c r="J247" s="13">
        <v>14922.666666666701</v>
      </c>
      <c r="K247" s="13">
        <v>30014.083333333299</v>
      </c>
      <c r="L247" s="10">
        <v>77.7</v>
      </c>
      <c r="M247" s="12">
        <v>62.2</v>
      </c>
      <c r="N247" s="12">
        <v>46.7</v>
      </c>
      <c r="O247" s="12">
        <v>17.32</v>
      </c>
      <c r="P247" s="21">
        <v>37.221649999999997</v>
      </c>
    </row>
    <row r="248" spans="1:16" ht="20" customHeight="1">
      <c r="A248" s="8" t="s">
        <v>260</v>
      </c>
      <c r="B248" s="9">
        <v>2</v>
      </c>
      <c r="C248" s="10">
        <v>33</v>
      </c>
      <c r="D248" s="10">
        <v>35</v>
      </c>
      <c r="E248" s="10">
        <f t="shared" si="98"/>
        <v>2669844</v>
      </c>
      <c r="F248" s="14">
        <f t="shared" si="99"/>
        <v>72051</v>
      </c>
      <c r="G248" s="10">
        <f t="shared" si="100"/>
        <v>65113.75</v>
      </c>
      <c r="H248" s="13">
        <v>5027.6666666666697</v>
      </c>
      <c r="I248" s="13">
        <v>703988.33333333302</v>
      </c>
      <c r="J248" s="13">
        <v>14922.666666666701</v>
      </c>
      <c r="K248" s="13">
        <v>30014.083333333299</v>
      </c>
      <c r="L248" s="10">
        <v>77.7</v>
      </c>
      <c r="M248" s="12">
        <v>62.2</v>
      </c>
      <c r="N248" s="12">
        <v>46.7</v>
      </c>
      <c r="O248" s="12">
        <v>17.32</v>
      </c>
      <c r="P248" s="21">
        <v>31.95533</v>
      </c>
    </row>
    <row r="249" spans="1:16" ht="20" customHeight="1">
      <c r="A249" s="8" t="s">
        <v>261</v>
      </c>
      <c r="B249" s="9">
        <v>2</v>
      </c>
      <c r="C249" s="10">
        <v>39</v>
      </c>
      <c r="D249" s="10">
        <v>41</v>
      </c>
      <c r="E249" s="10">
        <f t="shared" si="98"/>
        <v>2669844</v>
      </c>
      <c r="F249" s="14">
        <f t="shared" si="99"/>
        <v>72051</v>
      </c>
      <c r="G249" s="10">
        <f t="shared" si="100"/>
        <v>65113.75</v>
      </c>
      <c r="H249" s="13">
        <v>5027.6666666666697</v>
      </c>
      <c r="I249" s="13">
        <v>703988.33333333302</v>
      </c>
      <c r="J249" s="13">
        <v>14922.666666666701</v>
      </c>
      <c r="K249" s="13">
        <v>30014.083333333299</v>
      </c>
      <c r="L249" s="10">
        <v>77.7</v>
      </c>
      <c r="M249" s="12">
        <v>62.2</v>
      </c>
      <c r="N249" s="12">
        <v>46.7</v>
      </c>
      <c r="O249" s="12">
        <v>17.32</v>
      </c>
      <c r="P249" s="21">
        <v>33.313360000000003</v>
      </c>
    </row>
    <row r="250" spans="1:16" ht="20" customHeight="1">
      <c r="A250" s="8" t="s">
        <v>262</v>
      </c>
      <c r="B250" s="9">
        <v>2</v>
      </c>
      <c r="C250" s="10">
        <v>35</v>
      </c>
      <c r="D250" s="10">
        <v>37</v>
      </c>
      <c r="E250" s="10">
        <f t="shared" si="98"/>
        <v>2669844</v>
      </c>
      <c r="F250" s="14">
        <f t="shared" si="99"/>
        <v>72051</v>
      </c>
      <c r="G250" s="10">
        <f t="shared" si="100"/>
        <v>65113.75</v>
      </c>
      <c r="H250" s="13">
        <v>5027.6666666666697</v>
      </c>
      <c r="I250" s="13">
        <v>703988.33333333302</v>
      </c>
      <c r="J250" s="13">
        <v>14922.666666666701</v>
      </c>
      <c r="K250" s="13">
        <v>30014.083333333299</v>
      </c>
      <c r="L250" s="10">
        <v>77.7</v>
      </c>
      <c r="M250" s="12">
        <v>62.2</v>
      </c>
      <c r="N250" s="12">
        <v>46.7</v>
      </c>
      <c r="O250" s="12">
        <v>17.32</v>
      </c>
      <c r="P250" s="21">
        <v>29.862290000000002</v>
      </c>
    </row>
    <row r="251" spans="1:16" ht="20" customHeight="1">
      <c r="A251" s="8" t="s">
        <v>263</v>
      </c>
      <c r="B251" s="9">
        <v>2</v>
      </c>
      <c r="C251" s="10">
        <v>35</v>
      </c>
      <c r="D251" s="10">
        <v>37</v>
      </c>
      <c r="E251" s="10">
        <f t="shared" si="98"/>
        <v>2669844</v>
      </c>
      <c r="F251" s="14">
        <f t="shared" si="99"/>
        <v>72051</v>
      </c>
      <c r="G251" s="10">
        <f t="shared" si="100"/>
        <v>65113.75</v>
      </c>
      <c r="H251" s="13">
        <v>5027.6666666666697</v>
      </c>
      <c r="I251" s="13">
        <v>703988.33333333302</v>
      </c>
      <c r="J251" s="13">
        <v>14922.666666666701</v>
      </c>
      <c r="K251" s="13">
        <v>30014.083333333299</v>
      </c>
      <c r="L251" s="10">
        <v>77.7</v>
      </c>
      <c r="M251" s="12">
        <v>62.2</v>
      </c>
      <c r="N251" s="12">
        <v>46.7</v>
      </c>
      <c r="O251" s="12">
        <v>17.32</v>
      </c>
      <c r="P251" s="21">
        <v>35.879860000000001</v>
      </c>
    </row>
    <row r="252" spans="1:16" ht="20" customHeight="1">
      <c r="A252" s="8" t="s">
        <v>264</v>
      </c>
      <c r="B252" s="9">
        <v>2</v>
      </c>
      <c r="C252" s="10">
        <v>30</v>
      </c>
      <c r="D252" s="10">
        <v>32</v>
      </c>
      <c r="E252" s="10">
        <f t="shared" si="98"/>
        <v>2669844</v>
      </c>
      <c r="F252" s="14">
        <f t="shared" si="99"/>
        <v>72051</v>
      </c>
      <c r="G252" s="10">
        <f t="shared" si="100"/>
        <v>65113.75</v>
      </c>
      <c r="H252" s="13">
        <v>5027.6666666666697</v>
      </c>
      <c r="I252" s="13">
        <v>703988.33333333302</v>
      </c>
      <c r="J252" s="13">
        <v>14922.666666666701</v>
      </c>
      <c r="K252" s="13">
        <v>30014.083333333299</v>
      </c>
      <c r="L252" s="10">
        <v>77.7</v>
      </c>
      <c r="M252" s="12">
        <v>62.2</v>
      </c>
      <c r="N252" s="12">
        <v>46.7</v>
      </c>
      <c r="O252" s="12">
        <v>17.32</v>
      </c>
      <c r="P252" s="21">
        <v>30.143000000000001</v>
      </c>
    </row>
    <row r="253" spans="1:16" ht="20" customHeight="1">
      <c r="A253" s="8" t="s">
        <v>265</v>
      </c>
      <c r="B253" s="9">
        <v>2</v>
      </c>
      <c r="C253" s="10">
        <v>25</v>
      </c>
      <c r="D253" s="10">
        <v>27</v>
      </c>
      <c r="E253" s="10">
        <f t="shared" si="98"/>
        <v>2669844</v>
      </c>
      <c r="F253" s="14">
        <f t="shared" si="99"/>
        <v>72051</v>
      </c>
      <c r="G253" s="10">
        <f t="shared" si="100"/>
        <v>65113.75</v>
      </c>
      <c r="H253" s="13">
        <v>5027.6666666666697</v>
      </c>
      <c r="I253" s="13">
        <v>703988.33333333302</v>
      </c>
      <c r="J253" s="13">
        <v>14922.666666666701</v>
      </c>
      <c r="K253" s="13">
        <v>30014.083333333299</v>
      </c>
      <c r="L253" s="10">
        <v>77.7</v>
      </c>
      <c r="M253" s="12">
        <v>62.2</v>
      </c>
      <c r="N253" s="12">
        <v>46.7</v>
      </c>
      <c r="O253" s="12">
        <v>17.32</v>
      </c>
      <c r="P253" s="21">
        <v>39.603999999999999</v>
      </c>
    </row>
    <row r="254" spans="1:16" ht="20" customHeight="1">
      <c r="A254" s="8" t="s">
        <v>266</v>
      </c>
      <c r="B254" s="9">
        <v>1</v>
      </c>
      <c r="C254" s="10">
        <v>30</v>
      </c>
      <c r="D254" s="10">
        <v>31</v>
      </c>
      <c r="E254" s="10">
        <f t="shared" si="98"/>
        <v>2669844</v>
      </c>
      <c r="F254" s="14">
        <f t="shared" si="99"/>
        <v>72051</v>
      </c>
      <c r="G254" s="10">
        <f t="shared" si="100"/>
        <v>65113.75</v>
      </c>
      <c r="H254" s="13">
        <v>5027.6666666666697</v>
      </c>
      <c r="I254" s="13">
        <v>703988.33333333302</v>
      </c>
      <c r="J254" s="13">
        <v>14922.666666666701</v>
      </c>
      <c r="K254" s="13">
        <v>30014.083333333299</v>
      </c>
      <c r="L254" s="10">
        <v>77.7</v>
      </c>
      <c r="M254" s="12">
        <v>62.2</v>
      </c>
      <c r="N254" s="12">
        <v>46.7</v>
      </c>
      <c r="O254" s="12">
        <v>17.32</v>
      </c>
      <c r="P254" s="21">
        <v>38.680999999999997</v>
      </c>
    </row>
    <row r="255" spans="1:16" ht="20" customHeight="1">
      <c r="P255" s="21">
        <v>36.439770000000003</v>
      </c>
    </row>
  </sheetData>
  <mergeCells count="1">
    <mergeCell ref="A1:O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9920-85A1-0548-9EC8-7F42E2BA2603}">
  <dimension ref="A1:H48"/>
  <sheetViews>
    <sheetView topLeftCell="C5" workbookViewId="0">
      <selection activeCell="E48" sqref="E48"/>
    </sheetView>
  </sheetViews>
  <sheetFormatPr defaultColWidth="10.6640625" defaultRowHeight="12.75"/>
  <cols>
    <col min="2" max="2" width="15.6640625" customWidth="1"/>
    <col min="3" max="4" width="25.796875" customWidth="1"/>
    <col min="5" max="5" width="27.1328125" customWidth="1"/>
    <col min="6" max="6" width="25.46484375" customWidth="1"/>
    <col min="7" max="7" width="33.6640625" customWidth="1"/>
  </cols>
  <sheetData>
    <row r="1" spans="1:8" ht="25.5">
      <c r="A1" s="15" t="s">
        <v>269</v>
      </c>
      <c r="B1" s="15" t="s">
        <v>270</v>
      </c>
      <c r="C1" s="15" t="s">
        <v>296</v>
      </c>
      <c r="D1" s="15" t="s">
        <v>342</v>
      </c>
      <c r="E1" s="15" t="s">
        <v>271</v>
      </c>
      <c r="F1" s="15" t="s">
        <v>272</v>
      </c>
      <c r="G1" s="15" t="s">
        <v>273</v>
      </c>
      <c r="H1" s="15" t="s">
        <v>341</v>
      </c>
    </row>
    <row r="2" spans="1:8">
      <c r="A2" s="15" t="s">
        <v>268</v>
      </c>
      <c r="B2">
        <v>139.96</v>
      </c>
      <c r="C2">
        <v>28.65</v>
      </c>
      <c r="D2">
        <v>0</v>
      </c>
      <c r="E2">
        <v>848276286</v>
      </c>
      <c r="F2">
        <v>22735.29</v>
      </c>
      <c r="G2">
        <v>15.4</v>
      </c>
      <c r="H2">
        <v>37311</v>
      </c>
    </row>
    <row r="3" spans="1:8">
      <c r="A3" s="15" t="s">
        <v>274</v>
      </c>
      <c r="B3">
        <v>38.479999999999997</v>
      </c>
      <c r="C3">
        <v>28.65</v>
      </c>
      <c r="D3">
        <v>0</v>
      </c>
      <c r="E3">
        <v>265343632</v>
      </c>
      <c r="F3">
        <v>22735.29</v>
      </c>
      <c r="G3">
        <v>14.9</v>
      </c>
      <c r="H3">
        <v>11671</v>
      </c>
    </row>
    <row r="4" spans="1:8">
      <c r="A4" s="15" t="s">
        <v>275</v>
      </c>
      <c r="B4">
        <v>141.1</v>
      </c>
      <c r="C4">
        <v>28.65</v>
      </c>
      <c r="D4">
        <v>115.16</v>
      </c>
      <c r="E4">
        <v>1509199073</v>
      </c>
      <c r="F4">
        <v>32276.81</v>
      </c>
      <c r="G4">
        <v>11.67</v>
      </c>
      <c r="H4">
        <v>46758</v>
      </c>
    </row>
    <row r="5" spans="1:8">
      <c r="A5" s="15" t="s">
        <v>276</v>
      </c>
      <c r="B5">
        <v>106.88</v>
      </c>
      <c r="C5">
        <v>28.65</v>
      </c>
      <c r="D5">
        <v>145.03</v>
      </c>
      <c r="E5">
        <v>9806</v>
      </c>
      <c r="F5">
        <v>0.67</v>
      </c>
      <c r="G5">
        <v>13.4</v>
      </c>
      <c r="H5">
        <v>14714</v>
      </c>
    </row>
    <row r="6" spans="1:8">
      <c r="A6" s="15" t="s">
        <v>277</v>
      </c>
      <c r="B6">
        <v>85.29</v>
      </c>
      <c r="C6">
        <v>28.65</v>
      </c>
      <c r="D6">
        <v>437.72</v>
      </c>
      <c r="E6">
        <v>268868481</v>
      </c>
      <c r="F6">
        <v>19622.57</v>
      </c>
      <c r="G6">
        <v>11.15</v>
      </c>
      <c r="H6">
        <v>13702</v>
      </c>
    </row>
    <row r="7" spans="1:8">
      <c r="A7" s="15" t="s">
        <v>278</v>
      </c>
      <c r="B7">
        <v>139.27000000000001</v>
      </c>
      <c r="C7">
        <v>28.65</v>
      </c>
      <c r="D7">
        <v>0</v>
      </c>
      <c r="E7">
        <v>163353036</v>
      </c>
      <c r="F7">
        <v>22735.29</v>
      </c>
      <c r="G7">
        <v>11.7</v>
      </c>
      <c r="H7">
        <v>7185</v>
      </c>
    </row>
    <row r="8" spans="1:8">
      <c r="A8" s="15" t="s">
        <v>279</v>
      </c>
      <c r="B8">
        <v>114.05</v>
      </c>
      <c r="C8">
        <v>28.65</v>
      </c>
      <c r="D8">
        <v>0.67</v>
      </c>
      <c r="E8">
        <v>889655091</v>
      </c>
      <c r="F8">
        <v>22560.61</v>
      </c>
      <c r="G8">
        <v>12.16</v>
      </c>
      <c r="H8">
        <v>39434</v>
      </c>
    </row>
    <row r="9" spans="1:8">
      <c r="A9" s="15" t="s">
        <v>280</v>
      </c>
      <c r="B9">
        <v>106.76</v>
      </c>
      <c r="C9">
        <v>28.65</v>
      </c>
      <c r="D9">
        <v>0</v>
      </c>
      <c r="E9">
        <v>287419496</v>
      </c>
      <c r="F9">
        <v>22735.29</v>
      </c>
      <c r="G9">
        <v>13.42</v>
      </c>
      <c r="H9">
        <v>12642</v>
      </c>
    </row>
    <row r="10" spans="1:8">
      <c r="A10" s="15" t="s">
        <v>281</v>
      </c>
      <c r="B10">
        <v>105.87</v>
      </c>
      <c r="C10">
        <v>28.65</v>
      </c>
      <c r="D10">
        <v>0</v>
      </c>
      <c r="E10">
        <v>106241995</v>
      </c>
      <c r="F10">
        <v>22735.29</v>
      </c>
      <c r="G10">
        <v>12.04</v>
      </c>
      <c r="H10">
        <v>4673</v>
      </c>
    </row>
    <row r="11" spans="1:8">
      <c r="A11" s="15" t="s">
        <v>282</v>
      </c>
      <c r="B11">
        <v>136.6</v>
      </c>
      <c r="C11">
        <v>28.65</v>
      </c>
      <c r="D11">
        <v>0</v>
      </c>
      <c r="E11">
        <v>192.27232000000001</v>
      </c>
      <c r="F11">
        <v>22735.29</v>
      </c>
      <c r="G11">
        <v>11.66</v>
      </c>
      <c r="H11">
        <v>8457</v>
      </c>
    </row>
    <row r="12" spans="1:8">
      <c r="A12" s="15" t="s">
        <v>283</v>
      </c>
      <c r="B12">
        <v>117.61</v>
      </c>
      <c r="C12">
        <v>28.65</v>
      </c>
      <c r="D12">
        <v>16.45</v>
      </c>
      <c r="E12">
        <v>1142981622</v>
      </c>
      <c r="F12">
        <v>11.347</v>
      </c>
      <c r="G12">
        <v>14.51</v>
      </c>
      <c r="H12" s="19">
        <v>100723</v>
      </c>
    </row>
    <row r="13" spans="1:8">
      <c r="A13" s="15" t="s">
        <v>284</v>
      </c>
      <c r="B13">
        <v>102.39</v>
      </c>
      <c r="C13">
        <v>28.65</v>
      </c>
      <c r="D13">
        <v>183.15</v>
      </c>
      <c r="E13">
        <v>432965138</v>
      </c>
      <c r="F13">
        <v>22252.41</v>
      </c>
      <c r="G13">
        <v>9.44</v>
      </c>
      <c r="H13" s="19">
        <v>19457</v>
      </c>
    </row>
    <row r="14" spans="1:8">
      <c r="A14" s="15" t="s">
        <v>285</v>
      </c>
      <c r="B14">
        <v>125.3</v>
      </c>
      <c r="C14">
        <v>28.65</v>
      </c>
      <c r="D14">
        <v>0</v>
      </c>
      <c r="E14">
        <v>1809751564</v>
      </c>
      <c r="F14">
        <v>22735.29</v>
      </c>
      <c r="G14">
        <v>12.9</v>
      </c>
      <c r="H14">
        <v>79601</v>
      </c>
    </row>
    <row r="15" spans="1:8">
      <c r="A15" s="15" t="s">
        <v>286</v>
      </c>
      <c r="B15">
        <v>125.3</v>
      </c>
      <c r="C15">
        <v>28.65</v>
      </c>
      <c r="D15">
        <v>0</v>
      </c>
      <c r="E15">
        <v>56519923</v>
      </c>
      <c r="F15">
        <v>22735.29</v>
      </c>
      <c r="G15">
        <v>12.88</v>
      </c>
      <c r="H15">
        <v>2486</v>
      </c>
    </row>
    <row r="16" spans="1:8">
      <c r="A16" s="15" t="s">
        <v>287</v>
      </c>
      <c r="B16">
        <v>74.5</v>
      </c>
      <c r="C16">
        <v>28.65</v>
      </c>
      <c r="D16">
        <v>0.32</v>
      </c>
      <c r="E16">
        <v>666975248</v>
      </c>
      <c r="F16">
        <v>22484.33</v>
      </c>
      <c r="G16">
        <v>13.19</v>
      </c>
      <c r="H16">
        <v>29664</v>
      </c>
    </row>
    <row r="17" spans="1:8">
      <c r="A17" s="15" t="s">
        <v>289</v>
      </c>
      <c r="B17">
        <v>123.01</v>
      </c>
      <c r="C17">
        <v>28.65</v>
      </c>
      <c r="D17">
        <v>1202.55</v>
      </c>
      <c r="E17">
        <v>252321503</v>
      </c>
      <c r="F17">
        <v>29315.85</v>
      </c>
      <c r="G17">
        <v>14.56</v>
      </c>
      <c r="H17">
        <v>8607</v>
      </c>
    </row>
    <row r="18" spans="1:8">
      <c r="A18" s="15" t="s">
        <v>288</v>
      </c>
      <c r="B18">
        <v>154.56</v>
      </c>
      <c r="C18">
        <v>28.65</v>
      </c>
      <c r="D18">
        <v>0</v>
      </c>
      <c r="E18">
        <v>700519657</v>
      </c>
      <c r="F18">
        <v>22735.29</v>
      </c>
      <c r="G18">
        <v>12.2</v>
      </c>
      <c r="H18">
        <v>30812</v>
      </c>
    </row>
    <row r="19" spans="1:8">
      <c r="A19" s="15" t="s">
        <v>290</v>
      </c>
      <c r="B19">
        <v>120.51</v>
      </c>
      <c r="C19">
        <v>28.65</v>
      </c>
      <c r="D19">
        <v>0</v>
      </c>
      <c r="E19">
        <v>200752582</v>
      </c>
      <c r="F19">
        <v>22735.29</v>
      </c>
      <c r="G19">
        <v>10.62</v>
      </c>
      <c r="H19">
        <v>8830</v>
      </c>
    </row>
    <row r="20" spans="1:8">
      <c r="A20" s="15" t="s">
        <v>291</v>
      </c>
      <c r="B20">
        <v>88.73</v>
      </c>
      <c r="C20">
        <v>28.65</v>
      </c>
      <c r="D20">
        <v>210.73</v>
      </c>
      <c r="E20">
        <v>1257281727</v>
      </c>
      <c r="F20">
        <v>29611.67</v>
      </c>
      <c r="G20">
        <v>11.01</v>
      </c>
      <c r="H20">
        <v>42459</v>
      </c>
    </row>
    <row r="21" spans="1:8">
      <c r="A21" s="15" t="s">
        <v>292</v>
      </c>
      <c r="B21">
        <v>89.71</v>
      </c>
      <c r="C21">
        <v>28.65</v>
      </c>
      <c r="D21">
        <v>0</v>
      </c>
      <c r="E21">
        <v>530164153</v>
      </c>
      <c r="F21">
        <v>22735.29</v>
      </c>
      <c r="G21">
        <v>8.2100000000000009</v>
      </c>
      <c r="H21">
        <v>23319</v>
      </c>
    </row>
    <row r="22" spans="1:8">
      <c r="A22" s="15" t="s">
        <v>293</v>
      </c>
      <c r="B22">
        <v>133.61000000000001</v>
      </c>
      <c r="C22">
        <v>28.65</v>
      </c>
      <c r="D22">
        <v>14.47</v>
      </c>
      <c r="E22">
        <v>230814759</v>
      </c>
      <c r="F22">
        <v>11251.57</v>
      </c>
      <c r="G22">
        <v>10.65</v>
      </c>
      <c r="H22">
        <v>20514</v>
      </c>
    </row>
    <row r="23" spans="1:8">
      <c r="A23" s="15" t="s">
        <v>294</v>
      </c>
      <c r="B23">
        <v>123.58</v>
      </c>
      <c r="C23">
        <v>28.65</v>
      </c>
      <c r="D23">
        <v>0</v>
      </c>
      <c r="E23">
        <v>176607708</v>
      </c>
      <c r="F23">
        <v>22735.29</v>
      </c>
      <c r="G23">
        <v>13.25</v>
      </c>
      <c r="H23">
        <v>7768</v>
      </c>
    </row>
    <row r="24" spans="1:8">
      <c r="A24" s="15" t="s">
        <v>295</v>
      </c>
      <c r="B24">
        <v>72.290000000000006</v>
      </c>
      <c r="C24">
        <v>28.65</v>
      </c>
      <c r="D24">
        <v>0</v>
      </c>
      <c r="E24">
        <v>156668861</v>
      </c>
      <c r="F24">
        <v>22735.29</v>
      </c>
      <c r="G24">
        <v>11.67</v>
      </c>
      <c r="H24">
        <v>6891</v>
      </c>
    </row>
    <row r="48" spans="5:5">
      <c r="E48" s="15" t="s">
        <v>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E6025-EF82-C941-8F31-EAE33A57C307}">
  <dimension ref="A1:F29"/>
  <sheetViews>
    <sheetView topLeftCell="B1" workbookViewId="0">
      <selection activeCell="F24" sqref="F24"/>
    </sheetView>
  </sheetViews>
  <sheetFormatPr defaultColWidth="10.6640625" defaultRowHeight="12.75"/>
  <cols>
    <col min="1" max="1" width="33.46484375" customWidth="1"/>
    <col min="4" max="4" width="38" customWidth="1"/>
    <col min="5" max="5" width="16.33203125" bestFit="1" customWidth="1"/>
    <col min="6" max="6" width="16.33203125" customWidth="1"/>
  </cols>
  <sheetData>
    <row r="1" spans="1:6" ht="25.5">
      <c r="A1" s="15" t="s">
        <v>297</v>
      </c>
      <c r="B1" s="15" t="s">
        <v>299</v>
      </c>
      <c r="C1" s="15" t="s">
        <v>300</v>
      </c>
      <c r="D1" s="15" t="s">
        <v>301</v>
      </c>
      <c r="E1" s="15" t="s">
        <v>302</v>
      </c>
      <c r="F1" s="15" t="s">
        <v>303</v>
      </c>
    </row>
    <row r="2" spans="1:6">
      <c r="A2" s="15" t="s">
        <v>298</v>
      </c>
      <c r="B2" s="15" t="s">
        <v>289</v>
      </c>
      <c r="C2" s="15" t="s">
        <v>313</v>
      </c>
      <c r="D2" s="16">
        <v>10350318.09</v>
      </c>
      <c r="E2" s="16">
        <v>10589710858.23</v>
      </c>
      <c r="F2">
        <v>1023.13</v>
      </c>
    </row>
    <row r="3" spans="1:6">
      <c r="A3" s="15" t="s">
        <v>304</v>
      </c>
      <c r="B3" s="15" t="s">
        <v>291</v>
      </c>
      <c r="C3" s="15" t="s">
        <v>313</v>
      </c>
      <c r="D3" s="17">
        <v>8459377.0999999996</v>
      </c>
      <c r="E3" s="16">
        <v>9128980428.6599998</v>
      </c>
      <c r="F3">
        <v>1079.1600000000001</v>
      </c>
    </row>
    <row r="4" spans="1:6">
      <c r="A4" s="15" t="s">
        <v>305</v>
      </c>
      <c r="B4" s="15" t="s">
        <v>277</v>
      </c>
      <c r="C4" s="15" t="s">
        <v>313</v>
      </c>
      <c r="D4" s="16">
        <v>3554966.01</v>
      </c>
      <c r="E4" s="16">
        <v>4107346122.6900001</v>
      </c>
      <c r="F4">
        <v>1155.3800000000001</v>
      </c>
    </row>
    <row r="5" spans="1:6">
      <c r="A5" s="15" t="s">
        <v>306</v>
      </c>
      <c r="B5" s="15" t="s">
        <v>275</v>
      </c>
      <c r="C5" s="15" t="s">
        <v>313</v>
      </c>
      <c r="D5" s="16">
        <v>2867619.01</v>
      </c>
      <c r="E5" s="16">
        <v>3088456209.4899998</v>
      </c>
      <c r="F5">
        <v>1077.01</v>
      </c>
    </row>
    <row r="6" spans="1:6">
      <c r="A6" s="15" t="s">
        <v>307</v>
      </c>
      <c r="B6" s="15" t="s">
        <v>284</v>
      </c>
      <c r="C6" s="15" t="s">
        <v>313</v>
      </c>
      <c r="D6" s="16">
        <v>2739818.01</v>
      </c>
      <c r="E6" s="16">
        <v>2593693590.6599998</v>
      </c>
      <c r="F6">
        <v>946.67</v>
      </c>
    </row>
    <row r="7" spans="1:6">
      <c r="A7" s="15" t="s">
        <v>308</v>
      </c>
      <c r="B7" s="15" t="s">
        <v>275</v>
      </c>
      <c r="C7" s="15" t="s">
        <v>313</v>
      </c>
      <c r="D7" s="16">
        <v>1869920</v>
      </c>
      <c r="E7" s="16">
        <v>2211612274.7600002</v>
      </c>
      <c r="F7">
        <v>1182.73</v>
      </c>
    </row>
    <row r="8" spans="1:6">
      <c r="A8" s="15" t="s">
        <v>309</v>
      </c>
      <c r="B8" s="15" t="s">
        <v>276</v>
      </c>
      <c r="C8" s="15" t="s">
        <v>314</v>
      </c>
      <c r="D8" s="16">
        <v>1347094</v>
      </c>
    </row>
    <row r="9" spans="1:6">
      <c r="A9" s="15" t="s">
        <v>310</v>
      </c>
      <c r="B9" s="15" t="s">
        <v>283</v>
      </c>
      <c r="C9" s="15" t="s">
        <v>314</v>
      </c>
      <c r="D9" s="16">
        <v>866228</v>
      </c>
    </row>
    <row r="10" spans="1:6">
      <c r="A10" s="15" t="s">
        <v>311</v>
      </c>
      <c r="B10" s="15" t="s">
        <v>284</v>
      </c>
      <c r="C10" s="15" t="s">
        <v>315</v>
      </c>
      <c r="D10" s="16">
        <v>823814</v>
      </c>
      <c r="E10" s="16">
        <v>173871518.09999999</v>
      </c>
      <c r="F10">
        <v>211.06</v>
      </c>
    </row>
    <row r="11" spans="1:6">
      <c r="A11" s="15" t="s">
        <v>312</v>
      </c>
      <c r="B11" s="15" t="s">
        <v>276</v>
      </c>
      <c r="C11" s="15" t="s">
        <v>314</v>
      </c>
      <c r="D11" s="16">
        <v>786155</v>
      </c>
    </row>
    <row r="12" spans="1:6">
      <c r="A12" s="15" t="s">
        <v>316</v>
      </c>
      <c r="B12" s="15" t="s">
        <v>277</v>
      </c>
      <c r="C12" s="15" t="s">
        <v>314</v>
      </c>
      <c r="D12" s="16">
        <v>777390</v>
      </c>
    </row>
    <row r="13" spans="1:6">
      <c r="A13" s="15" t="s">
        <v>317</v>
      </c>
      <c r="B13" s="15" t="s">
        <v>275</v>
      </c>
      <c r="C13" s="15" t="s">
        <v>313</v>
      </c>
      <c r="D13" s="16">
        <v>646967</v>
      </c>
      <c r="E13" s="18" t="s">
        <v>318</v>
      </c>
      <c r="F13" s="16">
        <v>1183.06</v>
      </c>
    </row>
    <row r="14" spans="1:6">
      <c r="A14" s="15" t="s">
        <v>319</v>
      </c>
      <c r="B14" s="15" t="s">
        <v>277</v>
      </c>
      <c r="C14" s="15" t="s">
        <v>314</v>
      </c>
      <c r="D14" s="16">
        <v>551439</v>
      </c>
    </row>
    <row r="15" spans="1:6">
      <c r="A15" s="15" t="s">
        <v>320</v>
      </c>
      <c r="B15" s="15" t="s">
        <v>277</v>
      </c>
      <c r="C15" s="15" t="s">
        <v>314</v>
      </c>
      <c r="D15" s="16">
        <v>545218</v>
      </c>
    </row>
    <row r="16" spans="1:6">
      <c r="A16" s="15" t="s">
        <v>321</v>
      </c>
      <c r="B16" s="15" t="s">
        <v>322</v>
      </c>
      <c r="C16" s="15" t="s">
        <v>315</v>
      </c>
      <c r="D16" s="16">
        <v>402768</v>
      </c>
      <c r="E16">
        <v>168051313.63999999</v>
      </c>
      <c r="F16">
        <v>417.24</v>
      </c>
    </row>
    <row r="17" spans="1:6">
      <c r="A17" s="15" t="s">
        <v>323</v>
      </c>
      <c r="B17" s="15" t="s">
        <v>277</v>
      </c>
      <c r="C17" s="15" t="s">
        <v>314</v>
      </c>
      <c r="D17" s="16">
        <v>305487</v>
      </c>
    </row>
    <row r="18" spans="1:6">
      <c r="A18" s="15" t="s">
        <v>324</v>
      </c>
      <c r="B18" s="15" t="s">
        <v>277</v>
      </c>
      <c r="C18" s="15" t="s">
        <v>314</v>
      </c>
      <c r="D18" s="16">
        <v>263099</v>
      </c>
    </row>
    <row r="19" spans="1:6">
      <c r="A19" s="15" t="s">
        <v>325</v>
      </c>
      <c r="B19" s="15" t="s">
        <v>291</v>
      </c>
      <c r="C19" s="15" t="s">
        <v>313</v>
      </c>
      <c r="D19" s="16">
        <v>221753</v>
      </c>
      <c r="E19">
        <v>88888406.900000006</v>
      </c>
      <c r="F19">
        <v>400.84</v>
      </c>
    </row>
    <row r="20" spans="1:6">
      <c r="A20" s="15" t="s">
        <v>326</v>
      </c>
      <c r="B20" s="15" t="s">
        <v>283</v>
      </c>
      <c r="C20" s="15" t="s">
        <v>314</v>
      </c>
      <c r="D20" s="16">
        <v>215280</v>
      </c>
    </row>
    <row r="21" spans="1:6">
      <c r="A21" s="15" t="s">
        <v>327</v>
      </c>
      <c r="B21" s="15" t="s">
        <v>291</v>
      </c>
      <c r="C21" s="15" t="s">
        <v>328</v>
      </c>
      <c r="D21" s="16">
        <v>174761</v>
      </c>
    </row>
    <row r="22" spans="1:6">
      <c r="A22" s="15" t="s">
        <v>329</v>
      </c>
      <c r="B22" s="15" t="s">
        <v>293</v>
      </c>
      <c r="C22" s="15" t="s">
        <v>314</v>
      </c>
      <c r="D22" s="16">
        <v>158507</v>
      </c>
    </row>
    <row r="23" spans="1:6">
      <c r="A23" s="15" t="s">
        <v>330</v>
      </c>
      <c r="B23" s="15" t="s">
        <v>293</v>
      </c>
      <c r="C23" s="15" t="s">
        <v>314</v>
      </c>
      <c r="D23" s="16">
        <v>138389</v>
      </c>
    </row>
    <row r="24" spans="1:6">
      <c r="A24" s="15" t="s">
        <v>331</v>
      </c>
      <c r="B24" s="15" t="s">
        <v>283</v>
      </c>
      <c r="C24" s="15" t="s">
        <v>314</v>
      </c>
      <c r="D24" s="16">
        <v>111687</v>
      </c>
    </row>
    <row r="25" spans="1:6">
      <c r="A25" s="15" t="s">
        <v>332</v>
      </c>
      <c r="B25" s="15" t="s">
        <v>291</v>
      </c>
      <c r="C25" s="15" t="s">
        <v>333</v>
      </c>
      <c r="D25" s="16">
        <v>91365.27</v>
      </c>
      <c r="E25" s="16">
        <v>28701337.100000001</v>
      </c>
      <c r="F25">
        <v>314.14</v>
      </c>
    </row>
    <row r="26" spans="1:6">
      <c r="A26" s="15" t="s">
        <v>334</v>
      </c>
      <c r="B26" s="15" t="s">
        <v>283</v>
      </c>
      <c r="C26" s="15" t="s">
        <v>314</v>
      </c>
      <c r="D26" s="16">
        <v>61368</v>
      </c>
    </row>
    <row r="27" spans="1:6">
      <c r="A27" s="15" t="s">
        <v>335</v>
      </c>
      <c r="B27" s="15" t="s">
        <v>279</v>
      </c>
      <c r="C27" s="15" t="s">
        <v>315</v>
      </c>
      <c r="D27" s="16">
        <v>26439</v>
      </c>
      <c r="E27">
        <v>14090242.18</v>
      </c>
      <c r="F27">
        <v>532.92999999999995</v>
      </c>
    </row>
    <row r="28" spans="1:6" ht="25.5">
      <c r="A28" s="15" t="s">
        <v>336</v>
      </c>
      <c r="B28" s="15" t="s">
        <v>287</v>
      </c>
      <c r="C28" s="15" t="s">
        <v>337</v>
      </c>
      <c r="D28" s="16">
        <v>9382</v>
      </c>
    </row>
    <row r="29" spans="1:6">
      <c r="A29" s="15" t="s">
        <v>338</v>
      </c>
      <c r="B29" s="15" t="s">
        <v>339</v>
      </c>
      <c r="C29" s="15" t="s">
        <v>340</v>
      </c>
      <c r="D29" s="15">
        <v>789.2</v>
      </c>
      <c r="E29">
        <v>49635.61</v>
      </c>
      <c r="F29">
        <v>62.89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1 - WyomingElectricConsum</vt:lpstr>
      <vt:lpstr>Electricity Cost By County</vt:lpstr>
      <vt:lpstr>Generation By Plant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Kamal Giri</cp:lastModifiedBy>
  <dcterms:modified xsi:type="dcterms:W3CDTF">2023-12-03T17:36:12Z</dcterms:modified>
</cp:coreProperties>
</file>